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drawings/drawing1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firstSheet="19" activeTab="23"/>
  </bookViews>
  <sheets>
    <sheet name="01-15 ENERO" sheetId="1" r:id="rId1"/>
    <sheet name="16-31 ENERO" sheetId="2" r:id="rId2"/>
    <sheet name="01-15 FEBRERO" sheetId="3" r:id="rId3"/>
    <sheet name="16-28 FEBRERO" sheetId="4" r:id="rId4"/>
    <sheet name="01-15 MARZO" sheetId="5" r:id="rId5"/>
    <sheet name="16-31 MARZO" sheetId="6" r:id="rId6"/>
    <sheet name="01-15 ABRIL" sheetId="7" r:id="rId7"/>
    <sheet name="16-30 ABRIL" sheetId="8" r:id="rId8"/>
    <sheet name="01-15 MAYO" sheetId="9" r:id="rId9"/>
    <sheet name="16-31 MAYO" sheetId="10" r:id="rId10"/>
    <sheet name="01-15 JUNIO" sheetId="11" r:id="rId11"/>
    <sheet name="16-30 JUNIO" sheetId="12" r:id="rId12"/>
    <sheet name="01-15 JULIO" sheetId="13" r:id="rId13"/>
    <sheet name="16-31 JULIO" sheetId="14" r:id="rId14"/>
    <sheet name="01-15 AGOSTO" sheetId="15" r:id="rId15"/>
    <sheet name="16-30 AGOSTO" sheetId="16" r:id="rId16"/>
    <sheet name="01-15 SEPTIEMBRE" sheetId="17" r:id="rId17"/>
    <sheet name="16-30 SEPTIEMBRE" sheetId="18" r:id="rId18"/>
    <sheet name="01-15 OCTUBRE" sheetId="19" r:id="rId19"/>
    <sheet name="16-31 OCTUBRE" sheetId="20" r:id="rId20"/>
    <sheet name="01-15 NOVIEMBRE" sheetId="21" r:id="rId21"/>
    <sheet name="16-30 NOVIEMBRE" sheetId="22" r:id="rId22"/>
    <sheet name="01-15 DICIEMBRE" sheetId="23" r:id="rId23"/>
    <sheet name="16-31 DICIEMBRE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Print_Titles" localSheetId="6">'01-15 ABRIL'!$1:$6</definedName>
    <definedName name="_xlnm.Print_Titles" localSheetId="14">'01-15 AGOSTO'!$1:$6</definedName>
    <definedName name="_xlnm.Print_Titles" localSheetId="22">'01-15 DICIEMBRE'!$1:$6</definedName>
    <definedName name="_xlnm.Print_Titles" localSheetId="0">'01-15 ENERO'!$1:$6</definedName>
    <definedName name="_xlnm.Print_Titles" localSheetId="2">'01-15 FEBRERO'!$1:$6</definedName>
    <definedName name="_xlnm.Print_Titles" localSheetId="12">'01-15 JULIO'!$1:$6</definedName>
    <definedName name="_xlnm.Print_Titles" localSheetId="10">'01-15 JUNIO'!$1:$6</definedName>
    <definedName name="_xlnm.Print_Titles" localSheetId="4">'01-15 MARZO'!$1:$6</definedName>
    <definedName name="_xlnm.Print_Titles" localSheetId="8">'01-15 MAYO'!$1:$6</definedName>
    <definedName name="_xlnm.Print_Titles" localSheetId="20">'01-15 NOVIEMBRE'!$1:$6</definedName>
    <definedName name="_xlnm.Print_Titles" localSheetId="18">'01-15 OCTUBRE'!$1:$6</definedName>
    <definedName name="_xlnm.Print_Titles" localSheetId="16">'01-15 SEPTIEMBRE'!$1:$6</definedName>
    <definedName name="_xlnm.Print_Titles" localSheetId="3">'16-28 FEBRERO'!$1:$6</definedName>
    <definedName name="_xlnm.Print_Titles" localSheetId="7">'16-30 ABRIL'!$1:$6</definedName>
    <definedName name="_xlnm.Print_Titles" localSheetId="15">'16-30 AGOSTO'!$1:$6</definedName>
    <definedName name="_xlnm.Print_Titles" localSheetId="11">'16-30 JUNIO'!$1:$6</definedName>
    <definedName name="_xlnm.Print_Titles" localSheetId="21">'16-30 NOVIEMBRE'!$1:$6</definedName>
    <definedName name="_xlnm.Print_Titles" localSheetId="17">'16-30 SEPTIEMBRE'!$1:$6</definedName>
    <definedName name="_xlnm.Print_Titles" localSheetId="23">'16-31 DICIEMBRE'!$1:$6</definedName>
    <definedName name="_xlnm.Print_Titles" localSheetId="1">'16-31 ENERO'!$1:$6</definedName>
    <definedName name="_xlnm.Print_Titles" localSheetId="13">'16-31 JULIO'!$1:$6</definedName>
    <definedName name="_xlnm.Print_Titles" localSheetId="5">'16-31 MARZO'!$1:$6</definedName>
    <definedName name="_xlnm.Print_Titles" localSheetId="9">'16-31 MAYO'!$1:$6</definedName>
    <definedName name="_xlnm.Print_Titles" localSheetId="19">'16-31 OCTUBRE'!$1:$6</definedName>
  </definedNames>
  <calcPr calcId="125725"/>
</workbook>
</file>

<file path=xl/calcChain.xml><?xml version="1.0" encoding="utf-8"?>
<calcChain xmlns="http://schemas.openxmlformats.org/spreadsheetml/2006/main">
  <c r="B49" i="24"/>
  <c r="H48"/>
  <c r="H47"/>
  <c r="G47"/>
  <c r="F47"/>
  <c r="C47"/>
  <c r="V46"/>
  <c r="M46"/>
  <c r="S46" s="1"/>
  <c r="E46"/>
  <c r="K46" s="1"/>
  <c r="V45"/>
  <c r="M45"/>
  <c r="S45" s="1"/>
  <c r="L45"/>
  <c r="K45"/>
  <c r="U45" s="1"/>
  <c r="E45"/>
  <c r="V44"/>
  <c r="M44"/>
  <c r="S44" s="1"/>
  <c r="K44"/>
  <c r="L44" s="1"/>
  <c r="E44"/>
  <c r="V43"/>
  <c r="S43"/>
  <c r="N43"/>
  <c r="M43"/>
  <c r="K43"/>
  <c r="U43" s="1"/>
  <c r="V42"/>
  <c r="M42"/>
  <c r="E42"/>
  <c r="K42" s="1"/>
  <c r="V41"/>
  <c r="N41"/>
  <c r="M41"/>
  <c r="S41" s="1"/>
  <c r="U41" s="1"/>
  <c r="L41"/>
  <c r="K41"/>
  <c r="V40"/>
  <c r="N40"/>
  <c r="M40"/>
  <c r="S40" s="1"/>
  <c r="K40"/>
  <c r="V39"/>
  <c r="T39"/>
  <c r="M39"/>
  <c r="L39"/>
  <c r="K39"/>
  <c r="E39"/>
  <c r="N39" s="1"/>
  <c r="V38"/>
  <c r="T38"/>
  <c r="N38"/>
  <c r="M38"/>
  <c r="S38" s="1"/>
  <c r="U38" s="1"/>
  <c r="L38"/>
  <c r="K38"/>
  <c r="V37"/>
  <c r="T37"/>
  <c r="M37"/>
  <c r="E37"/>
  <c r="K37" s="1"/>
  <c r="V36"/>
  <c r="T36"/>
  <c r="S36"/>
  <c r="U36" s="1"/>
  <c r="R36"/>
  <c r="N36"/>
  <c r="M36"/>
  <c r="L36"/>
  <c r="K36"/>
  <c r="V35"/>
  <c r="T35"/>
  <c r="R35"/>
  <c r="N35"/>
  <c r="M35"/>
  <c r="S35" s="1"/>
  <c r="K35"/>
  <c r="U35" s="1"/>
  <c r="V34"/>
  <c r="T34"/>
  <c r="N34"/>
  <c r="M34"/>
  <c r="S34" s="1"/>
  <c r="U34" s="1"/>
  <c r="K34"/>
  <c r="L34" s="1"/>
  <c r="V33"/>
  <c r="T33"/>
  <c r="N33"/>
  <c r="M33"/>
  <c r="S33" s="1"/>
  <c r="U33" s="1"/>
  <c r="K33"/>
  <c r="L33" s="1"/>
  <c r="V32"/>
  <c r="T32"/>
  <c r="N32"/>
  <c r="M32"/>
  <c r="S32" s="1"/>
  <c r="U32" s="1"/>
  <c r="K32"/>
  <c r="L32" s="1"/>
  <c r="V31"/>
  <c r="T31"/>
  <c r="R31"/>
  <c r="N31"/>
  <c r="S31" s="1"/>
  <c r="U31" s="1"/>
  <c r="M31"/>
  <c r="L31"/>
  <c r="K31"/>
  <c r="V30"/>
  <c r="T30"/>
  <c r="N30"/>
  <c r="M30"/>
  <c r="S30" s="1"/>
  <c r="L30"/>
  <c r="K30"/>
  <c r="U30" s="1"/>
  <c r="V29"/>
  <c r="T29"/>
  <c r="R29"/>
  <c r="Q29"/>
  <c r="P29"/>
  <c r="N29"/>
  <c r="M29"/>
  <c r="S29" s="1"/>
  <c r="J29"/>
  <c r="I29"/>
  <c r="K29" s="1"/>
  <c r="V28"/>
  <c r="T28"/>
  <c r="R28"/>
  <c r="Q28"/>
  <c r="P28"/>
  <c r="N28"/>
  <c r="S28" s="1"/>
  <c r="M28"/>
  <c r="J28"/>
  <c r="I28"/>
  <c r="K28" s="1"/>
  <c r="V27"/>
  <c r="T27"/>
  <c r="R27"/>
  <c r="Q27"/>
  <c r="P27"/>
  <c r="N27"/>
  <c r="M27"/>
  <c r="S27" s="1"/>
  <c r="K27"/>
  <c r="J27"/>
  <c r="I27"/>
  <c r="V26"/>
  <c r="T26"/>
  <c r="R26"/>
  <c r="N26"/>
  <c r="M26"/>
  <c r="S26" s="1"/>
  <c r="J26"/>
  <c r="K26" s="1"/>
  <c r="I26"/>
  <c r="V25"/>
  <c r="T25"/>
  <c r="R25"/>
  <c r="Q25"/>
  <c r="P25"/>
  <c r="N25"/>
  <c r="M25"/>
  <c r="S25" s="1"/>
  <c r="K25"/>
  <c r="I25"/>
  <c r="V24"/>
  <c r="T24"/>
  <c r="R24"/>
  <c r="Q24"/>
  <c r="P24"/>
  <c r="N24"/>
  <c r="M24"/>
  <c r="S24" s="1"/>
  <c r="K24"/>
  <c r="U24" s="1"/>
  <c r="J24"/>
  <c r="I24"/>
  <c r="V23"/>
  <c r="T23"/>
  <c r="R23"/>
  <c r="Q23"/>
  <c r="P23"/>
  <c r="N23"/>
  <c r="M23"/>
  <c r="S23" s="1"/>
  <c r="J23"/>
  <c r="I23"/>
  <c r="K23" s="1"/>
  <c r="V22"/>
  <c r="T22"/>
  <c r="R22"/>
  <c r="Q22"/>
  <c r="P22"/>
  <c r="N22"/>
  <c r="M22"/>
  <c r="S22" s="1"/>
  <c r="J22"/>
  <c r="I22"/>
  <c r="K22" s="1"/>
  <c r="E22"/>
  <c r="V21"/>
  <c r="T21"/>
  <c r="R21"/>
  <c r="Q21"/>
  <c r="P21"/>
  <c r="N21"/>
  <c r="M21"/>
  <c r="S21" s="1"/>
  <c r="K21"/>
  <c r="J21"/>
  <c r="I21"/>
  <c r="V20"/>
  <c r="T20"/>
  <c r="R20"/>
  <c r="Q20"/>
  <c r="P20"/>
  <c r="N20"/>
  <c r="M20"/>
  <c r="S20" s="1"/>
  <c r="J20"/>
  <c r="I20"/>
  <c r="K20" s="1"/>
  <c r="V19"/>
  <c r="T19"/>
  <c r="R19"/>
  <c r="Q19"/>
  <c r="P19"/>
  <c r="N19"/>
  <c r="M19"/>
  <c r="S19" s="1"/>
  <c r="J19"/>
  <c r="I19"/>
  <c r="K19" s="1"/>
  <c r="V18"/>
  <c r="T18"/>
  <c r="R18"/>
  <c r="Q18"/>
  <c r="P18"/>
  <c r="O18"/>
  <c r="O47" s="1"/>
  <c r="O48" s="1"/>
  <c r="N18"/>
  <c r="M18"/>
  <c r="K18"/>
  <c r="L18" s="1"/>
  <c r="I18"/>
  <c r="V17"/>
  <c r="T17"/>
  <c r="R17"/>
  <c r="Q17"/>
  <c r="P17"/>
  <c r="N17"/>
  <c r="M17"/>
  <c r="S17" s="1"/>
  <c r="K17"/>
  <c r="U17" s="1"/>
  <c r="J17"/>
  <c r="I17"/>
  <c r="V16"/>
  <c r="T16"/>
  <c r="R16"/>
  <c r="N16"/>
  <c r="S16" s="1"/>
  <c r="M16"/>
  <c r="J16"/>
  <c r="K16" s="1"/>
  <c r="I16"/>
  <c r="V15"/>
  <c r="T15"/>
  <c r="R15"/>
  <c r="Q15"/>
  <c r="P15"/>
  <c r="N15"/>
  <c r="M15"/>
  <c r="S15" s="1"/>
  <c r="K15"/>
  <c r="U15" s="1"/>
  <c r="I15"/>
  <c r="V14"/>
  <c r="T14"/>
  <c r="R14"/>
  <c r="Q14"/>
  <c r="P14"/>
  <c r="N14"/>
  <c r="M14"/>
  <c r="S14" s="1"/>
  <c r="K14"/>
  <c r="J14"/>
  <c r="I14"/>
  <c r="V13"/>
  <c r="T13"/>
  <c r="R13"/>
  <c r="Q13"/>
  <c r="P13"/>
  <c r="N13"/>
  <c r="M13"/>
  <c r="S13" s="1"/>
  <c r="J13"/>
  <c r="I13"/>
  <c r="K13" s="1"/>
  <c r="V12"/>
  <c r="T12"/>
  <c r="R12"/>
  <c r="Q12"/>
  <c r="P12"/>
  <c r="N12"/>
  <c r="M12"/>
  <c r="S12" s="1"/>
  <c r="J12"/>
  <c r="I12"/>
  <c r="K12" s="1"/>
  <c r="V11"/>
  <c r="T11"/>
  <c r="R11"/>
  <c r="Q11"/>
  <c r="P11"/>
  <c r="N11"/>
  <c r="S11" s="1"/>
  <c r="M11"/>
  <c r="J11"/>
  <c r="K11" s="1"/>
  <c r="I11"/>
  <c r="V10"/>
  <c r="T10"/>
  <c r="R10"/>
  <c r="Q10"/>
  <c r="P10"/>
  <c r="N10"/>
  <c r="M10"/>
  <c r="S10" s="1"/>
  <c r="K10"/>
  <c r="J10"/>
  <c r="I10"/>
  <c r="D10"/>
  <c r="D47" s="1"/>
  <c r="V9"/>
  <c r="T9"/>
  <c r="R9"/>
  <c r="Q9"/>
  <c r="Q47" s="1"/>
  <c r="P9"/>
  <c r="N9"/>
  <c r="M9"/>
  <c r="S9" s="1"/>
  <c r="J9"/>
  <c r="J47" s="1"/>
  <c r="I9"/>
  <c r="K9" s="1"/>
  <c r="V8"/>
  <c r="T8"/>
  <c r="T47" s="1"/>
  <c r="R8"/>
  <c r="R47" s="1"/>
  <c r="P8"/>
  <c r="P47" s="1"/>
  <c r="M8"/>
  <c r="I8"/>
  <c r="I47" s="1"/>
  <c r="E8"/>
  <c r="N8" s="1"/>
  <c r="V7"/>
  <c r="V47" s="1"/>
  <c r="N7"/>
  <c r="S7" s="1"/>
  <c r="M7"/>
  <c r="M47" s="1"/>
  <c r="K7"/>
  <c r="U7" s="1"/>
  <c r="U22" l="1"/>
  <c r="L22"/>
  <c r="U46"/>
  <c r="L46"/>
  <c r="U11"/>
  <c r="L11"/>
  <c r="U12"/>
  <c r="L12"/>
  <c r="U19"/>
  <c r="L19"/>
  <c r="U29"/>
  <c r="L29"/>
  <c r="U42"/>
  <c r="L42"/>
  <c r="U14"/>
  <c r="U21"/>
  <c r="S39"/>
  <c r="U39" s="1"/>
  <c r="U13"/>
  <c r="L13"/>
  <c r="U20"/>
  <c r="L20"/>
  <c r="U9"/>
  <c r="L9"/>
  <c r="L26"/>
  <c r="U26"/>
  <c r="U28"/>
  <c r="L28"/>
  <c r="L37"/>
  <c r="U10"/>
  <c r="U27"/>
  <c r="U40"/>
  <c r="L16"/>
  <c r="U16"/>
  <c r="U23"/>
  <c r="L23"/>
  <c r="S42"/>
  <c r="S8"/>
  <c r="U25"/>
  <c r="S18"/>
  <c r="N42"/>
  <c r="L35"/>
  <c r="L40"/>
  <c r="U44"/>
  <c r="L7"/>
  <c r="K8"/>
  <c r="U18"/>
  <c r="E47"/>
  <c r="E49" s="1"/>
  <c r="N37"/>
  <c r="N47" s="1"/>
  <c r="N48" s="1"/>
  <c r="L10"/>
  <c r="L14"/>
  <c r="L15"/>
  <c r="L17"/>
  <c r="L21"/>
  <c r="L24"/>
  <c r="L25"/>
  <c r="L27"/>
  <c r="L43"/>
  <c r="S47" l="1"/>
  <c r="U8"/>
  <c r="L8"/>
  <c r="K47"/>
  <c r="L47"/>
  <c r="S37"/>
  <c r="U37" s="1"/>
  <c r="U47" l="1"/>
  <c r="B47" i="23" l="1"/>
  <c r="H46"/>
  <c r="H45"/>
  <c r="G45"/>
  <c r="F45"/>
  <c r="C45"/>
  <c r="V44"/>
  <c r="M44"/>
  <c r="S44" s="1"/>
  <c r="E44"/>
  <c r="K44" s="1"/>
  <c r="V43"/>
  <c r="N43"/>
  <c r="M43"/>
  <c r="S43" s="1"/>
  <c r="U43" s="1"/>
  <c r="L43"/>
  <c r="K43"/>
  <c r="V42"/>
  <c r="M42"/>
  <c r="L42"/>
  <c r="K42"/>
  <c r="E42"/>
  <c r="N42" s="1"/>
  <c r="S42" s="1"/>
  <c r="U42" s="1"/>
  <c r="V41"/>
  <c r="U41"/>
  <c r="S41"/>
  <c r="N41"/>
  <c r="M41"/>
  <c r="L41"/>
  <c r="K41"/>
  <c r="V40"/>
  <c r="S40"/>
  <c r="N40"/>
  <c r="M40"/>
  <c r="K40"/>
  <c r="U40" s="1"/>
  <c r="V39"/>
  <c r="T39"/>
  <c r="M39"/>
  <c r="K39"/>
  <c r="L39" s="1"/>
  <c r="E39"/>
  <c r="N39" s="1"/>
  <c r="S39" s="1"/>
  <c r="V38"/>
  <c r="T38"/>
  <c r="S38"/>
  <c r="N38"/>
  <c r="M38"/>
  <c r="L38"/>
  <c r="K38"/>
  <c r="V37"/>
  <c r="T37"/>
  <c r="M37"/>
  <c r="L37"/>
  <c r="K37"/>
  <c r="U37" s="1"/>
  <c r="E37"/>
  <c r="N37" s="1"/>
  <c r="S37" s="1"/>
  <c r="V36"/>
  <c r="T36"/>
  <c r="R36"/>
  <c r="N36"/>
  <c r="M36"/>
  <c r="S36" s="1"/>
  <c r="U36" s="1"/>
  <c r="K36"/>
  <c r="L36" s="1"/>
  <c r="V35"/>
  <c r="T35"/>
  <c r="R35"/>
  <c r="N35"/>
  <c r="S35" s="1"/>
  <c r="M35"/>
  <c r="K35"/>
  <c r="L35" s="1"/>
  <c r="V34"/>
  <c r="T34"/>
  <c r="S34"/>
  <c r="N34"/>
  <c r="M34"/>
  <c r="K34"/>
  <c r="L34" s="1"/>
  <c r="V33"/>
  <c r="T33"/>
  <c r="S33"/>
  <c r="N33"/>
  <c r="M33"/>
  <c r="K33"/>
  <c r="L33" s="1"/>
  <c r="V32"/>
  <c r="T32"/>
  <c r="S32"/>
  <c r="N32"/>
  <c r="M32"/>
  <c r="K32"/>
  <c r="L32" s="1"/>
  <c r="V31"/>
  <c r="T31"/>
  <c r="S31"/>
  <c r="R31"/>
  <c r="N31"/>
  <c r="M31"/>
  <c r="L31"/>
  <c r="K31"/>
  <c r="V30"/>
  <c r="T30"/>
  <c r="S30"/>
  <c r="N30"/>
  <c r="M30"/>
  <c r="L30"/>
  <c r="K30"/>
  <c r="U30" s="1"/>
  <c r="V29"/>
  <c r="T29"/>
  <c r="R29"/>
  <c r="Q29"/>
  <c r="P29"/>
  <c r="N29"/>
  <c r="S29" s="1"/>
  <c r="M29"/>
  <c r="J29"/>
  <c r="I29"/>
  <c r="K29" s="1"/>
  <c r="V28"/>
  <c r="T28"/>
  <c r="R28"/>
  <c r="Q28"/>
  <c r="P28"/>
  <c r="N28"/>
  <c r="M28"/>
  <c r="L28"/>
  <c r="K28"/>
  <c r="J28"/>
  <c r="I28"/>
  <c r="V27"/>
  <c r="T27"/>
  <c r="R27"/>
  <c r="Q27"/>
  <c r="P27"/>
  <c r="N27"/>
  <c r="M27"/>
  <c r="J27"/>
  <c r="I27"/>
  <c r="K27" s="1"/>
  <c r="V26"/>
  <c r="T26"/>
  <c r="S26"/>
  <c r="R26"/>
  <c r="N26"/>
  <c r="M26"/>
  <c r="K26"/>
  <c r="U26" s="1"/>
  <c r="J26"/>
  <c r="I26"/>
  <c r="V25"/>
  <c r="T25"/>
  <c r="R25"/>
  <c r="Q25"/>
  <c r="P25"/>
  <c r="N25"/>
  <c r="M25"/>
  <c r="S25" s="1"/>
  <c r="I25"/>
  <c r="K25" s="1"/>
  <c r="V24"/>
  <c r="T24"/>
  <c r="R24"/>
  <c r="Q24"/>
  <c r="P24"/>
  <c r="N24"/>
  <c r="M24"/>
  <c r="S24" s="1"/>
  <c r="J24"/>
  <c r="I24"/>
  <c r="K24" s="1"/>
  <c r="V23"/>
  <c r="T23"/>
  <c r="R23"/>
  <c r="Q23"/>
  <c r="P23"/>
  <c r="N23"/>
  <c r="M23"/>
  <c r="J23"/>
  <c r="I23"/>
  <c r="K23" s="1"/>
  <c r="V22"/>
  <c r="T22"/>
  <c r="Q22"/>
  <c r="P22"/>
  <c r="N22"/>
  <c r="M22"/>
  <c r="J22"/>
  <c r="I22"/>
  <c r="K22" s="1"/>
  <c r="E22"/>
  <c r="R22" s="1"/>
  <c r="V21"/>
  <c r="T21"/>
  <c r="R21"/>
  <c r="Q21"/>
  <c r="P21"/>
  <c r="N21"/>
  <c r="M21"/>
  <c r="S21" s="1"/>
  <c r="J21"/>
  <c r="I21"/>
  <c r="K21" s="1"/>
  <c r="V20"/>
  <c r="T20"/>
  <c r="R20"/>
  <c r="Q20"/>
  <c r="P20"/>
  <c r="N20"/>
  <c r="M20"/>
  <c r="J20"/>
  <c r="I20"/>
  <c r="K20" s="1"/>
  <c r="V19"/>
  <c r="T19"/>
  <c r="R19"/>
  <c r="Q19"/>
  <c r="P19"/>
  <c r="N19"/>
  <c r="M19"/>
  <c r="K19"/>
  <c r="J19"/>
  <c r="I19"/>
  <c r="V18"/>
  <c r="T18"/>
  <c r="R18"/>
  <c r="Q18"/>
  <c r="P18"/>
  <c r="O18"/>
  <c r="O45" s="1"/>
  <c r="O46" s="1"/>
  <c r="N18"/>
  <c r="M18"/>
  <c r="I18"/>
  <c r="K18" s="1"/>
  <c r="V17"/>
  <c r="T17"/>
  <c r="R17"/>
  <c r="Q17"/>
  <c r="P17"/>
  <c r="N17"/>
  <c r="M17"/>
  <c r="J17"/>
  <c r="I17"/>
  <c r="K17" s="1"/>
  <c r="V16"/>
  <c r="T16"/>
  <c r="S16"/>
  <c r="R16"/>
  <c r="N16"/>
  <c r="M16"/>
  <c r="K16"/>
  <c r="U16" s="1"/>
  <c r="J16"/>
  <c r="I16"/>
  <c r="V15"/>
  <c r="T15"/>
  <c r="R15"/>
  <c r="Q15"/>
  <c r="P15"/>
  <c r="N15"/>
  <c r="M15"/>
  <c r="I15"/>
  <c r="K15" s="1"/>
  <c r="V14"/>
  <c r="T14"/>
  <c r="R14"/>
  <c r="Q14"/>
  <c r="P14"/>
  <c r="N14"/>
  <c r="M14"/>
  <c r="S14" s="1"/>
  <c r="J14"/>
  <c r="I14"/>
  <c r="K14" s="1"/>
  <c r="V13"/>
  <c r="T13"/>
  <c r="R13"/>
  <c r="Q13"/>
  <c r="P13"/>
  <c r="N13"/>
  <c r="M13"/>
  <c r="J13"/>
  <c r="I13"/>
  <c r="K13" s="1"/>
  <c r="V12"/>
  <c r="T12"/>
  <c r="R12"/>
  <c r="Q12"/>
  <c r="P12"/>
  <c r="N12"/>
  <c r="M12"/>
  <c r="K12"/>
  <c r="J12"/>
  <c r="I12"/>
  <c r="V11"/>
  <c r="T11"/>
  <c r="R11"/>
  <c r="Q11"/>
  <c r="P11"/>
  <c r="N11"/>
  <c r="M11"/>
  <c r="S11" s="1"/>
  <c r="J11"/>
  <c r="I11"/>
  <c r="K11" s="1"/>
  <c r="L11" s="1"/>
  <c r="V10"/>
  <c r="V45" s="1"/>
  <c r="T10"/>
  <c r="R10"/>
  <c r="Q10"/>
  <c r="P10"/>
  <c r="N10"/>
  <c r="M10"/>
  <c r="S10" s="1"/>
  <c r="J10"/>
  <c r="I10"/>
  <c r="K10" s="1"/>
  <c r="D10"/>
  <c r="D45" s="1"/>
  <c r="V9"/>
  <c r="T9"/>
  <c r="R9"/>
  <c r="Q9"/>
  <c r="P9"/>
  <c r="N9"/>
  <c r="M9"/>
  <c r="J9"/>
  <c r="J45" s="1"/>
  <c r="I9"/>
  <c r="K9" s="1"/>
  <c r="V8"/>
  <c r="T8"/>
  <c r="R8"/>
  <c r="P8"/>
  <c r="N8"/>
  <c r="M8"/>
  <c r="K8"/>
  <c r="L8" s="1"/>
  <c r="I8"/>
  <c r="E8"/>
  <c r="E45" s="1"/>
  <c r="E47" s="1"/>
  <c r="V7"/>
  <c r="U7"/>
  <c r="S7"/>
  <c r="N7"/>
  <c r="M7"/>
  <c r="M45" s="1"/>
  <c r="L7"/>
  <c r="K7"/>
  <c r="R45" l="1"/>
  <c r="U19"/>
  <c r="P45"/>
  <c r="S9"/>
  <c r="S15"/>
  <c r="U15" s="1"/>
  <c r="S20"/>
  <c r="S22"/>
  <c r="S12"/>
  <c r="S17"/>
  <c r="U17" s="1"/>
  <c r="S18"/>
  <c r="U18" s="1"/>
  <c r="S19"/>
  <c r="S27"/>
  <c r="U12"/>
  <c r="I45"/>
  <c r="U11"/>
  <c r="S13"/>
  <c r="S23"/>
  <c r="U23" s="1"/>
  <c r="S8"/>
  <c r="U8" s="1"/>
  <c r="T45"/>
  <c r="Q45"/>
  <c r="L16"/>
  <c r="L26"/>
  <c r="S28"/>
  <c r="U28" s="1"/>
  <c r="U31"/>
  <c r="U38"/>
  <c r="U13"/>
  <c r="L13"/>
  <c r="L23"/>
  <c r="U44"/>
  <c r="L44"/>
  <c r="L10"/>
  <c r="U10"/>
  <c r="L15"/>
  <c r="U25"/>
  <c r="L25"/>
  <c r="N45"/>
  <c r="N46" s="1"/>
  <c r="U29"/>
  <c r="L17"/>
  <c r="U20"/>
  <c r="L20"/>
  <c r="U27"/>
  <c r="L27"/>
  <c r="U14"/>
  <c r="L14"/>
  <c r="L18"/>
  <c r="U21"/>
  <c r="L21"/>
  <c r="U24"/>
  <c r="L24"/>
  <c r="U9"/>
  <c r="U22"/>
  <c r="K45"/>
  <c r="U35"/>
  <c r="U32"/>
  <c r="U33"/>
  <c r="U34"/>
  <c r="U39"/>
  <c r="L9"/>
  <c r="L12"/>
  <c r="L19"/>
  <c r="L22"/>
  <c r="L29"/>
  <c r="L40"/>
  <c r="S45" l="1"/>
  <c r="U45"/>
  <c r="L45"/>
  <c r="B47" i="22"/>
  <c r="J46"/>
  <c r="J45"/>
  <c r="H45"/>
  <c r="H46" s="1"/>
  <c r="G45"/>
  <c r="F45"/>
  <c r="D45"/>
  <c r="C45"/>
  <c r="W44"/>
  <c r="T44"/>
  <c r="N44"/>
  <c r="L44"/>
  <c r="M44" s="1"/>
  <c r="E44"/>
  <c r="W43"/>
  <c r="T43"/>
  <c r="O43"/>
  <c r="N43"/>
  <c r="L43"/>
  <c r="V43" s="1"/>
  <c r="W42"/>
  <c r="N42"/>
  <c r="E42"/>
  <c r="L42" s="1"/>
  <c r="W41"/>
  <c r="O41"/>
  <c r="N41"/>
  <c r="T41" s="1"/>
  <c r="V41" s="1"/>
  <c r="M41"/>
  <c r="L41"/>
  <c r="W40"/>
  <c r="O40"/>
  <c r="N40"/>
  <c r="T40" s="1"/>
  <c r="V40" s="1"/>
  <c r="M40"/>
  <c r="L40"/>
  <c r="W39"/>
  <c r="U39"/>
  <c r="N39"/>
  <c r="M39"/>
  <c r="L39"/>
  <c r="E39"/>
  <c r="O39" s="1"/>
  <c r="W38"/>
  <c r="U38"/>
  <c r="O38"/>
  <c r="N38"/>
  <c r="T38" s="1"/>
  <c r="M38"/>
  <c r="L38"/>
  <c r="W37"/>
  <c r="U37"/>
  <c r="N37"/>
  <c r="E37"/>
  <c r="L37" s="1"/>
  <c r="W36"/>
  <c r="U36"/>
  <c r="T36"/>
  <c r="S36"/>
  <c r="O36"/>
  <c r="N36"/>
  <c r="M36"/>
  <c r="L36"/>
  <c r="V36" s="1"/>
  <c r="W35"/>
  <c r="U35"/>
  <c r="S35"/>
  <c r="O35"/>
  <c r="N35"/>
  <c r="T35" s="1"/>
  <c r="M35"/>
  <c r="L35"/>
  <c r="V35" s="1"/>
  <c r="W34"/>
  <c r="U34"/>
  <c r="O34"/>
  <c r="N34"/>
  <c r="T34" s="1"/>
  <c r="M34"/>
  <c r="L34"/>
  <c r="W33"/>
  <c r="U33"/>
  <c r="O33"/>
  <c r="N33"/>
  <c r="T33" s="1"/>
  <c r="M33"/>
  <c r="L33"/>
  <c r="W32"/>
  <c r="U32"/>
  <c r="O32"/>
  <c r="N32"/>
  <c r="T32" s="1"/>
  <c r="M32"/>
  <c r="L32"/>
  <c r="W31"/>
  <c r="U31"/>
  <c r="S31"/>
  <c r="O31"/>
  <c r="N31"/>
  <c r="T31" s="1"/>
  <c r="M31"/>
  <c r="L31"/>
  <c r="W30"/>
  <c r="U30"/>
  <c r="O30"/>
  <c r="N30"/>
  <c r="T30" s="1"/>
  <c r="V30" s="1"/>
  <c r="M30"/>
  <c r="L30"/>
  <c r="W29"/>
  <c r="U29"/>
  <c r="S29"/>
  <c r="R29"/>
  <c r="Q29"/>
  <c r="P29"/>
  <c r="O29"/>
  <c r="N29"/>
  <c r="K29"/>
  <c r="I29"/>
  <c r="W28"/>
  <c r="U28"/>
  <c r="S28"/>
  <c r="R28"/>
  <c r="Q28"/>
  <c r="P28"/>
  <c r="O28"/>
  <c r="N28"/>
  <c r="K28"/>
  <c r="I28"/>
  <c r="L28" s="1"/>
  <c r="M28" s="1"/>
  <c r="W27"/>
  <c r="U27"/>
  <c r="S27"/>
  <c r="R27"/>
  <c r="Q27"/>
  <c r="O27"/>
  <c r="N27"/>
  <c r="K27"/>
  <c r="I27"/>
  <c r="W26"/>
  <c r="U26"/>
  <c r="T26"/>
  <c r="S26"/>
  <c r="O26"/>
  <c r="N26"/>
  <c r="L26"/>
  <c r="K26"/>
  <c r="I26"/>
  <c r="W25"/>
  <c r="U25"/>
  <c r="S25"/>
  <c r="R25"/>
  <c r="Q25"/>
  <c r="O25"/>
  <c r="N25"/>
  <c r="I25"/>
  <c r="L25" s="1"/>
  <c r="M25" s="1"/>
  <c r="W24"/>
  <c r="U24"/>
  <c r="S24"/>
  <c r="R24"/>
  <c r="Q24"/>
  <c r="P24"/>
  <c r="O24"/>
  <c r="N24"/>
  <c r="K24"/>
  <c r="I24"/>
  <c r="W23"/>
  <c r="U23"/>
  <c r="S23"/>
  <c r="R23"/>
  <c r="Q23"/>
  <c r="O23"/>
  <c r="N23"/>
  <c r="K23"/>
  <c r="I23"/>
  <c r="W22"/>
  <c r="U22"/>
  <c r="R22"/>
  <c r="Q22"/>
  <c r="N22"/>
  <c r="K22"/>
  <c r="I22"/>
  <c r="E22"/>
  <c r="S22" s="1"/>
  <c r="W21"/>
  <c r="U21"/>
  <c r="S21"/>
  <c r="R21"/>
  <c r="Q21"/>
  <c r="O21"/>
  <c r="N21"/>
  <c r="K21"/>
  <c r="I21"/>
  <c r="L21" s="1"/>
  <c r="W20"/>
  <c r="U20"/>
  <c r="S20"/>
  <c r="R20"/>
  <c r="Q20"/>
  <c r="O20"/>
  <c r="N20"/>
  <c r="K20"/>
  <c r="I20"/>
  <c r="L20" s="1"/>
  <c r="W19"/>
  <c r="U19"/>
  <c r="S19"/>
  <c r="R19"/>
  <c r="Q19"/>
  <c r="O19"/>
  <c r="N19"/>
  <c r="L19"/>
  <c r="M19" s="1"/>
  <c r="K19"/>
  <c r="I19"/>
  <c r="W18"/>
  <c r="U18"/>
  <c r="S18"/>
  <c r="R18"/>
  <c r="Q18"/>
  <c r="P18"/>
  <c r="O18"/>
  <c r="N18"/>
  <c r="I18"/>
  <c r="L18" s="1"/>
  <c r="W17"/>
  <c r="U17"/>
  <c r="S17"/>
  <c r="R17"/>
  <c r="Q17"/>
  <c r="O17"/>
  <c r="N17"/>
  <c r="K17"/>
  <c r="I17"/>
  <c r="L17" s="1"/>
  <c r="W16"/>
  <c r="U16"/>
  <c r="S16"/>
  <c r="O16"/>
  <c r="N16"/>
  <c r="T16" s="1"/>
  <c r="K16"/>
  <c r="I16"/>
  <c r="L16" s="1"/>
  <c r="W15"/>
  <c r="U15"/>
  <c r="S15"/>
  <c r="R15"/>
  <c r="Q15"/>
  <c r="O15"/>
  <c r="N15"/>
  <c r="I15"/>
  <c r="L15" s="1"/>
  <c r="W14"/>
  <c r="U14"/>
  <c r="S14"/>
  <c r="R14"/>
  <c r="Q14"/>
  <c r="O14"/>
  <c r="N14"/>
  <c r="K14"/>
  <c r="I14"/>
  <c r="L14" s="1"/>
  <c r="W13"/>
  <c r="U13"/>
  <c r="S13"/>
  <c r="R13"/>
  <c r="Q13"/>
  <c r="O13"/>
  <c r="N13"/>
  <c r="L13"/>
  <c r="K13"/>
  <c r="I13"/>
  <c r="W12"/>
  <c r="U12"/>
  <c r="S12"/>
  <c r="R12"/>
  <c r="Q12"/>
  <c r="O12"/>
  <c r="N12"/>
  <c r="K12"/>
  <c r="I12"/>
  <c r="L12" s="1"/>
  <c r="M12" s="1"/>
  <c r="W11"/>
  <c r="U11"/>
  <c r="S11"/>
  <c r="R11"/>
  <c r="Q11"/>
  <c r="O11"/>
  <c r="N11"/>
  <c r="K11"/>
  <c r="I11"/>
  <c r="L11" s="1"/>
  <c r="W10"/>
  <c r="U10"/>
  <c r="S10"/>
  <c r="R10"/>
  <c r="Q10"/>
  <c r="O10"/>
  <c r="N10"/>
  <c r="K10"/>
  <c r="I10"/>
  <c r="L10" s="1"/>
  <c r="D10"/>
  <c r="W9"/>
  <c r="U9"/>
  <c r="S9"/>
  <c r="R9"/>
  <c r="Q9"/>
  <c r="O9"/>
  <c r="N9"/>
  <c r="L9"/>
  <c r="M9" s="1"/>
  <c r="K9"/>
  <c r="I9"/>
  <c r="W8"/>
  <c r="U8"/>
  <c r="S8"/>
  <c r="Q8"/>
  <c r="N8"/>
  <c r="I8"/>
  <c r="L8" s="1"/>
  <c r="M8" s="1"/>
  <c r="E8"/>
  <c r="O8" s="1"/>
  <c r="W7"/>
  <c r="W45" s="1"/>
  <c r="O7"/>
  <c r="N7"/>
  <c r="N45" s="1"/>
  <c r="M7"/>
  <c r="L7"/>
  <c r="L29" l="1"/>
  <c r="V29" s="1"/>
  <c r="T12"/>
  <c r="L23"/>
  <c r="L27"/>
  <c r="V33"/>
  <c r="V26"/>
  <c r="R45"/>
  <c r="T10"/>
  <c r="T11"/>
  <c r="T23"/>
  <c r="T29"/>
  <c r="V31"/>
  <c r="V38"/>
  <c r="V12"/>
  <c r="T14"/>
  <c r="T9"/>
  <c r="V9" s="1"/>
  <c r="T20"/>
  <c r="V20" s="1"/>
  <c r="M26"/>
  <c r="T24"/>
  <c r="Q45"/>
  <c r="T15"/>
  <c r="T17"/>
  <c r="V17" s="1"/>
  <c r="T19"/>
  <c r="V19" s="1"/>
  <c r="T25"/>
  <c r="V25" s="1"/>
  <c r="T28"/>
  <c r="V28" s="1"/>
  <c r="S45"/>
  <c r="K45"/>
  <c r="T13"/>
  <c r="V13" s="1"/>
  <c r="U45"/>
  <c r="T18"/>
  <c r="T21"/>
  <c r="V21" s="1"/>
  <c r="L24"/>
  <c r="V24" s="1"/>
  <c r="T27"/>
  <c r="V27" s="1"/>
  <c r="V32"/>
  <c r="V34"/>
  <c r="M42"/>
  <c r="V10"/>
  <c r="M10"/>
  <c r="V15"/>
  <c r="M15"/>
  <c r="V16"/>
  <c r="M16"/>
  <c r="V18"/>
  <c r="M18"/>
  <c r="M37"/>
  <c r="T37"/>
  <c r="V37" s="1"/>
  <c r="T39"/>
  <c r="V39" s="1"/>
  <c r="M21"/>
  <c r="V11"/>
  <c r="M11"/>
  <c r="V14"/>
  <c r="M14"/>
  <c r="M17"/>
  <c r="M27"/>
  <c r="T8"/>
  <c r="V8" s="1"/>
  <c r="O37"/>
  <c r="O42"/>
  <c r="T42" s="1"/>
  <c r="V42" s="1"/>
  <c r="V44"/>
  <c r="E45"/>
  <c r="E47" s="1"/>
  <c r="I45"/>
  <c r="L22"/>
  <c r="P45"/>
  <c r="P46" s="1"/>
  <c r="T7"/>
  <c r="O22"/>
  <c r="T22" s="1"/>
  <c r="M13"/>
  <c r="M20"/>
  <c r="M23"/>
  <c r="M43"/>
  <c r="L45" l="1"/>
  <c r="M29"/>
  <c r="V23"/>
  <c r="M24"/>
  <c r="M45"/>
  <c r="V22"/>
  <c r="M22"/>
  <c r="V7"/>
  <c r="T45"/>
  <c r="O45"/>
  <c r="O46" s="1"/>
  <c r="V45" l="1"/>
  <c r="B47" i="21" l="1"/>
  <c r="G45"/>
  <c r="F45"/>
  <c r="C45"/>
  <c r="V44"/>
  <c r="M44"/>
  <c r="S44" s="1"/>
  <c r="L44"/>
  <c r="K44"/>
  <c r="E44"/>
  <c r="V43"/>
  <c r="U43"/>
  <c r="S43"/>
  <c r="N43"/>
  <c r="M43"/>
  <c r="L43"/>
  <c r="K43"/>
  <c r="V42"/>
  <c r="M42"/>
  <c r="K42"/>
  <c r="E42"/>
  <c r="N42" s="1"/>
  <c r="S42" s="1"/>
  <c r="V41"/>
  <c r="S41"/>
  <c r="N41"/>
  <c r="M41"/>
  <c r="K41"/>
  <c r="U41" s="1"/>
  <c r="V40"/>
  <c r="N40"/>
  <c r="M40"/>
  <c r="S40" s="1"/>
  <c r="K40"/>
  <c r="U40" s="1"/>
  <c r="V39"/>
  <c r="T39"/>
  <c r="M39"/>
  <c r="E39"/>
  <c r="K39" s="1"/>
  <c r="V38"/>
  <c r="T38"/>
  <c r="S38"/>
  <c r="N38"/>
  <c r="M38"/>
  <c r="K38"/>
  <c r="L38" s="1"/>
  <c r="V37"/>
  <c r="T37"/>
  <c r="M37"/>
  <c r="K37"/>
  <c r="L37" s="1"/>
  <c r="E37"/>
  <c r="N37" s="1"/>
  <c r="S37" s="1"/>
  <c r="V36"/>
  <c r="T36"/>
  <c r="R36"/>
  <c r="N36"/>
  <c r="M36"/>
  <c r="S36" s="1"/>
  <c r="L36"/>
  <c r="K36"/>
  <c r="V35"/>
  <c r="T35"/>
  <c r="R35"/>
  <c r="N35"/>
  <c r="M35"/>
  <c r="S35" s="1"/>
  <c r="U35" s="1"/>
  <c r="K35"/>
  <c r="L35" s="1"/>
  <c r="V34"/>
  <c r="T34"/>
  <c r="N34"/>
  <c r="M34"/>
  <c r="S34" s="1"/>
  <c r="K34"/>
  <c r="L34" s="1"/>
  <c r="V33"/>
  <c r="T33"/>
  <c r="N33"/>
  <c r="M33"/>
  <c r="S33" s="1"/>
  <c r="K33"/>
  <c r="L33" s="1"/>
  <c r="V32"/>
  <c r="T32"/>
  <c r="N32"/>
  <c r="M32"/>
  <c r="S32" s="1"/>
  <c r="K32"/>
  <c r="L32" s="1"/>
  <c r="V31"/>
  <c r="T31"/>
  <c r="R31"/>
  <c r="N31"/>
  <c r="M31"/>
  <c r="S31" s="1"/>
  <c r="K31"/>
  <c r="L31" s="1"/>
  <c r="V30"/>
  <c r="T30"/>
  <c r="S30"/>
  <c r="N30"/>
  <c r="M30"/>
  <c r="K30"/>
  <c r="L30" s="1"/>
  <c r="V29"/>
  <c r="T29"/>
  <c r="R29"/>
  <c r="Q29"/>
  <c r="P29"/>
  <c r="O29"/>
  <c r="N29"/>
  <c r="M29"/>
  <c r="J29"/>
  <c r="I29"/>
  <c r="H29"/>
  <c r="V28"/>
  <c r="T28"/>
  <c r="R28"/>
  <c r="Q28"/>
  <c r="P28"/>
  <c r="O28"/>
  <c r="N28"/>
  <c r="M28"/>
  <c r="J28"/>
  <c r="I28"/>
  <c r="H28"/>
  <c r="V27"/>
  <c r="T27"/>
  <c r="R27"/>
  <c r="Q27"/>
  <c r="P27"/>
  <c r="N27"/>
  <c r="M27"/>
  <c r="J27"/>
  <c r="I27"/>
  <c r="H27"/>
  <c r="V26"/>
  <c r="T26"/>
  <c r="S26"/>
  <c r="R26"/>
  <c r="N26"/>
  <c r="M26"/>
  <c r="J26"/>
  <c r="I26"/>
  <c r="H26"/>
  <c r="V25"/>
  <c r="T25"/>
  <c r="R25"/>
  <c r="Q25"/>
  <c r="P25"/>
  <c r="N25"/>
  <c r="M25"/>
  <c r="J25"/>
  <c r="I25"/>
  <c r="H25"/>
  <c r="V24"/>
  <c r="T24"/>
  <c r="R24"/>
  <c r="Q24"/>
  <c r="P24"/>
  <c r="O24"/>
  <c r="N24"/>
  <c r="M24"/>
  <c r="J24"/>
  <c r="I24"/>
  <c r="V23"/>
  <c r="T23"/>
  <c r="R23"/>
  <c r="Q23"/>
  <c r="P23"/>
  <c r="N23"/>
  <c r="M23"/>
  <c r="J23"/>
  <c r="I23"/>
  <c r="V22"/>
  <c r="T22"/>
  <c r="Q22"/>
  <c r="P22"/>
  <c r="N22"/>
  <c r="M22"/>
  <c r="J22"/>
  <c r="I22"/>
  <c r="E22"/>
  <c r="R22" s="1"/>
  <c r="V21"/>
  <c r="T21"/>
  <c r="R21"/>
  <c r="Q21"/>
  <c r="P21"/>
  <c r="N21"/>
  <c r="M21"/>
  <c r="S21" s="1"/>
  <c r="J21"/>
  <c r="I21"/>
  <c r="K21" s="1"/>
  <c r="V20"/>
  <c r="T20"/>
  <c r="R20"/>
  <c r="Q20"/>
  <c r="P20"/>
  <c r="N20"/>
  <c r="M20"/>
  <c r="J20"/>
  <c r="I20"/>
  <c r="H20"/>
  <c r="V19"/>
  <c r="T19"/>
  <c r="R19"/>
  <c r="Q19"/>
  <c r="P19"/>
  <c r="N19"/>
  <c r="M19"/>
  <c r="J19"/>
  <c r="I19"/>
  <c r="H19"/>
  <c r="V18"/>
  <c r="T18"/>
  <c r="R18"/>
  <c r="Q18"/>
  <c r="P18"/>
  <c r="O18"/>
  <c r="N18"/>
  <c r="M18"/>
  <c r="J18"/>
  <c r="I18"/>
  <c r="H18"/>
  <c r="V17"/>
  <c r="T17"/>
  <c r="R17"/>
  <c r="Q17"/>
  <c r="P17"/>
  <c r="N17"/>
  <c r="M17"/>
  <c r="S17" s="1"/>
  <c r="J17"/>
  <c r="I17"/>
  <c r="K17" s="1"/>
  <c r="V16"/>
  <c r="T16"/>
  <c r="S16"/>
  <c r="R16"/>
  <c r="N16"/>
  <c r="M16"/>
  <c r="J16"/>
  <c r="I16"/>
  <c r="H16"/>
  <c r="K16" s="1"/>
  <c r="V15"/>
  <c r="T15"/>
  <c r="R15"/>
  <c r="Q15"/>
  <c r="P15"/>
  <c r="N15"/>
  <c r="M15"/>
  <c r="J15"/>
  <c r="I15"/>
  <c r="K15" s="1"/>
  <c r="H15"/>
  <c r="V14"/>
  <c r="T14"/>
  <c r="R14"/>
  <c r="Q14"/>
  <c r="P14"/>
  <c r="N14"/>
  <c r="M14"/>
  <c r="S14" s="1"/>
  <c r="J14"/>
  <c r="I14"/>
  <c r="H14"/>
  <c r="K14" s="1"/>
  <c r="V13"/>
  <c r="T13"/>
  <c r="R13"/>
  <c r="Q13"/>
  <c r="P13"/>
  <c r="N13"/>
  <c r="M13"/>
  <c r="J13"/>
  <c r="I13"/>
  <c r="H13"/>
  <c r="V12"/>
  <c r="T12"/>
  <c r="R12"/>
  <c r="Q12"/>
  <c r="P12"/>
  <c r="N12"/>
  <c r="M12"/>
  <c r="S12" s="1"/>
  <c r="J12"/>
  <c r="I12"/>
  <c r="H12"/>
  <c r="K12" s="1"/>
  <c r="V11"/>
  <c r="T11"/>
  <c r="R11"/>
  <c r="Q11"/>
  <c r="P11"/>
  <c r="N11"/>
  <c r="M11"/>
  <c r="J11"/>
  <c r="I11"/>
  <c r="H11"/>
  <c r="V10"/>
  <c r="T10"/>
  <c r="R10"/>
  <c r="Q10"/>
  <c r="P10"/>
  <c r="N10"/>
  <c r="M10"/>
  <c r="S10" s="1"/>
  <c r="J10"/>
  <c r="I10"/>
  <c r="H10"/>
  <c r="K10" s="1"/>
  <c r="D10"/>
  <c r="D45" s="1"/>
  <c r="V9"/>
  <c r="T9"/>
  <c r="R9"/>
  <c r="Q9"/>
  <c r="P9"/>
  <c r="N9"/>
  <c r="M9"/>
  <c r="J9"/>
  <c r="I9"/>
  <c r="H9"/>
  <c r="V8"/>
  <c r="V45" s="1"/>
  <c r="T8"/>
  <c r="R8"/>
  <c r="P8"/>
  <c r="M8"/>
  <c r="I8"/>
  <c r="E8"/>
  <c r="E45" s="1"/>
  <c r="E47" s="1"/>
  <c r="V7"/>
  <c r="N7"/>
  <c r="M7"/>
  <c r="S7" s="1"/>
  <c r="K7"/>
  <c r="H7"/>
  <c r="O45" l="1"/>
  <c r="O46" s="1"/>
  <c r="K22"/>
  <c r="S24"/>
  <c r="S20"/>
  <c r="S23"/>
  <c r="S28"/>
  <c r="U28" s="1"/>
  <c r="U34"/>
  <c r="K18"/>
  <c r="L18" s="1"/>
  <c r="S25"/>
  <c r="K29"/>
  <c r="L29" s="1"/>
  <c r="H45"/>
  <c r="P45"/>
  <c r="K9"/>
  <c r="L9" s="1"/>
  <c r="I45"/>
  <c r="S9"/>
  <c r="S19"/>
  <c r="K20"/>
  <c r="U20" s="1"/>
  <c r="K23"/>
  <c r="L23" s="1"/>
  <c r="K25"/>
  <c r="K28"/>
  <c r="U32"/>
  <c r="K27"/>
  <c r="T45"/>
  <c r="Q45"/>
  <c r="K11"/>
  <c r="L11" s="1"/>
  <c r="S11"/>
  <c r="K13"/>
  <c r="U13" s="1"/>
  <c r="S13"/>
  <c r="S15"/>
  <c r="U15" s="1"/>
  <c r="K19"/>
  <c r="L19" s="1"/>
  <c r="K24"/>
  <c r="L24" s="1"/>
  <c r="K26"/>
  <c r="S27"/>
  <c r="S29"/>
  <c r="U29" s="1"/>
  <c r="U33"/>
  <c r="L15"/>
  <c r="L39"/>
  <c r="U21"/>
  <c r="L21"/>
  <c r="U24"/>
  <c r="L26"/>
  <c r="U26"/>
  <c r="U17"/>
  <c r="L17"/>
  <c r="L25"/>
  <c r="L28"/>
  <c r="R45"/>
  <c r="U36"/>
  <c r="U42"/>
  <c r="U10"/>
  <c r="L10"/>
  <c r="U12"/>
  <c r="L12"/>
  <c r="U14"/>
  <c r="L14"/>
  <c r="L16"/>
  <c r="U16"/>
  <c r="S22"/>
  <c r="U22" s="1"/>
  <c r="U44"/>
  <c r="U31"/>
  <c r="M45"/>
  <c r="L7"/>
  <c r="U7"/>
  <c r="J8"/>
  <c r="J45" s="1"/>
  <c r="N8"/>
  <c r="S8" s="1"/>
  <c r="U30"/>
  <c r="U37"/>
  <c r="U38"/>
  <c r="L40"/>
  <c r="S18"/>
  <c r="U18" s="1"/>
  <c r="N39"/>
  <c r="S39" s="1"/>
  <c r="U39" s="1"/>
  <c r="K8"/>
  <c r="L22"/>
  <c r="L41"/>
  <c r="L42"/>
  <c r="U11" l="1"/>
  <c r="L20"/>
  <c r="U25"/>
  <c r="U9"/>
  <c r="U27"/>
  <c r="K45"/>
  <c r="L27"/>
  <c r="L13"/>
  <c r="U23"/>
  <c r="U19"/>
  <c r="S45"/>
  <c r="N45"/>
  <c r="N46" s="1"/>
  <c r="U8"/>
  <c r="L8"/>
  <c r="L45" s="1"/>
  <c r="U45" l="1"/>
  <c r="B47" i="20"/>
  <c r="G45"/>
  <c r="F45"/>
  <c r="C45"/>
  <c r="V44"/>
  <c r="M44"/>
  <c r="S44" s="1"/>
  <c r="E44"/>
  <c r="K44" s="1"/>
  <c r="V43"/>
  <c r="N43"/>
  <c r="M43"/>
  <c r="S43" s="1"/>
  <c r="U43" s="1"/>
  <c r="L43"/>
  <c r="K43"/>
  <c r="V42"/>
  <c r="M42"/>
  <c r="L42"/>
  <c r="K42"/>
  <c r="E42"/>
  <c r="N42" s="1"/>
  <c r="S42" s="1"/>
  <c r="U42" s="1"/>
  <c r="V41"/>
  <c r="U41"/>
  <c r="S41"/>
  <c r="N41"/>
  <c r="M41"/>
  <c r="L41"/>
  <c r="K41"/>
  <c r="V40"/>
  <c r="S40"/>
  <c r="N40"/>
  <c r="M40"/>
  <c r="K40"/>
  <c r="U40" s="1"/>
  <c r="V39"/>
  <c r="T39"/>
  <c r="M39"/>
  <c r="K39"/>
  <c r="L39" s="1"/>
  <c r="E39"/>
  <c r="N39" s="1"/>
  <c r="S39" s="1"/>
  <c r="V38"/>
  <c r="T38"/>
  <c r="S38"/>
  <c r="N38"/>
  <c r="M38"/>
  <c r="L38"/>
  <c r="K38"/>
  <c r="V37"/>
  <c r="T37"/>
  <c r="M37"/>
  <c r="L37"/>
  <c r="K37"/>
  <c r="E37"/>
  <c r="N37" s="1"/>
  <c r="S37" s="1"/>
  <c r="V36"/>
  <c r="T36"/>
  <c r="N36"/>
  <c r="M36"/>
  <c r="S36" s="1"/>
  <c r="U36" s="1"/>
  <c r="L36"/>
  <c r="K36"/>
  <c r="V35"/>
  <c r="T35"/>
  <c r="N35"/>
  <c r="M35"/>
  <c r="S35" s="1"/>
  <c r="U35" s="1"/>
  <c r="L35"/>
  <c r="K35"/>
  <c r="V34"/>
  <c r="T34"/>
  <c r="N34"/>
  <c r="M34"/>
  <c r="S34" s="1"/>
  <c r="L34"/>
  <c r="K34"/>
  <c r="V33"/>
  <c r="T33"/>
  <c r="N33"/>
  <c r="M33"/>
  <c r="S33" s="1"/>
  <c r="U33" s="1"/>
  <c r="L33"/>
  <c r="K33"/>
  <c r="V32"/>
  <c r="T32"/>
  <c r="N32"/>
  <c r="M32"/>
  <c r="S32" s="1"/>
  <c r="L32"/>
  <c r="K32"/>
  <c r="V31"/>
  <c r="T31"/>
  <c r="R31"/>
  <c r="N31"/>
  <c r="M31"/>
  <c r="S31" s="1"/>
  <c r="K31"/>
  <c r="L31" s="1"/>
  <c r="V30"/>
  <c r="T30"/>
  <c r="N30"/>
  <c r="M30"/>
  <c r="S30" s="1"/>
  <c r="U30" s="1"/>
  <c r="K30"/>
  <c r="L30" s="1"/>
  <c r="V29"/>
  <c r="T29"/>
  <c r="R29"/>
  <c r="Q29"/>
  <c r="P29"/>
  <c r="O29"/>
  <c r="N29"/>
  <c r="M29"/>
  <c r="J29"/>
  <c r="I29"/>
  <c r="H29"/>
  <c r="V28"/>
  <c r="T28"/>
  <c r="R28"/>
  <c r="Q28"/>
  <c r="P28"/>
  <c r="O28"/>
  <c r="N28"/>
  <c r="M28"/>
  <c r="J28"/>
  <c r="I28"/>
  <c r="H28"/>
  <c r="V27"/>
  <c r="T27"/>
  <c r="R27"/>
  <c r="Q27"/>
  <c r="P27"/>
  <c r="N27"/>
  <c r="M27"/>
  <c r="J27"/>
  <c r="I27"/>
  <c r="H27"/>
  <c r="V26"/>
  <c r="T26"/>
  <c r="R26"/>
  <c r="N26"/>
  <c r="M26"/>
  <c r="S26" s="1"/>
  <c r="J26"/>
  <c r="I26"/>
  <c r="H26"/>
  <c r="V25"/>
  <c r="T25"/>
  <c r="R25"/>
  <c r="Q25"/>
  <c r="P25"/>
  <c r="N25"/>
  <c r="M25"/>
  <c r="J25"/>
  <c r="I25"/>
  <c r="H25"/>
  <c r="V24"/>
  <c r="T24"/>
  <c r="R24"/>
  <c r="Q24"/>
  <c r="P24"/>
  <c r="O24"/>
  <c r="N24"/>
  <c r="M24"/>
  <c r="J24"/>
  <c r="I24"/>
  <c r="K24" s="1"/>
  <c r="V23"/>
  <c r="T23"/>
  <c r="R23"/>
  <c r="Q23"/>
  <c r="P23"/>
  <c r="N23"/>
  <c r="M23"/>
  <c r="J23"/>
  <c r="I23"/>
  <c r="V22"/>
  <c r="T22"/>
  <c r="R22"/>
  <c r="Q22"/>
  <c r="P22"/>
  <c r="N22"/>
  <c r="M22"/>
  <c r="J22"/>
  <c r="I22"/>
  <c r="E22"/>
  <c r="V21"/>
  <c r="T21"/>
  <c r="R21"/>
  <c r="Q21"/>
  <c r="P21"/>
  <c r="N21"/>
  <c r="M21"/>
  <c r="J21"/>
  <c r="I21"/>
  <c r="K21" s="1"/>
  <c r="L21" s="1"/>
  <c r="V20"/>
  <c r="T20"/>
  <c r="R20"/>
  <c r="Q20"/>
  <c r="P20"/>
  <c r="N20"/>
  <c r="M20"/>
  <c r="J20"/>
  <c r="I20"/>
  <c r="H20"/>
  <c r="V19"/>
  <c r="T19"/>
  <c r="R19"/>
  <c r="Q19"/>
  <c r="P19"/>
  <c r="N19"/>
  <c r="M19"/>
  <c r="J19"/>
  <c r="I19"/>
  <c r="H19"/>
  <c r="V18"/>
  <c r="T18"/>
  <c r="R18"/>
  <c r="Q18"/>
  <c r="P18"/>
  <c r="O18"/>
  <c r="N18"/>
  <c r="M18"/>
  <c r="J18"/>
  <c r="I18"/>
  <c r="H18"/>
  <c r="V17"/>
  <c r="T17"/>
  <c r="R17"/>
  <c r="Q17"/>
  <c r="P17"/>
  <c r="N17"/>
  <c r="M17"/>
  <c r="J17"/>
  <c r="I17"/>
  <c r="K17" s="1"/>
  <c r="L17" s="1"/>
  <c r="V16"/>
  <c r="T16"/>
  <c r="R16"/>
  <c r="N16"/>
  <c r="M16"/>
  <c r="S16" s="1"/>
  <c r="J16"/>
  <c r="I16"/>
  <c r="H16"/>
  <c r="V15"/>
  <c r="T15"/>
  <c r="R15"/>
  <c r="Q15"/>
  <c r="P15"/>
  <c r="N15"/>
  <c r="M15"/>
  <c r="J15"/>
  <c r="I15"/>
  <c r="H15"/>
  <c r="V14"/>
  <c r="T14"/>
  <c r="R14"/>
  <c r="Q14"/>
  <c r="P14"/>
  <c r="N14"/>
  <c r="M14"/>
  <c r="J14"/>
  <c r="I14"/>
  <c r="H14"/>
  <c r="K14" s="1"/>
  <c r="V13"/>
  <c r="T13"/>
  <c r="R13"/>
  <c r="Q13"/>
  <c r="P13"/>
  <c r="N13"/>
  <c r="M13"/>
  <c r="J13"/>
  <c r="I13"/>
  <c r="H13"/>
  <c r="V12"/>
  <c r="T12"/>
  <c r="R12"/>
  <c r="Q12"/>
  <c r="P12"/>
  <c r="N12"/>
  <c r="M12"/>
  <c r="J12"/>
  <c r="I12"/>
  <c r="H12"/>
  <c r="K12" s="1"/>
  <c r="V11"/>
  <c r="T11"/>
  <c r="R11"/>
  <c r="Q11"/>
  <c r="P11"/>
  <c r="N11"/>
  <c r="M11"/>
  <c r="J11"/>
  <c r="I11"/>
  <c r="H11"/>
  <c r="V10"/>
  <c r="T10"/>
  <c r="R10"/>
  <c r="Q10"/>
  <c r="P10"/>
  <c r="N10"/>
  <c r="M10"/>
  <c r="J10"/>
  <c r="I10"/>
  <c r="H10"/>
  <c r="K10" s="1"/>
  <c r="D10"/>
  <c r="D45" s="1"/>
  <c r="V9"/>
  <c r="T9"/>
  <c r="R9"/>
  <c r="Q9"/>
  <c r="P9"/>
  <c r="N9"/>
  <c r="M9"/>
  <c r="J9"/>
  <c r="I9"/>
  <c r="H9"/>
  <c r="V8"/>
  <c r="T8"/>
  <c r="R8"/>
  <c r="P8"/>
  <c r="N8"/>
  <c r="N45" s="1"/>
  <c r="N46" s="1"/>
  <c r="M8"/>
  <c r="J8"/>
  <c r="I8"/>
  <c r="E8"/>
  <c r="E45" s="1"/>
  <c r="E47" s="1"/>
  <c r="V7"/>
  <c r="V45" s="1"/>
  <c r="N7"/>
  <c r="M7"/>
  <c r="M45" s="1"/>
  <c r="L7"/>
  <c r="K7"/>
  <c r="H7"/>
  <c r="S17" l="1"/>
  <c r="U17" s="1"/>
  <c r="O45"/>
  <c r="O46" s="1"/>
  <c r="K27"/>
  <c r="S27"/>
  <c r="K15"/>
  <c r="K20"/>
  <c r="L20" s="1"/>
  <c r="S15"/>
  <c r="K16"/>
  <c r="L16" s="1"/>
  <c r="K19"/>
  <c r="U19" s="1"/>
  <c r="S20"/>
  <c r="H45"/>
  <c r="H46" s="1"/>
  <c r="P45"/>
  <c r="K9"/>
  <c r="L9" s="1"/>
  <c r="S9"/>
  <c r="K25"/>
  <c r="L25" s="1"/>
  <c r="S29"/>
  <c r="J45"/>
  <c r="R45"/>
  <c r="S10"/>
  <c r="U10" s="1"/>
  <c r="S25"/>
  <c r="K26"/>
  <c r="L26" s="1"/>
  <c r="L24"/>
  <c r="K23"/>
  <c r="L23" s="1"/>
  <c r="Q45"/>
  <c r="K11"/>
  <c r="L11" s="1"/>
  <c r="S13"/>
  <c r="S14"/>
  <c r="U14" s="1"/>
  <c r="K18"/>
  <c r="L18" s="1"/>
  <c r="S19"/>
  <c r="S21"/>
  <c r="U21" s="1"/>
  <c r="S24"/>
  <c r="U24" s="1"/>
  <c r="K28"/>
  <c r="L28" s="1"/>
  <c r="U31"/>
  <c r="U37"/>
  <c r="I45"/>
  <c r="K13"/>
  <c r="U13" s="1"/>
  <c r="U38"/>
  <c r="S8"/>
  <c r="T45"/>
  <c r="K8"/>
  <c r="L8" s="1"/>
  <c r="S11"/>
  <c r="S12"/>
  <c r="U12" s="1"/>
  <c r="S18"/>
  <c r="K22"/>
  <c r="S22"/>
  <c r="S23"/>
  <c r="S28"/>
  <c r="K29"/>
  <c r="U32"/>
  <c r="U34"/>
  <c r="L15"/>
  <c r="L13"/>
  <c r="U28"/>
  <c r="U27"/>
  <c r="L22"/>
  <c r="L29"/>
  <c r="U44"/>
  <c r="L44"/>
  <c r="U26"/>
  <c r="S7"/>
  <c r="U39"/>
  <c r="U16"/>
  <c r="L10"/>
  <c r="L12"/>
  <c r="L14"/>
  <c r="L27"/>
  <c r="L40"/>
  <c r="U9" l="1"/>
  <c r="U11"/>
  <c r="U22"/>
  <c r="U15"/>
  <c r="U20"/>
  <c r="L19"/>
  <c r="U8"/>
  <c r="U25"/>
  <c r="U29"/>
  <c r="K45"/>
  <c r="U18"/>
  <c r="U23"/>
  <c r="L45"/>
  <c r="U7"/>
  <c r="S45"/>
  <c r="U45" l="1"/>
  <c r="K44" i="19"/>
  <c r="K45" s="1"/>
  <c r="J44"/>
  <c r="H44"/>
  <c r="G44"/>
  <c r="F44"/>
  <c r="D44"/>
  <c r="C44"/>
  <c r="Y43"/>
  <c r="X43"/>
  <c r="V43"/>
  <c r="Q43"/>
  <c r="P43"/>
  <c r="O43"/>
  <c r="N43"/>
  <c r="Y42"/>
  <c r="P42"/>
  <c r="N42"/>
  <c r="E42"/>
  <c r="Q42" s="1"/>
  <c r="V42" s="1"/>
  <c r="Y41"/>
  <c r="V41"/>
  <c r="Q41"/>
  <c r="P41"/>
  <c r="N41"/>
  <c r="X41" s="1"/>
  <c r="Y40"/>
  <c r="Q40"/>
  <c r="P40"/>
  <c r="V40" s="1"/>
  <c r="N40"/>
  <c r="Y39"/>
  <c r="W39"/>
  <c r="P39"/>
  <c r="E39"/>
  <c r="N39" s="1"/>
  <c r="Y38"/>
  <c r="W38"/>
  <c r="V38"/>
  <c r="Q38"/>
  <c r="P38"/>
  <c r="N38"/>
  <c r="X38" s="1"/>
  <c r="Y37"/>
  <c r="W37"/>
  <c r="P37"/>
  <c r="N37"/>
  <c r="E37"/>
  <c r="Q37" s="1"/>
  <c r="V37" s="1"/>
  <c r="Y36"/>
  <c r="W36"/>
  <c r="V36"/>
  <c r="Q36"/>
  <c r="P36"/>
  <c r="O36"/>
  <c r="N36"/>
  <c r="X36" s="1"/>
  <c r="Y35"/>
  <c r="W35"/>
  <c r="V35"/>
  <c r="Q35"/>
  <c r="P35"/>
  <c r="O35"/>
  <c r="N35"/>
  <c r="X35" s="1"/>
  <c r="Y34"/>
  <c r="W34"/>
  <c r="V34"/>
  <c r="Q34"/>
  <c r="P34"/>
  <c r="O34"/>
  <c r="N34"/>
  <c r="Y33"/>
  <c r="W33"/>
  <c r="V33"/>
  <c r="Q33"/>
  <c r="P33"/>
  <c r="O33"/>
  <c r="N33"/>
  <c r="Y32"/>
  <c r="W32"/>
  <c r="V32"/>
  <c r="Q32"/>
  <c r="P32"/>
  <c r="O32"/>
  <c r="N32"/>
  <c r="Y31"/>
  <c r="W31"/>
  <c r="U31"/>
  <c r="Q31"/>
  <c r="P31"/>
  <c r="V31" s="1"/>
  <c r="O31"/>
  <c r="N31"/>
  <c r="Y30"/>
  <c r="W30"/>
  <c r="Q30"/>
  <c r="P30"/>
  <c r="V30" s="1"/>
  <c r="X30" s="1"/>
  <c r="O30"/>
  <c r="N30"/>
  <c r="Y29"/>
  <c r="W29"/>
  <c r="U29"/>
  <c r="T29"/>
  <c r="S29"/>
  <c r="R29"/>
  <c r="Q29"/>
  <c r="P29"/>
  <c r="M29"/>
  <c r="L29"/>
  <c r="I29"/>
  <c r="Y28"/>
  <c r="W28"/>
  <c r="U28"/>
  <c r="T28"/>
  <c r="S28"/>
  <c r="R28"/>
  <c r="Q28"/>
  <c r="P28"/>
  <c r="M28"/>
  <c r="L28"/>
  <c r="I28"/>
  <c r="Y27"/>
  <c r="W27"/>
  <c r="U27"/>
  <c r="T27"/>
  <c r="S27"/>
  <c r="Q27"/>
  <c r="P27"/>
  <c r="M27"/>
  <c r="L27"/>
  <c r="I27"/>
  <c r="Y26"/>
  <c r="W26"/>
  <c r="U26"/>
  <c r="Q26"/>
  <c r="P26"/>
  <c r="V26" s="1"/>
  <c r="M26"/>
  <c r="L26"/>
  <c r="I26"/>
  <c r="Y25"/>
  <c r="W25"/>
  <c r="U25"/>
  <c r="T25"/>
  <c r="S25"/>
  <c r="Q25"/>
  <c r="P25"/>
  <c r="M25"/>
  <c r="L25"/>
  <c r="I25"/>
  <c r="Y24"/>
  <c r="W24"/>
  <c r="U24"/>
  <c r="T24"/>
  <c r="S24"/>
  <c r="R24"/>
  <c r="Q24"/>
  <c r="P24"/>
  <c r="M24"/>
  <c r="L24"/>
  <c r="Y23"/>
  <c r="W23"/>
  <c r="U23"/>
  <c r="T23"/>
  <c r="S23"/>
  <c r="Q23"/>
  <c r="P23"/>
  <c r="M23"/>
  <c r="L23"/>
  <c r="Y22"/>
  <c r="W22"/>
  <c r="U22"/>
  <c r="T22"/>
  <c r="S22"/>
  <c r="P22"/>
  <c r="M22"/>
  <c r="L22"/>
  <c r="E22"/>
  <c r="Y21"/>
  <c r="W21"/>
  <c r="U21"/>
  <c r="T21"/>
  <c r="S21"/>
  <c r="Q21"/>
  <c r="P21"/>
  <c r="M21"/>
  <c r="L21"/>
  <c r="N21" s="1"/>
  <c r="Y20"/>
  <c r="W20"/>
  <c r="U20"/>
  <c r="T20"/>
  <c r="S20"/>
  <c r="Q20"/>
  <c r="P20"/>
  <c r="M20"/>
  <c r="L20"/>
  <c r="I20"/>
  <c r="Y19"/>
  <c r="W19"/>
  <c r="U19"/>
  <c r="T19"/>
  <c r="S19"/>
  <c r="Q19"/>
  <c r="P19"/>
  <c r="M19"/>
  <c r="L19"/>
  <c r="I19"/>
  <c r="Y18"/>
  <c r="W18"/>
  <c r="U18"/>
  <c r="T18"/>
  <c r="S18"/>
  <c r="R18"/>
  <c r="Q18"/>
  <c r="P18"/>
  <c r="M18"/>
  <c r="L18"/>
  <c r="I18"/>
  <c r="Y17"/>
  <c r="W17"/>
  <c r="U17"/>
  <c r="T17"/>
  <c r="S17"/>
  <c r="Q17"/>
  <c r="P17"/>
  <c r="M17"/>
  <c r="L17"/>
  <c r="N17" s="1"/>
  <c r="Y16"/>
  <c r="W16"/>
  <c r="U16"/>
  <c r="Q16"/>
  <c r="P16"/>
  <c r="V16" s="1"/>
  <c r="M16"/>
  <c r="L16"/>
  <c r="I16"/>
  <c r="Y15"/>
  <c r="W15"/>
  <c r="U15"/>
  <c r="T15"/>
  <c r="S15"/>
  <c r="Q15"/>
  <c r="P15"/>
  <c r="M15"/>
  <c r="L15"/>
  <c r="I15"/>
  <c r="Y14"/>
  <c r="W14"/>
  <c r="U14"/>
  <c r="T14"/>
  <c r="S14"/>
  <c r="Q14"/>
  <c r="P14"/>
  <c r="M14"/>
  <c r="L14"/>
  <c r="I14"/>
  <c r="Y13"/>
  <c r="W13"/>
  <c r="U13"/>
  <c r="T13"/>
  <c r="S13"/>
  <c r="Q13"/>
  <c r="P13"/>
  <c r="M13"/>
  <c r="L13"/>
  <c r="I13"/>
  <c r="Y12"/>
  <c r="W12"/>
  <c r="U12"/>
  <c r="T12"/>
  <c r="S12"/>
  <c r="Q12"/>
  <c r="P12"/>
  <c r="M12"/>
  <c r="L12"/>
  <c r="I12"/>
  <c r="Y11"/>
  <c r="W11"/>
  <c r="U11"/>
  <c r="T11"/>
  <c r="S11"/>
  <c r="Q11"/>
  <c r="P11"/>
  <c r="M11"/>
  <c r="L11"/>
  <c r="I11"/>
  <c r="Y10"/>
  <c r="W10"/>
  <c r="U10"/>
  <c r="T10"/>
  <c r="S10"/>
  <c r="Q10"/>
  <c r="P10"/>
  <c r="M10"/>
  <c r="L10"/>
  <c r="I10"/>
  <c r="D10"/>
  <c r="Y9"/>
  <c r="Y44" s="1"/>
  <c r="W9"/>
  <c r="U9"/>
  <c r="T9"/>
  <c r="S9"/>
  <c r="Q9"/>
  <c r="P9"/>
  <c r="M9"/>
  <c r="L9"/>
  <c r="I9"/>
  <c r="Y8"/>
  <c r="W8"/>
  <c r="U8"/>
  <c r="S8"/>
  <c r="Q8"/>
  <c r="P8"/>
  <c r="M8"/>
  <c r="L8"/>
  <c r="E8"/>
  <c r="Y7"/>
  <c r="X7"/>
  <c r="V7"/>
  <c r="Q7"/>
  <c r="P7"/>
  <c r="O7"/>
  <c r="N7"/>
  <c r="I7"/>
  <c r="N10" l="1"/>
  <c r="O10" s="1"/>
  <c r="V8"/>
  <c r="X8" s="1"/>
  <c r="N23"/>
  <c r="O23" s="1"/>
  <c r="N8"/>
  <c r="N12"/>
  <c r="O12" s="1"/>
  <c r="N16"/>
  <c r="X16" s="1"/>
  <c r="R44"/>
  <c r="R45" s="1"/>
  <c r="W44"/>
  <c r="T44"/>
  <c r="N20"/>
  <c r="O20" s="1"/>
  <c r="N22"/>
  <c r="N24"/>
  <c r="V20"/>
  <c r="V28"/>
  <c r="X34"/>
  <c r="N13"/>
  <c r="O13" s="1"/>
  <c r="N18"/>
  <c r="O18" s="1"/>
  <c r="N28"/>
  <c r="O28" s="1"/>
  <c r="L44"/>
  <c r="S44"/>
  <c r="N9"/>
  <c r="O9" s="1"/>
  <c r="V11"/>
  <c r="V13"/>
  <c r="N14"/>
  <c r="O14" s="1"/>
  <c r="V15"/>
  <c r="V18"/>
  <c r="N19"/>
  <c r="O19" s="1"/>
  <c r="V19"/>
  <c r="V21"/>
  <c r="X21" s="1"/>
  <c r="V25"/>
  <c r="X25" s="1"/>
  <c r="N29"/>
  <c r="O29" s="1"/>
  <c r="X32"/>
  <c r="M44"/>
  <c r="N11"/>
  <c r="X11" s="1"/>
  <c r="N15"/>
  <c r="O15" s="1"/>
  <c r="N25"/>
  <c r="V9"/>
  <c r="U44"/>
  <c r="V10"/>
  <c r="V12"/>
  <c r="V14"/>
  <c r="V17"/>
  <c r="X17" s="1"/>
  <c r="V23"/>
  <c r="X23" s="1"/>
  <c r="V24"/>
  <c r="N26"/>
  <c r="X26" s="1"/>
  <c r="N27"/>
  <c r="O27" s="1"/>
  <c r="V27"/>
  <c r="V29"/>
  <c r="X33"/>
  <c r="O22"/>
  <c r="X29"/>
  <c r="Q44"/>
  <c r="Q45" s="1"/>
  <c r="X37"/>
  <c r="X42"/>
  <c r="O8"/>
  <c r="O39"/>
  <c r="O11"/>
  <c r="O25"/>
  <c r="X40"/>
  <c r="X31"/>
  <c r="Q39"/>
  <c r="V39" s="1"/>
  <c r="X39" s="1"/>
  <c r="E44"/>
  <c r="E46" s="1"/>
  <c r="I44"/>
  <c r="I45" s="1"/>
  <c r="P44"/>
  <c r="O17"/>
  <c r="O21"/>
  <c r="Q22"/>
  <c r="V22" s="1"/>
  <c r="O37"/>
  <c r="O38"/>
  <c r="O41"/>
  <c r="O42"/>
  <c r="O40"/>
  <c r="O26" l="1"/>
  <c r="X28"/>
  <c r="X20"/>
  <c r="X27"/>
  <c r="X10"/>
  <c r="O16"/>
  <c r="X12"/>
  <c r="X19"/>
  <c r="X24"/>
  <c r="O24"/>
  <c r="X14"/>
  <c r="X15"/>
  <c r="X18"/>
  <c r="X13"/>
  <c r="X9"/>
  <c r="N44"/>
  <c r="V44"/>
  <c r="X22"/>
  <c r="O44" l="1"/>
  <c r="X44"/>
  <c r="F44" i="18"/>
  <c r="C44"/>
  <c r="W43"/>
  <c r="U43"/>
  <c r="T43"/>
  <c r="O43"/>
  <c r="N43"/>
  <c r="M43"/>
  <c r="L43"/>
  <c r="V43" s="1"/>
  <c r="W42"/>
  <c r="U42"/>
  <c r="N42"/>
  <c r="L42"/>
  <c r="E42"/>
  <c r="M42" s="1"/>
  <c r="W41"/>
  <c r="U41"/>
  <c r="T41"/>
  <c r="O41"/>
  <c r="N41"/>
  <c r="M41"/>
  <c r="L41"/>
  <c r="V41" s="1"/>
  <c r="W40"/>
  <c r="U40"/>
  <c r="T40"/>
  <c r="O40"/>
  <c r="N40"/>
  <c r="M40"/>
  <c r="L40"/>
  <c r="V40" s="1"/>
  <c r="J40"/>
  <c r="W39"/>
  <c r="U39"/>
  <c r="N39"/>
  <c r="J39"/>
  <c r="E39"/>
  <c r="O39" s="1"/>
  <c r="W38"/>
  <c r="U38"/>
  <c r="T38"/>
  <c r="O38"/>
  <c r="N38"/>
  <c r="L38"/>
  <c r="M38" s="1"/>
  <c r="J38"/>
  <c r="W37"/>
  <c r="U37"/>
  <c r="N37"/>
  <c r="M37"/>
  <c r="L37"/>
  <c r="V37" s="1"/>
  <c r="J37"/>
  <c r="E37"/>
  <c r="O37" s="1"/>
  <c r="T37" s="1"/>
  <c r="W36"/>
  <c r="U36"/>
  <c r="O36"/>
  <c r="N36"/>
  <c r="T36" s="1"/>
  <c r="J36"/>
  <c r="L36" s="1"/>
  <c r="W35"/>
  <c r="U35"/>
  <c r="T35"/>
  <c r="O35"/>
  <c r="N35"/>
  <c r="L35"/>
  <c r="M35" s="1"/>
  <c r="J35"/>
  <c r="W34"/>
  <c r="U34"/>
  <c r="T34"/>
  <c r="O34"/>
  <c r="N34"/>
  <c r="M34"/>
  <c r="L34"/>
  <c r="V34" s="1"/>
  <c r="J34"/>
  <c r="W33"/>
  <c r="U33"/>
  <c r="O33"/>
  <c r="N33"/>
  <c r="T33" s="1"/>
  <c r="J33"/>
  <c r="L33" s="1"/>
  <c r="U32"/>
  <c r="O32"/>
  <c r="N32"/>
  <c r="T32" s="1"/>
  <c r="J32"/>
  <c r="L32" s="1"/>
  <c r="G32"/>
  <c r="U31"/>
  <c r="S31"/>
  <c r="O31"/>
  <c r="N31"/>
  <c r="T31" s="1"/>
  <c r="L31"/>
  <c r="M31" s="1"/>
  <c r="J31"/>
  <c r="G31"/>
  <c r="U30"/>
  <c r="T30"/>
  <c r="O30"/>
  <c r="N30"/>
  <c r="M30"/>
  <c r="L30"/>
  <c r="V30" s="1"/>
  <c r="J30"/>
  <c r="G30"/>
  <c r="U29"/>
  <c r="S29"/>
  <c r="R29"/>
  <c r="Q29"/>
  <c r="P29"/>
  <c r="O29"/>
  <c r="N29"/>
  <c r="K29"/>
  <c r="J29"/>
  <c r="I29"/>
  <c r="H29"/>
  <c r="G29"/>
  <c r="W29" s="1"/>
  <c r="U28"/>
  <c r="S28"/>
  <c r="R28"/>
  <c r="Q28"/>
  <c r="P28"/>
  <c r="O28"/>
  <c r="N28"/>
  <c r="K28"/>
  <c r="J28"/>
  <c r="I28"/>
  <c r="H28"/>
  <c r="G28"/>
  <c r="W28" s="1"/>
  <c r="U27"/>
  <c r="S27"/>
  <c r="R27"/>
  <c r="Q27"/>
  <c r="O27"/>
  <c r="N27"/>
  <c r="K27"/>
  <c r="J27"/>
  <c r="I27"/>
  <c r="H27"/>
  <c r="G27"/>
  <c r="W27" s="1"/>
  <c r="U26"/>
  <c r="T26"/>
  <c r="S26"/>
  <c r="O26"/>
  <c r="N26"/>
  <c r="K26"/>
  <c r="J26"/>
  <c r="I26"/>
  <c r="H26"/>
  <c r="U25"/>
  <c r="S25"/>
  <c r="R25"/>
  <c r="Q25"/>
  <c r="O25"/>
  <c r="N25"/>
  <c r="K25"/>
  <c r="J25"/>
  <c r="I25"/>
  <c r="H25"/>
  <c r="G25"/>
  <c r="W25" s="1"/>
  <c r="U24"/>
  <c r="S24"/>
  <c r="R24"/>
  <c r="Q24"/>
  <c r="P24"/>
  <c r="O24"/>
  <c r="N24"/>
  <c r="K24"/>
  <c r="J24"/>
  <c r="I24"/>
  <c r="H24"/>
  <c r="G24"/>
  <c r="W24" s="1"/>
  <c r="U23"/>
  <c r="S23"/>
  <c r="R23"/>
  <c r="Q23"/>
  <c r="O23"/>
  <c r="N23"/>
  <c r="K23"/>
  <c r="J23"/>
  <c r="I23"/>
  <c r="H23"/>
  <c r="G23"/>
  <c r="W23" s="1"/>
  <c r="U22"/>
  <c r="R22"/>
  <c r="Q22"/>
  <c r="N22"/>
  <c r="K22"/>
  <c r="J22"/>
  <c r="I22"/>
  <c r="H22"/>
  <c r="G22"/>
  <c r="W22" s="1"/>
  <c r="E22"/>
  <c r="S22" s="1"/>
  <c r="U21"/>
  <c r="S21"/>
  <c r="R21"/>
  <c r="Q21"/>
  <c r="O21"/>
  <c r="N21"/>
  <c r="K21"/>
  <c r="J21"/>
  <c r="I21"/>
  <c r="H21"/>
  <c r="G21"/>
  <c r="W21" s="1"/>
  <c r="U20"/>
  <c r="S20"/>
  <c r="R20"/>
  <c r="Q20"/>
  <c r="O20"/>
  <c r="N20"/>
  <c r="K20"/>
  <c r="J20"/>
  <c r="I20"/>
  <c r="H20"/>
  <c r="G20"/>
  <c r="W20" s="1"/>
  <c r="U19"/>
  <c r="S19"/>
  <c r="R19"/>
  <c r="Q19"/>
  <c r="O19"/>
  <c r="N19"/>
  <c r="K19"/>
  <c r="J19"/>
  <c r="I19"/>
  <c r="H19"/>
  <c r="G19"/>
  <c r="W19" s="1"/>
  <c r="U18"/>
  <c r="S18"/>
  <c r="R18"/>
  <c r="Q18"/>
  <c r="P18"/>
  <c r="O18"/>
  <c r="N18"/>
  <c r="K18"/>
  <c r="J18"/>
  <c r="I18"/>
  <c r="H18"/>
  <c r="G18"/>
  <c r="W18" s="1"/>
  <c r="U17"/>
  <c r="S17"/>
  <c r="R17"/>
  <c r="Q17"/>
  <c r="O17"/>
  <c r="N17"/>
  <c r="N44" s="1"/>
  <c r="K17"/>
  <c r="J17"/>
  <c r="J44" s="1"/>
  <c r="I17"/>
  <c r="H17"/>
  <c r="G17"/>
  <c r="W17" s="1"/>
  <c r="W16"/>
  <c r="U16"/>
  <c r="T16"/>
  <c r="S16"/>
  <c r="O16"/>
  <c r="N16"/>
  <c r="K16"/>
  <c r="J16"/>
  <c r="I16"/>
  <c r="H16"/>
  <c r="U15"/>
  <c r="S15"/>
  <c r="R15"/>
  <c r="Q15"/>
  <c r="O15"/>
  <c r="N15"/>
  <c r="K15"/>
  <c r="J15"/>
  <c r="I15"/>
  <c r="H15"/>
  <c r="G15"/>
  <c r="W15" s="1"/>
  <c r="U14"/>
  <c r="S14"/>
  <c r="R14"/>
  <c r="Q14"/>
  <c r="O14"/>
  <c r="N14"/>
  <c r="K14"/>
  <c r="J14"/>
  <c r="I14"/>
  <c r="H14"/>
  <c r="G14"/>
  <c r="W14" s="1"/>
  <c r="U13"/>
  <c r="S13"/>
  <c r="R13"/>
  <c r="Q13"/>
  <c r="O13"/>
  <c r="N13"/>
  <c r="K13"/>
  <c r="J13"/>
  <c r="I13"/>
  <c r="H13"/>
  <c r="G13"/>
  <c r="W13" s="1"/>
  <c r="U12"/>
  <c r="S12"/>
  <c r="R12"/>
  <c r="Q12"/>
  <c r="O12"/>
  <c r="N12"/>
  <c r="K12"/>
  <c r="J12"/>
  <c r="I12"/>
  <c r="H12"/>
  <c r="G12"/>
  <c r="W12" s="1"/>
  <c r="U11"/>
  <c r="S11"/>
  <c r="R11"/>
  <c r="Q11"/>
  <c r="O11"/>
  <c r="N11"/>
  <c r="K11"/>
  <c r="J11"/>
  <c r="I11"/>
  <c r="H11"/>
  <c r="G11"/>
  <c r="W11" s="1"/>
  <c r="U10"/>
  <c r="S10"/>
  <c r="R10"/>
  <c r="Q10"/>
  <c r="O10"/>
  <c r="N10"/>
  <c r="K10"/>
  <c r="J10"/>
  <c r="I10"/>
  <c r="L10" s="1"/>
  <c r="H10"/>
  <c r="G10"/>
  <c r="W10" s="1"/>
  <c r="D10"/>
  <c r="D44" s="1"/>
  <c r="U9"/>
  <c r="S9"/>
  <c r="R9"/>
  <c r="Q9"/>
  <c r="O9"/>
  <c r="N9"/>
  <c r="K9"/>
  <c r="J9"/>
  <c r="I9"/>
  <c r="H9"/>
  <c r="G9"/>
  <c r="W9" s="1"/>
  <c r="W8"/>
  <c r="U8"/>
  <c r="U44" s="1"/>
  <c r="S8"/>
  <c r="Q8"/>
  <c r="N8"/>
  <c r="J8"/>
  <c r="I8"/>
  <c r="H8"/>
  <c r="E8"/>
  <c r="O8" s="1"/>
  <c r="W7"/>
  <c r="T7"/>
  <c r="O7"/>
  <c r="N7"/>
  <c r="L7"/>
  <c r="H7"/>
  <c r="T19" l="1"/>
  <c r="T9"/>
  <c r="L28"/>
  <c r="M28" s="1"/>
  <c r="L29"/>
  <c r="T29"/>
  <c r="V29" s="1"/>
  <c r="L21"/>
  <c r="L25"/>
  <c r="M25" s="1"/>
  <c r="H44"/>
  <c r="H45" s="1"/>
  <c r="L9"/>
  <c r="M9" s="1"/>
  <c r="L11"/>
  <c r="M11" s="1"/>
  <c r="L15"/>
  <c r="M15" s="1"/>
  <c r="T18"/>
  <c r="L20"/>
  <c r="M20" s="1"/>
  <c r="T20"/>
  <c r="I44"/>
  <c r="T12"/>
  <c r="L18"/>
  <c r="M18" s="1"/>
  <c r="L19"/>
  <c r="M19" s="1"/>
  <c r="T21"/>
  <c r="W44"/>
  <c r="T24"/>
  <c r="T11"/>
  <c r="V11" s="1"/>
  <c r="L14"/>
  <c r="M14" s="1"/>
  <c r="T15"/>
  <c r="L17"/>
  <c r="M17" s="1"/>
  <c r="L22"/>
  <c r="M22" s="1"/>
  <c r="L24"/>
  <c r="L27"/>
  <c r="M27" s="1"/>
  <c r="Q44"/>
  <c r="R44"/>
  <c r="L12"/>
  <c r="M12" s="1"/>
  <c r="T13"/>
  <c r="L26"/>
  <c r="M26" s="1"/>
  <c r="T10"/>
  <c r="V10" s="1"/>
  <c r="L13"/>
  <c r="M13" s="1"/>
  <c r="T14"/>
  <c r="L16"/>
  <c r="M16" s="1"/>
  <c r="T17"/>
  <c r="P44"/>
  <c r="P45" s="1"/>
  <c r="L23"/>
  <c r="M23" s="1"/>
  <c r="T23"/>
  <c r="T25"/>
  <c r="T27"/>
  <c r="T28"/>
  <c r="M33"/>
  <c r="V33"/>
  <c r="M24"/>
  <c r="T8"/>
  <c r="S44"/>
  <c r="M32"/>
  <c r="V32"/>
  <c r="V36"/>
  <c r="M36"/>
  <c r="M29"/>
  <c r="T39"/>
  <c r="O22"/>
  <c r="T22" s="1"/>
  <c r="V35"/>
  <c r="V38"/>
  <c r="L39"/>
  <c r="E44"/>
  <c r="E46" s="1"/>
  <c r="G44"/>
  <c r="K8"/>
  <c r="K44" s="1"/>
  <c r="V31"/>
  <c r="O42"/>
  <c r="T42" s="1"/>
  <c r="V42" s="1"/>
  <c r="M7"/>
  <c r="V7"/>
  <c r="M10"/>
  <c r="V16" l="1"/>
  <c r="V26"/>
  <c r="V25"/>
  <c r="V17"/>
  <c r="V21"/>
  <c r="V9"/>
  <c r="M21"/>
  <c r="V19"/>
  <c r="V15"/>
  <c r="V28"/>
  <c r="V14"/>
  <c r="V13"/>
  <c r="V12"/>
  <c r="V24"/>
  <c r="V20"/>
  <c r="V27"/>
  <c r="V23"/>
  <c r="V18"/>
  <c r="V22"/>
  <c r="T44"/>
  <c r="O44"/>
  <c r="O45" s="1"/>
  <c r="L8"/>
  <c r="M39"/>
  <c r="V39"/>
  <c r="M8" l="1"/>
  <c r="M44" s="1"/>
  <c r="V8"/>
  <c r="V44" s="1"/>
  <c r="L44"/>
  <c r="F45" i="17" l="1"/>
  <c r="D45"/>
  <c r="C45"/>
  <c r="V44"/>
  <c r="U44"/>
  <c r="S44"/>
  <c r="N44"/>
  <c r="M44"/>
  <c r="L44"/>
  <c r="K44"/>
  <c r="V43"/>
  <c r="M43"/>
  <c r="K43"/>
  <c r="E43"/>
  <c r="N43" s="1"/>
  <c r="S43" s="1"/>
  <c r="V42"/>
  <c r="S42"/>
  <c r="N42"/>
  <c r="M42"/>
  <c r="L42"/>
  <c r="K42"/>
  <c r="U42" s="1"/>
  <c r="V41"/>
  <c r="N41"/>
  <c r="M41"/>
  <c r="S41" s="1"/>
  <c r="K41"/>
  <c r="V40"/>
  <c r="T40"/>
  <c r="M40"/>
  <c r="E40"/>
  <c r="E45" s="1"/>
  <c r="E47" s="1"/>
  <c r="V39"/>
  <c r="T39"/>
  <c r="S39"/>
  <c r="N39"/>
  <c r="M39"/>
  <c r="K39"/>
  <c r="U39" s="1"/>
  <c r="V38"/>
  <c r="T38"/>
  <c r="M38"/>
  <c r="K38"/>
  <c r="U38" s="1"/>
  <c r="E38"/>
  <c r="N38" s="1"/>
  <c r="S38" s="1"/>
  <c r="V37"/>
  <c r="T37"/>
  <c r="L37" s="1"/>
  <c r="S37"/>
  <c r="N37"/>
  <c r="M37"/>
  <c r="K37"/>
  <c r="V36"/>
  <c r="T36"/>
  <c r="S36"/>
  <c r="N36"/>
  <c r="M36"/>
  <c r="L36"/>
  <c r="K36"/>
  <c r="V35"/>
  <c r="T35"/>
  <c r="S35"/>
  <c r="N35"/>
  <c r="M35"/>
  <c r="L35"/>
  <c r="K35"/>
  <c r="V34"/>
  <c r="T34"/>
  <c r="S34"/>
  <c r="N34"/>
  <c r="M34"/>
  <c r="L34"/>
  <c r="K34"/>
  <c r="T33"/>
  <c r="S33"/>
  <c r="N33"/>
  <c r="M33"/>
  <c r="K33"/>
  <c r="U33" s="1"/>
  <c r="G33"/>
  <c r="T32"/>
  <c r="S32"/>
  <c r="R32"/>
  <c r="N32"/>
  <c r="M32"/>
  <c r="L32"/>
  <c r="K32"/>
  <c r="G32"/>
  <c r="E31"/>
  <c r="T30"/>
  <c r="N30"/>
  <c r="M30"/>
  <c r="S30" s="1"/>
  <c r="U30" s="1"/>
  <c r="L30"/>
  <c r="K30"/>
  <c r="G30"/>
  <c r="T29"/>
  <c r="R29"/>
  <c r="Q29"/>
  <c r="P29"/>
  <c r="O29"/>
  <c r="N29"/>
  <c r="M29"/>
  <c r="J29"/>
  <c r="I29"/>
  <c r="H29"/>
  <c r="G29"/>
  <c r="V29" s="1"/>
  <c r="T28"/>
  <c r="R28"/>
  <c r="Q28"/>
  <c r="P28"/>
  <c r="O28"/>
  <c r="N28"/>
  <c r="M28"/>
  <c r="J28"/>
  <c r="I28"/>
  <c r="H28"/>
  <c r="G28"/>
  <c r="V28" s="1"/>
  <c r="T27"/>
  <c r="R27"/>
  <c r="Q27"/>
  <c r="P27"/>
  <c r="N27"/>
  <c r="M27"/>
  <c r="J27"/>
  <c r="I27"/>
  <c r="H27"/>
  <c r="G27"/>
  <c r="V27" s="1"/>
  <c r="T26"/>
  <c r="R26"/>
  <c r="N26"/>
  <c r="M26"/>
  <c r="S26" s="1"/>
  <c r="J26"/>
  <c r="I26"/>
  <c r="H26"/>
  <c r="T25"/>
  <c r="R25"/>
  <c r="Q25"/>
  <c r="P25"/>
  <c r="N25"/>
  <c r="M25"/>
  <c r="J25"/>
  <c r="I25"/>
  <c r="H25"/>
  <c r="G25"/>
  <c r="V25" s="1"/>
  <c r="T24"/>
  <c r="R24"/>
  <c r="Q24"/>
  <c r="P24"/>
  <c r="O24"/>
  <c r="N24"/>
  <c r="M24"/>
  <c r="J24"/>
  <c r="I24"/>
  <c r="H24"/>
  <c r="G24"/>
  <c r="V24" s="1"/>
  <c r="T23"/>
  <c r="R23"/>
  <c r="Q23"/>
  <c r="P23"/>
  <c r="N23"/>
  <c r="M23"/>
  <c r="J23"/>
  <c r="I23"/>
  <c r="H23"/>
  <c r="G23"/>
  <c r="V23" s="1"/>
  <c r="T22"/>
  <c r="R22"/>
  <c r="Q22"/>
  <c r="P22"/>
  <c r="M22"/>
  <c r="J22"/>
  <c r="I22"/>
  <c r="H22"/>
  <c r="G22"/>
  <c r="V22" s="1"/>
  <c r="E22"/>
  <c r="T21"/>
  <c r="R21"/>
  <c r="Q21"/>
  <c r="P21"/>
  <c r="N21"/>
  <c r="M21"/>
  <c r="J21"/>
  <c r="I21"/>
  <c r="H21"/>
  <c r="G21"/>
  <c r="V21" s="1"/>
  <c r="T20"/>
  <c r="R20"/>
  <c r="Q20"/>
  <c r="P20"/>
  <c r="N20"/>
  <c r="M20"/>
  <c r="J20"/>
  <c r="I20"/>
  <c r="H20"/>
  <c r="G20"/>
  <c r="V20" s="1"/>
  <c r="T19"/>
  <c r="R19"/>
  <c r="Q19"/>
  <c r="P19"/>
  <c r="N19"/>
  <c r="M19"/>
  <c r="J19"/>
  <c r="I19"/>
  <c r="H19"/>
  <c r="G19"/>
  <c r="V19" s="1"/>
  <c r="T18"/>
  <c r="R18"/>
  <c r="Q18"/>
  <c r="P18"/>
  <c r="O18"/>
  <c r="N18"/>
  <c r="M18"/>
  <c r="J18"/>
  <c r="I18"/>
  <c r="H18"/>
  <c r="G18"/>
  <c r="V18" s="1"/>
  <c r="T17"/>
  <c r="R17"/>
  <c r="Q17"/>
  <c r="P17"/>
  <c r="N17"/>
  <c r="M17"/>
  <c r="J17"/>
  <c r="I17"/>
  <c r="H17"/>
  <c r="G17"/>
  <c r="V17" s="1"/>
  <c r="V16"/>
  <c r="T16"/>
  <c r="R16"/>
  <c r="N16"/>
  <c r="S16" s="1"/>
  <c r="M16"/>
  <c r="J16"/>
  <c r="I16"/>
  <c r="H16"/>
  <c r="T15"/>
  <c r="R15"/>
  <c r="Q15"/>
  <c r="P15"/>
  <c r="N15"/>
  <c r="M15"/>
  <c r="J15"/>
  <c r="I15"/>
  <c r="H15"/>
  <c r="G15"/>
  <c r="V15" s="1"/>
  <c r="T14"/>
  <c r="R14"/>
  <c r="Q14"/>
  <c r="P14"/>
  <c r="N14"/>
  <c r="M14"/>
  <c r="J14"/>
  <c r="I14"/>
  <c r="H14"/>
  <c r="G14"/>
  <c r="V14" s="1"/>
  <c r="T13"/>
  <c r="R13"/>
  <c r="Q13"/>
  <c r="P13"/>
  <c r="N13"/>
  <c r="M13"/>
  <c r="J13"/>
  <c r="I13"/>
  <c r="H13"/>
  <c r="G13"/>
  <c r="V13" s="1"/>
  <c r="T12"/>
  <c r="R12"/>
  <c r="Q12"/>
  <c r="P12"/>
  <c r="N12"/>
  <c r="M12"/>
  <c r="J12"/>
  <c r="I12"/>
  <c r="H12"/>
  <c r="G12"/>
  <c r="V12" s="1"/>
  <c r="T11"/>
  <c r="R11"/>
  <c r="Q11"/>
  <c r="P11"/>
  <c r="N11"/>
  <c r="M11"/>
  <c r="J11"/>
  <c r="I11"/>
  <c r="H11"/>
  <c r="G11"/>
  <c r="V11" s="1"/>
  <c r="T10"/>
  <c r="R10"/>
  <c r="Q10"/>
  <c r="P10"/>
  <c r="N10"/>
  <c r="M10"/>
  <c r="J10"/>
  <c r="I10"/>
  <c r="K10" s="1"/>
  <c r="H10"/>
  <c r="G10"/>
  <c r="V10" s="1"/>
  <c r="D10"/>
  <c r="T9"/>
  <c r="R9"/>
  <c r="Q9"/>
  <c r="P9"/>
  <c r="N9"/>
  <c r="M9"/>
  <c r="J9"/>
  <c r="I9"/>
  <c r="H9"/>
  <c r="G9"/>
  <c r="V8"/>
  <c r="T8"/>
  <c r="R8"/>
  <c r="P8"/>
  <c r="N8"/>
  <c r="M8"/>
  <c r="J8"/>
  <c r="I8"/>
  <c r="H8"/>
  <c r="E8"/>
  <c r="V7"/>
  <c r="N7"/>
  <c r="M7"/>
  <c r="S7" s="1"/>
  <c r="L7"/>
  <c r="K7"/>
  <c r="H7"/>
  <c r="L10" l="1"/>
  <c r="K13"/>
  <c r="L13" s="1"/>
  <c r="K19"/>
  <c r="K18"/>
  <c r="L18" s="1"/>
  <c r="U37"/>
  <c r="K16"/>
  <c r="L16" s="1"/>
  <c r="U34"/>
  <c r="K20"/>
  <c r="L20" s="1"/>
  <c r="U32"/>
  <c r="K14"/>
  <c r="L14" s="1"/>
  <c r="O45"/>
  <c r="O46" s="1"/>
  <c r="K22"/>
  <c r="L22" s="1"/>
  <c r="J45"/>
  <c r="S23"/>
  <c r="S10"/>
  <c r="U10" s="1"/>
  <c r="S25"/>
  <c r="S27"/>
  <c r="R45"/>
  <c r="K9"/>
  <c r="L9" s="1"/>
  <c r="K15"/>
  <c r="K24"/>
  <c r="L24" s="1"/>
  <c r="K21"/>
  <c r="L21" s="1"/>
  <c r="K25"/>
  <c r="U25" s="1"/>
  <c r="U36"/>
  <c r="Q45"/>
  <c r="S11"/>
  <c r="S12"/>
  <c r="S13"/>
  <c r="S17"/>
  <c r="S19"/>
  <c r="U19" s="1"/>
  <c r="K8"/>
  <c r="L8" s="1"/>
  <c r="S8"/>
  <c r="T45"/>
  <c r="S15"/>
  <c r="S21"/>
  <c r="K23"/>
  <c r="L23" s="1"/>
  <c r="S24"/>
  <c r="U24" s="1"/>
  <c r="K26"/>
  <c r="U26" s="1"/>
  <c r="K27"/>
  <c r="K28"/>
  <c r="K29"/>
  <c r="L29" s="1"/>
  <c r="I45"/>
  <c r="H45"/>
  <c r="H46" s="1"/>
  <c r="P45"/>
  <c r="G45"/>
  <c r="S9"/>
  <c r="U9" s="1"/>
  <c r="K11"/>
  <c r="K12"/>
  <c r="L12" s="1"/>
  <c r="S14"/>
  <c r="K17"/>
  <c r="L17" s="1"/>
  <c r="S20"/>
  <c r="U20" s="1"/>
  <c r="S28"/>
  <c r="S29"/>
  <c r="U35"/>
  <c r="U7"/>
  <c r="L15"/>
  <c r="L26"/>
  <c r="L27"/>
  <c r="U43"/>
  <c r="L11"/>
  <c r="U41"/>
  <c r="M45"/>
  <c r="V9"/>
  <c r="V45" s="1"/>
  <c r="L19"/>
  <c r="N22"/>
  <c r="S22" s="1"/>
  <c r="L33"/>
  <c r="L38"/>
  <c r="L39"/>
  <c r="K40"/>
  <c r="L43"/>
  <c r="S18"/>
  <c r="N40"/>
  <c r="N45" s="1"/>
  <c r="N46" s="1"/>
  <c r="L41"/>
  <c r="U16" l="1"/>
  <c r="U14"/>
  <c r="U17"/>
  <c r="U27"/>
  <c r="L25"/>
  <c r="U13"/>
  <c r="U28"/>
  <c r="U8"/>
  <c r="L28"/>
  <c r="L45" s="1"/>
  <c r="U15"/>
  <c r="U21"/>
  <c r="U23"/>
  <c r="U18"/>
  <c r="U12"/>
  <c r="U11"/>
  <c r="U29"/>
  <c r="U22"/>
  <c r="L40"/>
  <c r="S40"/>
  <c r="S45" s="1"/>
  <c r="K45"/>
  <c r="U45" l="1"/>
  <c r="U40"/>
  <c r="H7" i="16" l="1"/>
  <c r="Q7"/>
  <c r="Y7"/>
  <c r="D8"/>
  <c r="H8"/>
  <c r="I8"/>
  <c r="J8"/>
  <c r="Q8"/>
  <c r="S8"/>
  <c r="U8"/>
  <c r="W8"/>
  <c r="Y8"/>
  <c r="D9"/>
  <c r="G9"/>
  <c r="Y9" s="1"/>
  <c r="H9"/>
  <c r="I9"/>
  <c r="J9"/>
  <c r="Q9"/>
  <c r="S9"/>
  <c r="T9"/>
  <c r="U9"/>
  <c r="W9"/>
  <c r="D10"/>
  <c r="G10"/>
  <c r="H10"/>
  <c r="I10"/>
  <c r="J10"/>
  <c r="Q10"/>
  <c r="S10"/>
  <c r="T10"/>
  <c r="U10"/>
  <c r="W10"/>
  <c r="Y10"/>
  <c r="D11"/>
  <c r="G11"/>
  <c r="Y11" s="1"/>
  <c r="H11"/>
  <c r="I11"/>
  <c r="J11"/>
  <c r="Q11"/>
  <c r="S11"/>
  <c r="T11"/>
  <c r="U11"/>
  <c r="W11"/>
  <c r="D12"/>
  <c r="G12"/>
  <c r="Y12" s="1"/>
  <c r="H12"/>
  <c r="I12"/>
  <c r="J12"/>
  <c r="Q12"/>
  <c r="S12"/>
  <c r="T12"/>
  <c r="U12"/>
  <c r="W12"/>
  <c r="D13"/>
  <c r="G13"/>
  <c r="Y13" s="1"/>
  <c r="H13"/>
  <c r="I13"/>
  <c r="J13"/>
  <c r="Q13"/>
  <c r="S13"/>
  <c r="T13"/>
  <c r="U13"/>
  <c r="W13"/>
  <c r="D14"/>
  <c r="G14"/>
  <c r="Y14" s="1"/>
  <c r="H14"/>
  <c r="I14"/>
  <c r="J14"/>
  <c r="Q14"/>
  <c r="S14"/>
  <c r="T14"/>
  <c r="U14"/>
  <c r="W14"/>
  <c r="D15"/>
  <c r="G15"/>
  <c r="Y15" s="1"/>
  <c r="H15"/>
  <c r="I15"/>
  <c r="J15"/>
  <c r="Q15"/>
  <c r="S15"/>
  <c r="T15"/>
  <c r="U15"/>
  <c r="W15"/>
  <c r="D16"/>
  <c r="H16"/>
  <c r="I16"/>
  <c r="J16"/>
  <c r="Q16"/>
  <c r="U16"/>
  <c r="W16"/>
  <c r="Y16"/>
  <c r="D17"/>
  <c r="G17"/>
  <c r="Y17" s="1"/>
  <c r="H17"/>
  <c r="I17"/>
  <c r="J17"/>
  <c r="Q17"/>
  <c r="S17"/>
  <c r="T17"/>
  <c r="U17"/>
  <c r="W17"/>
  <c r="D18"/>
  <c r="G18"/>
  <c r="Y18" s="1"/>
  <c r="H18"/>
  <c r="I18"/>
  <c r="J18"/>
  <c r="Q18"/>
  <c r="R18"/>
  <c r="S18"/>
  <c r="T18"/>
  <c r="U18"/>
  <c r="W18"/>
  <c r="D19"/>
  <c r="G19"/>
  <c r="Y19" s="1"/>
  <c r="H19"/>
  <c r="I19"/>
  <c r="J19"/>
  <c r="Q19"/>
  <c r="S19"/>
  <c r="T19"/>
  <c r="U19"/>
  <c r="W19"/>
  <c r="D20"/>
  <c r="G20"/>
  <c r="Y20" s="1"/>
  <c r="H20"/>
  <c r="I20"/>
  <c r="J20"/>
  <c r="Q20"/>
  <c r="S20"/>
  <c r="T20"/>
  <c r="U20"/>
  <c r="W20"/>
  <c r="D21"/>
  <c r="G21"/>
  <c r="Y21" s="1"/>
  <c r="H21"/>
  <c r="I21"/>
  <c r="J21"/>
  <c r="Q21"/>
  <c r="S21"/>
  <c r="T21"/>
  <c r="U21"/>
  <c r="W21"/>
  <c r="D22"/>
  <c r="G22"/>
  <c r="Y22" s="1"/>
  <c r="H22"/>
  <c r="I22"/>
  <c r="J22"/>
  <c r="Q22"/>
  <c r="S22"/>
  <c r="T22"/>
  <c r="U22"/>
  <c r="W22"/>
  <c r="D23"/>
  <c r="G23"/>
  <c r="Y23" s="1"/>
  <c r="H23"/>
  <c r="I23"/>
  <c r="J23"/>
  <c r="Q23"/>
  <c r="S23"/>
  <c r="T23"/>
  <c r="U23"/>
  <c r="W23"/>
  <c r="D24"/>
  <c r="G24"/>
  <c r="Y24" s="1"/>
  <c r="H24"/>
  <c r="I24"/>
  <c r="J24"/>
  <c r="Q24"/>
  <c r="R24"/>
  <c r="S24"/>
  <c r="T24"/>
  <c r="U24"/>
  <c r="W24"/>
  <c r="D25"/>
  <c r="G25"/>
  <c r="Y25" s="1"/>
  <c r="H25"/>
  <c r="I25"/>
  <c r="J25"/>
  <c r="Q25"/>
  <c r="S25"/>
  <c r="T25"/>
  <c r="U25"/>
  <c r="W25"/>
  <c r="D26"/>
  <c r="H26"/>
  <c r="I26"/>
  <c r="J26"/>
  <c r="Q26"/>
  <c r="U26"/>
  <c r="W26"/>
  <c r="D27"/>
  <c r="G27"/>
  <c r="Y27" s="1"/>
  <c r="H27"/>
  <c r="I27"/>
  <c r="J27"/>
  <c r="Q27"/>
  <c r="S27"/>
  <c r="T27"/>
  <c r="U27"/>
  <c r="W27"/>
  <c r="D28"/>
  <c r="G28"/>
  <c r="Y28" s="1"/>
  <c r="H28"/>
  <c r="I28"/>
  <c r="J28"/>
  <c r="Q28"/>
  <c r="R28"/>
  <c r="S28"/>
  <c r="T28"/>
  <c r="U28"/>
  <c r="W28"/>
  <c r="D29"/>
  <c r="G29"/>
  <c r="Y29" s="1"/>
  <c r="H29"/>
  <c r="I29"/>
  <c r="J29"/>
  <c r="Q29"/>
  <c r="R29"/>
  <c r="S29"/>
  <c r="T29"/>
  <c r="U29"/>
  <c r="W29"/>
  <c r="D30"/>
  <c r="F30"/>
  <c r="F44" s="1"/>
  <c r="H30"/>
  <c r="I30"/>
  <c r="J30"/>
  <c r="Q30"/>
  <c r="S30"/>
  <c r="T30"/>
  <c r="U30"/>
  <c r="W30"/>
  <c r="D31"/>
  <c r="G31"/>
  <c r="N31"/>
  <c r="P31"/>
  <c r="Q31"/>
  <c r="W31"/>
  <c r="D32"/>
  <c r="G32"/>
  <c r="N32"/>
  <c r="Q32"/>
  <c r="U32"/>
  <c r="W32"/>
  <c r="D33"/>
  <c r="G33"/>
  <c r="N33"/>
  <c r="Q33"/>
  <c r="W33"/>
  <c r="D34"/>
  <c r="N34"/>
  <c r="O34" s="1"/>
  <c r="Q34"/>
  <c r="W34"/>
  <c r="Y34"/>
  <c r="D35"/>
  <c r="N35"/>
  <c r="O35"/>
  <c r="Q35"/>
  <c r="W35"/>
  <c r="Y35"/>
  <c r="D36"/>
  <c r="N36"/>
  <c r="Q36"/>
  <c r="U36"/>
  <c r="W36"/>
  <c r="Y36"/>
  <c r="D37"/>
  <c r="N37"/>
  <c r="O37" s="1"/>
  <c r="Q37"/>
  <c r="U37"/>
  <c r="W37"/>
  <c r="Y37"/>
  <c r="D38"/>
  <c r="N38"/>
  <c r="Q38"/>
  <c r="W38"/>
  <c r="Y38"/>
  <c r="D39"/>
  <c r="N39"/>
  <c r="Q39"/>
  <c r="W39"/>
  <c r="Y39"/>
  <c r="D40"/>
  <c r="N40"/>
  <c r="O40" s="1"/>
  <c r="Q40"/>
  <c r="W40"/>
  <c r="Y40"/>
  <c r="D41"/>
  <c r="N41"/>
  <c r="O41" s="1"/>
  <c r="Q41"/>
  <c r="Y41"/>
  <c r="D42"/>
  <c r="N42"/>
  <c r="Q42"/>
  <c r="Y42"/>
  <c r="D43"/>
  <c r="N43"/>
  <c r="Q43"/>
  <c r="Y43"/>
  <c r="C44"/>
  <c r="E44"/>
  <c r="E45" s="1"/>
  <c r="K44"/>
  <c r="L44"/>
  <c r="M44"/>
  <c r="E46" l="1"/>
  <c r="O33"/>
  <c r="Q44"/>
  <c r="Q45" s="1"/>
  <c r="V31"/>
  <c r="D44"/>
  <c r="N17"/>
  <c r="O17" s="1"/>
  <c r="R44"/>
  <c r="R45" s="1"/>
  <c r="N18"/>
  <c r="N8"/>
  <c r="O8" s="1"/>
  <c r="N25"/>
  <c r="O25" s="1"/>
  <c r="N13"/>
  <c r="O13" s="1"/>
  <c r="N30"/>
  <c r="O30" s="1"/>
  <c r="N28"/>
  <c r="O28" s="1"/>
  <c r="N24"/>
  <c r="O24" s="1"/>
  <c r="N22"/>
  <c r="O22" s="1"/>
  <c r="N20"/>
  <c r="N9"/>
  <c r="O9" s="1"/>
  <c r="N27"/>
  <c r="O27" s="1"/>
  <c r="N16"/>
  <c r="O16" s="1"/>
  <c r="N12"/>
  <c r="T44"/>
  <c r="H44"/>
  <c r="H45" s="1"/>
  <c r="J44"/>
  <c r="J45" s="1"/>
  <c r="X31"/>
  <c r="N26"/>
  <c r="O26" s="1"/>
  <c r="N23"/>
  <c r="O23" s="1"/>
  <c r="N21"/>
  <c r="O21" s="1"/>
  <c r="N19"/>
  <c r="O19" s="1"/>
  <c r="N15"/>
  <c r="O15" s="1"/>
  <c r="N11"/>
  <c r="O11" s="1"/>
  <c r="S44"/>
  <c r="I44"/>
  <c r="N29"/>
  <c r="O29" s="1"/>
  <c r="N14"/>
  <c r="O14" s="1"/>
  <c r="N10"/>
  <c r="O10" s="1"/>
  <c r="U44"/>
  <c r="O12"/>
  <c r="Y44"/>
  <c r="O20"/>
  <c r="G44"/>
  <c r="G45" s="1"/>
  <c r="O42"/>
  <c r="O38"/>
  <c r="O36"/>
  <c r="O32"/>
  <c r="O31"/>
  <c r="O18"/>
  <c r="N7"/>
  <c r="O43"/>
  <c r="O39"/>
  <c r="O7" l="1"/>
  <c r="O44" s="1"/>
  <c r="N44"/>
  <c r="P43" l="1"/>
  <c r="V43" s="1"/>
  <c r="X43" s="1"/>
  <c r="W43"/>
  <c r="P42" l="1"/>
  <c r="V42" s="1"/>
  <c r="X42" s="1"/>
  <c r="W42"/>
  <c r="P41" l="1"/>
  <c r="V41" s="1"/>
  <c r="W41"/>
  <c r="W44" s="1"/>
  <c r="P40"/>
  <c r="V40" s="1"/>
  <c r="X40" s="1"/>
  <c r="P39"/>
  <c r="V39" s="1"/>
  <c r="X39" s="1"/>
  <c r="P38"/>
  <c r="V38" s="1"/>
  <c r="X38" s="1"/>
  <c r="X41" l="1"/>
  <c r="P36"/>
  <c r="V36" s="1"/>
  <c r="X36" s="1"/>
  <c r="P32"/>
  <c r="V32" s="1"/>
  <c r="X32" s="1"/>
  <c r="P33"/>
  <c r="V33" s="1"/>
  <c r="X33" s="1"/>
  <c r="P35"/>
  <c r="V35" s="1"/>
  <c r="X35" s="1"/>
  <c r="P37"/>
  <c r="V37" s="1"/>
  <c r="X37" s="1"/>
  <c r="P34"/>
  <c r="V34" s="1"/>
  <c r="X34" s="1"/>
  <c r="P30" l="1"/>
  <c r="V30" s="1"/>
  <c r="X30" s="1"/>
  <c r="P28" l="1"/>
  <c r="V28" s="1"/>
  <c r="X28" s="1"/>
  <c r="P27"/>
  <c r="V27" s="1"/>
  <c r="X27" s="1"/>
  <c r="P29"/>
  <c r="V29" s="1"/>
  <c r="X29" s="1"/>
  <c r="P26" l="1"/>
  <c r="V26" s="1"/>
  <c r="X26" s="1"/>
  <c r="P25" l="1"/>
  <c r="V25" s="1"/>
  <c r="X25" s="1"/>
  <c r="P22" l="1"/>
  <c r="V22" s="1"/>
  <c r="X22" s="1"/>
  <c r="P23"/>
  <c r="V23" s="1"/>
  <c r="X23" s="1"/>
  <c r="P24"/>
  <c r="V24" s="1"/>
  <c r="X24" s="1"/>
  <c r="P11" l="1"/>
  <c r="V11" s="1"/>
  <c r="X11" s="1"/>
  <c r="P15"/>
  <c r="V15" s="1"/>
  <c r="X15" s="1"/>
  <c r="P16"/>
  <c r="V16" s="1"/>
  <c r="X16" s="1"/>
  <c r="P20"/>
  <c r="V20" s="1"/>
  <c r="X20" s="1"/>
  <c r="P13"/>
  <c r="V13" s="1"/>
  <c r="X13" s="1"/>
  <c r="P19"/>
  <c r="V19" s="1"/>
  <c r="X19" s="1"/>
  <c r="P18"/>
  <c r="V18" s="1"/>
  <c r="X18" s="1"/>
  <c r="P14" l="1"/>
  <c r="V14" s="1"/>
  <c r="X14" s="1"/>
  <c r="P17"/>
  <c r="V17" s="1"/>
  <c r="X17" s="1"/>
  <c r="P12"/>
  <c r="V12" s="1"/>
  <c r="X12" s="1"/>
  <c r="P9"/>
  <c r="V9" s="1"/>
  <c r="X9" s="1"/>
  <c r="P21"/>
  <c r="V21" s="1"/>
  <c r="X21" s="1"/>
  <c r="P8"/>
  <c r="V8" s="1"/>
  <c r="X8" s="1"/>
  <c r="P10" l="1"/>
  <c r="V10" s="1"/>
  <c r="X10" s="1"/>
  <c r="P7" l="1"/>
  <c r="P44" l="1"/>
  <c r="V7"/>
  <c r="V44" l="1"/>
  <c r="X7"/>
  <c r="X44" s="1"/>
  <c r="D44" i="15"/>
  <c r="C44"/>
  <c r="V43"/>
  <c r="M43"/>
  <c r="E43"/>
  <c r="L43" s="1"/>
  <c r="V42"/>
  <c r="M42"/>
  <c r="E42"/>
  <c r="N42" s="1"/>
  <c r="V41"/>
  <c r="T41"/>
  <c r="M41"/>
  <c r="K41"/>
  <c r="L41" s="1"/>
  <c r="E41"/>
  <c r="N41" s="1"/>
  <c r="S41" s="1"/>
  <c r="V40"/>
  <c r="T40"/>
  <c r="M40"/>
  <c r="L40"/>
  <c r="K40"/>
  <c r="E40"/>
  <c r="N40" s="1"/>
  <c r="V39"/>
  <c r="T39"/>
  <c r="M39"/>
  <c r="E39"/>
  <c r="K39" s="1"/>
  <c r="V38"/>
  <c r="T38"/>
  <c r="N38"/>
  <c r="M38"/>
  <c r="S38" s="1"/>
  <c r="K38"/>
  <c r="V37"/>
  <c r="T37"/>
  <c r="S37"/>
  <c r="N37"/>
  <c r="M37"/>
  <c r="K37"/>
  <c r="U37" s="1"/>
  <c r="V36"/>
  <c r="T36"/>
  <c r="M36"/>
  <c r="K36"/>
  <c r="E36"/>
  <c r="N36" s="1"/>
  <c r="S36" s="1"/>
  <c r="V35"/>
  <c r="T35"/>
  <c r="M35"/>
  <c r="E35"/>
  <c r="N35" s="1"/>
  <c r="T34"/>
  <c r="N34"/>
  <c r="M34"/>
  <c r="S34" s="1"/>
  <c r="K34"/>
  <c r="G34"/>
  <c r="L34" s="1"/>
  <c r="T33"/>
  <c r="R33"/>
  <c r="N33"/>
  <c r="M33"/>
  <c r="K33"/>
  <c r="L33" s="1"/>
  <c r="G33"/>
  <c r="T32"/>
  <c r="N32"/>
  <c r="M32"/>
  <c r="K32"/>
  <c r="L32" s="1"/>
  <c r="G32"/>
  <c r="T31"/>
  <c r="R31"/>
  <c r="Q31"/>
  <c r="P31"/>
  <c r="N31"/>
  <c r="M31"/>
  <c r="J31"/>
  <c r="I31"/>
  <c r="H31"/>
  <c r="F31"/>
  <c r="F44" s="1"/>
  <c r="T30"/>
  <c r="R30"/>
  <c r="Q30"/>
  <c r="P30"/>
  <c r="O30"/>
  <c r="N30"/>
  <c r="M30"/>
  <c r="J30"/>
  <c r="I30"/>
  <c r="H30"/>
  <c r="G30"/>
  <c r="V30" s="1"/>
  <c r="T29"/>
  <c r="R29"/>
  <c r="Q29"/>
  <c r="P29"/>
  <c r="O29"/>
  <c r="N29"/>
  <c r="M29"/>
  <c r="J29"/>
  <c r="I29"/>
  <c r="H29"/>
  <c r="G29"/>
  <c r="V29" s="1"/>
  <c r="T28"/>
  <c r="R28"/>
  <c r="Q28"/>
  <c r="P28"/>
  <c r="N28"/>
  <c r="M28"/>
  <c r="J28"/>
  <c r="I28"/>
  <c r="H28"/>
  <c r="G28"/>
  <c r="V28" s="1"/>
  <c r="T27"/>
  <c r="R27"/>
  <c r="N27"/>
  <c r="M27"/>
  <c r="J27"/>
  <c r="I27"/>
  <c r="H27"/>
  <c r="T26"/>
  <c r="R26"/>
  <c r="Q26"/>
  <c r="P26"/>
  <c r="N26"/>
  <c r="M26"/>
  <c r="J26"/>
  <c r="I26"/>
  <c r="H26"/>
  <c r="G26"/>
  <c r="V26" s="1"/>
  <c r="T25"/>
  <c r="R25"/>
  <c r="Q25"/>
  <c r="P25"/>
  <c r="O25"/>
  <c r="N25"/>
  <c r="M25"/>
  <c r="J25"/>
  <c r="I25"/>
  <c r="H25"/>
  <c r="G25"/>
  <c r="V25" s="1"/>
  <c r="T24"/>
  <c r="R24"/>
  <c r="Q24"/>
  <c r="P24"/>
  <c r="N24"/>
  <c r="M24"/>
  <c r="J24"/>
  <c r="I24"/>
  <c r="H24"/>
  <c r="G24"/>
  <c r="V24" s="1"/>
  <c r="T23"/>
  <c r="R23"/>
  <c r="Q23"/>
  <c r="P23"/>
  <c r="N23"/>
  <c r="M23"/>
  <c r="J23"/>
  <c r="I23"/>
  <c r="H23"/>
  <c r="G23"/>
  <c r="V23" s="1"/>
  <c r="T22"/>
  <c r="R22"/>
  <c r="Q22"/>
  <c r="P22"/>
  <c r="O22"/>
  <c r="N22"/>
  <c r="M22"/>
  <c r="J22"/>
  <c r="I22"/>
  <c r="H22"/>
  <c r="G22"/>
  <c r="V22" s="1"/>
  <c r="T21"/>
  <c r="R21"/>
  <c r="Q21"/>
  <c r="P21"/>
  <c r="N21"/>
  <c r="M21"/>
  <c r="J21"/>
  <c r="I21"/>
  <c r="H21"/>
  <c r="G21"/>
  <c r="V21" s="1"/>
  <c r="T20"/>
  <c r="R20"/>
  <c r="Q20"/>
  <c r="P20"/>
  <c r="N20"/>
  <c r="M20"/>
  <c r="J20"/>
  <c r="I20"/>
  <c r="H20"/>
  <c r="G20"/>
  <c r="V20" s="1"/>
  <c r="T19"/>
  <c r="R19"/>
  <c r="Q19"/>
  <c r="P19"/>
  <c r="N19"/>
  <c r="M19"/>
  <c r="J19"/>
  <c r="I19"/>
  <c r="H19"/>
  <c r="G19"/>
  <c r="V19" s="1"/>
  <c r="T18"/>
  <c r="R18"/>
  <c r="Q18"/>
  <c r="P18"/>
  <c r="O18"/>
  <c r="N18"/>
  <c r="M18"/>
  <c r="J18"/>
  <c r="I18"/>
  <c r="H18"/>
  <c r="G18"/>
  <c r="V18" s="1"/>
  <c r="T17"/>
  <c r="R17"/>
  <c r="Q17"/>
  <c r="P17"/>
  <c r="N17"/>
  <c r="M17"/>
  <c r="J17"/>
  <c r="I17"/>
  <c r="H17"/>
  <c r="G17"/>
  <c r="V17" s="1"/>
  <c r="V16"/>
  <c r="T16"/>
  <c r="R16"/>
  <c r="N16"/>
  <c r="M16"/>
  <c r="S16" s="1"/>
  <c r="J16"/>
  <c r="I16"/>
  <c r="H16"/>
  <c r="T15"/>
  <c r="R15"/>
  <c r="Q15"/>
  <c r="P15"/>
  <c r="N15"/>
  <c r="M15"/>
  <c r="J15"/>
  <c r="I15"/>
  <c r="H15"/>
  <c r="G15"/>
  <c r="V15" s="1"/>
  <c r="T14"/>
  <c r="R14"/>
  <c r="Q14"/>
  <c r="P14"/>
  <c r="N14"/>
  <c r="M14"/>
  <c r="J14"/>
  <c r="I14"/>
  <c r="H14"/>
  <c r="G14"/>
  <c r="V14" s="1"/>
  <c r="T13"/>
  <c r="R13"/>
  <c r="Q13"/>
  <c r="P13"/>
  <c r="N13"/>
  <c r="M13"/>
  <c r="J13"/>
  <c r="I13"/>
  <c r="H13"/>
  <c r="G13"/>
  <c r="V13" s="1"/>
  <c r="T12"/>
  <c r="R12"/>
  <c r="Q12"/>
  <c r="P12"/>
  <c r="N12"/>
  <c r="M12"/>
  <c r="J12"/>
  <c r="I12"/>
  <c r="H12"/>
  <c r="G12"/>
  <c r="V12" s="1"/>
  <c r="T11"/>
  <c r="R11"/>
  <c r="Q11"/>
  <c r="P11"/>
  <c r="N11"/>
  <c r="M11"/>
  <c r="J11"/>
  <c r="I11"/>
  <c r="H11"/>
  <c r="G11"/>
  <c r="V11" s="1"/>
  <c r="T10"/>
  <c r="R10"/>
  <c r="Q10"/>
  <c r="P10"/>
  <c r="N10"/>
  <c r="M10"/>
  <c r="J10"/>
  <c r="I10"/>
  <c r="K10" s="1"/>
  <c r="H10"/>
  <c r="G10"/>
  <c r="V10" s="1"/>
  <c r="T9"/>
  <c r="R9"/>
  <c r="Q9"/>
  <c r="P9"/>
  <c r="N9"/>
  <c r="M9"/>
  <c r="J9"/>
  <c r="I9"/>
  <c r="H9"/>
  <c r="G9"/>
  <c r="V9" s="1"/>
  <c r="V8"/>
  <c r="T8"/>
  <c r="R8"/>
  <c r="P8"/>
  <c r="N8"/>
  <c r="M8"/>
  <c r="J8"/>
  <c r="I8"/>
  <c r="H8"/>
  <c r="V7"/>
  <c r="M7"/>
  <c r="K7"/>
  <c r="L7" s="1"/>
  <c r="H7"/>
  <c r="E7"/>
  <c r="N7" s="1"/>
  <c r="S32" l="1"/>
  <c r="U32" s="1"/>
  <c r="S35"/>
  <c r="S27"/>
  <c r="N39"/>
  <c r="K42"/>
  <c r="K43"/>
  <c r="U43" s="1"/>
  <c r="S39"/>
  <c r="U39" s="1"/>
  <c r="S42"/>
  <c r="K35"/>
  <c r="S33"/>
  <c r="K11"/>
  <c r="K22"/>
  <c r="L22" s="1"/>
  <c r="U38"/>
  <c r="K12"/>
  <c r="L12" s="1"/>
  <c r="K14"/>
  <c r="L14" s="1"/>
  <c r="S12"/>
  <c r="K27"/>
  <c r="K28"/>
  <c r="L28" s="1"/>
  <c r="S8"/>
  <c r="K16"/>
  <c r="L16" s="1"/>
  <c r="S31"/>
  <c r="K17"/>
  <c r="L17" s="1"/>
  <c r="K23"/>
  <c r="L23" s="1"/>
  <c r="T44"/>
  <c r="S10"/>
  <c r="S14"/>
  <c r="K26"/>
  <c r="L26" s="1"/>
  <c r="S29"/>
  <c r="U34"/>
  <c r="M44"/>
  <c r="S11"/>
  <c r="U11" s="1"/>
  <c r="S17"/>
  <c r="S19"/>
  <c r="K24"/>
  <c r="L24" s="1"/>
  <c r="S26"/>
  <c r="S24"/>
  <c r="R44"/>
  <c r="K15"/>
  <c r="L15" s="1"/>
  <c r="O44"/>
  <c r="O45" s="1"/>
  <c r="I44"/>
  <c r="S9"/>
  <c r="K13"/>
  <c r="L13" s="1"/>
  <c r="K18"/>
  <c r="L18" s="1"/>
  <c r="S20"/>
  <c r="K21"/>
  <c r="L21" s="1"/>
  <c r="S21"/>
  <c r="S23"/>
  <c r="K25"/>
  <c r="K30"/>
  <c r="L30" s="1"/>
  <c r="J44"/>
  <c r="J45" s="1"/>
  <c r="K9"/>
  <c r="L9" s="1"/>
  <c r="S15"/>
  <c r="K20"/>
  <c r="S22"/>
  <c r="K29"/>
  <c r="U29" s="1"/>
  <c r="S30"/>
  <c r="Q44"/>
  <c r="P44"/>
  <c r="S13"/>
  <c r="K19"/>
  <c r="S25"/>
  <c r="S28"/>
  <c r="U28" s="1"/>
  <c r="N44"/>
  <c r="N45" s="1"/>
  <c r="S7"/>
  <c r="U10"/>
  <c r="L10"/>
  <c r="L39"/>
  <c r="U33"/>
  <c r="U36"/>
  <c r="S40"/>
  <c r="U40" s="1"/>
  <c r="U41"/>
  <c r="L20"/>
  <c r="L11"/>
  <c r="V44"/>
  <c r="H44"/>
  <c r="H45" s="1"/>
  <c r="S18"/>
  <c r="K31"/>
  <c r="N43"/>
  <c r="S43" s="1"/>
  <c r="G44"/>
  <c r="G45" s="1"/>
  <c r="K8"/>
  <c r="L36"/>
  <c r="L37"/>
  <c r="L38"/>
  <c r="L42"/>
  <c r="E44"/>
  <c r="U27" l="1"/>
  <c r="U42"/>
  <c r="U35"/>
  <c r="L35"/>
  <c r="U14"/>
  <c r="U12"/>
  <c r="L27"/>
  <c r="U19"/>
  <c r="U30"/>
  <c r="U25"/>
  <c r="U20"/>
  <c r="U16"/>
  <c r="U9"/>
  <c r="U21"/>
  <c r="U24"/>
  <c r="U18"/>
  <c r="L29"/>
  <c r="U22"/>
  <c r="U13"/>
  <c r="U17"/>
  <c r="U23"/>
  <c r="L19"/>
  <c r="U26"/>
  <c r="K44"/>
  <c r="U15"/>
  <c r="L25"/>
  <c r="U31"/>
  <c r="L31"/>
  <c r="U7"/>
  <c r="S44"/>
  <c r="L8"/>
  <c r="U8"/>
  <c r="E45"/>
  <c r="E46"/>
  <c r="L44" l="1"/>
  <c r="U44"/>
  <c r="D45" i="14" l="1"/>
  <c r="C45"/>
  <c r="V44"/>
  <c r="M44"/>
  <c r="L44"/>
  <c r="K44"/>
  <c r="E44"/>
  <c r="N44" s="1"/>
  <c r="V43"/>
  <c r="M43"/>
  <c r="E43"/>
  <c r="N43" s="1"/>
  <c r="V42"/>
  <c r="T42"/>
  <c r="M42"/>
  <c r="E42"/>
  <c r="N42" s="1"/>
  <c r="V41"/>
  <c r="T41"/>
  <c r="M41"/>
  <c r="E41"/>
  <c r="K41" s="1"/>
  <c r="V40"/>
  <c r="T40"/>
  <c r="M40"/>
  <c r="E40"/>
  <c r="N40" s="1"/>
  <c r="S40" s="1"/>
  <c r="V39"/>
  <c r="T39"/>
  <c r="M39"/>
  <c r="L39"/>
  <c r="K39"/>
  <c r="U39" s="1"/>
  <c r="E39"/>
  <c r="N39" s="1"/>
  <c r="S39" s="1"/>
  <c r="V38"/>
  <c r="T38"/>
  <c r="L38" s="1"/>
  <c r="N38"/>
  <c r="M38"/>
  <c r="K38"/>
  <c r="V37"/>
  <c r="T37"/>
  <c r="N37"/>
  <c r="M37"/>
  <c r="K37"/>
  <c r="V36"/>
  <c r="T36"/>
  <c r="M36"/>
  <c r="E36"/>
  <c r="N36" s="1"/>
  <c r="V35"/>
  <c r="T35"/>
  <c r="M35"/>
  <c r="E35"/>
  <c r="K35" s="1"/>
  <c r="T34"/>
  <c r="N34"/>
  <c r="M34"/>
  <c r="K34"/>
  <c r="L34" s="1"/>
  <c r="G34"/>
  <c r="T33"/>
  <c r="R33"/>
  <c r="N33"/>
  <c r="M33"/>
  <c r="K33"/>
  <c r="L33" s="1"/>
  <c r="G33"/>
  <c r="T32"/>
  <c r="N32"/>
  <c r="M32"/>
  <c r="K32"/>
  <c r="G32"/>
  <c r="T31"/>
  <c r="R31"/>
  <c r="Q31"/>
  <c r="P31"/>
  <c r="N31"/>
  <c r="M31"/>
  <c r="J31"/>
  <c r="I31"/>
  <c r="H31"/>
  <c r="F31"/>
  <c r="F45" s="1"/>
  <c r="T30"/>
  <c r="R30"/>
  <c r="Q30"/>
  <c r="P30"/>
  <c r="O30"/>
  <c r="N30"/>
  <c r="M30"/>
  <c r="J30"/>
  <c r="I30"/>
  <c r="H30"/>
  <c r="G30"/>
  <c r="V30" s="1"/>
  <c r="T29"/>
  <c r="R29"/>
  <c r="Q29"/>
  <c r="P29"/>
  <c r="O29"/>
  <c r="N29"/>
  <c r="M29"/>
  <c r="J29"/>
  <c r="I29"/>
  <c r="H29"/>
  <c r="G29"/>
  <c r="V29" s="1"/>
  <c r="T28"/>
  <c r="R28"/>
  <c r="Q28"/>
  <c r="P28"/>
  <c r="N28"/>
  <c r="M28"/>
  <c r="J28"/>
  <c r="I28"/>
  <c r="H28"/>
  <c r="G28"/>
  <c r="V28" s="1"/>
  <c r="T27"/>
  <c r="R27"/>
  <c r="N27"/>
  <c r="M27"/>
  <c r="J27"/>
  <c r="I27"/>
  <c r="H27"/>
  <c r="T26"/>
  <c r="R26"/>
  <c r="Q26"/>
  <c r="P26"/>
  <c r="N26"/>
  <c r="M26"/>
  <c r="J26"/>
  <c r="I26"/>
  <c r="H26"/>
  <c r="G26"/>
  <c r="V26" s="1"/>
  <c r="T25"/>
  <c r="R25"/>
  <c r="Q25"/>
  <c r="P25"/>
  <c r="O25"/>
  <c r="N25"/>
  <c r="M25"/>
  <c r="J25"/>
  <c r="I25"/>
  <c r="H25"/>
  <c r="G25"/>
  <c r="V25" s="1"/>
  <c r="T24"/>
  <c r="R24"/>
  <c r="Q24"/>
  <c r="P24"/>
  <c r="N24"/>
  <c r="M24"/>
  <c r="J24"/>
  <c r="I24"/>
  <c r="H24"/>
  <c r="G24"/>
  <c r="V24" s="1"/>
  <c r="T23"/>
  <c r="R23"/>
  <c r="Q23"/>
  <c r="P23"/>
  <c r="N23"/>
  <c r="M23"/>
  <c r="J23"/>
  <c r="I23"/>
  <c r="H23"/>
  <c r="G23"/>
  <c r="V23" s="1"/>
  <c r="T22"/>
  <c r="R22"/>
  <c r="Q22"/>
  <c r="P22"/>
  <c r="O22"/>
  <c r="N22"/>
  <c r="M22"/>
  <c r="J22"/>
  <c r="I22"/>
  <c r="H22"/>
  <c r="G22"/>
  <c r="V22" s="1"/>
  <c r="T21"/>
  <c r="R21"/>
  <c r="Q21"/>
  <c r="P21"/>
  <c r="N21"/>
  <c r="M21"/>
  <c r="J21"/>
  <c r="I21"/>
  <c r="H21"/>
  <c r="G21"/>
  <c r="V21" s="1"/>
  <c r="T20"/>
  <c r="R20"/>
  <c r="Q20"/>
  <c r="P20"/>
  <c r="N20"/>
  <c r="M20"/>
  <c r="J20"/>
  <c r="I20"/>
  <c r="H20"/>
  <c r="K20" s="1"/>
  <c r="G20"/>
  <c r="V20" s="1"/>
  <c r="T19"/>
  <c r="R19"/>
  <c r="Q19"/>
  <c r="P19"/>
  <c r="N19"/>
  <c r="M19"/>
  <c r="J19"/>
  <c r="I19"/>
  <c r="H19"/>
  <c r="G19"/>
  <c r="V19" s="1"/>
  <c r="T18"/>
  <c r="R18"/>
  <c r="Q18"/>
  <c r="P18"/>
  <c r="O18"/>
  <c r="N18"/>
  <c r="M18"/>
  <c r="J18"/>
  <c r="I18"/>
  <c r="H18"/>
  <c r="G18"/>
  <c r="V18" s="1"/>
  <c r="T17"/>
  <c r="R17"/>
  <c r="Q17"/>
  <c r="P17"/>
  <c r="N17"/>
  <c r="M17"/>
  <c r="J17"/>
  <c r="I17"/>
  <c r="H17"/>
  <c r="G17"/>
  <c r="V17" s="1"/>
  <c r="V16"/>
  <c r="T16"/>
  <c r="R16"/>
  <c r="N16"/>
  <c r="M16"/>
  <c r="J16"/>
  <c r="I16"/>
  <c r="H16"/>
  <c r="T15"/>
  <c r="R15"/>
  <c r="Q15"/>
  <c r="P15"/>
  <c r="N15"/>
  <c r="M15"/>
  <c r="J15"/>
  <c r="I15"/>
  <c r="H15"/>
  <c r="G15"/>
  <c r="V15" s="1"/>
  <c r="T14"/>
  <c r="R14"/>
  <c r="Q14"/>
  <c r="P14"/>
  <c r="N14"/>
  <c r="M14"/>
  <c r="J14"/>
  <c r="I14"/>
  <c r="H14"/>
  <c r="G14"/>
  <c r="V14" s="1"/>
  <c r="T13"/>
  <c r="R13"/>
  <c r="Q13"/>
  <c r="P13"/>
  <c r="N13"/>
  <c r="M13"/>
  <c r="J13"/>
  <c r="I13"/>
  <c r="H13"/>
  <c r="G13"/>
  <c r="V13" s="1"/>
  <c r="T12"/>
  <c r="R12"/>
  <c r="Q12"/>
  <c r="P12"/>
  <c r="N12"/>
  <c r="M12"/>
  <c r="J12"/>
  <c r="I12"/>
  <c r="H12"/>
  <c r="G12"/>
  <c r="V12" s="1"/>
  <c r="T11"/>
  <c r="R11"/>
  <c r="Q11"/>
  <c r="P11"/>
  <c r="N11"/>
  <c r="M11"/>
  <c r="J11"/>
  <c r="I11"/>
  <c r="H11"/>
  <c r="G11"/>
  <c r="V11" s="1"/>
  <c r="T10"/>
  <c r="R10"/>
  <c r="Q10"/>
  <c r="P10"/>
  <c r="N10"/>
  <c r="M10"/>
  <c r="J10"/>
  <c r="I10"/>
  <c r="H10"/>
  <c r="G10"/>
  <c r="V10" s="1"/>
  <c r="T9"/>
  <c r="R9"/>
  <c r="Q9"/>
  <c r="P9"/>
  <c r="N9"/>
  <c r="M9"/>
  <c r="J9"/>
  <c r="I9"/>
  <c r="H9"/>
  <c r="G9"/>
  <c r="V8"/>
  <c r="T8"/>
  <c r="R8"/>
  <c r="P8"/>
  <c r="N8"/>
  <c r="M8"/>
  <c r="J8"/>
  <c r="I8"/>
  <c r="H8"/>
  <c r="V7"/>
  <c r="M7"/>
  <c r="H7"/>
  <c r="E7"/>
  <c r="K7" s="1"/>
  <c r="L37" l="1"/>
  <c r="K10"/>
  <c r="L10" s="1"/>
  <c r="S27"/>
  <c r="S38"/>
  <c r="K43"/>
  <c r="L43" s="1"/>
  <c r="S44"/>
  <c r="U44" s="1"/>
  <c r="N7"/>
  <c r="S7" s="1"/>
  <c r="U7" s="1"/>
  <c r="S16"/>
  <c r="L32"/>
  <c r="S34"/>
  <c r="U34" s="1"/>
  <c r="S37"/>
  <c r="U37" s="1"/>
  <c r="K40"/>
  <c r="L40" s="1"/>
  <c r="S43"/>
  <c r="U43" s="1"/>
  <c r="S32"/>
  <c r="S33"/>
  <c r="U33" s="1"/>
  <c r="K13"/>
  <c r="S12"/>
  <c r="K12"/>
  <c r="S10"/>
  <c r="K30"/>
  <c r="L30" s="1"/>
  <c r="S30"/>
  <c r="Q45"/>
  <c r="K25"/>
  <c r="L25" s="1"/>
  <c r="S31"/>
  <c r="J45"/>
  <c r="J46" s="1"/>
  <c r="R45"/>
  <c r="K9"/>
  <c r="S9"/>
  <c r="S15"/>
  <c r="K21"/>
  <c r="L21" s="1"/>
  <c r="S23"/>
  <c r="K26"/>
  <c r="S26"/>
  <c r="S28"/>
  <c r="U38"/>
  <c r="K14"/>
  <c r="L14" s="1"/>
  <c r="O45"/>
  <c r="O46" s="1"/>
  <c r="K19"/>
  <c r="L19" s="1"/>
  <c r="S21"/>
  <c r="K24"/>
  <c r="L24" s="1"/>
  <c r="S24"/>
  <c r="K29"/>
  <c r="L29" s="1"/>
  <c r="T45"/>
  <c r="P45"/>
  <c r="G45"/>
  <c r="G46" s="1"/>
  <c r="S13"/>
  <c r="U13" s="1"/>
  <c r="S14"/>
  <c r="K17"/>
  <c r="L17" s="1"/>
  <c r="S29"/>
  <c r="H45"/>
  <c r="H46" s="1"/>
  <c r="K8"/>
  <c r="L8" s="1"/>
  <c r="K11"/>
  <c r="L11" s="1"/>
  <c r="K16"/>
  <c r="U16" s="1"/>
  <c r="S17"/>
  <c r="K18"/>
  <c r="L18" s="1"/>
  <c r="S19"/>
  <c r="U19" s="1"/>
  <c r="S20"/>
  <c r="U20" s="1"/>
  <c r="K22"/>
  <c r="S8"/>
  <c r="V9"/>
  <c r="V45" s="1"/>
  <c r="S11"/>
  <c r="I45"/>
  <c r="K15"/>
  <c r="L15" s="1"/>
  <c r="S18"/>
  <c r="S22"/>
  <c r="K23"/>
  <c r="L23" s="1"/>
  <c r="S25"/>
  <c r="K27"/>
  <c r="L27" s="1"/>
  <c r="K28"/>
  <c r="L28" s="1"/>
  <c r="L13"/>
  <c r="S42"/>
  <c r="L35"/>
  <c r="L7"/>
  <c r="L41"/>
  <c r="S36"/>
  <c r="N41"/>
  <c r="S41" s="1"/>
  <c r="E45"/>
  <c r="M45"/>
  <c r="U32"/>
  <c r="K36"/>
  <c r="U40"/>
  <c r="K42"/>
  <c r="N35"/>
  <c r="N45" s="1"/>
  <c r="N46" s="1"/>
  <c r="L20"/>
  <c r="K31"/>
  <c r="U10" l="1"/>
  <c r="S35"/>
  <c r="U35" s="1"/>
  <c r="U24"/>
  <c r="U9"/>
  <c r="U12"/>
  <c r="L12"/>
  <c r="U8"/>
  <c r="U15"/>
  <c r="U26"/>
  <c r="U30"/>
  <c r="U18"/>
  <c r="U27"/>
  <c r="U29"/>
  <c r="L9"/>
  <c r="U14"/>
  <c r="U25"/>
  <c r="U11"/>
  <c r="L26"/>
  <c r="U21"/>
  <c r="U22"/>
  <c r="U17"/>
  <c r="U23"/>
  <c r="L16"/>
  <c r="U28"/>
  <c r="L22"/>
  <c r="S45"/>
  <c r="U41"/>
  <c r="E46"/>
  <c r="E47"/>
  <c r="U42"/>
  <c r="L42"/>
  <c r="L36"/>
  <c r="U36"/>
  <c r="U31"/>
  <c r="L31"/>
  <c r="K45"/>
  <c r="L45" l="1"/>
  <c r="U45"/>
  <c r="D44" i="13"/>
  <c r="C44"/>
  <c r="V43"/>
  <c r="E43"/>
  <c r="K43" s="1"/>
  <c r="V42"/>
  <c r="T42"/>
  <c r="M42"/>
  <c r="K42"/>
  <c r="E42"/>
  <c r="N42" s="1"/>
  <c r="V41"/>
  <c r="T41"/>
  <c r="M41"/>
  <c r="E41"/>
  <c r="N41" s="1"/>
  <c r="S41" s="1"/>
  <c r="V40"/>
  <c r="T40"/>
  <c r="M40"/>
  <c r="E40"/>
  <c r="K40" s="1"/>
  <c r="V39"/>
  <c r="T39"/>
  <c r="M39"/>
  <c r="E39"/>
  <c r="N39" s="1"/>
  <c r="V38"/>
  <c r="T38"/>
  <c r="N38"/>
  <c r="M38"/>
  <c r="S38" s="1"/>
  <c r="K38"/>
  <c r="V37"/>
  <c r="T37"/>
  <c r="S37"/>
  <c r="N37"/>
  <c r="M37"/>
  <c r="K37"/>
  <c r="V36"/>
  <c r="T36"/>
  <c r="M36"/>
  <c r="K36"/>
  <c r="E36"/>
  <c r="N36" s="1"/>
  <c r="S36" s="1"/>
  <c r="V35"/>
  <c r="T35"/>
  <c r="M35"/>
  <c r="K35"/>
  <c r="E35"/>
  <c r="N35" s="1"/>
  <c r="T34"/>
  <c r="S34"/>
  <c r="N34"/>
  <c r="M34"/>
  <c r="K34"/>
  <c r="L34" s="1"/>
  <c r="G34"/>
  <c r="T33"/>
  <c r="R33"/>
  <c r="N33"/>
  <c r="M33"/>
  <c r="K33"/>
  <c r="G33"/>
  <c r="L33" s="1"/>
  <c r="T32"/>
  <c r="N32"/>
  <c r="M32"/>
  <c r="K32"/>
  <c r="L32" s="1"/>
  <c r="G32"/>
  <c r="T31"/>
  <c r="R31"/>
  <c r="Q31"/>
  <c r="P31"/>
  <c r="N31"/>
  <c r="M31"/>
  <c r="J31"/>
  <c r="I31"/>
  <c r="H31"/>
  <c r="F31"/>
  <c r="F44" s="1"/>
  <c r="T30"/>
  <c r="R30"/>
  <c r="Q30"/>
  <c r="P30"/>
  <c r="O30"/>
  <c r="N30"/>
  <c r="M30"/>
  <c r="J30"/>
  <c r="I30"/>
  <c r="H30"/>
  <c r="G30"/>
  <c r="V30" s="1"/>
  <c r="T29"/>
  <c r="R29"/>
  <c r="Q29"/>
  <c r="P29"/>
  <c r="O29"/>
  <c r="N29"/>
  <c r="M29"/>
  <c r="J29"/>
  <c r="I29"/>
  <c r="H29"/>
  <c r="G29"/>
  <c r="V29" s="1"/>
  <c r="T28"/>
  <c r="R28"/>
  <c r="Q28"/>
  <c r="P28"/>
  <c r="N28"/>
  <c r="M28"/>
  <c r="J28"/>
  <c r="I28"/>
  <c r="H28"/>
  <c r="G28"/>
  <c r="V28" s="1"/>
  <c r="T27"/>
  <c r="R27"/>
  <c r="N27"/>
  <c r="M27"/>
  <c r="J27"/>
  <c r="I27"/>
  <c r="H27"/>
  <c r="T26"/>
  <c r="R26"/>
  <c r="Q26"/>
  <c r="P26"/>
  <c r="N26"/>
  <c r="M26"/>
  <c r="J26"/>
  <c r="I26"/>
  <c r="H26"/>
  <c r="G26"/>
  <c r="V26" s="1"/>
  <c r="T25"/>
  <c r="R25"/>
  <c r="Q25"/>
  <c r="P25"/>
  <c r="O25"/>
  <c r="N25"/>
  <c r="M25"/>
  <c r="J25"/>
  <c r="I25"/>
  <c r="H25"/>
  <c r="G25"/>
  <c r="V25" s="1"/>
  <c r="T24"/>
  <c r="R24"/>
  <c r="Q24"/>
  <c r="P24"/>
  <c r="N24"/>
  <c r="M24"/>
  <c r="J24"/>
  <c r="I24"/>
  <c r="H24"/>
  <c r="G24"/>
  <c r="V24" s="1"/>
  <c r="T23"/>
  <c r="R23"/>
  <c r="Q23"/>
  <c r="P23"/>
  <c r="N23"/>
  <c r="M23"/>
  <c r="J23"/>
  <c r="I23"/>
  <c r="H23"/>
  <c r="G23"/>
  <c r="V23" s="1"/>
  <c r="T22"/>
  <c r="R22"/>
  <c r="Q22"/>
  <c r="P22"/>
  <c r="O22"/>
  <c r="N22"/>
  <c r="M22"/>
  <c r="J22"/>
  <c r="I22"/>
  <c r="H22"/>
  <c r="G22"/>
  <c r="V22" s="1"/>
  <c r="T21"/>
  <c r="R21"/>
  <c r="Q21"/>
  <c r="P21"/>
  <c r="N21"/>
  <c r="M21"/>
  <c r="J21"/>
  <c r="I21"/>
  <c r="H21"/>
  <c r="G21"/>
  <c r="V21" s="1"/>
  <c r="T20"/>
  <c r="R20"/>
  <c r="Q20"/>
  <c r="P20"/>
  <c r="N20"/>
  <c r="M20"/>
  <c r="J20"/>
  <c r="I20"/>
  <c r="H20"/>
  <c r="G20"/>
  <c r="V20" s="1"/>
  <c r="T19"/>
  <c r="R19"/>
  <c r="Q19"/>
  <c r="P19"/>
  <c r="N19"/>
  <c r="M19"/>
  <c r="J19"/>
  <c r="I19"/>
  <c r="H19"/>
  <c r="G19"/>
  <c r="V19" s="1"/>
  <c r="T18"/>
  <c r="R18"/>
  <c r="Q18"/>
  <c r="P18"/>
  <c r="O18"/>
  <c r="N18"/>
  <c r="M18"/>
  <c r="J18"/>
  <c r="I18"/>
  <c r="H18"/>
  <c r="G18"/>
  <c r="V18" s="1"/>
  <c r="T17"/>
  <c r="R17"/>
  <c r="Q17"/>
  <c r="P17"/>
  <c r="N17"/>
  <c r="M17"/>
  <c r="J17"/>
  <c r="I17"/>
  <c r="H17"/>
  <c r="G17"/>
  <c r="V17" s="1"/>
  <c r="V16"/>
  <c r="T16"/>
  <c r="S16"/>
  <c r="R16"/>
  <c r="N16"/>
  <c r="M16"/>
  <c r="J16"/>
  <c r="I16"/>
  <c r="H16"/>
  <c r="T15"/>
  <c r="R15"/>
  <c r="Q15"/>
  <c r="P15"/>
  <c r="N15"/>
  <c r="M15"/>
  <c r="J15"/>
  <c r="I15"/>
  <c r="H15"/>
  <c r="G15"/>
  <c r="V15" s="1"/>
  <c r="T14"/>
  <c r="R14"/>
  <c r="Q14"/>
  <c r="P14"/>
  <c r="N14"/>
  <c r="M14"/>
  <c r="J14"/>
  <c r="I14"/>
  <c r="H14"/>
  <c r="G14"/>
  <c r="V14" s="1"/>
  <c r="T13"/>
  <c r="R13"/>
  <c r="Q13"/>
  <c r="P13"/>
  <c r="N13"/>
  <c r="M13"/>
  <c r="J13"/>
  <c r="I13"/>
  <c r="H13"/>
  <c r="G13"/>
  <c r="V13" s="1"/>
  <c r="T12"/>
  <c r="R12"/>
  <c r="Q12"/>
  <c r="P12"/>
  <c r="N12"/>
  <c r="M12"/>
  <c r="J12"/>
  <c r="I12"/>
  <c r="H12"/>
  <c r="G12"/>
  <c r="V12" s="1"/>
  <c r="T11"/>
  <c r="R11"/>
  <c r="Q11"/>
  <c r="P11"/>
  <c r="N11"/>
  <c r="M11"/>
  <c r="J11"/>
  <c r="I11"/>
  <c r="H11"/>
  <c r="G11"/>
  <c r="V11" s="1"/>
  <c r="T10"/>
  <c r="R10"/>
  <c r="Q10"/>
  <c r="P10"/>
  <c r="N10"/>
  <c r="M10"/>
  <c r="J10"/>
  <c r="I10"/>
  <c r="K10" s="1"/>
  <c r="H10"/>
  <c r="G10"/>
  <c r="V10" s="1"/>
  <c r="T9"/>
  <c r="R9"/>
  <c r="Q9"/>
  <c r="P9"/>
  <c r="N9"/>
  <c r="M9"/>
  <c r="J9"/>
  <c r="I9"/>
  <c r="H9"/>
  <c r="G9"/>
  <c r="V9" s="1"/>
  <c r="V8"/>
  <c r="T8"/>
  <c r="R8"/>
  <c r="P8"/>
  <c r="N8"/>
  <c r="M8"/>
  <c r="J8"/>
  <c r="I8"/>
  <c r="H8"/>
  <c r="V7"/>
  <c r="M7"/>
  <c r="L7"/>
  <c r="K7"/>
  <c r="H7"/>
  <c r="E7"/>
  <c r="N7" s="1"/>
  <c r="S33" l="1"/>
  <c r="U33" s="1"/>
  <c r="S35"/>
  <c r="U35" s="1"/>
  <c r="S42"/>
  <c r="M44"/>
  <c r="S27"/>
  <c r="S39"/>
  <c r="K41"/>
  <c r="S32"/>
  <c r="U32" s="1"/>
  <c r="L35"/>
  <c r="U37"/>
  <c r="R44"/>
  <c r="H44"/>
  <c r="H45" s="1"/>
  <c r="K17"/>
  <c r="S9"/>
  <c r="S24"/>
  <c r="K27"/>
  <c r="L27" s="1"/>
  <c r="K28"/>
  <c r="L28" s="1"/>
  <c r="J44"/>
  <c r="J45" s="1"/>
  <c r="K12"/>
  <c r="L12" s="1"/>
  <c r="K14"/>
  <c r="L14" s="1"/>
  <c r="O44"/>
  <c r="O45" s="1"/>
  <c r="K20"/>
  <c r="L20" s="1"/>
  <c r="K23"/>
  <c r="L23" s="1"/>
  <c r="K29"/>
  <c r="L29" s="1"/>
  <c r="S30"/>
  <c r="S14"/>
  <c r="S20"/>
  <c r="K11"/>
  <c r="K15"/>
  <c r="L15" s="1"/>
  <c r="S15"/>
  <c r="K22"/>
  <c r="S22"/>
  <c r="I44"/>
  <c r="K13"/>
  <c r="K18"/>
  <c r="S21"/>
  <c r="S23"/>
  <c r="K30"/>
  <c r="L30" s="1"/>
  <c r="S8"/>
  <c r="T44"/>
  <c r="S10"/>
  <c r="U10" s="1"/>
  <c r="S11"/>
  <c r="S12"/>
  <c r="S17"/>
  <c r="U17" s="1"/>
  <c r="S19"/>
  <c r="K24"/>
  <c r="L24" s="1"/>
  <c r="S26"/>
  <c r="S29"/>
  <c r="S31"/>
  <c r="U34"/>
  <c r="U38"/>
  <c r="K21"/>
  <c r="L21" s="1"/>
  <c r="K25"/>
  <c r="L25" s="1"/>
  <c r="Q44"/>
  <c r="P44"/>
  <c r="S13"/>
  <c r="K16"/>
  <c r="U16" s="1"/>
  <c r="K19"/>
  <c r="S25"/>
  <c r="K26"/>
  <c r="L26" s="1"/>
  <c r="S28"/>
  <c r="U28" s="1"/>
  <c r="L40"/>
  <c r="U36"/>
  <c r="S7"/>
  <c r="L10"/>
  <c r="L43"/>
  <c r="V44"/>
  <c r="U42"/>
  <c r="K9"/>
  <c r="S18"/>
  <c r="K31"/>
  <c r="N43"/>
  <c r="S43" s="1"/>
  <c r="U43" s="1"/>
  <c r="G44"/>
  <c r="G45" s="1"/>
  <c r="K8"/>
  <c r="L17"/>
  <c r="L36"/>
  <c r="L37"/>
  <c r="L38"/>
  <c r="K39"/>
  <c r="N40"/>
  <c r="S40" s="1"/>
  <c r="U40" s="1"/>
  <c r="L42"/>
  <c r="E44"/>
  <c r="U41" l="1"/>
  <c r="L41"/>
  <c r="U15"/>
  <c r="U20"/>
  <c r="U11"/>
  <c r="U27"/>
  <c r="L16"/>
  <c r="U25"/>
  <c r="U18"/>
  <c r="U22"/>
  <c r="U21"/>
  <c r="U19"/>
  <c r="L11"/>
  <c r="U23"/>
  <c r="U14"/>
  <c r="U24"/>
  <c r="U13"/>
  <c r="U12"/>
  <c r="L22"/>
  <c r="L19"/>
  <c r="U30"/>
  <c r="L13"/>
  <c r="U26"/>
  <c r="U29"/>
  <c r="L18"/>
  <c r="E45"/>
  <c r="E46"/>
  <c r="U31"/>
  <c r="L31"/>
  <c r="L39"/>
  <c r="U39"/>
  <c r="U9"/>
  <c r="L9"/>
  <c r="L8"/>
  <c r="U8"/>
  <c r="S44"/>
  <c r="U7"/>
  <c r="N44"/>
  <c r="N45" s="1"/>
  <c r="K44"/>
  <c r="L44" l="1"/>
  <c r="U44"/>
  <c r="D44" i="12" l="1"/>
  <c r="C44"/>
  <c r="V43"/>
  <c r="E43"/>
  <c r="N43" s="1"/>
  <c r="S43" s="1"/>
  <c r="V42"/>
  <c r="T42"/>
  <c r="M42"/>
  <c r="E42"/>
  <c r="N42" s="1"/>
  <c r="S42" s="1"/>
  <c r="V41"/>
  <c r="T41"/>
  <c r="M41"/>
  <c r="E41"/>
  <c r="K41" s="1"/>
  <c r="V40"/>
  <c r="T40"/>
  <c r="M40"/>
  <c r="E40"/>
  <c r="K40" s="1"/>
  <c r="V39"/>
  <c r="T39"/>
  <c r="M39"/>
  <c r="E39"/>
  <c r="N39" s="1"/>
  <c r="S39" s="1"/>
  <c r="V38"/>
  <c r="T38"/>
  <c r="N38"/>
  <c r="S38" s="1"/>
  <c r="M38"/>
  <c r="K38"/>
  <c r="V37"/>
  <c r="T37"/>
  <c r="N37"/>
  <c r="M37"/>
  <c r="S37" s="1"/>
  <c r="K37"/>
  <c r="V36"/>
  <c r="T36"/>
  <c r="M36"/>
  <c r="E36"/>
  <c r="N36" s="1"/>
  <c r="V35"/>
  <c r="T35"/>
  <c r="M35"/>
  <c r="E35"/>
  <c r="K35" s="1"/>
  <c r="T34"/>
  <c r="N34"/>
  <c r="M34"/>
  <c r="K34"/>
  <c r="L34" s="1"/>
  <c r="G34"/>
  <c r="T33"/>
  <c r="R33"/>
  <c r="N33"/>
  <c r="M33"/>
  <c r="K33"/>
  <c r="L33" s="1"/>
  <c r="G33"/>
  <c r="T32"/>
  <c r="N32"/>
  <c r="M32"/>
  <c r="S32" s="1"/>
  <c r="K32"/>
  <c r="G32"/>
  <c r="T31"/>
  <c r="R31"/>
  <c r="Q31"/>
  <c r="P31"/>
  <c r="N31"/>
  <c r="M31"/>
  <c r="J31"/>
  <c r="I31"/>
  <c r="H31"/>
  <c r="F31"/>
  <c r="T30"/>
  <c r="R30"/>
  <c r="Q30"/>
  <c r="P30"/>
  <c r="O30"/>
  <c r="N30"/>
  <c r="M30"/>
  <c r="J30"/>
  <c r="I30"/>
  <c r="H30"/>
  <c r="G30"/>
  <c r="V30" s="1"/>
  <c r="T29"/>
  <c r="R29"/>
  <c r="Q29"/>
  <c r="P29"/>
  <c r="O29"/>
  <c r="N29"/>
  <c r="M29"/>
  <c r="J29"/>
  <c r="I29"/>
  <c r="H29"/>
  <c r="G29"/>
  <c r="V29" s="1"/>
  <c r="T28"/>
  <c r="R28"/>
  <c r="Q28"/>
  <c r="P28"/>
  <c r="N28"/>
  <c r="M28"/>
  <c r="J28"/>
  <c r="I28"/>
  <c r="H28"/>
  <c r="G28"/>
  <c r="V28" s="1"/>
  <c r="T27"/>
  <c r="R27"/>
  <c r="N27"/>
  <c r="M27"/>
  <c r="J27"/>
  <c r="I27"/>
  <c r="H27"/>
  <c r="T26"/>
  <c r="R26"/>
  <c r="Q26"/>
  <c r="P26"/>
  <c r="N26"/>
  <c r="M26"/>
  <c r="J26"/>
  <c r="I26"/>
  <c r="H26"/>
  <c r="G26"/>
  <c r="V26" s="1"/>
  <c r="T25"/>
  <c r="R25"/>
  <c r="Q25"/>
  <c r="P25"/>
  <c r="O25"/>
  <c r="N25"/>
  <c r="M25"/>
  <c r="J25"/>
  <c r="I25"/>
  <c r="H25"/>
  <c r="G25"/>
  <c r="V25" s="1"/>
  <c r="T24"/>
  <c r="R24"/>
  <c r="Q24"/>
  <c r="P24"/>
  <c r="N24"/>
  <c r="M24"/>
  <c r="J24"/>
  <c r="I24"/>
  <c r="H24"/>
  <c r="G24"/>
  <c r="V24" s="1"/>
  <c r="T23"/>
  <c r="R23"/>
  <c r="Q23"/>
  <c r="P23"/>
  <c r="N23"/>
  <c r="M23"/>
  <c r="J23"/>
  <c r="I23"/>
  <c r="H23"/>
  <c r="G23"/>
  <c r="V23" s="1"/>
  <c r="T22"/>
  <c r="R22"/>
  <c r="Q22"/>
  <c r="P22"/>
  <c r="O22"/>
  <c r="N22"/>
  <c r="M22"/>
  <c r="J22"/>
  <c r="I22"/>
  <c r="H22"/>
  <c r="G22"/>
  <c r="V22" s="1"/>
  <c r="T21"/>
  <c r="R21"/>
  <c r="Q21"/>
  <c r="P21"/>
  <c r="N21"/>
  <c r="M21"/>
  <c r="J21"/>
  <c r="I21"/>
  <c r="H21"/>
  <c r="G21"/>
  <c r="V21" s="1"/>
  <c r="T20"/>
  <c r="R20"/>
  <c r="Q20"/>
  <c r="P20"/>
  <c r="N20"/>
  <c r="M20"/>
  <c r="J20"/>
  <c r="I20"/>
  <c r="H20"/>
  <c r="G20"/>
  <c r="V20" s="1"/>
  <c r="T19"/>
  <c r="R19"/>
  <c r="Q19"/>
  <c r="P19"/>
  <c r="N19"/>
  <c r="M19"/>
  <c r="J19"/>
  <c r="I19"/>
  <c r="H19"/>
  <c r="G19"/>
  <c r="V19" s="1"/>
  <c r="T18"/>
  <c r="R18"/>
  <c r="Q18"/>
  <c r="P18"/>
  <c r="O18"/>
  <c r="N18"/>
  <c r="M18"/>
  <c r="J18"/>
  <c r="I18"/>
  <c r="H18"/>
  <c r="G18"/>
  <c r="V18" s="1"/>
  <c r="T17"/>
  <c r="R17"/>
  <c r="Q17"/>
  <c r="P17"/>
  <c r="N17"/>
  <c r="M17"/>
  <c r="J17"/>
  <c r="I17"/>
  <c r="H17"/>
  <c r="G17"/>
  <c r="V17" s="1"/>
  <c r="V16"/>
  <c r="T16"/>
  <c r="R16"/>
  <c r="N16"/>
  <c r="M16"/>
  <c r="J16"/>
  <c r="I16"/>
  <c r="H16"/>
  <c r="T15"/>
  <c r="R15"/>
  <c r="Q15"/>
  <c r="P15"/>
  <c r="N15"/>
  <c r="M15"/>
  <c r="J15"/>
  <c r="I15"/>
  <c r="H15"/>
  <c r="G15"/>
  <c r="V15" s="1"/>
  <c r="T14"/>
  <c r="R14"/>
  <c r="Q14"/>
  <c r="P14"/>
  <c r="N14"/>
  <c r="M14"/>
  <c r="J14"/>
  <c r="I14"/>
  <c r="H14"/>
  <c r="G14"/>
  <c r="V14" s="1"/>
  <c r="T13"/>
  <c r="R13"/>
  <c r="Q13"/>
  <c r="P13"/>
  <c r="N13"/>
  <c r="M13"/>
  <c r="J13"/>
  <c r="I13"/>
  <c r="H13"/>
  <c r="G13"/>
  <c r="V13" s="1"/>
  <c r="T12"/>
  <c r="R12"/>
  <c r="Q12"/>
  <c r="P12"/>
  <c r="N12"/>
  <c r="M12"/>
  <c r="J12"/>
  <c r="I12"/>
  <c r="H12"/>
  <c r="G12"/>
  <c r="V12" s="1"/>
  <c r="T11"/>
  <c r="R11"/>
  <c r="Q11"/>
  <c r="P11"/>
  <c r="N11"/>
  <c r="M11"/>
  <c r="J11"/>
  <c r="I11"/>
  <c r="H11"/>
  <c r="G11"/>
  <c r="V11" s="1"/>
  <c r="T10"/>
  <c r="R10"/>
  <c r="Q10"/>
  <c r="P10"/>
  <c r="N10"/>
  <c r="M10"/>
  <c r="J10"/>
  <c r="I10"/>
  <c r="H10"/>
  <c r="G10"/>
  <c r="V10" s="1"/>
  <c r="T9"/>
  <c r="R9"/>
  <c r="Q9"/>
  <c r="P9"/>
  <c r="N9"/>
  <c r="M9"/>
  <c r="J9"/>
  <c r="I9"/>
  <c r="H9"/>
  <c r="G9"/>
  <c r="V8"/>
  <c r="T8"/>
  <c r="R8"/>
  <c r="P8"/>
  <c r="N8"/>
  <c r="M8"/>
  <c r="J8"/>
  <c r="I8"/>
  <c r="H8"/>
  <c r="V7"/>
  <c r="M7"/>
  <c r="H7"/>
  <c r="E7"/>
  <c r="K7" s="1"/>
  <c r="S16" l="1"/>
  <c r="S27"/>
  <c r="S34"/>
  <c r="U34" s="1"/>
  <c r="K36"/>
  <c r="L36" s="1"/>
  <c r="K39"/>
  <c r="U39" s="1"/>
  <c r="K10"/>
  <c r="L10" s="1"/>
  <c r="L32"/>
  <c r="S36"/>
  <c r="L38"/>
  <c r="K42"/>
  <c r="U37"/>
  <c r="L37"/>
  <c r="K43"/>
  <c r="L43" s="1"/>
  <c r="U32"/>
  <c r="S33"/>
  <c r="U33" s="1"/>
  <c r="K26"/>
  <c r="L26" s="1"/>
  <c r="K20"/>
  <c r="L20" s="1"/>
  <c r="K9"/>
  <c r="K11"/>
  <c r="L11" s="1"/>
  <c r="P44"/>
  <c r="S9"/>
  <c r="K15"/>
  <c r="L15" s="1"/>
  <c r="S17"/>
  <c r="S24"/>
  <c r="K25"/>
  <c r="L25" s="1"/>
  <c r="K13"/>
  <c r="L13" s="1"/>
  <c r="G44"/>
  <c r="G45" s="1"/>
  <c r="S13"/>
  <c r="K17"/>
  <c r="L17" s="1"/>
  <c r="S10"/>
  <c r="U10" s="1"/>
  <c r="K16"/>
  <c r="O44"/>
  <c r="U38"/>
  <c r="K21"/>
  <c r="L21" s="1"/>
  <c r="K8"/>
  <c r="L8" s="1"/>
  <c r="K29"/>
  <c r="L29" s="1"/>
  <c r="J44"/>
  <c r="J45" s="1"/>
  <c r="S11"/>
  <c r="Q44"/>
  <c r="S22"/>
  <c r="K24"/>
  <c r="L24" s="1"/>
  <c r="S14"/>
  <c r="K22"/>
  <c r="L22" s="1"/>
  <c r="S26"/>
  <c r="K30"/>
  <c r="L30" s="1"/>
  <c r="R44"/>
  <c r="S12"/>
  <c r="S19"/>
  <c r="S20"/>
  <c r="U20" s="1"/>
  <c r="S21"/>
  <c r="S23"/>
  <c r="K27"/>
  <c r="L27" s="1"/>
  <c r="S28"/>
  <c r="K31"/>
  <c r="S31"/>
  <c r="U36"/>
  <c r="K14"/>
  <c r="L14" s="1"/>
  <c r="S15"/>
  <c r="K18"/>
  <c r="L18" s="1"/>
  <c r="S29"/>
  <c r="S8"/>
  <c r="T44"/>
  <c r="I44"/>
  <c r="V9"/>
  <c r="V44" s="1"/>
  <c r="K12"/>
  <c r="S18"/>
  <c r="K19"/>
  <c r="L19" s="1"/>
  <c r="K23"/>
  <c r="L23" s="1"/>
  <c r="S25"/>
  <c r="K28"/>
  <c r="L28" s="1"/>
  <c r="S30"/>
  <c r="L35"/>
  <c r="L41"/>
  <c r="L7"/>
  <c r="L40"/>
  <c r="N40"/>
  <c r="S40" s="1"/>
  <c r="U40" s="1"/>
  <c r="E44"/>
  <c r="M44"/>
  <c r="M45" s="1"/>
  <c r="H44"/>
  <c r="H45" s="1"/>
  <c r="N7"/>
  <c r="N35"/>
  <c r="S35" s="1"/>
  <c r="U35" s="1"/>
  <c r="N41"/>
  <c r="S41" s="1"/>
  <c r="U41" s="1"/>
  <c r="F44"/>
  <c r="N44" l="1"/>
  <c r="N45" s="1"/>
  <c r="U43"/>
  <c r="U16"/>
  <c r="L39"/>
  <c r="U42"/>
  <c r="L42"/>
  <c r="U12"/>
  <c r="U28"/>
  <c r="U26"/>
  <c r="U24"/>
  <c r="U27"/>
  <c r="U25"/>
  <c r="U31"/>
  <c r="U9"/>
  <c r="U17"/>
  <c r="U13"/>
  <c r="L9"/>
  <c r="U15"/>
  <c r="L16"/>
  <c r="L31"/>
  <c r="U22"/>
  <c r="U19"/>
  <c r="U29"/>
  <c r="U11"/>
  <c r="L12"/>
  <c r="U21"/>
  <c r="U8"/>
  <c r="U14"/>
  <c r="U30"/>
  <c r="K44"/>
  <c r="U18"/>
  <c r="U23"/>
  <c r="E45"/>
  <c r="E46"/>
  <c r="S7"/>
  <c r="L44" l="1"/>
  <c r="S44"/>
  <c r="U7"/>
  <c r="U44" s="1"/>
  <c r="U45" s="1"/>
  <c r="D45" i="11" l="1"/>
  <c r="C45"/>
  <c r="V44"/>
  <c r="E44"/>
  <c r="K44" s="1"/>
  <c r="V43"/>
  <c r="T43"/>
  <c r="M43"/>
  <c r="E43"/>
  <c r="N43" s="1"/>
  <c r="V42"/>
  <c r="T42"/>
  <c r="M42"/>
  <c r="K42"/>
  <c r="E42"/>
  <c r="N42" s="1"/>
  <c r="V41"/>
  <c r="T41"/>
  <c r="M41"/>
  <c r="K41"/>
  <c r="L41" s="1"/>
  <c r="E41"/>
  <c r="N41" s="1"/>
  <c r="V40"/>
  <c r="T40"/>
  <c r="M40"/>
  <c r="K40"/>
  <c r="L40" s="1"/>
  <c r="E40"/>
  <c r="N40" s="1"/>
  <c r="V39"/>
  <c r="T39"/>
  <c r="N39"/>
  <c r="M39"/>
  <c r="K39"/>
  <c r="V38"/>
  <c r="T38"/>
  <c r="L38" s="1"/>
  <c r="N38"/>
  <c r="M38"/>
  <c r="S38" s="1"/>
  <c r="K38"/>
  <c r="V37"/>
  <c r="T37"/>
  <c r="M37"/>
  <c r="E37"/>
  <c r="K37" s="1"/>
  <c r="V36"/>
  <c r="T36"/>
  <c r="M36"/>
  <c r="E36"/>
  <c r="N36" s="1"/>
  <c r="T35"/>
  <c r="N35"/>
  <c r="M35"/>
  <c r="S35" s="1"/>
  <c r="K35"/>
  <c r="G35"/>
  <c r="T34"/>
  <c r="R34"/>
  <c r="N34"/>
  <c r="M34"/>
  <c r="S34" s="1"/>
  <c r="K34"/>
  <c r="L34" s="1"/>
  <c r="G34"/>
  <c r="T33"/>
  <c r="N33"/>
  <c r="M33"/>
  <c r="K33"/>
  <c r="L33" s="1"/>
  <c r="G33"/>
  <c r="T32"/>
  <c r="R32"/>
  <c r="Q32"/>
  <c r="P32"/>
  <c r="N32"/>
  <c r="M32"/>
  <c r="J32"/>
  <c r="I32"/>
  <c r="H32"/>
  <c r="F32"/>
  <c r="T31"/>
  <c r="R31"/>
  <c r="Q31"/>
  <c r="P31"/>
  <c r="O31"/>
  <c r="N31"/>
  <c r="M31"/>
  <c r="J31"/>
  <c r="I31"/>
  <c r="H31"/>
  <c r="G31"/>
  <c r="V31" s="1"/>
  <c r="T30"/>
  <c r="R30"/>
  <c r="Q30"/>
  <c r="P30"/>
  <c r="O30"/>
  <c r="N30"/>
  <c r="M30"/>
  <c r="J30"/>
  <c r="I30"/>
  <c r="H30"/>
  <c r="G30"/>
  <c r="V30" s="1"/>
  <c r="T29"/>
  <c r="R29"/>
  <c r="Q29"/>
  <c r="P29"/>
  <c r="N29"/>
  <c r="M29"/>
  <c r="J29"/>
  <c r="I29"/>
  <c r="H29"/>
  <c r="G29"/>
  <c r="V29" s="1"/>
  <c r="T28"/>
  <c r="R28"/>
  <c r="N28"/>
  <c r="M28"/>
  <c r="J28"/>
  <c r="I28"/>
  <c r="H28"/>
  <c r="T27"/>
  <c r="R27"/>
  <c r="Q27"/>
  <c r="P27"/>
  <c r="N27"/>
  <c r="M27"/>
  <c r="J27"/>
  <c r="I27"/>
  <c r="H27"/>
  <c r="G27"/>
  <c r="V27" s="1"/>
  <c r="T26"/>
  <c r="R26"/>
  <c r="Q26"/>
  <c r="P26"/>
  <c r="O26"/>
  <c r="N26"/>
  <c r="M26"/>
  <c r="J26"/>
  <c r="I26"/>
  <c r="H26"/>
  <c r="G26"/>
  <c r="V26" s="1"/>
  <c r="T25"/>
  <c r="R25"/>
  <c r="Q25"/>
  <c r="P25"/>
  <c r="N25"/>
  <c r="M25"/>
  <c r="J25"/>
  <c r="I25"/>
  <c r="H25"/>
  <c r="G25"/>
  <c r="V25" s="1"/>
  <c r="T24"/>
  <c r="R24"/>
  <c r="Q24"/>
  <c r="P24"/>
  <c r="N24"/>
  <c r="M24"/>
  <c r="J24"/>
  <c r="I24"/>
  <c r="H24"/>
  <c r="G24"/>
  <c r="V24" s="1"/>
  <c r="T23"/>
  <c r="R23"/>
  <c r="Q23"/>
  <c r="P23"/>
  <c r="O23"/>
  <c r="N23"/>
  <c r="M23"/>
  <c r="J23"/>
  <c r="I23"/>
  <c r="H23"/>
  <c r="G23"/>
  <c r="V23" s="1"/>
  <c r="T22"/>
  <c r="R22"/>
  <c r="Q22"/>
  <c r="N22"/>
  <c r="M22"/>
  <c r="J22"/>
  <c r="I22"/>
  <c r="H22"/>
  <c r="G22"/>
  <c r="V22" s="1"/>
  <c r="T21"/>
  <c r="R21"/>
  <c r="Q21"/>
  <c r="P21"/>
  <c r="N21"/>
  <c r="M21"/>
  <c r="J21"/>
  <c r="I21"/>
  <c r="H21"/>
  <c r="G21"/>
  <c r="V21" s="1"/>
  <c r="T20"/>
  <c r="R20"/>
  <c r="Q20"/>
  <c r="P20"/>
  <c r="N20"/>
  <c r="M20"/>
  <c r="J20"/>
  <c r="I20"/>
  <c r="H20"/>
  <c r="G20"/>
  <c r="V20" s="1"/>
  <c r="T19"/>
  <c r="R19"/>
  <c r="Q19"/>
  <c r="P19"/>
  <c r="N19"/>
  <c r="M19"/>
  <c r="J19"/>
  <c r="I19"/>
  <c r="H19"/>
  <c r="G19"/>
  <c r="V19" s="1"/>
  <c r="T18"/>
  <c r="R18"/>
  <c r="Q18"/>
  <c r="P18"/>
  <c r="O18"/>
  <c r="N18"/>
  <c r="M18"/>
  <c r="J18"/>
  <c r="I18"/>
  <c r="H18"/>
  <c r="G18"/>
  <c r="V18" s="1"/>
  <c r="T17"/>
  <c r="R17"/>
  <c r="Q17"/>
  <c r="P17"/>
  <c r="N17"/>
  <c r="M17"/>
  <c r="J17"/>
  <c r="I17"/>
  <c r="H17"/>
  <c r="G17"/>
  <c r="V17" s="1"/>
  <c r="V16"/>
  <c r="T16"/>
  <c r="R16"/>
  <c r="N16"/>
  <c r="M16"/>
  <c r="J16"/>
  <c r="I16"/>
  <c r="H16"/>
  <c r="T15"/>
  <c r="R15"/>
  <c r="Q15"/>
  <c r="P15"/>
  <c r="N15"/>
  <c r="M15"/>
  <c r="J15"/>
  <c r="I15"/>
  <c r="H15"/>
  <c r="G15"/>
  <c r="V15" s="1"/>
  <c r="T14"/>
  <c r="R14"/>
  <c r="Q14"/>
  <c r="P14"/>
  <c r="N14"/>
  <c r="M14"/>
  <c r="J14"/>
  <c r="I14"/>
  <c r="H14"/>
  <c r="G14"/>
  <c r="V14" s="1"/>
  <c r="T13"/>
  <c r="R13"/>
  <c r="Q13"/>
  <c r="P13"/>
  <c r="N13"/>
  <c r="M13"/>
  <c r="J13"/>
  <c r="I13"/>
  <c r="H13"/>
  <c r="G13"/>
  <c r="V13" s="1"/>
  <c r="T12"/>
  <c r="R12"/>
  <c r="Q12"/>
  <c r="P12"/>
  <c r="N12"/>
  <c r="M12"/>
  <c r="J12"/>
  <c r="I12"/>
  <c r="H12"/>
  <c r="G12"/>
  <c r="V12" s="1"/>
  <c r="T11"/>
  <c r="R11"/>
  <c r="Q11"/>
  <c r="P11"/>
  <c r="N11"/>
  <c r="M11"/>
  <c r="J11"/>
  <c r="I11"/>
  <c r="H11"/>
  <c r="G11"/>
  <c r="V11" s="1"/>
  <c r="T10"/>
  <c r="R10"/>
  <c r="Q10"/>
  <c r="P10"/>
  <c r="N10"/>
  <c r="M10"/>
  <c r="J10"/>
  <c r="I10"/>
  <c r="K10" s="1"/>
  <c r="H10"/>
  <c r="G10"/>
  <c r="V10" s="1"/>
  <c r="T9"/>
  <c r="R9"/>
  <c r="Q9"/>
  <c r="P9"/>
  <c r="N9"/>
  <c r="M9"/>
  <c r="J9"/>
  <c r="I9"/>
  <c r="H9"/>
  <c r="G9"/>
  <c r="V9" s="1"/>
  <c r="V8"/>
  <c r="T8"/>
  <c r="R8"/>
  <c r="P8"/>
  <c r="N8"/>
  <c r="M8"/>
  <c r="J8"/>
  <c r="I8"/>
  <c r="H8"/>
  <c r="V7"/>
  <c r="M7"/>
  <c r="H7"/>
  <c r="E7"/>
  <c r="U35" l="1"/>
  <c r="S16"/>
  <c r="S28"/>
  <c r="S39"/>
  <c r="U39" s="1"/>
  <c r="S42"/>
  <c r="U42" s="1"/>
  <c r="E45"/>
  <c r="E47" s="1"/>
  <c r="S36"/>
  <c r="L39"/>
  <c r="S41"/>
  <c r="U41" s="1"/>
  <c r="N44"/>
  <c r="S44" s="1"/>
  <c r="S33"/>
  <c r="U33" s="1"/>
  <c r="K36"/>
  <c r="U36" s="1"/>
  <c r="M45"/>
  <c r="M46" s="1"/>
  <c r="J45"/>
  <c r="J46" s="1"/>
  <c r="K11"/>
  <c r="S11"/>
  <c r="K13"/>
  <c r="L13" s="1"/>
  <c r="S9"/>
  <c r="S13"/>
  <c r="S23"/>
  <c r="R45"/>
  <c r="K30"/>
  <c r="L30" s="1"/>
  <c r="K15"/>
  <c r="L15" s="1"/>
  <c r="K21"/>
  <c r="L21" s="1"/>
  <c r="S26"/>
  <c r="P45"/>
  <c r="S31"/>
  <c r="K8"/>
  <c r="L8" s="1"/>
  <c r="S10"/>
  <c r="U10" s="1"/>
  <c r="K16"/>
  <c r="L16" s="1"/>
  <c r="S17"/>
  <c r="K25"/>
  <c r="L25" s="1"/>
  <c r="K31"/>
  <c r="U34"/>
  <c r="U38"/>
  <c r="O45"/>
  <c r="H45"/>
  <c r="H46" s="1"/>
  <c r="I45"/>
  <c r="Q45"/>
  <c r="K14"/>
  <c r="S14"/>
  <c r="S15"/>
  <c r="K18"/>
  <c r="L18" s="1"/>
  <c r="K22"/>
  <c r="K26"/>
  <c r="L26" s="1"/>
  <c r="K28"/>
  <c r="L28" s="1"/>
  <c r="K29"/>
  <c r="S29"/>
  <c r="S8"/>
  <c r="T45"/>
  <c r="K12"/>
  <c r="L12" s="1"/>
  <c r="S18"/>
  <c r="K19"/>
  <c r="L19" s="1"/>
  <c r="S22"/>
  <c r="K27"/>
  <c r="L27" s="1"/>
  <c r="S32"/>
  <c r="K9"/>
  <c r="L9" s="1"/>
  <c r="S12"/>
  <c r="K17"/>
  <c r="U17" s="1"/>
  <c r="S19"/>
  <c r="K20"/>
  <c r="L20" s="1"/>
  <c r="S20"/>
  <c r="S21"/>
  <c r="K23"/>
  <c r="U23" s="1"/>
  <c r="K24"/>
  <c r="S24"/>
  <c r="S25"/>
  <c r="S27"/>
  <c r="K32"/>
  <c r="L32" s="1"/>
  <c r="U44"/>
  <c r="L44"/>
  <c r="L10"/>
  <c r="L37"/>
  <c r="V45"/>
  <c r="S40"/>
  <c r="U40" s="1"/>
  <c r="S43"/>
  <c r="S30"/>
  <c r="N37"/>
  <c r="S37" s="1"/>
  <c r="U37" s="1"/>
  <c r="G45"/>
  <c r="G46" s="1"/>
  <c r="F45"/>
  <c r="N7"/>
  <c r="N45" s="1"/>
  <c r="L35"/>
  <c r="L42"/>
  <c r="K43"/>
  <c r="K7"/>
  <c r="S7" l="1"/>
  <c r="L36"/>
  <c r="U28"/>
  <c r="U24"/>
  <c r="U8"/>
  <c r="U21"/>
  <c r="U9"/>
  <c r="U30"/>
  <c r="L24"/>
  <c r="U19"/>
  <c r="U32"/>
  <c r="U22"/>
  <c r="U14"/>
  <c r="U25"/>
  <c r="U20"/>
  <c r="U13"/>
  <c r="U11"/>
  <c r="L11"/>
  <c r="L14"/>
  <c r="U15"/>
  <c r="U27"/>
  <c r="L17"/>
  <c r="U31"/>
  <c r="L22"/>
  <c r="U26"/>
  <c r="U16"/>
  <c r="L31"/>
  <c r="L23"/>
  <c r="U29"/>
  <c r="U12"/>
  <c r="L29"/>
  <c r="U18"/>
  <c r="U7"/>
  <c r="L7"/>
  <c r="K45"/>
  <c r="S45"/>
  <c r="L43"/>
  <c r="U43"/>
  <c r="L45" l="1"/>
  <c r="U45"/>
  <c r="U46" s="1"/>
  <c r="D45" i="10" l="1"/>
  <c r="C45"/>
  <c r="V44"/>
  <c r="E44"/>
  <c r="N44" s="1"/>
  <c r="S44" s="1"/>
  <c r="V43"/>
  <c r="T43"/>
  <c r="M43"/>
  <c r="K43"/>
  <c r="L43" s="1"/>
  <c r="E43"/>
  <c r="N43" s="1"/>
  <c r="V42"/>
  <c r="T42"/>
  <c r="M42"/>
  <c r="E42"/>
  <c r="K42" s="1"/>
  <c r="V41"/>
  <c r="T41"/>
  <c r="M41"/>
  <c r="E41"/>
  <c r="K41" s="1"/>
  <c r="V40"/>
  <c r="T40"/>
  <c r="M40"/>
  <c r="K40"/>
  <c r="E40"/>
  <c r="N40" s="1"/>
  <c r="V39"/>
  <c r="T39"/>
  <c r="L39" s="1"/>
  <c r="N39"/>
  <c r="M39"/>
  <c r="K39"/>
  <c r="V38"/>
  <c r="T38"/>
  <c r="N38"/>
  <c r="M38"/>
  <c r="K38"/>
  <c r="V37"/>
  <c r="T37"/>
  <c r="M37"/>
  <c r="L37"/>
  <c r="K37"/>
  <c r="E37"/>
  <c r="N37" s="1"/>
  <c r="V36"/>
  <c r="T36"/>
  <c r="M36"/>
  <c r="E36"/>
  <c r="K36" s="1"/>
  <c r="T35"/>
  <c r="N35"/>
  <c r="M35"/>
  <c r="K35"/>
  <c r="G35"/>
  <c r="L35" s="1"/>
  <c r="T34"/>
  <c r="R34"/>
  <c r="N34"/>
  <c r="M34"/>
  <c r="K34"/>
  <c r="L34" s="1"/>
  <c r="G34"/>
  <c r="T33"/>
  <c r="N33"/>
  <c r="M33"/>
  <c r="K33"/>
  <c r="L33" s="1"/>
  <c r="G33"/>
  <c r="T32"/>
  <c r="R32"/>
  <c r="Q32"/>
  <c r="P32"/>
  <c r="N32"/>
  <c r="M32"/>
  <c r="J32"/>
  <c r="I32"/>
  <c r="H32"/>
  <c r="F32"/>
  <c r="T31"/>
  <c r="R31"/>
  <c r="Q31"/>
  <c r="P31"/>
  <c r="O31"/>
  <c r="N31"/>
  <c r="M31"/>
  <c r="J31"/>
  <c r="I31"/>
  <c r="H31"/>
  <c r="G31"/>
  <c r="V31" s="1"/>
  <c r="T30"/>
  <c r="R30"/>
  <c r="Q30"/>
  <c r="P30"/>
  <c r="O30"/>
  <c r="N30"/>
  <c r="M30"/>
  <c r="J30"/>
  <c r="I30"/>
  <c r="H30"/>
  <c r="G30"/>
  <c r="V30" s="1"/>
  <c r="T29"/>
  <c r="R29"/>
  <c r="Q29"/>
  <c r="P29"/>
  <c r="N29"/>
  <c r="M29"/>
  <c r="J29"/>
  <c r="I29"/>
  <c r="H29"/>
  <c r="G29"/>
  <c r="V29" s="1"/>
  <c r="T28"/>
  <c r="R28"/>
  <c r="N28"/>
  <c r="M28"/>
  <c r="J28"/>
  <c r="I28"/>
  <c r="H28"/>
  <c r="T27"/>
  <c r="R27"/>
  <c r="Q27"/>
  <c r="P27"/>
  <c r="N27"/>
  <c r="M27"/>
  <c r="J27"/>
  <c r="I27"/>
  <c r="H27"/>
  <c r="G27"/>
  <c r="V27" s="1"/>
  <c r="T26"/>
  <c r="R26"/>
  <c r="Q26"/>
  <c r="P26"/>
  <c r="O26"/>
  <c r="N26"/>
  <c r="M26"/>
  <c r="J26"/>
  <c r="I26"/>
  <c r="H26"/>
  <c r="G26"/>
  <c r="V26" s="1"/>
  <c r="T25"/>
  <c r="R25"/>
  <c r="Q25"/>
  <c r="P25"/>
  <c r="N25"/>
  <c r="M25"/>
  <c r="J25"/>
  <c r="I25"/>
  <c r="H25"/>
  <c r="G25"/>
  <c r="V25" s="1"/>
  <c r="T24"/>
  <c r="R24"/>
  <c r="Q24"/>
  <c r="P24"/>
  <c r="N24"/>
  <c r="M24"/>
  <c r="J24"/>
  <c r="I24"/>
  <c r="H24"/>
  <c r="G24"/>
  <c r="V24" s="1"/>
  <c r="T23"/>
  <c r="R23"/>
  <c r="Q23"/>
  <c r="P23"/>
  <c r="O23"/>
  <c r="N23"/>
  <c r="M23"/>
  <c r="J23"/>
  <c r="I23"/>
  <c r="H23"/>
  <c r="G23"/>
  <c r="V23" s="1"/>
  <c r="T22"/>
  <c r="R22"/>
  <c r="Q22"/>
  <c r="N22"/>
  <c r="M22"/>
  <c r="J22"/>
  <c r="I22"/>
  <c r="H22"/>
  <c r="G22"/>
  <c r="V22" s="1"/>
  <c r="T21"/>
  <c r="R21"/>
  <c r="Q21"/>
  <c r="P21"/>
  <c r="N21"/>
  <c r="M21"/>
  <c r="J21"/>
  <c r="I21"/>
  <c r="H21"/>
  <c r="G21"/>
  <c r="V21" s="1"/>
  <c r="T20"/>
  <c r="R20"/>
  <c r="Q20"/>
  <c r="P20"/>
  <c r="N20"/>
  <c r="M20"/>
  <c r="J20"/>
  <c r="I20"/>
  <c r="H20"/>
  <c r="G20"/>
  <c r="V20" s="1"/>
  <c r="T19"/>
  <c r="R19"/>
  <c r="Q19"/>
  <c r="P19"/>
  <c r="N19"/>
  <c r="M19"/>
  <c r="J19"/>
  <c r="I19"/>
  <c r="H19"/>
  <c r="G19"/>
  <c r="V19" s="1"/>
  <c r="T18"/>
  <c r="R18"/>
  <c r="Q18"/>
  <c r="P18"/>
  <c r="O18"/>
  <c r="N18"/>
  <c r="M18"/>
  <c r="J18"/>
  <c r="I18"/>
  <c r="H18"/>
  <c r="G18"/>
  <c r="V18" s="1"/>
  <c r="T17"/>
  <c r="R17"/>
  <c r="Q17"/>
  <c r="P17"/>
  <c r="N17"/>
  <c r="M17"/>
  <c r="J17"/>
  <c r="I17"/>
  <c r="H17"/>
  <c r="G17"/>
  <c r="V17" s="1"/>
  <c r="V16"/>
  <c r="T16"/>
  <c r="R16"/>
  <c r="N16"/>
  <c r="M16"/>
  <c r="J16"/>
  <c r="I16"/>
  <c r="H16"/>
  <c r="T15"/>
  <c r="R15"/>
  <c r="Q15"/>
  <c r="P15"/>
  <c r="N15"/>
  <c r="M15"/>
  <c r="J15"/>
  <c r="I15"/>
  <c r="H15"/>
  <c r="G15"/>
  <c r="V15" s="1"/>
  <c r="T14"/>
  <c r="R14"/>
  <c r="Q14"/>
  <c r="P14"/>
  <c r="N14"/>
  <c r="M14"/>
  <c r="J14"/>
  <c r="I14"/>
  <c r="H14"/>
  <c r="G14"/>
  <c r="V14" s="1"/>
  <c r="T13"/>
  <c r="R13"/>
  <c r="Q13"/>
  <c r="P13"/>
  <c r="N13"/>
  <c r="M13"/>
  <c r="J13"/>
  <c r="I13"/>
  <c r="H13"/>
  <c r="G13"/>
  <c r="V13" s="1"/>
  <c r="T12"/>
  <c r="R12"/>
  <c r="Q12"/>
  <c r="P12"/>
  <c r="N12"/>
  <c r="M12"/>
  <c r="J12"/>
  <c r="I12"/>
  <c r="H12"/>
  <c r="G12"/>
  <c r="V12" s="1"/>
  <c r="T11"/>
  <c r="R11"/>
  <c r="Q11"/>
  <c r="P11"/>
  <c r="N11"/>
  <c r="M11"/>
  <c r="J11"/>
  <c r="I11"/>
  <c r="H11"/>
  <c r="G11"/>
  <c r="V11" s="1"/>
  <c r="T10"/>
  <c r="R10"/>
  <c r="Q10"/>
  <c r="P10"/>
  <c r="N10"/>
  <c r="M10"/>
  <c r="J10"/>
  <c r="I10"/>
  <c r="H10"/>
  <c r="G10"/>
  <c r="V10" s="1"/>
  <c r="T9"/>
  <c r="R9"/>
  <c r="Q9"/>
  <c r="P9"/>
  <c r="N9"/>
  <c r="M9"/>
  <c r="J9"/>
  <c r="I9"/>
  <c r="H9"/>
  <c r="G9"/>
  <c r="V8"/>
  <c r="T8"/>
  <c r="R8"/>
  <c r="P8"/>
  <c r="N8"/>
  <c r="M8"/>
  <c r="J8"/>
  <c r="I8"/>
  <c r="H8"/>
  <c r="S16" l="1"/>
  <c r="S33"/>
  <c r="U33" s="1"/>
  <c r="S35"/>
  <c r="S38"/>
  <c r="S28"/>
  <c r="L38"/>
  <c r="K10"/>
  <c r="S39"/>
  <c r="K44"/>
  <c r="L44" s="1"/>
  <c r="S34"/>
  <c r="U34" s="1"/>
  <c r="K16"/>
  <c r="L16" s="1"/>
  <c r="K18"/>
  <c r="L18" s="1"/>
  <c r="K27"/>
  <c r="L27" s="1"/>
  <c r="K13"/>
  <c r="L13" s="1"/>
  <c r="S14"/>
  <c r="S37"/>
  <c r="U37" s="1"/>
  <c r="K9"/>
  <c r="L9" s="1"/>
  <c r="K14"/>
  <c r="L10"/>
  <c r="O45"/>
  <c r="O48" s="1"/>
  <c r="G45"/>
  <c r="G46" s="1"/>
  <c r="K11"/>
  <c r="L11" s="1"/>
  <c r="K19"/>
  <c r="L19" s="1"/>
  <c r="S20"/>
  <c r="S23"/>
  <c r="K25"/>
  <c r="L25" s="1"/>
  <c r="S43"/>
  <c r="U43" s="1"/>
  <c r="K30"/>
  <c r="L30" s="1"/>
  <c r="I45"/>
  <c r="S11"/>
  <c r="S25"/>
  <c r="K26"/>
  <c r="L26" s="1"/>
  <c r="S40"/>
  <c r="U40" s="1"/>
  <c r="Q45"/>
  <c r="K8"/>
  <c r="P45"/>
  <c r="K12"/>
  <c r="L12" s="1"/>
  <c r="S12"/>
  <c r="S13"/>
  <c r="K15"/>
  <c r="L15" s="1"/>
  <c r="K17"/>
  <c r="L17" s="1"/>
  <c r="S17"/>
  <c r="S19"/>
  <c r="K21"/>
  <c r="L21" s="1"/>
  <c r="K22"/>
  <c r="K23"/>
  <c r="L23" s="1"/>
  <c r="S27"/>
  <c r="K31"/>
  <c r="L31" s="1"/>
  <c r="J45"/>
  <c r="J46" s="1"/>
  <c r="R45"/>
  <c r="S10"/>
  <c r="U10" s="1"/>
  <c r="K20"/>
  <c r="L20" s="1"/>
  <c r="S22"/>
  <c r="S24"/>
  <c r="K28"/>
  <c r="U28" s="1"/>
  <c r="S29"/>
  <c r="K32"/>
  <c r="L32" s="1"/>
  <c r="S32"/>
  <c r="U35"/>
  <c r="U39"/>
  <c r="S30"/>
  <c r="S8"/>
  <c r="S9"/>
  <c r="T45"/>
  <c r="S15"/>
  <c r="S21"/>
  <c r="K24"/>
  <c r="L24" s="1"/>
  <c r="S26"/>
  <c r="K29"/>
  <c r="L29" s="1"/>
  <c r="S31"/>
  <c r="U38"/>
  <c r="L36"/>
  <c r="L41"/>
  <c r="L42"/>
  <c r="L22"/>
  <c r="N41"/>
  <c r="S41" s="1"/>
  <c r="U41" s="1"/>
  <c r="U44"/>
  <c r="E45"/>
  <c r="M45"/>
  <c r="M46" s="1"/>
  <c r="H45"/>
  <c r="H46" s="1"/>
  <c r="N36"/>
  <c r="L40"/>
  <c r="N42"/>
  <c r="S42" s="1"/>
  <c r="U42" s="1"/>
  <c r="F45"/>
  <c r="S18"/>
  <c r="V9"/>
  <c r="V45" s="1"/>
  <c r="N45" l="1"/>
  <c r="U13"/>
  <c r="S36"/>
  <c r="U36" s="1"/>
  <c r="U27"/>
  <c r="U16"/>
  <c r="L28"/>
  <c r="U30"/>
  <c r="U14"/>
  <c r="U8"/>
  <c r="U22"/>
  <c r="U17"/>
  <c r="U11"/>
  <c r="U19"/>
  <c r="U31"/>
  <c r="L14"/>
  <c r="U32"/>
  <c r="U24"/>
  <c r="U12"/>
  <c r="U25"/>
  <c r="U9"/>
  <c r="U15"/>
  <c r="U26"/>
  <c r="U20"/>
  <c r="U23"/>
  <c r="U29"/>
  <c r="U21"/>
  <c r="K45"/>
  <c r="L8"/>
  <c r="U18"/>
  <c r="E46"/>
  <c r="E47"/>
  <c r="S45" l="1"/>
  <c r="L45"/>
  <c r="U45"/>
  <c r="U46" s="1"/>
  <c r="D45" i="9"/>
  <c r="C45"/>
  <c r="V44"/>
  <c r="K44"/>
  <c r="U44" s="1"/>
  <c r="E44"/>
  <c r="N44" s="1"/>
  <c r="S44" s="1"/>
  <c r="V43"/>
  <c r="T43"/>
  <c r="M43"/>
  <c r="S43" s="1"/>
  <c r="E43"/>
  <c r="N43" s="1"/>
  <c r="V42"/>
  <c r="T42"/>
  <c r="M42"/>
  <c r="E42"/>
  <c r="K42" s="1"/>
  <c r="V41"/>
  <c r="T41"/>
  <c r="M41"/>
  <c r="E41"/>
  <c r="N41" s="1"/>
  <c r="V40"/>
  <c r="T40"/>
  <c r="M40"/>
  <c r="K40"/>
  <c r="E40"/>
  <c r="N40" s="1"/>
  <c r="V39"/>
  <c r="T39"/>
  <c r="N39"/>
  <c r="M39"/>
  <c r="K39"/>
  <c r="V38"/>
  <c r="T38"/>
  <c r="L38" s="1"/>
  <c r="N38"/>
  <c r="M38"/>
  <c r="K38"/>
  <c r="V37"/>
  <c r="T37"/>
  <c r="M37"/>
  <c r="S37" s="1"/>
  <c r="K37"/>
  <c r="L37" s="1"/>
  <c r="E37"/>
  <c r="N37" s="1"/>
  <c r="V36"/>
  <c r="T36"/>
  <c r="M36"/>
  <c r="E36"/>
  <c r="K36" s="1"/>
  <c r="T35"/>
  <c r="N35"/>
  <c r="M35"/>
  <c r="K35"/>
  <c r="G35"/>
  <c r="T34"/>
  <c r="R34"/>
  <c r="N34"/>
  <c r="M34"/>
  <c r="K34"/>
  <c r="G34"/>
  <c r="T33"/>
  <c r="N33"/>
  <c r="M33"/>
  <c r="K33"/>
  <c r="G33"/>
  <c r="T32"/>
  <c r="R32"/>
  <c r="Q32"/>
  <c r="P32"/>
  <c r="N32"/>
  <c r="M32"/>
  <c r="J32"/>
  <c r="I32"/>
  <c r="H32"/>
  <c r="F32"/>
  <c r="F45" s="1"/>
  <c r="T31"/>
  <c r="R31"/>
  <c r="Q31"/>
  <c r="P31"/>
  <c r="O31"/>
  <c r="N31"/>
  <c r="M31"/>
  <c r="J31"/>
  <c r="I31"/>
  <c r="H31"/>
  <c r="G31"/>
  <c r="V31" s="1"/>
  <c r="T30"/>
  <c r="R30"/>
  <c r="Q30"/>
  <c r="P30"/>
  <c r="O30"/>
  <c r="N30"/>
  <c r="M30"/>
  <c r="J30"/>
  <c r="I30"/>
  <c r="H30"/>
  <c r="G30"/>
  <c r="V30" s="1"/>
  <c r="T29"/>
  <c r="R29"/>
  <c r="Q29"/>
  <c r="P29"/>
  <c r="N29"/>
  <c r="M29"/>
  <c r="J29"/>
  <c r="I29"/>
  <c r="H29"/>
  <c r="G29"/>
  <c r="V29" s="1"/>
  <c r="T28"/>
  <c r="R28"/>
  <c r="N28"/>
  <c r="M28"/>
  <c r="J28"/>
  <c r="I28"/>
  <c r="H28"/>
  <c r="T27"/>
  <c r="R27"/>
  <c r="Q27"/>
  <c r="P27"/>
  <c r="N27"/>
  <c r="M27"/>
  <c r="J27"/>
  <c r="I27"/>
  <c r="H27"/>
  <c r="G27"/>
  <c r="V27" s="1"/>
  <c r="T26"/>
  <c r="R26"/>
  <c r="Q26"/>
  <c r="P26"/>
  <c r="O26"/>
  <c r="N26"/>
  <c r="M26"/>
  <c r="J26"/>
  <c r="I26"/>
  <c r="H26"/>
  <c r="G26"/>
  <c r="V26" s="1"/>
  <c r="T25"/>
  <c r="R25"/>
  <c r="Q25"/>
  <c r="P25"/>
  <c r="N25"/>
  <c r="M25"/>
  <c r="J25"/>
  <c r="I25"/>
  <c r="H25"/>
  <c r="G25"/>
  <c r="V25" s="1"/>
  <c r="T24"/>
  <c r="R24"/>
  <c r="Q24"/>
  <c r="P24"/>
  <c r="N24"/>
  <c r="M24"/>
  <c r="J24"/>
  <c r="I24"/>
  <c r="H24"/>
  <c r="G24"/>
  <c r="V24" s="1"/>
  <c r="T23"/>
  <c r="R23"/>
  <c r="Q23"/>
  <c r="P23"/>
  <c r="O23"/>
  <c r="N23"/>
  <c r="M23"/>
  <c r="J23"/>
  <c r="I23"/>
  <c r="H23"/>
  <c r="G23"/>
  <c r="V23" s="1"/>
  <c r="T22"/>
  <c r="R22"/>
  <c r="Q22"/>
  <c r="N22"/>
  <c r="M22"/>
  <c r="J22"/>
  <c r="I22"/>
  <c r="H22"/>
  <c r="G22"/>
  <c r="V22" s="1"/>
  <c r="T21"/>
  <c r="R21"/>
  <c r="Q21"/>
  <c r="P21"/>
  <c r="N21"/>
  <c r="M21"/>
  <c r="J21"/>
  <c r="I21"/>
  <c r="H21"/>
  <c r="G21"/>
  <c r="V21" s="1"/>
  <c r="T20"/>
  <c r="R20"/>
  <c r="Q20"/>
  <c r="P20"/>
  <c r="N20"/>
  <c r="M20"/>
  <c r="J20"/>
  <c r="I20"/>
  <c r="H20"/>
  <c r="G20"/>
  <c r="V20" s="1"/>
  <c r="T19"/>
  <c r="R19"/>
  <c r="Q19"/>
  <c r="P19"/>
  <c r="N19"/>
  <c r="M19"/>
  <c r="J19"/>
  <c r="I19"/>
  <c r="H19"/>
  <c r="G19"/>
  <c r="V19" s="1"/>
  <c r="T18"/>
  <c r="R18"/>
  <c r="Q18"/>
  <c r="P18"/>
  <c r="O18"/>
  <c r="N18"/>
  <c r="M18"/>
  <c r="J18"/>
  <c r="I18"/>
  <c r="H18"/>
  <c r="G18"/>
  <c r="V18" s="1"/>
  <c r="T17"/>
  <c r="R17"/>
  <c r="Q17"/>
  <c r="P17"/>
  <c r="N17"/>
  <c r="M17"/>
  <c r="J17"/>
  <c r="I17"/>
  <c r="H17"/>
  <c r="G17"/>
  <c r="V17" s="1"/>
  <c r="V16"/>
  <c r="T16"/>
  <c r="R16"/>
  <c r="N16"/>
  <c r="M16"/>
  <c r="J16"/>
  <c r="I16"/>
  <c r="H16"/>
  <c r="T15"/>
  <c r="R15"/>
  <c r="Q15"/>
  <c r="P15"/>
  <c r="N15"/>
  <c r="M15"/>
  <c r="J15"/>
  <c r="I15"/>
  <c r="H15"/>
  <c r="G15"/>
  <c r="V15" s="1"/>
  <c r="T14"/>
  <c r="R14"/>
  <c r="Q14"/>
  <c r="P14"/>
  <c r="N14"/>
  <c r="M14"/>
  <c r="J14"/>
  <c r="I14"/>
  <c r="H14"/>
  <c r="G14"/>
  <c r="V14" s="1"/>
  <c r="T13"/>
  <c r="R13"/>
  <c r="Q13"/>
  <c r="P13"/>
  <c r="N13"/>
  <c r="M13"/>
  <c r="J13"/>
  <c r="I13"/>
  <c r="H13"/>
  <c r="G13"/>
  <c r="V13" s="1"/>
  <c r="T12"/>
  <c r="R12"/>
  <c r="Q12"/>
  <c r="P12"/>
  <c r="N12"/>
  <c r="M12"/>
  <c r="J12"/>
  <c r="I12"/>
  <c r="H12"/>
  <c r="G12"/>
  <c r="V12" s="1"/>
  <c r="T11"/>
  <c r="R11"/>
  <c r="Q11"/>
  <c r="P11"/>
  <c r="N11"/>
  <c r="M11"/>
  <c r="J11"/>
  <c r="I11"/>
  <c r="H11"/>
  <c r="G11"/>
  <c r="V11" s="1"/>
  <c r="T10"/>
  <c r="R10"/>
  <c r="Q10"/>
  <c r="P10"/>
  <c r="N10"/>
  <c r="M10"/>
  <c r="J10"/>
  <c r="I10"/>
  <c r="K10" s="1"/>
  <c r="H10"/>
  <c r="G10"/>
  <c r="V10" s="1"/>
  <c r="T9"/>
  <c r="R9"/>
  <c r="Q9"/>
  <c r="P9"/>
  <c r="N9"/>
  <c r="M9"/>
  <c r="J9"/>
  <c r="I9"/>
  <c r="H9"/>
  <c r="G9"/>
  <c r="V8"/>
  <c r="T8"/>
  <c r="R8"/>
  <c r="P8"/>
  <c r="N8"/>
  <c r="M8"/>
  <c r="J8"/>
  <c r="I8"/>
  <c r="H8"/>
  <c r="L44" l="1"/>
  <c r="S16"/>
  <c r="L34"/>
  <c r="L39"/>
  <c r="K41"/>
  <c r="L41" s="1"/>
  <c r="S34"/>
  <c r="U34" s="1"/>
  <c r="S33"/>
  <c r="K12"/>
  <c r="L12" s="1"/>
  <c r="K13"/>
  <c r="L13" s="1"/>
  <c r="K8"/>
  <c r="L8" s="1"/>
  <c r="P45"/>
  <c r="G45"/>
  <c r="G46" s="1"/>
  <c r="S9"/>
  <c r="S40"/>
  <c r="U40" s="1"/>
  <c r="K17"/>
  <c r="L17" s="1"/>
  <c r="S23"/>
  <c r="K26"/>
  <c r="L26" s="1"/>
  <c r="K28"/>
  <c r="L28" s="1"/>
  <c r="K29"/>
  <c r="L29" s="1"/>
  <c r="K24"/>
  <c r="L24" s="1"/>
  <c r="K27"/>
  <c r="L27" s="1"/>
  <c r="K21"/>
  <c r="L21" s="1"/>
  <c r="S21"/>
  <c r="S26"/>
  <c r="U37"/>
  <c r="K22"/>
  <c r="L22" s="1"/>
  <c r="K18"/>
  <c r="L18" s="1"/>
  <c r="S20"/>
  <c r="S13"/>
  <c r="S24"/>
  <c r="K25"/>
  <c r="L25" s="1"/>
  <c r="S28"/>
  <c r="K30"/>
  <c r="K31"/>
  <c r="L31" s="1"/>
  <c r="S39"/>
  <c r="U39" s="1"/>
  <c r="T45"/>
  <c r="R45"/>
  <c r="K11"/>
  <c r="L11" s="1"/>
  <c r="S11"/>
  <c r="S12"/>
  <c r="K14"/>
  <c r="L14" s="1"/>
  <c r="K15"/>
  <c r="L15" s="1"/>
  <c r="S17"/>
  <c r="S19"/>
  <c r="S30"/>
  <c r="S31"/>
  <c r="K32"/>
  <c r="L32" s="1"/>
  <c r="S35"/>
  <c r="U35" s="1"/>
  <c r="H45"/>
  <c r="H46" s="1"/>
  <c r="Q45"/>
  <c r="K16"/>
  <c r="L16" s="1"/>
  <c r="K19"/>
  <c r="L19" s="1"/>
  <c r="S22"/>
  <c r="S25"/>
  <c r="S27"/>
  <c r="S29"/>
  <c r="S32"/>
  <c r="M45"/>
  <c r="M46" s="1"/>
  <c r="S10"/>
  <c r="U10" s="1"/>
  <c r="J45"/>
  <c r="J46" s="1"/>
  <c r="K9"/>
  <c r="S14"/>
  <c r="S15"/>
  <c r="O45"/>
  <c r="O48" s="1"/>
  <c r="K20"/>
  <c r="L20" s="1"/>
  <c r="K23"/>
  <c r="L23" s="1"/>
  <c r="L33"/>
  <c r="L35"/>
  <c r="S38"/>
  <c r="U38" s="1"/>
  <c r="L40"/>
  <c r="S41"/>
  <c r="L10"/>
  <c r="L42"/>
  <c r="L36"/>
  <c r="N36"/>
  <c r="N42"/>
  <c r="S42" s="1"/>
  <c r="U42" s="1"/>
  <c r="S8"/>
  <c r="S18"/>
  <c r="E45"/>
  <c r="I45"/>
  <c r="U33"/>
  <c r="K43"/>
  <c r="V9"/>
  <c r="V45" s="1"/>
  <c r="U41" l="1"/>
  <c r="N45"/>
  <c r="U23"/>
  <c r="U12"/>
  <c r="U30"/>
  <c r="L30"/>
  <c r="U27"/>
  <c r="U26"/>
  <c r="U9"/>
  <c r="U13"/>
  <c r="L9"/>
  <c r="U28"/>
  <c r="U17"/>
  <c r="U31"/>
  <c r="U22"/>
  <c r="U15"/>
  <c r="U11"/>
  <c r="U29"/>
  <c r="U20"/>
  <c r="U24"/>
  <c r="U18"/>
  <c r="U32"/>
  <c r="U14"/>
  <c r="U16"/>
  <c r="U25"/>
  <c r="U21"/>
  <c r="S36"/>
  <c r="U36" s="1"/>
  <c r="U19"/>
  <c r="K45"/>
  <c r="L43"/>
  <c r="U43"/>
  <c r="E46"/>
  <c r="E47"/>
  <c r="U8"/>
  <c r="L45" l="1"/>
  <c r="S45"/>
  <c r="U45"/>
  <c r="U46" s="1"/>
  <c r="D45" i="8" l="1"/>
  <c r="C45"/>
  <c r="V44"/>
  <c r="E44"/>
  <c r="N44" s="1"/>
  <c r="S44" s="1"/>
  <c r="V43"/>
  <c r="T43"/>
  <c r="M43"/>
  <c r="E43"/>
  <c r="N43" s="1"/>
  <c r="V42"/>
  <c r="T42"/>
  <c r="M42"/>
  <c r="L42"/>
  <c r="K42"/>
  <c r="E42"/>
  <c r="N42" s="1"/>
  <c r="V41"/>
  <c r="T41"/>
  <c r="M41"/>
  <c r="E41"/>
  <c r="N41" s="1"/>
  <c r="V40"/>
  <c r="T40"/>
  <c r="M40"/>
  <c r="E40"/>
  <c r="K40" s="1"/>
  <c r="V39"/>
  <c r="T39"/>
  <c r="N39"/>
  <c r="M39"/>
  <c r="S39" s="1"/>
  <c r="K39"/>
  <c r="V38"/>
  <c r="T38"/>
  <c r="N38"/>
  <c r="M38"/>
  <c r="K38"/>
  <c r="V37"/>
  <c r="T37"/>
  <c r="M37"/>
  <c r="K37"/>
  <c r="E37"/>
  <c r="N37" s="1"/>
  <c r="V36"/>
  <c r="T36"/>
  <c r="M36"/>
  <c r="E36"/>
  <c r="N36" s="1"/>
  <c r="T35"/>
  <c r="N35"/>
  <c r="M35"/>
  <c r="K35"/>
  <c r="L35" s="1"/>
  <c r="G35"/>
  <c r="T34"/>
  <c r="R34"/>
  <c r="N34"/>
  <c r="M34"/>
  <c r="K34"/>
  <c r="L34" s="1"/>
  <c r="G34"/>
  <c r="T33"/>
  <c r="N33"/>
  <c r="M33"/>
  <c r="K33"/>
  <c r="L33" s="1"/>
  <c r="G33"/>
  <c r="T32"/>
  <c r="R32"/>
  <c r="Q32"/>
  <c r="P32"/>
  <c r="N32"/>
  <c r="M32"/>
  <c r="J32"/>
  <c r="I32"/>
  <c r="H32"/>
  <c r="F32"/>
  <c r="F45" s="1"/>
  <c r="T31"/>
  <c r="R31"/>
  <c r="Q31"/>
  <c r="P31"/>
  <c r="O31"/>
  <c r="N31"/>
  <c r="M31"/>
  <c r="J31"/>
  <c r="I31"/>
  <c r="H31"/>
  <c r="G31"/>
  <c r="V31" s="1"/>
  <c r="T30"/>
  <c r="R30"/>
  <c r="Q30"/>
  <c r="P30"/>
  <c r="O30"/>
  <c r="N30"/>
  <c r="M30"/>
  <c r="J30"/>
  <c r="I30"/>
  <c r="H30"/>
  <c r="G30"/>
  <c r="V30" s="1"/>
  <c r="T29"/>
  <c r="R29"/>
  <c r="Q29"/>
  <c r="P29"/>
  <c r="N29"/>
  <c r="M29"/>
  <c r="J29"/>
  <c r="I29"/>
  <c r="H29"/>
  <c r="G29"/>
  <c r="V29" s="1"/>
  <c r="T28"/>
  <c r="R28"/>
  <c r="N28"/>
  <c r="M28"/>
  <c r="J28"/>
  <c r="I28"/>
  <c r="H28"/>
  <c r="T27"/>
  <c r="R27"/>
  <c r="Q27"/>
  <c r="P27"/>
  <c r="N27"/>
  <c r="M27"/>
  <c r="J27"/>
  <c r="I27"/>
  <c r="H27"/>
  <c r="G27"/>
  <c r="V27" s="1"/>
  <c r="T26"/>
  <c r="R26"/>
  <c r="Q26"/>
  <c r="P26"/>
  <c r="O26"/>
  <c r="N26"/>
  <c r="M26"/>
  <c r="J26"/>
  <c r="I26"/>
  <c r="H26"/>
  <c r="G26"/>
  <c r="V26" s="1"/>
  <c r="T25"/>
  <c r="R25"/>
  <c r="Q25"/>
  <c r="P25"/>
  <c r="N25"/>
  <c r="M25"/>
  <c r="J25"/>
  <c r="I25"/>
  <c r="H25"/>
  <c r="G25"/>
  <c r="V25" s="1"/>
  <c r="T24"/>
  <c r="R24"/>
  <c r="Q24"/>
  <c r="P24"/>
  <c r="N24"/>
  <c r="M24"/>
  <c r="J24"/>
  <c r="I24"/>
  <c r="H24"/>
  <c r="G24"/>
  <c r="V24" s="1"/>
  <c r="T23"/>
  <c r="R23"/>
  <c r="Q23"/>
  <c r="P23"/>
  <c r="O23"/>
  <c r="N23"/>
  <c r="M23"/>
  <c r="J23"/>
  <c r="I23"/>
  <c r="H23"/>
  <c r="G23"/>
  <c r="V23" s="1"/>
  <c r="T22"/>
  <c r="R22"/>
  <c r="Q22"/>
  <c r="N22"/>
  <c r="M22"/>
  <c r="J22"/>
  <c r="I22"/>
  <c r="H22"/>
  <c r="G22"/>
  <c r="V22" s="1"/>
  <c r="T21"/>
  <c r="R21"/>
  <c r="Q21"/>
  <c r="P21"/>
  <c r="N21"/>
  <c r="M21"/>
  <c r="J21"/>
  <c r="I21"/>
  <c r="H21"/>
  <c r="G21"/>
  <c r="V21" s="1"/>
  <c r="T20"/>
  <c r="R20"/>
  <c r="Q20"/>
  <c r="P20"/>
  <c r="N20"/>
  <c r="M20"/>
  <c r="J20"/>
  <c r="I20"/>
  <c r="H20"/>
  <c r="G20"/>
  <c r="V20" s="1"/>
  <c r="T19"/>
  <c r="R19"/>
  <c r="Q19"/>
  <c r="P19"/>
  <c r="N19"/>
  <c r="M19"/>
  <c r="J19"/>
  <c r="I19"/>
  <c r="H19"/>
  <c r="G19"/>
  <c r="V19" s="1"/>
  <c r="T18"/>
  <c r="R18"/>
  <c r="Q18"/>
  <c r="P18"/>
  <c r="O18"/>
  <c r="N18"/>
  <c r="M18"/>
  <c r="J18"/>
  <c r="I18"/>
  <c r="H18"/>
  <c r="G18"/>
  <c r="V18" s="1"/>
  <c r="T17"/>
  <c r="R17"/>
  <c r="Q17"/>
  <c r="P17"/>
  <c r="N17"/>
  <c r="M17"/>
  <c r="J17"/>
  <c r="I17"/>
  <c r="H17"/>
  <c r="G17"/>
  <c r="V17" s="1"/>
  <c r="V16"/>
  <c r="T16"/>
  <c r="R16"/>
  <c r="N16"/>
  <c r="M16"/>
  <c r="J16"/>
  <c r="I16"/>
  <c r="H16"/>
  <c r="T15"/>
  <c r="R15"/>
  <c r="Q15"/>
  <c r="P15"/>
  <c r="N15"/>
  <c r="M15"/>
  <c r="J15"/>
  <c r="I15"/>
  <c r="H15"/>
  <c r="G15"/>
  <c r="V15" s="1"/>
  <c r="T14"/>
  <c r="R14"/>
  <c r="Q14"/>
  <c r="P14"/>
  <c r="N14"/>
  <c r="M14"/>
  <c r="J14"/>
  <c r="I14"/>
  <c r="H14"/>
  <c r="G14"/>
  <c r="V14" s="1"/>
  <c r="T13"/>
  <c r="R13"/>
  <c r="Q13"/>
  <c r="P13"/>
  <c r="N13"/>
  <c r="M13"/>
  <c r="J13"/>
  <c r="I13"/>
  <c r="H13"/>
  <c r="G13"/>
  <c r="V13" s="1"/>
  <c r="T12"/>
  <c r="R12"/>
  <c r="Q12"/>
  <c r="P12"/>
  <c r="N12"/>
  <c r="M12"/>
  <c r="J12"/>
  <c r="I12"/>
  <c r="H12"/>
  <c r="G12"/>
  <c r="V12" s="1"/>
  <c r="T11"/>
  <c r="R11"/>
  <c r="Q11"/>
  <c r="P11"/>
  <c r="N11"/>
  <c r="M11"/>
  <c r="J11"/>
  <c r="I11"/>
  <c r="H11"/>
  <c r="G11"/>
  <c r="V11" s="1"/>
  <c r="T10"/>
  <c r="R10"/>
  <c r="Q10"/>
  <c r="P10"/>
  <c r="N10"/>
  <c r="M10"/>
  <c r="J10"/>
  <c r="I10"/>
  <c r="K10" s="1"/>
  <c r="H10"/>
  <c r="G10"/>
  <c r="V10" s="1"/>
  <c r="T9"/>
  <c r="R9"/>
  <c r="Q9"/>
  <c r="P9"/>
  <c r="N9"/>
  <c r="M9"/>
  <c r="J9"/>
  <c r="I9"/>
  <c r="H9"/>
  <c r="G9"/>
  <c r="V9" s="1"/>
  <c r="V8"/>
  <c r="T8"/>
  <c r="R8"/>
  <c r="P8"/>
  <c r="N8"/>
  <c r="M8"/>
  <c r="J8"/>
  <c r="I8"/>
  <c r="H8"/>
  <c r="S33" l="1"/>
  <c r="U33" s="1"/>
  <c r="S35"/>
  <c r="U35" s="1"/>
  <c r="S38"/>
  <c r="S16"/>
  <c r="S28"/>
  <c r="K41"/>
  <c r="L41" s="1"/>
  <c r="K43"/>
  <c r="S34"/>
  <c r="U34" s="1"/>
  <c r="K36"/>
  <c r="L36" s="1"/>
  <c r="K8"/>
  <c r="L8" s="1"/>
  <c r="K16"/>
  <c r="L16" s="1"/>
  <c r="S22"/>
  <c r="S26"/>
  <c r="K28"/>
  <c r="L28" s="1"/>
  <c r="S36"/>
  <c r="S43"/>
  <c r="U43" s="1"/>
  <c r="M45"/>
  <c r="M46" s="1"/>
  <c r="S11"/>
  <c r="K14"/>
  <c r="L14" s="1"/>
  <c r="K31"/>
  <c r="L31" s="1"/>
  <c r="R45"/>
  <c r="K15"/>
  <c r="S18"/>
  <c r="K29"/>
  <c r="L29" s="1"/>
  <c r="S15"/>
  <c r="K23"/>
  <c r="L23" s="1"/>
  <c r="K20"/>
  <c r="L20" s="1"/>
  <c r="K24"/>
  <c r="S24"/>
  <c r="K26"/>
  <c r="P45"/>
  <c r="J45"/>
  <c r="J46" s="1"/>
  <c r="K9"/>
  <c r="L9" s="1"/>
  <c r="S10"/>
  <c r="U10" s="1"/>
  <c r="K12"/>
  <c r="L12" s="1"/>
  <c r="K27"/>
  <c r="L27" s="1"/>
  <c r="S29"/>
  <c r="I45"/>
  <c r="S12"/>
  <c r="K13"/>
  <c r="L13" s="1"/>
  <c r="S13"/>
  <c r="S14"/>
  <c r="K17"/>
  <c r="L17" s="1"/>
  <c r="S21"/>
  <c r="K25"/>
  <c r="L25" s="1"/>
  <c r="S25"/>
  <c r="S27"/>
  <c r="S30"/>
  <c r="S32"/>
  <c r="S37"/>
  <c r="U37" s="1"/>
  <c r="S9"/>
  <c r="T45"/>
  <c r="K21"/>
  <c r="L21" s="1"/>
  <c r="U38"/>
  <c r="Q45"/>
  <c r="K11"/>
  <c r="U11" s="1"/>
  <c r="S17"/>
  <c r="K18"/>
  <c r="L18" s="1"/>
  <c r="K19"/>
  <c r="L19" s="1"/>
  <c r="S19"/>
  <c r="S20"/>
  <c r="K22"/>
  <c r="U22" s="1"/>
  <c r="S23"/>
  <c r="K30"/>
  <c r="L30" s="1"/>
  <c r="S31"/>
  <c r="U39"/>
  <c r="S42"/>
  <c r="U42" s="1"/>
  <c r="L40"/>
  <c r="S41"/>
  <c r="N45"/>
  <c r="V45"/>
  <c r="S40"/>
  <c r="U40" s="1"/>
  <c r="N40"/>
  <c r="H45"/>
  <c r="H46" s="1"/>
  <c r="G45"/>
  <c r="G46" s="1"/>
  <c r="O45"/>
  <c r="S8"/>
  <c r="L10"/>
  <c r="L37"/>
  <c r="L38"/>
  <c r="L39"/>
  <c r="L43"/>
  <c r="K44"/>
  <c r="E45"/>
  <c r="K32"/>
  <c r="U41" l="1"/>
  <c r="U36"/>
  <c r="U8"/>
  <c r="U16"/>
  <c r="U29"/>
  <c r="U26"/>
  <c r="U27"/>
  <c r="L11"/>
  <c r="U31"/>
  <c r="L26"/>
  <c r="U28"/>
  <c r="U12"/>
  <c r="U24"/>
  <c r="U30"/>
  <c r="L24"/>
  <c r="L22"/>
  <c r="U14"/>
  <c r="U15"/>
  <c r="U17"/>
  <c r="U18"/>
  <c r="U9"/>
  <c r="U23"/>
  <c r="L15"/>
  <c r="U13"/>
  <c r="U19"/>
  <c r="U25"/>
  <c r="U20"/>
  <c r="U21"/>
  <c r="L32"/>
  <c r="U32"/>
  <c r="L44"/>
  <c r="U44"/>
  <c r="K45"/>
  <c r="E46"/>
  <c r="E47"/>
  <c r="S45"/>
  <c r="U45" l="1"/>
  <c r="U46" s="1"/>
  <c r="L45"/>
  <c r="D45" i="7"/>
  <c r="C45"/>
  <c r="V44"/>
  <c r="K44"/>
  <c r="L44" s="1"/>
  <c r="E44"/>
  <c r="N44" s="1"/>
  <c r="S44" s="1"/>
  <c r="V43"/>
  <c r="T43"/>
  <c r="M43"/>
  <c r="E43"/>
  <c r="N43" s="1"/>
  <c r="V42"/>
  <c r="T42"/>
  <c r="M42"/>
  <c r="E42"/>
  <c r="N42" s="1"/>
  <c r="V41"/>
  <c r="T41"/>
  <c r="M41"/>
  <c r="E41"/>
  <c r="K41" s="1"/>
  <c r="V40"/>
  <c r="T40"/>
  <c r="M40"/>
  <c r="K40"/>
  <c r="L40" s="1"/>
  <c r="E40"/>
  <c r="N40" s="1"/>
  <c r="V39"/>
  <c r="T39"/>
  <c r="L39" s="1"/>
  <c r="N39"/>
  <c r="M39"/>
  <c r="K39"/>
  <c r="V38"/>
  <c r="T38"/>
  <c r="L38" s="1"/>
  <c r="N38"/>
  <c r="M38"/>
  <c r="K38"/>
  <c r="V37"/>
  <c r="T37"/>
  <c r="M37"/>
  <c r="K37"/>
  <c r="L37" s="1"/>
  <c r="E37"/>
  <c r="N37" s="1"/>
  <c r="V36"/>
  <c r="T36"/>
  <c r="M36"/>
  <c r="S36" s="1"/>
  <c r="E36"/>
  <c r="N36" s="1"/>
  <c r="T35"/>
  <c r="N35"/>
  <c r="M35"/>
  <c r="S35" s="1"/>
  <c r="L35"/>
  <c r="K35"/>
  <c r="G35"/>
  <c r="T34"/>
  <c r="R34"/>
  <c r="N34"/>
  <c r="M34"/>
  <c r="K34"/>
  <c r="L34" s="1"/>
  <c r="G34"/>
  <c r="T33"/>
  <c r="N33"/>
  <c r="M33"/>
  <c r="S33" s="1"/>
  <c r="U33" s="1"/>
  <c r="K33"/>
  <c r="L33" s="1"/>
  <c r="G33"/>
  <c r="T32"/>
  <c r="R32"/>
  <c r="Q32"/>
  <c r="P32"/>
  <c r="N32"/>
  <c r="M32"/>
  <c r="J32"/>
  <c r="I32"/>
  <c r="H32"/>
  <c r="F32"/>
  <c r="F45" s="1"/>
  <c r="T31"/>
  <c r="R31"/>
  <c r="Q31"/>
  <c r="P31"/>
  <c r="O31"/>
  <c r="N31"/>
  <c r="M31"/>
  <c r="J31"/>
  <c r="I31"/>
  <c r="H31"/>
  <c r="G31"/>
  <c r="V31" s="1"/>
  <c r="T30"/>
  <c r="R30"/>
  <c r="Q30"/>
  <c r="P30"/>
  <c r="O30"/>
  <c r="N30"/>
  <c r="M30"/>
  <c r="J30"/>
  <c r="I30"/>
  <c r="H30"/>
  <c r="G30"/>
  <c r="V30" s="1"/>
  <c r="T29"/>
  <c r="R29"/>
  <c r="Q29"/>
  <c r="P29"/>
  <c r="N29"/>
  <c r="M29"/>
  <c r="J29"/>
  <c r="I29"/>
  <c r="H29"/>
  <c r="G29"/>
  <c r="V29" s="1"/>
  <c r="T28"/>
  <c r="R28"/>
  <c r="N28"/>
  <c r="M28"/>
  <c r="S28" s="1"/>
  <c r="J28"/>
  <c r="I28"/>
  <c r="H28"/>
  <c r="T27"/>
  <c r="R27"/>
  <c r="Q27"/>
  <c r="P27"/>
  <c r="N27"/>
  <c r="M27"/>
  <c r="J27"/>
  <c r="I27"/>
  <c r="H27"/>
  <c r="G27"/>
  <c r="V27" s="1"/>
  <c r="T26"/>
  <c r="R26"/>
  <c r="Q26"/>
  <c r="P26"/>
  <c r="O26"/>
  <c r="N26"/>
  <c r="M26"/>
  <c r="J26"/>
  <c r="I26"/>
  <c r="H26"/>
  <c r="G26"/>
  <c r="V26" s="1"/>
  <c r="T25"/>
  <c r="R25"/>
  <c r="Q25"/>
  <c r="P25"/>
  <c r="O25"/>
  <c r="N25"/>
  <c r="M25"/>
  <c r="J25"/>
  <c r="I25"/>
  <c r="H25"/>
  <c r="G25"/>
  <c r="V25" s="1"/>
  <c r="T24"/>
  <c r="R24"/>
  <c r="Q24"/>
  <c r="P24"/>
  <c r="N24"/>
  <c r="M24"/>
  <c r="J24"/>
  <c r="I24"/>
  <c r="H24"/>
  <c r="G24"/>
  <c r="V24" s="1"/>
  <c r="T23"/>
  <c r="R23"/>
  <c r="Q23"/>
  <c r="P23"/>
  <c r="O23"/>
  <c r="N23"/>
  <c r="M23"/>
  <c r="J23"/>
  <c r="I23"/>
  <c r="H23"/>
  <c r="G23"/>
  <c r="V23" s="1"/>
  <c r="T22"/>
  <c r="R22"/>
  <c r="Q22"/>
  <c r="N22"/>
  <c r="M22"/>
  <c r="J22"/>
  <c r="I22"/>
  <c r="H22"/>
  <c r="G22"/>
  <c r="V22" s="1"/>
  <c r="T21"/>
  <c r="R21"/>
  <c r="Q21"/>
  <c r="P21"/>
  <c r="N21"/>
  <c r="M21"/>
  <c r="J21"/>
  <c r="I21"/>
  <c r="H21"/>
  <c r="G21"/>
  <c r="V21" s="1"/>
  <c r="T20"/>
  <c r="R20"/>
  <c r="Q20"/>
  <c r="P20"/>
  <c r="N20"/>
  <c r="M20"/>
  <c r="J20"/>
  <c r="I20"/>
  <c r="H20"/>
  <c r="G20"/>
  <c r="V20" s="1"/>
  <c r="T19"/>
  <c r="R19"/>
  <c r="Q19"/>
  <c r="P19"/>
  <c r="N19"/>
  <c r="M19"/>
  <c r="J19"/>
  <c r="I19"/>
  <c r="H19"/>
  <c r="G19"/>
  <c r="V19" s="1"/>
  <c r="T18"/>
  <c r="R18"/>
  <c r="Q18"/>
  <c r="P18"/>
  <c r="O18"/>
  <c r="N18"/>
  <c r="M18"/>
  <c r="J18"/>
  <c r="I18"/>
  <c r="H18"/>
  <c r="G18"/>
  <c r="V18" s="1"/>
  <c r="T17"/>
  <c r="R17"/>
  <c r="Q17"/>
  <c r="P17"/>
  <c r="N17"/>
  <c r="M17"/>
  <c r="J17"/>
  <c r="I17"/>
  <c r="H17"/>
  <c r="G17"/>
  <c r="V17" s="1"/>
  <c r="V16"/>
  <c r="T16"/>
  <c r="R16"/>
  <c r="N16"/>
  <c r="M16"/>
  <c r="J16"/>
  <c r="I16"/>
  <c r="H16"/>
  <c r="T15"/>
  <c r="R15"/>
  <c r="Q15"/>
  <c r="P15"/>
  <c r="N15"/>
  <c r="M15"/>
  <c r="J15"/>
  <c r="I15"/>
  <c r="H15"/>
  <c r="G15"/>
  <c r="V15" s="1"/>
  <c r="T14"/>
  <c r="R14"/>
  <c r="Q14"/>
  <c r="P14"/>
  <c r="N14"/>
  <c r="M14"/>
  <c r="J14"/>
  <c r="I14"/>
  <c r="H14"/>
  <c r="G14"/>
  <c r="V14" s="1"/>
  <c r="T13"/>
  <c r="R13"/>
  <c r="Q13"/>
  <c r="P13"/>
  <c r="N13"/>
  <c r="M13"/>
  <c r="J13"/>
  <c r="I13"/>
  <c r="H13"/>
  <c r="G13"/>
  <c r="V13" s="1"/>
  <c r="T12"/>
  <c r="R12"/>
  <c r="Q12"/>
  <c r="P12"/>
  <c r="N12"/>
  <c r="M12"/>
  <c r="J12"/>
  <c r="I12"/>
  <c r="H12"/>
  <c r="G12"/>
  <c r="V12" s="1"/>
  <c r="T11"/>
  <c r="R11"/>
  <c r="Q11"/>
  <c r="P11"/>
  <c r="N11"/>
  <c r="M11"/>
  <c r="J11"/>
  <c r="I11"/>
  <c r="H11"/>
  <c r="G11"/>
  <c r="V11" s="1"/>
  <c r="T10"/>
  <c r="R10"/>
  <c r="Q10"/>
  <c r="P10"/>
  <c r="N10"/>
  <c r="M10"/>
  <c r="J10"/>
  <c r="I10"/>
  <c r="H10"/>
  <c r="G10"/>
  <c r="V10" s="1"/>
  <c r="T9"/>
  <c r="R9"/>
  <c r="Q9"/>
  <c r="P9"/>
  <c r="N9"/>
  <c r="M9"/>
  <c r="J9"/>
  <c r="I9"/>
  <c r="H9"/>
  <c r="G9"/>
  <c r="V9" s="1"/>
  <c r="V8"/>
  <c r="T8"/>
  <c r="R8"/>
  <c r="P8"/>
  <c r="N8"/>
  <c r="M8"/>
  <c r="J8"/>
  <c r="I8"/>
  <c r="H8"/>
  <c r="V7"/>
  <c r="R7"/>
  <c r="Q7"/>
  <c r="P7"/>
  <c r="M7"/>
  <c r="J7"/>
  <c r="I7"/>
  <c r="H7"/>
  <c r="G7"/>
  <c r="E7"/>
  <c r="N7" s="1"/>
  <c r="S16" l="1"/>
  <c r="S39"/>
  <c r="K10"/>
  <c r="S38"/>
  <c r="K8"/>
  <c r="L8" s="1"/>
  <c r="S42"/>
  <c r="K43"/>
  <c r="L43" s="1"/>
  <c r="S34"/>
  <c r="U34" s="1"/>
  <c r="K22"/>
  <c r="L22" s="1"/>
  <c r="K17"/>
  <c r="S17"/>
  <c r="S19"/>
  <c r="K27"/>
  <c r="L27" s="1"/>
  <c r="K15"/>
  <c r="L15" s="1"/>
  <c r="K12"/>
  <c r="L12" s="1"/>
  <c r="K14"/>
  <c r="K28"/>
  <c r="L28" s="1"/>
  <c r="S8"/>
  <c r="S10"/>
  <c r="U10" s="1"/>
  <c r="R45"/>
  <c r="S11"/>
  <c r="K7"/>
  <c r="L7" s="1"/>
  <c r="S12"/>
  <c r="T45"/>
  <c r="S14"/>
  <c r="S29"/>
  <c r="S40"/>
  <c r="G45"/>
  <c r="G46" s="1"/>
  <c r="S15"/>
  <c r="O45"/>
  <c r="K21"/>
  <c r="K23"/>
  <c r="L23" s="1"/>
  <c r="K25"/>
  <c r="K30"/>
  <c r="L30" s="1"/>
  <c r="U38"/>
  <c r="S9"/>
  <c r="K13"/>
  <c r="L13" s="1"/>
  <c r="K18"/>
  <c r="S20"/>
  <c r="S21"/>
  <c r="S23"/>
  <c r="S24"/>
  <c r="S27"/>
  <c r="S30"/>
  <c r="S31"/>
  <c r="S32"/>
  <c r="U35"/>
  <c r="H45"/>
  <c r="H46" s="1"/>
  <c r="K20"/>
  <c r="L20" s="1"/>
  <c r="K24"/>
  <c r="U24" s="1"/>
  <c r="K26"/>
  <c r="K31"/>
  <c r="J45"/>
  <c r="J46" s="1"/>
  <c r="P45"/>
  <c r="Q45"/>
  <c r="K11"/>
  <c r="S13"/>
  <c r="K16"/>
  <c r="K19"/>
  <c r="S22"/>
  <c r="S25"/>
  <c r="S26"/>
  <c r="K29"/>
  <c r="L29" s="1"/>
  <c r="S37"/>
  <c r="U37" s="1"/>
  <c r="U39"/>
  <c r="S43"/>
  <c r="U43" s="1"/>
  <c r="L10"/>
  <c r="L41"/>
  <c r="L21"/>
  <c r="S7"/>
  <c r="V45"/>
  <c r="U44"/>
  <c r="E45"/>
  <c r="I45"/>
  <c r="M45"/>
  <c r="M46" s="1"/>
  <c r="K9"/>
  <c r="S18"/>
  <c r="K32"/>
  <c r="K36"/>
  <c r="U40"/>
  <c r="K42"/>
  <c r="N41"/>
  <c r="N45" s="1"/>
  <c r="L17"/>
  <c r="U8" l="1"/>
  <c r="U16"/>
  <c r="U22"/>
  <c r="U11"/>
  <c r="U31"/>
  <c r="U14"/>
  <c r="L14"/>
  <c r="U19"/>
  <c r="U27"/>
  <c r="U20"/>
  <c r="U15"/>
  <c r="L16"/>
  <c r="U21"/>
  <c r="L24"/>
  <c r="U17"/>
  <c r="U26"/>
  <c r="U25"/>
  <c r="U23"/>
  <c r="U28"/>
  <c r="U13"/>
  <c r="L31"/>
  <c r="L26"/>
  <c r="L25"/>
  <c r="U12"/>
  <c r="U29"/>
  <c r="U18"/>
  <c r="U30"/>
  <c r="L18"/>
  <c r="L19"/>
  <c r="L11"/>
  <c r="L36"/>
  <c r="U36"/>
  <c r="U9"/>
  <c r="L9"/>
  <c r="L42"/>
  <c r="U42"/>
  <c r="E46"/>
  <c r="E47"/>
  <c r="U7"/>
  <c r="S41"/>
  <c r="U41" s="1"/>
  <c r="L32"/>
  <c r="U32"/>
  <c r="K45"/>
  <c r="S45" l="1"/>
  <c r="U45"/>
  <c r="U46" s="1"/>
  <c r="L45"/>
  <c r="V44" i="6" l="1"/>
  <c r="K44"/>
  <c r="L44" s="1"/>
  <c r="E44"/>
  <c r="N44" s="1"/>
  <c r="S44" s="1"/>
  <c r="V43"/>
  <c r="T43"/>
  <c r="M43"/>
  <c r="E43"/>
  <c r="N43" s="1"/>
  <c r="V42"/>
  <c r="T42"/>
  <c r="M42"/>
  <c r="E42"/>
  <c r="K42" s="1"/>
  <c r="V41"/>
  <c r="T41"/>
  <c r="M41"/>
  <c r="E41"/>
  <c r="K41" s="1"/>
  <c r="V40"/>
  <c r="T40"/>
  <c r="M40"/>
  <c r="K40"/>
  <c r="E40"/>
  <c r="N40" s="1"/>
  <c r="V39"/>
  <c r="T39"/>
  <c r="N39"/>
  <c r="M39"/>
  <c r="K39"/>
  <c r="L39" s="1"/>
  <c r="V38"/>
  <c r="T38"/>
  <c r="N38"/>
  <c r="M38"/>
  <c r="S38" s="1"/>
  <c r="K38"/>
  <c r="V37"/>
  <c r="T37"/>
  <c r="M37"/>
  <c r="L37"/>
  <c r="K37"/>
  <c r="E37"/>
  <c r="N37" s="1"/>
  <c r="V36"/>
  <c r="T36"/>
  <c r="M36"/>
  <c r="E36"/>
  <c r="K36" s="1"/>
  <c r="T35"/>
  <c r="N35"/>
  <c r="M35"/>
  <c r="K35"/>
  <c r="L35" s="1"/>
  <c r="G35"/>
  <c r="T34"/>
  <c r="R34"/>
  <c r="N34"/>
  <c r="M34"/>
  <c r="K34"/>
  <c r="L34" s="1"/>
  <c r="G34"/>
  <c r="T33"/>
  <c r="N33"/>
  <c r="M33"/>
  <c r="K33"/>
  <c r="G33"/>
  <c r="T32"/>
  <c r="R32"/>
  <c r="Q32"/>
  <c r="P32"/>
  <c r="N32"/>
  <c r="M32"/>
  <c r="J32"/>
  <c r="I32"/>
  <c r="H32"/>
  <c r="F32"/>
  <c r="T31"/>
  <c r="R31"/>
  <c r="Q31"/>
  <c r="P31"/>
  <c r="O31"/>
  <c r="N31"/>
  <c r="M31"/>
  <c r="J31"/>
  <c r="I31"/>
  <c r="H31"/>
  <c r="G31"/>
  <c r="V31" s="1"/>
  <c r="T30"/>
  <c r="R30"/>
  <c r="Q30"/>
  <c r="P30"/>
  <c r="O30"/>
  <c r="N30"/>
  <c r="M30"/>
  <c r="J30"/>
  <c r="I30"/>
  <c r="H30"/>
  <c r="G30"/>
  <c r="V30" s="1"/>
  <c r="T29"/>
  <c r="R29"/>
  <c r="Q29"/>
  <c r="P29"/>
  <c r="N29"/>
  <c r="M29"/>
  <c r="J29"/>
  <c r="I29"/>
  <c r="H29"/>
  <c r="G29"/>
  <c r="V29" s="1"/>
  <c r="T28"/>
  <c r="R28"/>
  <c r="P28"/>
  <c r="N28"/>
  <c r="M28"/>
  <c r="J28"/>
  <c r="I28"/>
  <c r="H28"/>
  <c r="T27"/>
  <c r="R27"/>
  <c r="Q27"/>
  <c r="P27"/>
  <c r="N27"/>
  <c r="M27"/>
  <c r="J27"/>
  <c r="I27"/>
  <c r="H27"/>
  <c r="G27"/>
  <c r="V27" s="1"/>
  <c r="T26"/>
  <c r="R26"/>
  <c r="Q26"/>
  <c r="P26"/>
  <c r="O26"/>
  <c r="N26"/>
  <c r="M26"/>
  <c r="J26"/>
  <c r="I26"/>
  <c r="H26"/>
  <c r="G26"/>
  <c r="V26" s="1"/>
  <c r="T25"/>
  <c r="R25"/>
  <c r="Q25"/>
  <c r="P25"/>
  <c r="O25"/>
  <c r="N25"/>
  <c r="M25"/>
  <c r="J25"/>
  <c r="I25"/>
  <c r="H25"/>
  <c r="G25"/>
  <c r="V25" s="1"/>
  <c r="T24"/>
  <c r="R24"/>
  <c r="Q24"/>
  <c r="P24"/>
  <c r="N24"/>
  <c r="M24"/>
  <c r="J24"/>
  <c r="I24"/>
  <c r="H24"/>
  <c r="G24"/>
  <c r="V24" s="1"/>
  <c r="T23"/>
  <c r="R23"/>
  <c r="Q23"/>
  <c r="P23"/>
  <c r="O23"/>
  <c r="N23"/>
  <c r="M23"/>
  <c r="J23"/>
  <c r="I23"/>
  <c r="H23"/>
  <c r="G23"/>
  <c r="V23" s="1"/>
  <c r="T22"/>
  <c r="R22"/>
  <c r="Q22"/>
  <c r="N22"/>
  <c r="M22"/>
  <c r="J22"/>
  <c r="I22"/>
  <c r="H22"/>
  <c r="G22"/>
  <c r="V22" s="1"/>
  <c r="T21"/>
  <c r="R21"/>
  <c r="Q21"/>
  <c r="P21"/>
  <c r="N21"/>
  <c r="M21"/>
  <c r="J21"/>
  <c r="I21"/>
  <c r="H21"/>
  <c r="G21"/>
  <c r="V21" s="1"/>
  <c r="T20"/>
  <c r="R20"/>
  <c r="Q20"/>
  <c r="P20"/>
  <c r="N20"/>
  <c r="M20"/>
  <c r="J20"/>
  <c r="I20"/>
  <c r="H20"/>
  <c r="G20"/>
  <c r="V20" s="1"/>
  <c r="T19"/>
  <c r="R19"/>
  <c r="Q19"/>
  <c r="P19"/>
  <c r="N19"/>
  <c r="M19"/>
  <c r="J19"/>
  <c r="I19"/>
  <c r="H19"/>
  <c r="G19"/>
  <c r="V19" s="1"/>
  <c r="T18"/>
  <c r="R18"/>
  <c r="Q18"/>
  <c r="P18"/>
  <c r="O18"/>
  <c r="N18"/>
  <c r="M18"/>
  <c r="J18"/>
  <c r="I18"/>
  <c r="H18"/>
  <c r="G18"/>
  <c r="V18" s="1"/>
  <c r="T17"/>
  <c r="R17"/>
  <c r="Q17"/>
  <c r="P17"/>
  <c r="N17"/>
  <c r="M17"/>
  <c r="J17"/>
  <c r="I17"/>
  <c r="H17"/>
  <c r="G17"/>
  <c r="V17" s="1"/>
  <c r="V16"/>
  <c r="T16"/>
  <c r="R16"/>
  <c r="N16"/>
  <c r="M16"/>
  <c r="J16"/>
  <c r="I16"/>
  <c r="H16"/>
  <c r="T15"/>
  <c r="R15"/>
  <c r="Q15"/>
  <c r="P15"/>
  <c r="N15"/>
  <c r="M15"/>
  <c r="J15"/>
  <c r="I15"/>
  <c r="H15"/>
  <c r="G15"/>
  <c r="V15" s="1"/>
  <c r="T14"/>
  <c r="R14"/>
  <c r="Q14"/>
  <c r="P14"/>
  <c r="N14"/>
  <c r="M14"/>
  <c r="J14"/>
  <c r="I14"/>
  <c r="H14"/>
  <c r="G14"/>
  <c r="V14" s="1"/>
  <c r="T13"/>
  <c r="R13"/>
  <c r="Q13"/>
  <c r="P13"/>
  <c r="N13"/>
  <c r="M13"/>
  <c r="J13"/>
  <c r="I13"/>
  <c r="H13"/>
  <c r="G13"/>
  <c r="V13" s="1"/>
  <c r="T12"/>
  <c r="R12"/>
  <c r="Q12"/>
  <c r="P12"/>
  <c r="N12"/>
  <c r="M12"/>
  <c r="J12"/>
  <c r="I12"/>
  <c r="H12"/>
  <c r="G12"/>
  <c r="V12" s="1"/>
  <c r="T11"/>
  <c r="R11"/>
  <c r="Q11"/>
  <c r="P11"/>
  <c r="N11"/>
  <c r="M11"/>
  <c r="J11"/>
  <c r="I11"/>
  <c r="H11"/>
  <c r="G11"/>
  <c r="V11" s="1"/>
  <c r="T10"/>
  <c r="R10"/>
  <c r="Q10"/>
  <c r="P10"/>
  <c r="N10"/>
  <c r="M10"/>
  <c r="J10"/>
  <c r="I10"/>
  <c r="K10" s="1"/>
  <c r="H10"/>
  <c r="G10"/>
  <c r="V10" s="1"/>
  <c r="T9"/>
  <c r="R9"/>
  <c r="Q9"/>
  <c r="P9"/>
  <c r="N9"/>
  <c r="M9"/>
  <c r="J9"/>
  <c r="I9"/>
  <c r="H9"/>
  <c r="G9"/>
  <c r="V9" s="1"/>
  <c r="V8"/>
  <c r="T8"/>
  <c r="R8"/>
  <c r="P8"/>
  <c r="N8"/>
  <c r="M8"/>
  <c r="J8"/>
  <c r="I8"/>
  <c r="H8"/>
  <c r="V7"/>
  <c r="R7"/>
  <c r="Q7"/>
  <c r="P7"/>
  <c r="N7"/>
  <c r="M7"/>
  <c r="J7"/>
  <c r="I7"/>
  <c r="H7"/>
  <c r="G7"/>
  <c r="C7"/>
  <c r="C45" s="1"/>
  <c r="S28" l="1"/>
  <c r="L33"/>
  <c r="S35"/>
  <c r="L38"/>
  <c r="S39"/>
  <c r="U39" s="1"/>
  <c r="S16"/>
  <c r="K43"/>
  <c r="L43" s="1"/>
  <c r="S34"/>
  <c r="U34" s="1"/>
  <c r="S33"/>
  <c r="U33" s="1"/>
  <c r="D7"/>
  <c r="D45" s="1"/>
  <c r="S9"/>
  <c r="S13"/>
  <c r="S37"/>
  <c r="U37" s="1"/>
  <c r="S43"/>
  <c r="U43" s="1"/>
  <c r="K11"/>
  <c r="L11" s="1"/>
  <c r="K9"/>
  <c r="L9" s="1"/>
  <c r="K13"/>
  <c r="K26"/>
  <c r="K27"/>
  <c r="L27" s="1"/>
  <c r="S32"/>
  <c r="U35"/>
  <c r="K16"/>
  <c r="L16" s="1"/>
  <c r="O45"/>
  <c r="O47" s="1"/>
  <c r="G45"/>
  <c r="G46" s="1"/>
  <c r="R45"/>
  <c r="S11"/>
  <c r="U11" s="1"/>
  <c r="S23"/>
  <c r="K29"/>
  <c r="S29"/>
  <c r="S31"/>
  <c r="K8"/>
  <c r="L8" s="1"/>
  <c r="S10"/>
  <c r="U10" s="1"/>
  <c r="K25"/>
  <c r="K15"/>
  <c r="K21"/>
  <c r="L21" s="1"/>
  <c r="S25"/>
  <c r="Q45"/>
  <c r="S14"/>
  <c r="S15"/>
  <c r="K18"/>
  <c r="L18" s="1"/>
  <c r="K22"/>
  <c r="L22" s="1"/>
  <c r="K28"/>
  <c r="K32"/>
  <c r="L32" s="1"/>
  <c r="P45"/>
  <c r="H45"/>
  <c r="H46" s="1"/>
  <c r="S7"/>
  <c r="K17"/>
  <c r="L17" s="1"/>
  <c r="S17"/>
  <c r="S19"/>
  <c r="K20"/>
  <c r="L20" s="1"/>
  <c r="S20"/>
  <c r="S21"/>
  <c r="K23"/>
  <c r="L23" s="1"/>
  <c r="K24"/>
  <c r="S24"/>
  <c r="S30"/>
  <c r="K31"/>
  <c r="L31" s="1"/>
  <c r="U38"/>
  <c r="J45"/>
  <c r="J46" s="1"/>
  <c r="K14"/>
  <c r="L14" s="1"/>
  <c r="S26"/>
  <c r="S8"/>
  <c r="T45"/>
  <c r="I45"/>
  <c r="K12"/>
  <c r="L12" s="1"/>
  <c r="S12"/>
  <c r="S18"/>
  <c r="U18" s="1"/>
  <c r="K19"/>
  <c r="L19" s="1"/>
  <c r="S22"/>
  <c r="S27"/>
  <c r="K30"/>
  <c r="S40"/>
  <c r="U40" s="1"/>
  <c r="L41"/>
  <c r="L42"/>
  <c r="L30"/>
  <c r="L36"/>
  <c r="L10"/>
  <c r="V45"/>
  <c r="N41"/>
  <c r="S41" s="1"/>
  <c r="U41" s="1"/>
  <c r="U44"/>
  <c r="E45"/>
  <c r="M45"/>
  <c r="M46" s="1"/>
  <c r="K7"/>
  <c r="L15"/>
  <c r="N36"/>
  <c r="S36" s="1"/>
  <c r="L40"/>
  <c r="N42"/>
  <c r="F45"/>
  <c r="U28" l="1"/>
  <c r="N45"/>
  <c r="U9"/>
  <c r="U24"/>
  <c r="U29"/>
  <c r="U16"/>
  <c r="U26"/>
  <c r="U27"/>
  <c r="U15"/>
  <c r="U13"/>
  <c r="L26"/>
  <c r="L13"/>
  <c r="L24"/>
  <c r="L29"/>
  <c r="U32"/>
  <c r="U8"/>
  <c r="U19"/>
  <c r="U20"/>
  <c r="U21"/>
  <c r="U17"/>
  <c r="U25"/>
  <c r="U14"/>
  <c r="U12"/>
  <c r="U30"/>
  <c r="U22"/>
  <c r="L25"/>
  <c r="U31"/>
  <c r="U23"/>
  <c r="L28"/>
  <c r="U36"/>
  <c r="E46"/>
  <c r="E47"/>
  <c r="K45"/>
  <c r="L7"/>
  <c r="S42"/>
  <c r="U42" s="1"/>
  <c r="S45" l="1"/>
  <c r="L45"/>
  <c r="U7"/>
  <c r="U45" s="1"/>
  <c r="U46" s="1"/>
  <c r="V44" i="5" l="1"/>
  <c r="E44"/>
  <c r="K44" s="1"/>
  <c r="V43"/>
  <c r="T43"/>
  <c r="M43"/>
  <c r="E43"/>
  <c r="N43" s="1"/>
  <c r="V42"/>
  <c r="T42"/>
  <c r="M42"/>
  <c r="E42"/>
  <c r="K42" s="1"/>
  <c r="V41"/>
  <c r="T41"/>
  <c r="M41"/>
  <c r="K41"/>
  <c r="L41" s="1"/>
  <c r="E41"/>
  <c r="N41" s="1"/>
  <c r="V40"/>
  <c r="T40"/>
  <c r="M40"/>
  <c r="E40"/>
  <c r="N40" s="1"/>
  <c r="V39"/>
  <c r="T39"/>
  <c r="N39"/>
  <c r="M39"/>
  <c r="S39" s="1"/>
  <c r="K39"/>
  <c r="V38"/>
  <c r="T38"/>
  <c r="N38"/>
  <c r="M38"/>
  <c r="S38" s="1"/>
  <c r="K38"/>
  <c r="V37"/>
  <c r="T37"/>
  <c r="M37"/>
  <c r="E37"/>
  <c r="N37" s="1"/>
  <c r="V36"/>
  <c r="T36"/>
  <c r="M36"/>
  <c r="E36"/>
  <c r="K36" s="1"/>
  <c r="T35"/>
  <c r="N35"/>
  <c r="M35"/>
  <c r="K35"/>
  <c r="G35"/>
  <c r="L35" s="1"/>
  <c r="T34"/>
  <c r="R34"/>
  <c r="N34"/>
  <c r="M34"/>
  <c r="K34"/>
  <c r="L34" s="1"/>
  <c r="G34"/>
  <c r="T33"/>
  <c r="N33"/>
  <c r="M33"/>
  <c r="K33"/>
  <c r="L33" s="1"/>
  <c r="G33"/>
  <c r="T32"/>
  <c r="R32"/>
  <c r="Q32"/>
  <c r="P32"/>
  <c r="N32"/>
  <c r="M32"/>
  <c r="J32"/>
  <c r="I32"/>
  <c r="H32"/>
  <c r="F32"/>
  <c r="F45" s="1"/>
  <c r="T31"/>
  <c r="R31"/>
  <c r="Q31"/>
  <c r="P31"/>
  <c r="O31"/>
  <c r="N31"/>
  <c r="M31"/>
  <c r="J31"/>
  <c r="I31"/>
  <c r="H31"/>
  <c r="G31"/>
  <c r="V31" s="1"/>
  <c r="T30"/>
  <c r="R30"/>
  <c r="Q30"/>
  <c r="P30"/>
  <c r="O30"/>
  <c r="N30"/>
  <c r="M30"/>
  <c r="J30"/>
  <c r="I30"/>
  <c r="H30"/>
  <c r="G30"/>
  <c r="V30" s="1"/>
  <c r="T29"/>
  <c r="R29"/>
  <c r="Q29"/>
  <c r="P29"/>
  <c r="O29"/>
  <c r="N29"/>
  <c r="M29"/>
  <c r="J29"/>
  <c r="I29"/>
  <c r="H29"/>
  <c r="G29"/>
  <c r="V29" s="1"/>
  <c r="T28"/>
  <c r="R28"/>
  <c r="P28"/>
  <c r="N28"/>
  <c r="M28"/>
  <c r="J28"/>
  <c r="I28"/>
  <c r="H28"/>
  <c r="T27"/>
  <c r="R27"/>
  <c r="Q27"/>
  <c r="P27"/>
  <c r="N27"/>
  <c r="M27"/>
  <c r="J27"/>
  <c r="I27"/>
  <c r="H27"/>
  <c r="G27"/>
  <c r="V27" s="1"/>
  <c r="T26"/>
  <c r="R26"/>
  <c r="Q26"/>
  <c r="P26"/>
  <c r="O26"/>
  <c r="N26"/>
  <c r="M26"/>
  <c r="J26"/>
  <c r="I26"/>
  <c r="H26"/>
  <c r="G26"/>
  <c r="V26" s="1"/>
  <c r="T25"/>
  <c r="R25"/>
  <c r="Q25"/>
  <c r="P25"/>
  <c r="O25"/>
  <c r="N25"/>
  <c r="M25"/>
  <c r="J25"/>
  <c r="I25"/>
  <c r="H25"/>
  <c r="G25"/>
  <c r="V25" s="1"/>
  <c r="T24"/>
  <c r="R24"/>
  <c r="Q24"/>
  <c r="P24"/>
  <c r="N24"/>
  <c r="M24"/>
  <c r="J24"/>
  <c r="I24"/>
  <c r="H24"/>
  <c r="G24"/>
  <c r="V24" s="1"/>
  <c r="T23"/>
  <c r="R23"/>
  <c r="Q23"/>
  <c r="P23"/>
  <c r="O23"/>
  <c r="N23"/>
  <c r="M23"/>
  <c r="J23"/>
  <c r="I23"/>
  <c r="H23"/>
  <c r="G23"/>
  <c r="V23" s="1"/>
  <c r="T22"/>
  <c r="R22"/>
  <c r="Q22"/>
  <c r="P22"/>
  <c r="N22"/>
  <c r="M22"/>
  <c r="J22"/>
  <c r="I22"/>
  <c r="H22"/>
  <c r="G22"/>
  <c r="V22" s="1"/>
  <c r="T21"/>
  <c r="R21"/>
  <c r="Q21"/>
  <c r="P21"/>
  <c r="N21"/>
  <c r="M21"/>
  <c r="J21"/>
  <c r="I21"/>
  <c r="H21"/>
  <c r="G21"/>
  <c r="V21" s="1"/>
  <c r="T20"/>
  <c r="R20"/>
  <c r="Q20"/>
  <c r="P20"/>
  <c r="N20"/>
  <c r="M20"/>
  <c r="J20"/>
  <c r="I20"/>
  <c r="H20"/>
  <c r="G20"/>
  <c r="V20" s="1"/>
  <c r="T19"/>
  <c r="R19"/>
  <c r="Q19"/>
  <c r="P19"/>
  <c r="N19"/>
  <c r="M19"/>
  <c r="J19"/>
  <c r="I19"/>
  <c r="H19"/>
  <c r="G19"/>
  <c r="V19" s="1"/>
  <c r="T18"/>
  <c r="R18"/>
  <c r="Q18"/>
  <c r="P18"/>
  <c r="O18"/>
  <c r="N18"/>
  <c r="M18"/>
  <c r="J18"/>
  <c r="I18"/>
  <c r="H18"/>
  <c r="G18"/>
  <c r="V18" s="1"/>
  <c r="T17"/>
  <c r="R17"/>
  <c r="Q17"/>
  <c r="P17"/>
  <c r="N17"/>
  <c r="M17"/>
  <c r="J17"/>
  <c r="I17"/>
  <c r="H17"/>
  <c r="G17"/>
  <c r="V17" s="1"/>
  <c r="V16"/>
  <c r="T16"/>
  <c r="R16"/>
  <c r="N16"/>
  <c r="M16"/>
  <c r="J16"/>
  <c r="I16"/>
  <c r="H16"/>
  <c r="T15"/>
  <c r="R15"/>
  <c r="Q15"/>
  <c r="P15"/>
  <c r="N15"/>
  <c r="M15"/>
  <c r="J15"/>
  <c r="I15"/>
  <c r="H15"/>
  <c r="G15"/>
  <c r="V15" s="1"/>
  <c r="T14"/>
  <c r="R14"/>
  <c r="Q14"/>
  <c r="P14"/>
  <c r="N14"/>
  <c r="M14"/>
  <c r="J14"/>
  <c r="I14"/>
  <c r="H14"/>
  <c r="G14"/>
  <c r="V14" s="1"/>
  <c r="T13"/>
  <c r="R13"/>
  <c r="Q13"/>
  <c r="P13"/>
  <c r="N13"/>
  <c r="M13"/>
  <c r="J13"/>
  <c r="I13"/>
  <c r="H13"/>
  <c r="G13"/>
  <c r="V13" s="1"/>
  <c r="T12"/>
  <c r="R12"/>
  <c r="Q12"/>
  <c r="P12"/>
  <c r="N12"/>
  <c r="M12"/>
  <c r="J12"/>
  <c r="I12"/>
  <c r="H12"/>
  <c r="G12"/>
  <c r="V12" s="1"/>
  <c r="T11"/>
  <c r="R11"/>
  <c r="Q11"/>
  <c r="P11"/>
  <c r="N11"/>
  <c r="M11"/>
  <c r="J11"/>
  <c r="I11"/>
  <c r="H11"/>
  <c r="G11"/>
  <c r="V11" s="1"/>
  <c r="T10"/>
  <c r="R10"/>
  <c r="Q10"/>
  <c r="P10"/>
  <c r="N10"/>
  <c r="M10"/>
  <c r="J10"/>
  <c r="I10"/>
  <c r="H10"/>
  <c r="G10"/>
  <c r="V10" s="1"/>
  <c r="T9"/>
  <c r="R9"/>
  <c r="Q9"/>
  <c r="P9"/>
  <c r="N9"/>
  <c r="M9"/>
  <c r="J9"/>
  <c r="I9"/>
  <c r="H9"/>
  <c r="G9"/>
  <c r="V9" s="1"/>
  <c r="V8"/>
  <c r="T8"/>
  <c r="R8"/>
  <c r="P8"/>
  <c r="N8"/>
  <c r="M8"/>
  <c r="J8"/>
  <c r="I8"/>
  <c r="H8"/>
  <c r="V7"/>
  <c r="R7"/>
  <c r="Q7"/>
  <c r="P7"/>
  <c r="N7"/>
  <c r="M7"/>
  <c r="J7"/>
  <c r="I7"/>
  <c r="H7"/>
  <c r="G7"/>
  <c r="C7"/>
  <c r="C45" s="1"/>
  <c r="U44" l="1"/>
  <c r="L44"/>
  <c r="L39"/>
  <c r="K10"/>
  <c r="S35"/>
  <c r="K37"/>
  <c r="L37" s="1"/>
  <c r="L38"/>
  <c r="K40"/>
  <c r="L40" s="1"/>
  <c r="S16"/>
  <c r="S33"/>
  <c r="U33" s="1"/>
  <c r="N44"/>
  <c r="S44" s="1"/>
  <c r="S28"/>
  <c r="S43"/>
  <c r="S34"/>
  <c r="D7"/>
  <c r="D45" s="1"/>
  <c r="U38"/>
  <c r="K16"/>
  <c r="L16" s="1"/>
  <c r="S25"/>
  <c r="U39"/>
  <c r="S40"/>
  <c r="U40" s="1"/>
  <c r="K12"/>
  <c r="L12" s="1"/>
  <c r="K7"/>
  <c r="L7" s="1"/>
  <c r="K8"/>
  <c r="L8" s="1"/>
  <c r="S10"/>
  <c r="U10" s="1"/>
  <c r="R45"/>
  <c r="K17"/>
  <c r="L17" s="1"/>
  <c r="S19"/>
  <c r="K22"/>
  <c r="L22" s="1"/>
  <c r="P45"/>
  <c r="Q45"/>
  <c r="K19"/>
  <c r="L19" s="1"/>
  <c r="S13"/>
  <c r="S23"/>
  <c r="K25"/>
  <c r="U25" s="1"/>
  <c r="K28"/>
  <c r="L28" s="1"/>
  <c r="S7"/>
  <c r="T45"/>
  <c r="S11"/>
  <c r="S12"/>
  <c r="K23"/>
  <c r="L23" s="1"/>
  <c r="K26"/>
  <c r="L26" s="1"/>
  <c r="H45"/>
  <c r="H46" s="1"/>
  <c r="J45"/>
  <c r="J46" s="1"/>
  <c r="K9"/>
  <c r="L9" s="1"/>
  <c r="S14"/>
  <c r="K15"/>
  <c r="L15" s="1"/>
  <c r="S15"/>
  <c r="O45"/>
  <c r="O47" s="1"/>
  <c r="K20"/>
  <c r="L20" s="1"/>
  <c r="K21"/>
  <c r="L21" s="1"/>
  <c r="K24"/>
  <c r="L24" s="1"/>
  <c r="S26"/>
  <c r="K27"/>
  <c r="L27" s="1"/>
  <c r="K29"/>
  <c r="L29" s="1"/>
  <c r="K30"/>
  <c r="L30" s="1"/>
  <c r="K31"/>
  <c r="S32"/>
  <c r="S41"/>
  <c r="U41" s="1"/>
  <c r="M45"/>
  <c r="M46" s="1"/>
  <c r="K11"/>
  <c r="K14"/>
  <c r="L14" s="1"/>
  <c r="S17"/>
  <c r="G45"/>
  <c r="G46" s="1"/>
  <c r="I45"/>
  <c r="S9"/>
  <c r="K13"/>
  <c r="L13" s="1"/>
  <c r="K18"/>
  <c r="L18" s="1"/>
  <c r="S20"/>
  <c r="S21"/>
  <c r="S22"/>
  <c r="S24"/>
  <c r="S27"/>
  <c r="S29"/>
  <c r="S30"/>
  <c r="S31"/>
  <c r="K32"/>
  <c r="L32" s="1"/>
  <c r="U35"/>
  <c r="L42"/>
  <c r="S37"/>
  <c r="L36"/>
  <c r="L10"/>
  <c r="V45"/>
  <c r="N42"/>
  <c r="S42" s="1"/>
  <c r="U42" s="1"/>
  <c r="S8"/>
  <c r="S18"/>
  <c r="U34"/>
  <c r="E45"/>
  <c r="K43"/>
  <c r="N36"/>
  <c r="N45" s="1"/>
  <c r="U37" l="1"/>
  <c r="U19"/>
  <c r="U29"/>
  <c r="U23"/>
  <c r="U16"/>
  <c r="U17"/>
  <c r="U20"/>
  <c r="U14"/>
  <c r="U12"/>
  <c r="L25"/>
  <c r="U18"/>
  <c r="U21"/>
  <c r="U15"/>
  <c r="U11"/>
  <c r="U13"/>
  <c r="U24"/>
  <c r="U8"/>
  <c r="L11"/>
  <c r="U30"/>
  <c r="U22"/>
  <c r="U31"/>
  <c r="U28"/>
  <c r="U27"/>
  <c r="U32"/>
  <c r="U9"/>
  <c r="K45"/>
  <c r="U26"/>
  <c r="L31"/>
  <c r="U7"/>
  <c r="S36"/>
  <c r="U36" s="1"/>
  <c r="E46"/>
  <c r="E47"/>
  <c r="L43"/>
  <c r="U43"/>
  <c r="L45" l="1"/>
  <c r="S45"/>
  <c r="U45"/>
  <c r="U46" s="1"/>
  <c r="W44" i="4"/>
  <c r="M44"/>
  <c r="L44"/>
  <c r="E44"/>
  <c r="O44" s="1"/>
  <c r="T44" s="1"/>
  <c r="W43"/>
  <c r="U43"/>
  <c r="N43"/>
  <c r="E43"/>
  <c r="O43" s="1"/>
  <c r="W42"/>
  <c r="U42"/>
  <c r="N42"/>
  <c r="E42"/>
  <c r="L42" s="1"/>
  <c r="W41"/>
  <c r="U41"/>
  <c r="N41"/>
  <c r="L41"/>
  <c r="M41" s="1"/>
  <c r="E41"/>
  <c r="O41" s="1"/>
  <c r="W40"/>
  <c r="U40"/>
  <c r="N40"/>
  <c r="E40"/>
  <c r="O40" s="1"/>
  <c r="W39"/>
  <c r="U39"/>
  <c r="O39"/>
  <c r="N39"/>
  <c r="T39" s="1"/>
  <c r="L39"/>
  <c r="W38"/>
  <c r="U38"/>
  <c r="O38"/>
  <c r="N38"/>
  <c r="T38" s="1"/>
  <c r="L38"/>
  <c r="W37"/>
  <c r="U37"/>
  <c r="N37"/>
  <c r="E37"/>
  <c r="O37" s="1"/>
  <c r="W36"/>
  <c r="U36"/>
  <c r="N36"/>
  <c r="E36"/>
  <c r="L36" s="1"/>
  <c r="U35"/>
  <c r="O35"/>
  <c r="N35"/>
  <c r="L35"/>
  <c r="G35"/>
  <c r="M35" s="1"/>
  <c r="U34"/>
  <c r="S34"/>
  <c r="O34"/>
  <c r="N34"/>
  <c r="T34" s="1"/>
  <c r="L34"/>
  <c r="M34" s="1"/>
  <c r="G34"/>
  <c r="U33"/>
  <c r="O33"/>
  <c r="N33"/>
  <c r="L33"/>
  <c r="M33" s="1"/>
  <c r="G33"/>
  <c r="U32"/>
  <c r="S32"/>
  <c r="R32"/>
  <c r="Q32"/>
  <c r="O32"/>
  <c r="N32"/>
  <c r="K32"/>
  <c r="J32"/>
  <c r="I32"/>
  <c r="F32"/>
  <c r="F45" s="1"/>
  <c r="U31"/>
  <c r="S31"/>
  <c r="R31"/>
  <c r="Q31"/>
  <c r="P31"/>
  <c r="O31"/>
  <c r="N31"/>
  <c r="K31"/>
  <c r="J31"/>
  <c r="I31"/>
  <c r="G31"/>
  <c r="W31" s="1"/>
  <c r="U30"/>
  <c r="S30"/>
  <c r="R30"/>
  <c r="Q30"/>
  <c r="P30"/>
  <c r="O30"/>
  <c r="N30"/>
  <c r="K30"/>
  <c r="J30"/>
  <c r="I30"/>
  <c r="G30"/>
  <c r="W30" s="1"/>
  <c r="U29"/>
  <c r="S29"/>
  <c r="R29"/>
  <c r="Q29"/>
  <c r="P29"/>
  <c r="O29"/>
  <c r="N29"/>
  <c r="K29"/>
  <c r="J29"/>
  <c r="I29"/>
  <c r="G29"/>
  <c r="W29" s="1"/>
  <c r="U28"/>
  <c r="S28"/>
  <c r="Q28"/>
  <c r="O28"/>
  <c r="N28"/>
  <c r="K28"/>
  <c r="J28"/>
  <c r="I28"/>
  <c r="U27"/>
  <c r="S27"/>
  <c r="R27"/>
  <c r="Q27"/>
  <c r="O27"/>
  <c r="N27"/>
  <c r="K27"/>
  <c r="J27"/>
  <c r="I27"/>
  <c r="G27"/>
  <c r="W27" s="1"/>
  <c r="U26"/>
  <c r="S26"/>
  <c r="R26"/>
  <c r="Q26"/>
  <c r="P26"/>
  <c r="O26"/>
  <c r="N26"/>
  <c r="K26"/>
  <c r="J26"/>
  <c r="I26"/>
  <c r="G26"/>
  <c r="W26" s="1"/>
  <c r="U25"/>
  <c r="S25"/>
  <c r="R25"/>
  <c r="Q25"/>
  <c r="P25"/>
  <c r="O25"/>
  <c r="N25"/>
  <c r="K25"/>
  <c r="J25"/>
  <c r="I25"/>
  <c r="G25"/>
  <c r="W25" s="1"/>
  <c r="U24"/>
  <c r="S24"/>
  <c r="R24"/>
  <c r="Q24"/>
  <c r="O24"/>
  <c r="N24"/>
  <c r="K24"/>
  <c r="J24"/>
  <c r="I24"/>
  <c r="G24"/>
  <c r="W24" s="1"/>
  <c r="U23"/>
  <c r="S23"/>
  <c r="R23"/>
  <c r="Q23"/>
  <c r="P23"/>
  <c r="O23"/>
  <c r="N23"/>
  <c r="K23"/>
  <c r="J23"/>
  <c r="I23"/>
  <c r="G23"/>
  <c r="W23" s="1"/>
  <c r="U22"/>
  <c r="S22"/>
  <c r="R22"/>
  <c r="Q22"/>
  <c r="O22"/>
  <c r="N22"/>
  <c r="K22"/>
  <c r="J22"/>
  <c r="I22"/>
  <c r="G22"/>
  <c r="W22" s="1"/>
  <c r="U21"/>
  <c r="S21"/>
  <c r="R21"/>
  <c r="Q21"/>
  <c r="O21"/>
  <c r="N21"/>
  <c r="K21"/>
  <c r="J21"/>
  <c r="I21"/>
  <c r="G21"/>
  <c r="W21" s="1"/>
  <c r="U20"/>
  <c r="S20"/>
  <c r="R20"/>
  <c r="Q20"/>
  <c r="O20"/>
  <c r="N20"/>
  <c r="K20"/>
  <c r="J20"/>
  <c r="I20"/>
  <c r="G20"/>
  <c r="W20" s="1"/>
  <c r="U19"/>
  <c r="S19"/>
  <c r="R19"/>
  <c r="Q19"/>
  <c r="O19"/>
  <c r="N19"/>
  <c r="K19"/>
  <c r="J19"/>
  <c r="I19"/>
  <c r="G19"/>
  <c r="W19" s="1"/>
  <c r="U18"/>
  <c r="S18"/>
  <c r="R18"/>
  <c r="Q18"/>
  <c r="P18"/>
  <c r="O18"/>
  <c r="N18"/>
  <c r="K18"/>
  <c r="J18"/>
  <c r="I18"/>
  <c r="G18"/>
  <c r="W18" s="1"/>
  <c r="U17"/>
  <c r="S17"/>
  <c r="R17"/>
  <c r="Q17"/>
  <c r="O17"/>
  <c r="N17"/>
  <c r="K17"/>
  <c r="J17"/>
  <c r="I17"/>
  <c r="G17"/>
  <c r="W17" s="1"/>
  <c r="W16"/>
  <c r="U16"/>
  <c r="S16"/>
  <c r="O16"/>
  <c r="N16"/>
  <c r="K16"/>
  <c r="J16"/>
  <c r="I16"/>
  <c r="U15"/>
  <c r="S15"/>
  <c r="R15"/>
  <c r="Q15"/>
  <c r="O15"/>
  <c r="N15"/>
  <c r="K15"/>
  <c r="J15"/>
  <c r="I15"/>
  <c r="G15"/>
  <c r="W15" s="1"/>
  <c r="U14"/>
  <c r="S14"/>
  <c r="R14"/>
  <c r="Q14"/>
  <c r="O14"/>
  <c r="N14"/>
  <c r="K14"/>
  <c r="J14"/>
  <c r="I14"/>
  <c r="G14"/>
  <c r="W14" s="1"/>
  <c r="U13"/>
  <c r="S13"/>
  <c r="R13"/>
  <c r="Q13"/>
  <c r="O13"/>
  <c r="N13"/>
  <c r="K13"/>
  <c r="J13"/>
  <c r="I13"/>
  <c r="G13"/>
  <c r="W13" s="1"/>
  <c r="U12"/>
  <c r="S12"/>
  <c r="R12"/>
  <c r="Q12"/>
  <c r="O12"/>
  <c r="N12"/>
  <c r="K12"/>
  <c r="J12"/>
  <c r="I12"/>
  <c r="G12"/>
  <c r="W12" s="1"/>
  <c r="U11"/>
  <c r="S11"/>
  <c r="R11"/>
  <c r="Q11"/>
  <c r="O11"/>
  <c r="N11"/>
  <c r="K11"/>
  <c r="J11"/>
  <c r="I11"/>
  <c r="G11"/>
  <c r="W11" s="1"/>
  <c r="U10"/>
  <c r="S10"/>
  <c r="R10"/>
  <c r="Q10"/>
  <c r="O10"/>
  <c r="N10"/>
  <c r="K10"/>
  <c r="J10"/>
  <c r="I10"/>
  <c r="G10"/>
  <c r="W10" s="1"/>
  <c r="U9"/>
  <c r="S9"/>
  <c r="R9"/>
  <c r="Q9"/>
  <c r="O9"/>
  <c r="N9"/>
  <c r="K9"/>
  <c r="J9"/>
  <c r="I9"/>
  <c r="G9"/>
  <c r="W9" s="1"/>
  <c r="W8"/>
  <c r="U8"/>
  <c r="S8"/>
  <c r="Q8"/>
  <c r="O8"/>
  <c r="N8"/>
  <c r="K8"/>
  <c r="J8"/>
  <c r="I8"/>
  <c r="W7"/>
  <c r="S7"/>
  <c r="R7"/>
  <c r="Q7"/>
  <c r="O7"/>
  <c r="N7"/>
  <c r="K7"/>
  <c r="J7"/>
  <c r="I7"/>
  <c r="G7"/>
  <c r="C7"/>
  <c r="C45" s="1"/>
  <c r="L10" l="1"/>
  <c r="T35"/>
  <c r="V35" s="1"/>
  <c r="L37"/>
  <c r="M37" s="1"/>
  <c r="M38"/>
  <c r="L40"/>
  <c r="M40" s="1"/>
  <c r="T16"/>
  <c r="M39"/>
  <c r="T28"/>
  <c r="L43"/>
  <c r="M43" s="1"/>
  <c r="T33"/>
  <c r="V33" s="1"/>
  <c r="L22"/>
  <c r="M22" s="1"/>
  <c r="T26"/>
  <c r="T40"/>
  <c r="V40" s="1"/>
  <c r="L17"/>
  <c r="M17" s="1"/>
  <c r="T10"/>
  <c r="V10" s="1"/>
  <c r="T14"/>
  <c r="L28"/>
  <c r="M28" s="1"/>
  <c r="L12"/>
  <c r="T12"/>
  <c r="L14"/>
  <c r="M14" s="1"/>
  <c r="T7"/>
  <c r="N45"/>
  <c r="N46" s="1"/>
  <c r="S45"/>
  <c r="T17"/>
  <c r="L23"/>
  <c r="M23" s="1"/>
  <c r="T25"/>
  <c r="L26"/>
  <c r="M26" s="1"/>
  <c r="T41"/>
  <c r="V41" s="1"/>
  <c r="U45"/>
  <c r="L11"/>
  <c r="T11"/>
  <c r="V38"/>
  <c r="I45"/>
  <c r="I46" s="1"/>
  <c r="K45"/>
  <c r="K46" s="1"/>
  <c r="L9"/>
  <c r="T9"/>
  <c r="L15"/>
  <c r="T15"/>
  <c r="P45"/>
  <c r="P47" s="1"/>
  <c r="L20"/>
  <c r="M20" s="1"/>
  <c r="L24"/>
  <c r="T24"/>
  <c r="L27"/>
  <c r="M27" s="1"/>
  <c r="L29"/>
  <c r="M29" s="1"/>
  <c r="L30"/>
  <c r="L31"/>
  <c r="M31" s="1"/>
  <c r="T32"/>
  <c r="G45"/>
  <c r="G46" s="1"/>
  <c r="L7"/>
  <c r="J45"/>
  <c r="L13"/>
  <c r="T13"/>
  <c r="L18"/>
  <c r="M18" s="1"/>
  <c r="T20"/>
  <c r="L21"/>
  <c r="M21" s="1"/>
  <c r="T21"/>
  <c r="T22"/>
  <c r="T27"/>
  <c r="T29"/>
  <c r="T30"/>
  <c r="T31"/>
  <c r="L32"/>
  <c r="V39"/>
  <c r="D7"/>
  <c r="D45" s="1"/>
  <c r="Q45"/>
  <c r="L8"/>
  <c r="M8" s="1"/>
  <c r="R45"/>
  <c r="L16"/>
  <c r="L19"/>
  <c r="T19"/>
  <c r="T23"/>
  <c r="L25"/>
  <c r="M25" s="1"/>
  <c r="M10"/>
  <c r="W45"/>
  <c r="M36"/>
  <c r="M42"/>
  <c r="T37"/>
  <c r="V37" s="1"/>
  <c r="T43"/>
  <c r="V43" s="1"/>
  <c r="V44"/>
  <c r="O36"/>
  <c r="O45" s="1"/>
  <c r="T8"/>
  <c r="E45"/>
  <c r="O42"/>
  <c r="T42" s="1"/>
  <c r="V42" s="1"/>
  <c r="T18"/>
  <c r="V34"/>
  <c r="V16" l="1"/>
  <c r="T36"/>
  <c r="V36" s="1"/>
  <c r="V29"/>
  <c r="V13"/>
  <c r="V9"/>
  <c r="V17"/>
  <c r="V14"/>
  <c r="V22"/>
  <c r="V28"/>
  <c r="M9"/>
  <c r="V26"/>
  <c r="V19"/>
  <c r="V32"/>
  <c r="V27"/>
  <c r="V20"/>
  <c r="V11"/>
  <c r="V21"/>
  <c r="M32"/>
  <c r="M13"/>
  <c r="V30"/>
  <c r="V24"/>
  <c r="V15"/>
  <c r="V23"/>
  <c r="V12"/>
  <c r="M11"/>
  <c r="V25"/>
  <c r="M12"/>
  <c r="L45"/>
  <c r="M16"/>
  <c r="M19"/>
  <c r="V31"/>
  <c r="M15"/>
  <c r="M24"/>
  <c r="M30"/>
  <c r="M7"/>
  <c r="V7" s="1"/>
  <c r="V8"/>
  <c r="V18"/>
  <c r="E46"/>
  <c r="E47"/>
  <c r="T45" l="1"/>
  <c r="V45"/>
  <c r="V46" s="1"/>
  <c r="M45"/>
  <c r="V44" i="3"/>
  <c r="K44"/>
  <c r="U44" s="1"/>
  <c r="E44"/>
  <c r="N44" s="1"/>
  <c r="S44" s="1"/>
  <c r="V43"/>
  <c r="T43"/>
  <c r="M43"/>
  <c r="L43"/>
  <c r="K43"/>
  <c r="E43"/>
  <c r="N43" s="1"/>
  <c r="V42"/>
  <c r="T42"/>
  <c r="M42"/>
  <c r="E42"/>
  <c r="K42" s="1"/>
  <c r="V41"/>
  <c r="T41"/>
  <c r="M41"/>
  <c r="E41"/>
  <c r="K41" s="1"/>
  <c r="V40"/>
  <c r="T40"/>
  <c r="M40"/>
  <c r="E40"/>
  <c r="N40" s="1"/>
  <c r="V39"/>
  <c r="T39"/>
  <c r="N39"/>
  <c r="M39"/>
  <c r="S39" s="1"/>
  <c r="K39"/>
  <c r="V38"/>
  <c r="T38"/>
  <c r="N38"/>
  <c r="M38"/>
  <c r="K38"/>
  <c r="V37"/>
  <c r="T37"/>
  <c r="M37"/>
  <c r="E37"/>
  <c r="N37" s="1"/>
  <c r="V36"/>
  <c r="T36"/>
  <c r="M36"/>
  <c r="E36"/>
  <c r="K36" s="1"/>
  <c r="T35"/>
  <c r="N35"/>
  <c r="M35"/>
  <c r="L35"/>
  <c r="K35"/>
  <c r="G35"/>
  <c r="T34"/>
  <c r="R34"/>
  <c r="N34"/>
  <c r="M34"/>
  <c r="K34"/>
  <c r="G34"/>
  <c r="T33"/>
  <c r="N33"/>
  <c r="M33"/>
  <c r="K33"/>
  <c r="L33" s="1"/>
  <c r="G33"/>
  <c r="T32"/>
  <c r="R32"/>
  <c r="Q32"/>
  <c r="P32"/>
  <c r="O32"/>
  <c r="N32"/>
  <c r="M32"/>
  <c r="J32"/>
  <c r="I32"/>
  <c r="H32"/>
  <c r="F32"/>
  <c r="F45" s="1"/>
  <c r="T31"/>
  <c r="R31"/>
  <c r="Q31"/>
  <c r="P31"/>
  <c r="O31"/>
  <c r="N31"/>
  <c r="M31"/>
  <c r="J31"/>
  <c r="I31"/>
  <c r="H31"/>
  <c r="G31"/>
  <c r="V31" s="1"/>
  <c r="T30"/>
  <c r="R30"/>
  <c r="Q30"/>
  <c r="P30"/>
  <c r="O30"/>
  <c r="N30"/>
  <c r="M30"/>
  <c r="J30"/>
  <c r="I30"/>
  <c r="H30"/>
  <c r="G30"/>
  <c r="V30" s="1"/>
  <c r="T29"/>
  <c r="R29"/>
  <c r="Q29"/>
  <c r="P29"/>
  <c r="O29"/>
  <c r="N29"/>
  <c r="M29"/>
  <c r="J29"/>
  <c r="I29"/>
  <c r="H29"/>
  <c r="G29"/>
  <c r="V29" s="1"/>
  <c r="T28"/>
  <c r="R28"/>
  <c r="P28"/>
  <c r="N28"/>
  <c r="M28"/>
  <c r="J28"/>
  <c r="I28"/>
  <c r="H28"/>
  <c r="T27"/>
  <c r="R27"/>
  <c r="Q27"/>
  <c r="P27"/>
  <c r="N27"/>
  <c r="M27"/>
  <c r="J27"/>
  <c r="I27"/>
  <c r="H27"/>
  <c r="G27"/>
  <c r="V27" s="1"/>
  <c r="T26"/>
  <c r="R26"/>
  <c r="Q26"/>
  <c r="P26"/>
  <c r="O26"/>
  <c r="N26"/>
  <c r="M26"/>
  <c r="J26"/>
  <c r="I26"/>
  <c r="H26"/>
  <c r="G26"/>
  <c r="V26" s="1"/>
  <c r="T25"/>
  <c r="R25"/>
  <c r="Q25"/>
  <c r="P25"/>
  <c r="O25"/>
  <c r="N25"/>
  <c r="M25"/>
  <c r="J25"/>
  <c r="I25"/>
  <c r="H25"/>
  <c r="G25"/>
  <c r="V25" s="1"/>
  <c r="T24"/>
  <c r="R24"/>
  <c r="Q24"/>
  <c r="P24"/>
  <c r="N24"/>
  <c r="M24"/>
  <c r="J24"/>
  <c r="I24"/>
  <c r="H24"/>
  <c r="G24"/>
  <c r="V24" s="1"/>
  <c r="T23"/>
  <c r="R23"/>
  <c r="Q23"/>
  <c r="P23"/>
  <c r="O23"/>
  <c r="N23"/>
  <c r="M23"/>
  <c r="J23"/>
  <c r="I23"/>
  <c r="H23"/>
  <c r="G23"/>
  <c r="V23" s="1"/>
  <c r="T22"/>
  <c r="R22"/>
  <c r="Q22"/>
  <c r="P22"/>
  <c r="N22"/>
  <c r="M22"/>
  <c r="J22"/>
  <c r="I22"/>
  <c r="H22"/>
  <c r="G22"/>
  <c r="V22" s="1"/>
  <c r="T21"/>
  <c r="R21"/>
  <c r="Q21"/>
  <c r="P21"/>
  <c r="N21"/>
  <c r="M21"/>
  <c r="J21"/>
  <c r="I21"/>
  <c r="H21"/>
  <c r="G21"/>
  <c r="V21" s="1"/>
  <c r="T20"/>
  <c r="R20"/>
  <c r="Q20"/>
  <c r="P20"/>
  <c r="N20"/>
  <c r="M20"/>
  <c r="J20"/>
  <c r="I20"/>
  <c r="H20"/>
  <c r="G20"/>
  <c r="V20" s="1"/>
  <c r="T19"/>
  <c r="R19"/>
  <c r="Q19"/>
  <c r="P19"/>
  <c r="N19"/>
  <c r="M19"/>
  <c r="J19"/>
  <c r="I19"/>
  <c r="H19"/>
  <c r="G19"/>
  <c r="V19" s="1"/>
  <c r="T18"/>
  <c r="R18"/>
  <c r="Q18"/>
  <c r="P18"/>
  <c r="O18"/>
  <c r="N18"/>
  <c r="M18"/>
  <c r="J18"/>
  <c r="I18"/>
  <c r="H18"/>
  <c r="G18"/>
  <c r="V18" s="1"/>
  <c r="T17"/>
  <c r="R17"/>
  <c r="Q17"/>
  <c r="P17"/>
  <c r="N17"/>
  <c r="M17"/>
  <c r="J17"/>
  <c r="I17"/>
  <c r="H17"/>
  <c r="G17"/>
  <c r="V17" s="1"/>
  <c r="V16"/>
  <c r="T16"/>
  <c r="R16"/>
  <c r="N16"/>
  <c r="M16"/>
  <c r="S16" s="1"/>
  <c r="J16"/>
  <c r="I16"/>
  <c r="H16"/>
  <c r="T15"/>
  <c r="R15"/>
  <c r="Q15"/>
  <c r="P15"/>
  <c r="N15"/>
  <c r="M15"/>
  <c r="J15"/>
  <c r="I15"/>
  <c r="H15"/>
  <c r="G15"/>
  <c r="V15" s="1"/>
  <c r="T14"/>
  <c r="R14"/>
  <c r="Q14"/>
  <c r="P14"/>
  <c r="N14"/>
  <c r="M14"/>
  <c r="J14"/>
  <c r="I14"/>
  <c r="H14"/>
  <c r="G14"/>
  <c r="V14" s="1"/>
  <c r="T13"/>
  <c r="R13"/>
  <c r="Q13"/>
  <c r="P13"/>
  <c r="N13"/>
  <c r="M13"/>
  <c r="J13"/>
  <c r="I13"/>
  <c r="H13"/>
  <c r="G13"/>
  <c r="V13" s="1"/>
  <c r="T12"/>
  <c r="R12"/>
  <c r="Q12"/>
  <c r="P12"/>
  <c r="N12"/>
  <c r="M12"/>
  <c r="J12"/>
  <c r="I12"/>
  <c r="H12"/>
  <c r="G12"/>
  <c r="V12" s="1"/>
  <c r="T11"/>
  <c r="R11"/>
  <c r="Q11"/>
  <c r="P11"/>
  <c r="N11"/>
  <c r="M11"/>
  <c r="J11"/>
  <c r="I11"/>
  <c r="H11"/>
  <c r="G11"/>
  <c r="V11" s="1"/>
  <c r="T10"/>
  <c r="R10"/>
  <c r="Q10"/>
  <c r="P10"/>
  <c r="N10"/>
  <c r="M10"/>
  <c r="J10"/>
  <c r="I10"/>
  <c r="H10"/>
  <c r="G10"/>
  <c r="V10" s="1"/>
  <c r="T9"/>
  <c r="R9"/>
  <c r="Q9"/>
  <c r="P9"/>
  <c r="N9"/>
  <c r="M9"/>
  <c r="J9"/>
  <c r="I9"/>
  <c r="H9"/>
  <c r="G9"/>
  <c r="V9" s="1"/>
  <c r="V8"/>
  <c r="T8"/>
  <c r="R8"/>
  <c r="P8"/>
  <c r="N8"/>
  <c r="M8"/>
  <c r="J8"/>
  <c r="I8"/>
  <c r="H8"/>
  <c r="V7"/>
  <c r="R7"/>
  <c r="Q7"/>
  <c r="P7"/>
  <c r="N7"/>
  <c r="M7"/>
  <c r="J7"/>
  <c r="I7"/>
  <c r="H7"/>
  <c r="G7"/>
  <c r="C7"/>
  <c r="C45" s="1"/>
  <c r="K10" l="1"/>
  <c r="L10" s="1"/>
  <c r="S38"/>
  <c r="U38" s="1"/>
  <c r="S28"/>
  <c r="L39"/>
  <c r="L34"/>
  <c r="S35"/>
  <c r="U35" s="1"/>
  <c r="K37"/>
  <c r="L37" s="1"/>
  <c r="L38"/>
  <c r="K40"/>
  <c r="L40" s="1"/>
  <c r="S34"/>
  <c r="U34" s="1"/>
  <c r="S33"/>
  <c r="U33" s="1"/>
  <c r="D7"/>
  <c r="D45" s="1"/>
  <c r="S43"/>
  <c r="U43" s="1"/>
  <c r="R45"/>
  <c r="S23"/>
  <c r="K25"/>
  <c r="K28"/>
  <c r="L28" s="1"/>
  <c r="K16"/>
  <c r="U16" s="1"/>
  <c r="S25"/>
  <c r="J45"/>
  <c r="J46" s="1"/>
  <c r="K12"/>
  <c r="L12" s="1"/>
  <c r="P45"/>
  <c r="K8"/>
  <c r="L8" s="1"/>
  <c r="Q45"/>
  <c r="K19"/>
  <c r="L19" s="1"/>
  <c r="S19"/>
  <c r="K7"/>
  <c r="L7" s="1"/>
  <c r="S8"/>
  <c r="S10"/>
  <c r="K17"/>
  <c r="L17" s="1"/>
  <c r="K22"/>
  <c r="L22" s="1"/>
  <c r="T45"/>
  <c r="K11"/>
  <c r="L11" s="1"/>
  <c r="S11"/>
  <c r="S12"/>
  <c r="K14"/>
  <c r="L14" s="1"/>
  <c r="S17"/>
  <c r="U17" s="1"/>
  <c r="K23"/>
  <c r="K26"/>
  <c r="L26" s="1"/>
  <c r="K30"/>
  <c r="L30" s="1"/>
  <c r="K31"/>
  <c r="L31" s="1"/>
  <c r="H45"/>
  <c r="H46" s="1"/>
  <c r="S9"/>
  <c r="S14"/>
  <c r="K15"/>
  <c r="L15" s="1"/>
  <c r="S15"/>
  <c r="O45"/>
  <c r="O47" s="1"/>
  <c r="K20"/>
  <c r="L20" s="1"/>
  <c r="K24"/>
  <c r="L24" s="1"/>
  <c r="S26"/>
  <c r="K27"/>
  <c r="L27" s="1"/>
  <c r="K29"/>
  <c r="L29" s="1"/>
  <c r="U39"/>
  <c r="G45"/>
  <c r="G46" s="1"/>
  <c r="K13"/>
  <c r="L13" s="1"/>
  <c r="S13"/>
  <c r="K18"/>
  <c r="L18" s="1"/>
  <c r="S20"/>
  <c r="K21"/>
  <c r="L21" s="1"/>
  <c r="S21"/>
  <c r="S22"/>
  <c r="S24"/>
  <c r="S27"/>
  <c r="S29"/>
  <c r="S30"/>
  <c r="S31"/>
  <c r="S32"/>
  <c r="S37"/>
  <c r="U37" s="1"/>
  <c r="S40"/>
  <c r="U10"/>
  <c r="L36"/>
  <c r="L41"/>
  <c r="L42"/>
  <c r="V45"/>
  <c r="N41"/>
  <c r="S41" s="1"/>
  <c r="U41" s="1"/>
  <c r="E45"/>
  <c r="M45"/>
  <c r="M46" s="1"/>
  <c r="S7"/>
  <c r="K9"/>
  <c r="S18"/>
  <c r="K32"/>
  <c r="N36"/>
  <c r="S36" s="1"/>
  <c r="U36" s="1"/>
  <c r="N42"/>
  <c r="S42" s="1"/>
  <c r="U42" s="1"/>
  <c r="L44"/>
  <c r="I45"/>
  <c r="U40" l="1"/>
  <c r="L16"/>
  <c r="U30"/>
  <c r="U12"/>
  <c r="U28"/>
  <c r="U25"/>
  <c r="U14"/>
  <c r="U19"/>
  <c r="U23"/>
  <c r="L25"/>
  <c r="U8"/>
  <c r="U24"/>
  <c r="U29"/>
  <c r="U22"/>
  <c r="U15"/>
  <c r="U26"/>
  <c r="U27"/>
  <c r="U31"/>
  <c r="U18"/>
  <c r="K45"/>
  <c r="U21"/>
  <c r="U13"/>
  <c r="L23"/>
  <c r="U11"/>
  <c r="U20"/>
  <c r="L32"/>
  <c r="U32"/>
  <c r="U7"/>
  <c r="S45"/>
  <c r="N45"/>
  <c r="U9"/>
  <c r="L9"/>
  <c r="E46"/>
  <c r="E47"/>
  <c r="L45" l="1"/>
  <c r="U45"/>
  <c r="U46" s="1"/>
  <c r="V44" i="2" l="1"/>
  <c r="E44"/>
  <c r="N44" s="1"/>
  <c r="S44" s="1"/>
  <c r="V43"/>
  <c r="T43"/>
  <c r="M43"/>
  <c r="E43"/>
  <c r="N43" s="1"/>
  <c r="V42"/>
  <c r="T42"/>
  <c r="M42"/>
  <c r="E42"/>
  <c r="K42" s="1"/>
  <c r="V41"/>
  <c r="T41"/>
  <c r="M41"/>
  <c r="E41"/>
  <c r="N41" s="1"/>
  <c r="V40"/>
  <c r="T40"/>
  <c r="M40"/>
  <c r="E40"/>
  <c r="N40" s="1"/>
  <c r="V39"/>
  <c r="T39"/>
  <c r="N39"/>
  <c r="M39"/>
  <c r="K39"/>
  <c r="V38"/>
  <c r="T38"/>
  <c r="N38"/>
  <c r="M38"/>
  <c r="K38"/>
  <c r="V37"/>
  <c r="T37"/>
  <c r="M37"/>
  <c r="E37"/>
  <c r="N37" s="1"/>
  <c r="V36"/>
  <c r="T36"/>
  <c r="M36"/>
  <c r="E36"/>
  <c r="K36" s="1"/>
  <c r="T35"/>
  <c r="N35"/>
  <c r="M35"/>
  <c r="K35"/>
  <c r="G35"/>
  <c r="T34"/>
  <c r="R34"/>
  <c r="N34"/>
  <c r="M34"/>
  <c r="K34"/>
  <c r="L34" s="1"/>
  <c r="G34"/>
  <c r="T33"/>
  <c r="N33"/>
  <c r="M33"/>
  <c r="S33" s="1"/>
  <c r="K33"/>
  <c r="G33"/>
  <c r="T32"/>
  <c r="R32"/>
  <c r="Q32"/>
  <c r="P32"/>
  <c r="O32"/>
  <c r="N32"/>
  <c r="M32"/>
  <c r="J32"/>
  <c r="I32"/>
  <c r="H32"/>
  <c r="F32"/>
  <c r="F45" s="1"/>
  <c r="T31"/>
  <c r="R31"/>
  <c r="Q31"/>
  <c r="P31"/>
  <c r="O31"/>
  <c r="N31"/>
  <c r="M31"/>
  <c r="J31"/>
  <c r="I31"/>
  <c r="H31"/>
  <c r="G31"/>
  <c r="V31" s="1"/>
  <c r="T30"/>
  <c r="R30"/>
  <c r="Q30"/>
  <c r="P30"/>
  <c r="O30"/>
  <c r="N30"/>
  <c r="M30"/>
  <c r="J30"/>
  <c r="I30"/>
  <c r="H30"/>
  <c r="G30"/>
  <c r="V30" s="1"/>
  <c r="T29"/>
  <c r="R29"/>
  <c r="Q29"/>
  <c r="P29"/>
  <c r="O29"/>
  <c r="N29"/>
  <c r="M29"/>
  <c r="J29"/>
  <c r="I29"/>
  <c r="H29"/>
  <c r="G29"/>
  <c r="V29" s="1"/>
  <c r="T28"/>
  <c r="R28"/>
  <c r="P28"/>
  <c r="N28"/>
  <c r="M28"/>
  <c r="J28"/>
  <c r="I28"/>
  <c r="H28"/>
  <c r="T27"/>
  <c r="R27"/>
  <c r="Q27"/>
  <c r="P27"/>
  <c r="N27"/>
  <c r="M27"/>
  <c r="J27"/>
  <c r="I27"/>
  <c r="H27"/>
  <c r="G27"/>
  <c r="V27" s="1"/>
  <c r="T26"/>
  <c r="R26"/>
  <c r="Q26"/>
  <c r="P26"/>
  <c r="O26"/>
  <c r="N26"/>
  <c r="M26"/>
  <c r="J26"/>
  <c r="I26"/>
  <c r="H26"/>
  <c r="G26"/>
  <c r="V26" s="1"/>
  <c r="T25"/>
  <c r="R25"/>
  <c r="Q25"/>
  <c r="P25"/>
  <c r="O25"/>
  <c r="N25"/>
  <c r="M25"/>
  <c r="J25"/>
  <c r="I25"/>
  <c r="H25"/>
  <c r="G25"/>
  <c r="V25" s="1"/>
  <c r="T24"/>
  <c r="R24"/>
  <c r="Q24"/>
  <c r="P24"/>
  <c r="N24"/>
  <c r="M24"/>
  <c r="J24"/>
  <c r="I24"/>
  <c r="H24"/>
  <c r="G24"/>
  <c r="V24" s="1"/>
  <c r="T23"/>
  <c r="R23"/>
  <c r="Q23"/>
  <c r="P23"/>
  <c r="O23"/>
  <c r="N23"/>
  <c r="M23"/>
  <c r="J23"/>
  <c r="I23"/>
  <c r="H23"/>
  <c r="G23"/>
  <c r="V23" s="1"/>
  <c r="T22"/>
  <c r="R22"/>
  <c r="Q22"/>
  <c r="P22"/>
  <c r="N22"/>
  <c r="M22"/>
  <c r="J22"/>
  <c r="I22"/>
  <c r="H22"/>
  <c r="G22"/>
  <c r="V22" s="1"/>
  <c r="T21"/>
  <c r="R21"/>
  <c r="Q21"/>
  <c r="P21"/>
  <c r="N21"/>
  <c r="M21"/>
  <c r="J21"/>
  <c r="I21"/>
  <c r="H21"/>
  <c r="G21"/>
  <c r="V21" s="1"/>
  <c r="T20"/>
  <c r="R20"/>
  <c r="Q20"/>
  <c r="P20"/>
  <c r="N20"/>
  <c r="M20"/>
  <c r="J20"/>
  <c r="I20"/>
  <c r="H20"/>
  <c r="G20"/>
  <c r="V20" s="1"/>
  <c r="T19"/>
  <c r="R19"/>
  <c r="Q19"/>
  <c r="P19"/>
  <c r="N19"/>
  <c r="M19"/>
  <c r="J19"/>
  <c r="I19"/>
  <c r="H19"/>
  <c r="G19"/>
  <c r="V19" s="1"/>
  <c r="T18"/>
  <c r="R18"/>
  <c r="Q18"/>
  <c r="P18"/>
  <c r="O18"/>
  <c r="N18"/>
  <c r="M18"/>
  <c r="J18"/>
  <c r="I18"/>
  <c r="H18"/>
  <c r="G18"/>
  <c r="V18" s="1"/>
  <c r="T17"/>
  <c r="R17"/>
  <c r="Q17"/>
  <c r="P17"/>
  <c r="N17"/>
  <c r="M17"/>
  <c r="J17"/>
  <c r="I17"/>
  <c r="H17"/>
  <c r="G17"/>
  <c r="V17" s="1"/>
  <c r="V16"/>
  <c r="T16"/>
  <c r="R16"/>
  <c r="N16"/>
  <c r="M16"/>
  <c r="J16"/>
  <c r="I16"/>
  <c r="H16"/>
  <c r="T15"/>
  <c r="R15"/>
  <c r="Q15"/>
  <c r="P15"/>
  <c r="N15"/>
  <c r="M15"/>
  <c r="J15"/>
  <c r="I15"/>
  <c r="H15"/>
  <c r="G15"/>
  <c r="V15" s="1"/>
  <c r="T14"/>
  <c r="R14"/>
  <c r="Q14"/>
  <c r="P14"/>
  <c r="N14"/>
  <c r="M14"/>
  <c r="J14"/>
  <c r="I14"/>
  <c r="H14"/>
  <c r="G14"/>
  <c r="V14" s="1"/>
  <c r="T13"/>
  <c r="R13"/>
  <c r="Q13"/>
  <c r="P13"/>
  <c r="N13"/>
  <c r="M13"/>
  <c r="J13"/>
  <c r="I13"/>
  <c r="H13"/>
  <c r="G13"/>
  <c r="V13" s="1"/>
  <c r="T12"/>
  <c r="R12"/>
  <c r="Q12"/>
  <c r="P12"/>
  <c r="N12"/>
  <c r="M12"/>
  <c r="J12"/>
  <c r="I12"/>
  <c r="H12"/>
  <c r="G12"/>
  <c r="V12" s="1"/>
  <c r="T11"/>
  <c r="R11"/>
  <c r="Q11"/>
  <c r="P11"/>
  <c r="N11"/>
  <c r="M11"/>
  <c r="J11"/>
  <c r="I11"/>
  <c r="H11"/>
  <c r="G11"/>
  <c r="V11" s="1"/>
  <c r="T10"/>
  <c r="R10"/>
  <c r="Q10"/>
  <c r="P10"/>
  <c r="N10"/>
  <c r="M10"/>
  <c r="J10"/>
  <c r="I10"/>
  <c r="H10"/>
  <c r="G10"/>
  <c r="V10" s="1"/>
  <c r="T9"/>
  <c r="R9"/>
  <c r="Q9"/>
  <c r="P9"/>
  <c r="N9"/>
  <c r="M9"/>
  <c r="J9"/>
  <c r="I9"/>
  <c r="H9"/>
  <c r="G9"/>
  <c r="V9" s="1"/>
  <c r="V8"/>
  <c r="T8"/>
  <c r="R8"/>
  <c r="P8"/>
  <c r="N8"/>
  <c r="M8"/>
  <c r="J8"/>
  <c r="I8"/>
  <c r="H8"/>
  <c r="V7"/>
  <c r="R7"/>
  <c r="Q7"/>
  <c r="P7"/>
  <c r="N7"/>
  <c r="M7"/>
  <c r="J7"/>
  <c r="I7"/>
  <c r="H7"/>
  <c r="G7"/>
  <c r="C7"/>
  <c r="C45" s="1"/>
  <c r="L38" l="1"/>
  <c r="K44"/>
  <c r="U44" s="1"/>
  <c r="L33"/>
  <c r="S38"/>
  <c r="O45"/>
  <c r="O47" s="1"/>
  <c r="K20"/>
  <c r="S20"/>
  <c r="U38"/>
  <c r="L39"/>
  <c r="K8"/>
  <c r="L8" s="1"/>
  <c r="K11"/>
  <c r="L11" s="1"/>
  <c r="K30"/>
  <c r="L30" s="1"/>
  <c r="K15"/>
  <c r="L15" s="1"/>
  <c r="K29"/>
  <c r="K31"/>
  <c r="L31" s="1"/>
  <c r="S7"/>
  <c r="K10"/>
  <c r="L10" s="1"/>
  <c r="K17"/>
  <c r="L17" s="1"/>
  <c r="S17"/>
  <c r="S19"/>
  <c r="S40"/>
  <c r="H45"/>
  <c r="H46" s="1"/>
  <c r="K9"/>
  <c r="L9" s="1"/>
  <c r="S41"/>
  <c r="K21"/>
  <c r="S21"/>
  <c r="K23"/>
  <c r="L23" s="1"/>
  <c r="K28"/>
  <c r="K40"/>
  <c r="L40" s="1"/>
  <c r="G45"/>
  <c r="G46" s="1"/>
  <c r="S9"/>
  <c r="S11"/>
  <c r="K24"/>
  <c r="S28"/>
  <c r="S34"/>
  <c r="U34" s="1"/>
  <c r="D7"/>
  <c r="D45" s="1"/>
  <c r="Q45"/>
  <c r="S13"/>
  <c r="K14"/>
  <c r="L14" s="1"/>
  <c r="S14"/>
  <c r="S15"/>
  <c r="U15" s="1"/>
  <c r="S16"/>
  <c r="K18"/>
  <c r="L18" s="1"/>
  <c r="K22"/>
  <c r="L22" s="1"/>
  <c r="S22"/>
  <c r="S24"/>
  <c r="K25"/>
  <c r="L25" s="1"/>
  <c r="K26"/>
  <c r="K27"/>
  <c r="S27"/>
  <c r="S32"/>
  <c r="S39"/>
  <c r="U39" s="1"/>
  <c r="K43"/>
  <c r="L43" s="1"/>
  <c r="L29"/>
  <c r="R45"/>
  <c r="K13"/>
  <c r="L13" s="1"/>
  <c r="K16"/>
  <c r="S23"/>
  <c r="S29"/>
  <c r="S30"/>
  <c r="U30" s="1"/>
  <c r="S31"/>
  <c r="L35"/>
  <c r="P45"/>
  <c r="S8"/>
  <c r="T45"/>
  <c r="I45"/>
  <c r="J45"/>
  <c r="J46" s="1"/>
  <c r="K12"/>
  <c r="L12" s="1"/>
  <c r="S12"/>
  <c r="S18"/>
  <c r="K19"/>
  <c r="L19" s="1"/>
  <c r="S25"/>
  <c r="S26"/>
  <c r="S35"/>
  <c r="U35" s="1"/>
  <c r="K37"/>
  <c r="L37" s="1"/>
  <c r="K41"/>
  <c r="L41" s="1"/>
  <c r="L44"/>
  <c r="L42"/>
  <c r="L36"/>
  <c r="V45"/>
  <c r="S43"/>
  <c r="U43" s="1"/>
  <c r="S37"/>
  <c r="U37" s="1"/>
  <c r="S10"/>
  <c r="K32"/>
  <c r="N36"/>
  <c r="S36" s="1"/>
  <c r="U36" s="1"/>
  <c r="N42"/>
  <c r="S42" s="1"/>
  <c r="U42" s="1"/>
  <c r="K7"/>
  <c r="E45"/>
  <c r="M45"/>
  <c r="M46" s="1"/>
  <c r="U33"/>
  <c r="U23" l="1"/>
  <c r="U29"/>
  <c r="U20"/>
  <c r="U31"/>
  <c r="U16"/>
  <c r="U27"/>
  <c r="U24"/>
  <c r="U21"/>
  <c r="L20"/>
  <c r="U18"/>
  <c r="U9"/>
  <c r="U17"/>
  <c r="U25"/>
  <c r="U8"/>
  <c r="U26"/>
  <c r="U14"/>
  <c r="U11"/>
  <c r="U28"/>
  <c r="U19"/>
  <c r="L28"/>
  <c r="U10"/>
  <c r="U12"/>
  <c r="L21"/>
  <c r="U40"/>
  <c r="U41"/>
  <c r="L26"/>
  <c r="U22"/>
  <c r="L24"/>
  <c r="L27"/>
  <c r="U13"/>
  <c r="N45"/>
  <c r="L16"/>
  <c r="K45"/>
  <c r="L7"/>
  <c r="L32"/>
  <c r="U32"/>
  <c r="E46"/>
  <c r="E47"/>
  <c r="S45"/>
  <c r="L45" l="1"/>
  <c r="U7"/>
  <c r="U45" s="1"/>
  <c r="U46" s="1"/>
  <c r="V45" i="1" l="1"/>
  <c r="K45"/>
  <c r="U45" s="1"/>
  <c r="E45"/>
  <c r="N45" s="1"/>
  <c r="S45" s="1"/>
  <c r="V44"/>
  <c r="T44"/>
  <c r="M44"/>
  <c r="S44" s="1"/>
  <c r="E44"/>
  <c r="N44" s="1"/>
  <c r="V43"/>
  <c r="T43"/>
  <c r="M43"/>
  <c r="E43"/>
  <c r="K43" s="1"/>
  <c r="V42"/>
  <c r="T42"/>
  <c r="M42"/>
  <c r="L42"/>
  <c r="K42"/>
  <c r="E42"/>
  <c r="N42" s="1"/>
  <c r="V41"/>
  <c r="T41"/>
  <c r="M41"/>
  <c r="E41"/>
  <c r="N41" s="1"/>
  <c r="V40"/>
  <c r="T40"/>
  <c r="N40"/>
  <c r="M40"/>
  <c r="S40" s="1"/>
  <c r="K40"/>
  <c r="V39"/>
  <c r="T39"/>
  <c r="N39"/>
  <c r="M39"/>
  <c r="S39" s="1"/>
  <c r="K39"/>
  <c r="V38"/>
  <c r="T38"/>
  <c r="M38"/>
  <c r="E38"/>
  <c r="K38" s="1"/>
  <c r="V37"/>
  <c r="T37"/>
  <c r="M37"/>
  <c r="K37"/>
  <c r="E37"/>
  <c r="N37" s="1"/>
  <c r="T36"/>
  <c r="N36"/>
  <c r="M36"/>
  <c r="S36" s="1"/>
  <c r="K36"/>
  <c r="L36" s="1"/>
  <c r="G36"/>
  <c r="T35"/>
  <c r="R35"/>
  <c r="N35"/>
  <c r="M35"/>
  <c r="S35" s="1"/>
  <c r="L35"/>
  <c r="K35"/>
  <c r="G35"/>
  <c r="T34"/>
  <c r="R34"/>
  <c r="N34"/>
  <c r="M34"/>
  <c r="S34" s="1"/>
  <c r="L34"/>
  <c r="K34"/>
  <c r="G34"/>
  <c r="T33"/>
  <c r="N33"/>
  <c r="M33"/>
  <c r="S33" s="1"/>
  <c r="U33" s="1"/>
  <c r="L33"/>
  <c r="K33"/>
  <c r="G33"/>
  <c r="T32"/>
  <c r="R32"/>
  <c r="Q32"/>
  <c r="P32"/>
  <c r="O32"/>
  <c r="N32"/>
  <c r="M32"/>
  <c r="J32"/>
  <c r="I32"/>
  <c r="H32"/>
  <c r="F32"/>
  <c r="T31"/>
  <c r="R31"/>
  <c r="Q31"/>
  <c r="P31"/>
  <c r="O31"/>
  <c r="N31"/>
  <c r="M31"/>
  <c r="J31"/>
  <c r="I31"/>
  <c r="H31"/>
  <c r="G31"/>
  <c r="V31" s="1"/>
  <c r="T30"/>
  <c r="R30"/>
  <c r="Q30"/>
  <c r="P30"/>
  <c r="O30"/>
  <c r="N30"/>
  <c r="M30"/>
  <c r="J30"/>
  <c r="I30"/>
  <c r="H30"/>
  <c r="G30"/>
  <c r="V30" s="1"/>
  <c r="T29"/>
  <c r="R29"/>
  <c r="Q29"/>
  <c r="P29"/>
  <c r="O29"/>
  <c r="N29"/>
  <c r="M29"/>
  <c r="J29"/>
  <c r="I29"/>
  <c r="H29"/>
  <c r="G29"/>
  <c r="V29" s="1"/>
  <c r="T28"/>
  <c r="R28"/>
  <c r="P28"/>
  <c r="N28"/>
  <c r="M28"/>
  <c r="S28" s="1"/>
  <c r="J28"/>
  <c r="I28"/>
  <c r="H28"/>
  <c r="T27"/>
  <c r="R27"/>
  <c r="Q27"/>
  <c r="P27"/>
  <c r="N27"/>
  <c r="M27"/>
  <c r="J27"/>
  <c r="I27"/>
  <c r="H27"/>
  <c r="G27"/>
  <c r="V27" s="1"/>
  <c r="T26"/>
  <c r="R26"/>
  <c r="Q26"/>
  <c r="P26"/>
  <c r="O26"/>
  <c r="N26"/>
  <c r="M26"/>
  <c r="J26"/>
  <c r="I26"/>
  <c r="H26"/>
  <c r="G26"/>
  <c r="V26" s="1"/>
  <c r="T25"/>
  <c r="R25"/>
  <c r="Q25"/>
  <c r="P25"/>
  <c r="O25"/>
  <c r="N25"/>
  <c r="M25"/>
  <c r="J25"/>
  <c r="I25"/>
  <c r="H25"/>
  <c r="G25"/>
  <c r="V25" s="1"/>
  <c r="T24"/>
  <c r="R24"/>
  <c r="Q24"/>
  <c r="P24"/>
  <c r="N24"/>
  <c r="M24"/>
  <c r="J24"/>
  <c r="I24"/>
  <c r="H24"/>
  <c r="G24"/>
  <c r="V24" s="1"/>
  <c r="T23"/>
  <c r="R23"/>
  <c r="Q23"/>
  <c r="P23"/>
  <c r="O23"/>
  <c r="N23"/>
  <c r="M23"/>
  <c r="J23"/>
  <c r="I23"/>
  <c r="H23"/>
  <c r="G23"/>
  <c r="V23" s="1"/>
  <c r="T22"/>
  <c r="R22"/>
  <c r="Q22"/>
  <c r="P22"/>
  <c r="N22"/>
  <c r="M22"/>
  <c r="J22"/>
  <c r="I22"/>
  <c r="H22"/>
  <c r="G22"/>
  <c r="V22" s="1"/>
  <c r="T21"/>
  <c r="R21"/>
  <c r="Q21"/>
  <c r="P21"/>
  <c r="N21"/>
  <c r="M21"/>
  <c r="J21"/>
  <c r="I21"/>
  <c r="H21"/>
  <c r="G21"/>
  <c r="V21" s="1"/>
  <c r="T20"/>
  <c r="R20"/>
  <c r="Q20"/>
  <c r="P20"/>
  <c r="N20"/>
  <c r="M20"/>
  <c r="J20"/>
  <c r="I20"/>
  <c r="H20"/>
  <c r="G20"/>
  <c r="V20" s="1"/>
  <c r="T19"/>
  <c r="R19"/>
  <c r="Q19"/>
  <c r="P19"/>
  <c r="N19"/>
  <c r="M19"/>
  <c r="J19"/>
  <c r="I19"/>
  <c r="H19"/>
  <c r="G19"/>
  <c r="V19" s="1"/>
  <c r="T18"/>
  <c r="R18"/>
  <c r="Q18"/>
  <c r="P18"/>
  <c r="O18"/>
  <c r="N18"/>
  <c r="M18"/>
  <c r="J18"/>
  <c r="I18"/>
  <c r="H18"/>
  <c r="G18"/>
  <c r="V18" s="1"/>
  <c r="T17"/>
  <c r="R17"/>
  <c r="Q17"/>
  <c r="P17"/>
  <c r="N17"/>
  <c r="M17"/>
  <c r="J17"/>
  <c r="I17"/>
  <c r="H17"/>
  <c r="G17"/>
  <c r="V17" s="1"/>
  <c r="V16"/>
  <c r="T16"/>
  <c r="R16"/>
  <c r="N16"/>
  <c r="M16"/>
  <c r="S16" s="1"/>
  <c r="J16"/>
  <c r="I16"/>
  <c r="H16"/>
  <c r="T15"/>
  <c r="R15"/>
  <c r="Q15"/>
  <c r="P15"/>
  <c r="N15"/>
  <c r="M15"/>
  <c r="J15"/>
  <c r="I15"/>
  <c r="H15"/>
  <c r="G15"/>
  <c r="V15" s="1"/>
  <c r="T14"/>
  <c r="R14"/>
  <c r="Q14"/>
  <c r="P14"/>
  <c r="N14"/>
  <c r="M14"/>
  <c r="J14"/>
  <c r="I14"/>
  <c r="H14"/>
  <c r="G14"/>
  <c r="V14" s="1"/>
  <c r="T13"/>
  <c r="R13"/>
  <c r="Q13"/>
  <c r="P13"/>
  <c r="N13"/>
  <c r="M13"/>
  <c r="J13"/>
  <c r="I13"/>
  <c r="H13"/>
  <c r="G13"/>
  <c r="V13" s="1"/>
  <c r="T12"/>
  <c r="R12"/>
  <c r="Q12"/>
  <c r="P12"/>
  <c r="N12"/>
  <c r="M12"/>
  <c r="J12"/>
  <c r="I12"/>
  <c r="H12"/>
  <c r="G12"/>
  <c r="V12" s="1"/>
  <c r="T11"/>
  <c r="R11"/>
  <c r="Q11"/>
  <c r="P11"/>
  <c r="N11"/>
  <c r="M11"/>
  <c r="J11"/>
  <c r="I11"/>
  <c r="H11"/>
  <c r="G11"/>
  <c r="V11" s="1"/>
  <c r="T10"/>
  <c r="R10"/>
  <c r="Q10"/>
  <c r="P10"/>
  <c r="N10"/>
  <c r="M10"/>
  <c r="J10"/>
  <c r="I10"/>
  <c r="K10" s="1"/>
  <c r="H10"/>
  <c r="G10"/>
  <c r="V10" s="1"/>
  <c r="T9"/>
  <c r="R9"/>
  <c r="Q9"/>
  <c r="P9"/>
  <c r="N9"/>
  <c r="M9"/>
  <c r="J9"/>
  <c r="I9"/>
  <c r="H9"/>
  <c r="G9"/>
  <c r="V9" s="1"/>
  <c r="V8"/>
  <c r="T8"/>
  <c r="R8"/>
  <c r="P8"/>
  <c r="N8"/>
  <c r="M8"/>
  <c r="J8"/>
  <c r="I8"/>
  <c r="H8"/>
  <c r="V7"/>
  <c r="R7"/>
  <c r="Q7"/>
  <c r="P7"/>
  <c r="N7"/>
  <c r="M7"/>
  <c r="J7"/>
  <c r="I7"/>
  <c r="H7"/>
  <c r="G7"/>
  <c r="C7"/>
  <c r="C46" s="1"/>
  <c r="L40" l="1"/>
  <c r="L10"/>
  <c r="S15"/>
  <c r="K9"/>
  <c r="S9"/>
  <c r="K19"/>
  <c r="L19" s="1"/>
  <c r="K23"/>
  <c r="L23" s="1"/>
  <c r="S21"/>
  <c r="S24"/>
  <c r="S30"/>
  <c r="H46"/>
  <c r="H47" s="1"/>
  <c r="S7"/>
  <c r="S8"/>
  <c r="T46"/>
  <c r="S10"/>
  <c r="U10" s="1"/>
  <c r="K13"/>
  <c r="L13" s="1"/>
  <c r="K18"/>
  <c r="L18" s="1"/>
  <c r="U40"/>
  <c r="S42"/>
  <c r="U42" s="1"/>
  <c r="K24"/>
  <c r="L24" s="1"/>
  <c r="K27"/>
  <c r="L27" s="1"/>
  <c r="K31"/>
  <c r="K8"/>
  <c r="L8" s="1"/>
  <c r="K16"/>
  <c r="L16" s="1"/>
  <c r="K22"/>
  <c r="L22" s="1"/>
  <c r="S22"/>
  <c r="S27"/>
  <c r="S31"/>
  <c r="S37"/>
  <c r="U37" s="1"/>
  <c r="R46"/>
  <c r="K14"/>
  <c r="L14" s="1"/>
  <c r="K20"/>
  <c r="L20" s="1"/>
  <c r="U35"/>
  <c r="D7"/>
  <c r="D46" s="1"/>
  <c r="J46"/>
  <c r="J47" s="1"/>
  <c r="Q46"/>
  <c r="K11"/>
  <c r="L11" s="1"/>
  <c r="S14"/>
  <c r="O46"/>
  <c r="O48" s="1"/>
  <c r="S20"/>
  <c r="K25"/>
  <c r="L25" s="1"/>
  <c r="S26"/>
  <c r="K28"/>
  <c r="L28" s="1"/>
  <c r="K29"/>
  <c r="L29" s="1"/>
  <c r="K32"/>
  <c r="L32" s="1"/>
  <c r="S32"/>
  <c r="U39"/>
  <c r="G46"/>
  <c r="G47" s="1"/>
  <c r="M46"/>
  <c r="M47" s="1"/>
  <c r="S25"/>
  <c r="I46"/>
  <c r="P46"/>
  <c r="S11"/>
  <c r="K12"/>
  <c r="L12" s="1"/>
  <c r="S12"/>
  <c r="S13"/>
  <c r="K15"/>
  <c r="L15" s="1"/>
  <c r="K17"/>
  <c r="L17" s="1"/>
  <c r="S17"/>
  <c r="S19"/>
  <c r="K21"/>
  <c r="L21" s="1"/>
  <c r="S23"/>
  <c r="K26"/>
  <c r="L26" s="1"/>
  <c r="S29"/>
  <c r="K30"/>
  <c r="L30" s="1"/>
  <c r="L37"/>
  <c r="L39"/>
  <c r="L38"/>
  <c r="L43"/>
  <c r="S38"/>
  <c r="U38" s="1"/>
  <c r="V46"/>
  <c r="U34"/>
  <c r="S41"/>
  <c r="L45"/>
  <c r="F46"/>
  <c r="S18"/>
  <c r="U36"/>
  <c r="K41"/>
  <c r="E46"/>
  <c r="N38"/>
  <c r="N46" s="1"/>
  <c r="N43"/>
  <c r="S43" s="1"/>
  <c r="U43" s="1"/>
  <c r="K7"/>
  <c r="K44"/>
  <c r="U19" l="1"/>
  <c r="U23"/>
  <c r="U28"/>
  <c r="U8"/>
  <c r="U17"/>
  <c r="U20"/>
  <c r="U9"/>
  <c r="U29"/>
  <c r="U13"/>
  <c r="L9"/>
  <c r="U31"/>
  <c r="U16"/>
  <c r="U12"/>
  <c r="U18"/>
  <c r="U22"/>
  <c r="U27"/>
  <c r="U14"/>
  <c r="U32"/>
  <c r="U26"/>
  <c r="U24"/>
  <c r="L31"/>
  <c r="U21"/>
  <c r="U15"/>
  <c r="U25"/>
  <c r="U30"/>
  <c r="U11"/>
  <c r="L41"/>
  <c r="U41"/>
  <c r="K46"/>
  <c r="L7"/>
  <c r="E47"/>
  <c r="E48"/>
  <c r="L44"/>
  <c r="U44"/>
  <c r="S46"/>
  <c r="L46" l="1"/>
  <c r="U7"/>
  <c r="U46" s="1"/>
  <c r="U47" s="1"/>
</calcChain>
</file>

<file path=xl/sharedStrings.xml><?xml version="1.0" encoding="utf-8"?>
<sst xmlns="http://schemas.openxmlformats.org/spreadsheetml/2006/main" count="2746" uniqueCount="179">
  <si>
    <t>5 años</t>
  </si>
  <si>
    <t>6 años</t>
  </si>
  <si>
    <t>INSTITUTO TECNOLOGICO SUPERIOR DE MASCOTA</t>
  </si>
  <si>
    <t>NOMINA ADMINISTRATIVOS 01-15 DE ENERO DEL 2015</t>
  </si>
  <si>
    <t>CODIGO INTERNO</t>
  </si>
  <si>
    <t>NOMBRE DEL EMPLEADO</t>
  </si>
  <si>
    <t>DIAS TRABAJADOS</t>
  </si>
  <si>
    <t>SALARIO DIARIO</t>
  </si>
  <si>
    <t>SUELDO ACTUAL</t>
  </si>
  <si>
    <t>HOMOLOGACION SALARIAL</t>
  </si>
  <si>
    <t xml:space="preserve">DESPENSA </t>
  </si>
  <si>
    <t>GUARDERIA</t>
  </si>
  <si>
    <t>*OTRAS GRAV Pasaje</t>
  </si>
  <si>
    <r>
      <rPr>
        <b/>
        <sz val="8"/>
        <rFont val="Arial"/>
        <family val="2"/>
      </rPr>
      <t>*PRIMA DE ANTIGÜEDAD (QUINQUENIO)</t>
    </r>
    <r>
      <rPr>
        <b/>
        <sz val="9"/>
        <rFont val="Arial"/>
        <family val="2"/>
      </rPr>
      <t xml:space="preserve">  </t>
    </r>
  </si>
  <si>
    <t>TOTAL PERCEP. GRAVADAS</t>
  </si>
  <si>
    <t>TOTAL PERCEPCION</t>
  </si>
  <si>
    <t>ISPT</t>
  </si>
  <si>
    <t>APORTACIÓN A PENSIONES</t>
  </si>
  <si>
    <t>Prestamo pensiones)</t>
  </si>
  <si>
    <t>Inasistencia</t>
  </si>
  <si>
    <t>Deduccion por convenio</t>
  </si>
  <si>
    <t xml:space="preserve">Aportación Sindical </t>
  </si>
  <si>
    <t>TOTAL DEDUCCIÓN</t>
  </si>
  <si>
    <t>SUBSIDIO AL EMPLEO. PAGAR</t>
  </si>
  <si>
    <t>TOTAL A PAGAR EN EFECTIVO</t>
  </si>
  <si>
    <t>TOTAL VALES DE DESPENSA</t>
  </si>
  <si>
    <t>FIRMA DEL EMPLEADO</t>
  </si>
  <si>
    <t>ITSM-AD-040</t>
  </si>
  <si>
    <t>SANCHEZ GONZALEZ GILDARDO</t>
  </si>
  <si>
    <t>ITSM-AD-008</t>
  </si>
  <si>
    <t>LUNA OLEA MARIA VIDAL</t>
  </si>
  <si>
    <t>ITSM-AD-007</t>
  </si>
  <si>
    <t>HERNANDEZ SANDOVAL ARMANDO</t>
  </si>
  <si>
    <t>ITSM-AD-005</t>
  </si>
  <si>
    <t>DE LA CRUZ PEÑA ANA GABRIELA</t>
  </si>
  <si>
    <t>ITSM-AD-006</t>
  </si>
  <si>
    <t>DE SANTIAGO CHAVEZ ESTEBAN</t>
  </si>
  <si>
    <t>ITSM-AD-011</t>
  </si>
  <si>
    <t>RUBIO GRADILLA CLAUDIA ELIZABETH</t>
  </si>
  <si>
    <t>ITSM-AD-004</t>
  </si>
  <si>
    <t>ARANGO CHAVEZ JOSE DE JESUS</t>
  </si>
  <si>
    <t>ITSM-AD-013</t>
  </si>
  <si>
    <t>BELTRAN DE LA CRUZ DOLORES EFRAIN</t>
  </si>
  <si>
    <t>ITSM-AD-016</t>
  </si>
  <si>
    <t>FLORES JERONIMO JESUS</t>
  </si>
  <si>
    <t>ITSM-AD-017</t>
  </si>
  <si>
    <t>MEDINA MORAN JAIME</t>
  </si>
  <si>
    <t>ITSM-AD-018</t>
  </si>
  <si>
    <t>ROBLES VARGAS KARINA</t>
  </si>
  <si>
    <t>ITSM-AD-020</t>
  </si>
  <si>
    <t>GOMEZ CARDENAS LUIS ALBERTO</t>
  </si>
  <si>
    <t>ITSM-AD-023</t>
  </si>
  <si>
    <t>DE LA CRUZ PEÑA JULIAN</t>
  </si>
  <si>
    <t>ITSM-AD-024</t>
  </si>
  <si>
    <t xml:space="preserve">PEÑA HERNANDEZ ANDRES </t>
  </si>
  <si>
    <t>ITSM-AD-026</t>
  </si>
  <si>
    <t>VARGAS ARECHIGA LILIANA</t>
  </si>
  <si>
    <t>ITSM-AD-030</t>
  </si>
  <si>
    <t>CASILLAS MARTINEZ FRANCISCO RAFAEL</t>
  </si>
  <si>
    <t>ITSM-AD-031</t>
  </si>
  <si>
    <t>ROSALES SANCHEZ ROBERTO SERGIO</t>
  </si>
  <si>
    <t>ITSM-AD-032</t>
  </si>
  <si>
    <t>ARANGO GARCIA YESENIA</t>
  </si>
  <si>
    <t>ITSM-AD-033</t>
  </si>
  <si>
    <t>GONZALEZ PEÑA LILIANA</t>
  </si>
  <si>
    <t>ITSM-AD-035</t>
  </si>
  <si>
    <t>VARGAS ARECHIGA EMA SARAHI</t>
  </si>
  <si>
    <t>ITSM-AD-037</t>
  </si>
  <si>
    <t>PEÑA ULLOA JOSE VICTORIANO</t>
  </si>
  <si>
    <t>ITSM-AD-038</t>
  </si>
  <si>
    <t>ALANIS VARGAS ALEGANDRA MAGALI</t>
  </si>
  <si>
    <t>ITSM-AD-041</t>
  </si>
  <si>
    <t>CHAVEZ PEÑA MAIDA MARCELINA</t>
  </si>
  <si>
    <t>ITSM-AD-042</t>
  </si>
  <si>
    <t>GOMEZ GONZALEZ JOSE GABRIEL</t>
  </si>
  <si>
    <t>ITSM-AD-043</t>
  </si>
  <si>
    <t>ROMERO SANCHEZ EVERARDO</t>
  </si>
  <si>
    <t>ITSM-AD-044</t>
  </si>
  <si>
    <t>GUZMAN VELASCO HECTOR ERNESTO</t>
  </si>
  <si>
    <t>ITSM-AD-045</t>
  </si>
  <si>
    <t>MEDRANO GUZMAN FRANCISCO JAVIER</t>
  </si>
  <si>
    <t>ITSM-AD-046</t>
  </si>
  <si>
    <t>CONTRERAS MEDRANO MARIA DEL ROSARIO</t>
  </si>
  <si>
    <t>ITSM-AD-047</t>
  </si>
  <si>
    <t>LOPEZ MENDEZ KARINA</t>
  </si>
  <si>
    <t>ITSM-AD-048</t>
  </si>
  <si>
    <t>VALDES AMARAL ADRIANA DEL REFUGIO</t>
  </si>
  <si>
    <t>ITS-AD-049</t>
  </si>
  <si>
    <t>BOTELLO CARMONA MARIO</t>
  </si>
  <si>
    <t>ITSM-AD-051</t>
  </si>
  <si>
    <t>CONTRERAS GONZALEZ ROBERTO</t>
  </si>
  <si>
    <t>ITSM-AD-052</t>
  </si>
  <si>
    <t xml:space="preserve"> RANGEL TORO GABRIEL </t>
  </si>
  <si>
    <t>ITSM-AD-053</t>
  </si>
  <si>
    <t>RODRIGUEZ FLORES ELISEO</t>
  </si>
  <si>
    <t>ITSM-AD-054</t>
  </si>
  <si>
    <t xml:space="preserve">CONTRERAS PACHECO JUAN JOSE </t>
  </si>
  <si>
    <t>ITSM-AD-055</t>
  </si>
  <si>
    <t>FELIX LERMA MARCO VINICIO</t>
  </si>
  <si>
    <t>ITSM-AD-056</t>
  </si>
  <si>
    <t xml:space="preserve">LARES GARCIA JORGE ISAAC </t>
  </si>
  <si>
    <t>ITSM-AD-057</t>
  </si>
  <si>
    <t>JOSE RICARDO GRAVE ESPARZA</t>
  </si>
  <si>
    <t>ITSM-AD-058</t>
  </si>
  <si>
    <t>LUIS ENRIQUE CASTILLO PALACIOS</t>
  </si>
  <si>
    <t>ELABORO</t>
  </si>
  <si>
    <t>REVISO</t>
  </si>
  <si>
    <t xml:space="preserve">                        AUTORIZO</t>
  </si>
  <si>
    <t>LIC. FRANCISCO JAVIER MEDRANO GUZMÁN</t>
  </si>
  <si>
    <t>ING. LUIS ALBERTO GOMEZ CARDENAS</t>
  </si>
  <si>
    <t xml:space="preserve">M.V Z . GILDARDO SANCHEZ GONZALEZ </t>
  </si>
  <si>
    <t>JEFE DE DEPTO RECURSOS HUMANOS Y SERVICIOS GENERALES</t>
  </si>
  <si>
    <t>SUBDIRECTOR ADMINISTRATIVO Y DE PLANEACION</t>
  </si>
  <si>
    <t>DIRECTOR GENERAL</t>
  </si>
  <si>
    <t xml:space="preserve">  </t>
  </si>
  <si>
    <t>NOMINA ADMINISTRATIVOS 16-31 DE ENERO DEL 2015</t>
  </si>
  <si>
    <t>NOMINA ADMINISTRATIVOS 01 - 15 DE FEBRERO DEL 2015</t>
  </si>
  <si>
    <t>NOMINA ADMINISTRATIVOS 16-28 DE FEBRERO DEL 2015</t>
  </si>
  <si>
    <t>REEMBOLSO POR EXCEDENTE EN COBRO DE PRESTAMO PENSIONES</t>
  </si>
  <si>
    <t xml:space="preserve">                                 DIRECTOR GENERAL</t>
  </si>
  <si>
    <t>NOMINA ADMINISTRATIVOS 01-15 DE MARZO DEL 2015</t>
  </si>
  <si>
    <t xml:space="preserve"> GRAVE ESPARZA JOSE RICARDO</t>
  </si>
  <si>
    <t xml:space="preserve"> CASTILLO PALACIOS LUIS ENRIQUE</t>
  </si>
  <si>
    <t>NOMINA ADMINISTRATIVOS 16-31 DE MARZO DEL 2015</t>
  </si>
  <si>
    <t>NOMINA ADMINISTRATIVOS 01-15 DE ABRIL DEL 2015</t>
  </si>
  <si>
    <t>NOMINA ADMINISTRATIVOS 16-30 DE ABRIL DEL 2015</t>
  </si>
  <si>
    <t>NOMINA ADMINISTRATIVOS 01-15 DE MAYO DEL 2015</t>
  </si>
  <si>
    <t>DR. HECTOR ERNESTO GUZMAN VELASCO</t>
  </si>
  <si>
    <t>ENCARGADO DEL DESPACHO DE LA DIRECCION GENERAL</t>
  </si>
  <si>
    <t xml:space="preserve">  AUTORIZO</t>
  </si>
  <si>
    <t>NOMINA ADMINISTRATIVOS 16-31 DE MAYO DEL 2015</t>
  </si>
  <si>
    <t xml:space="preserve"> AUTORIZO</t>
  </si>
  <si>
    <t>PENSIONES</t>
  </si>
  <si>
    <t>7 años</t>
  </si>
  <si>
    <t>NOMINA ADMINISTRATIVOS 01-15 JUNIO DEL 2015</t>
  </si>
  <si>
    <t>NOMINA ADMINISTRATIVOS 16-30 JUNIO DEL 2015</t>
  </si>
  <si>
    <t>NOMINA ADMINISTRATIVOS 01-15 DE JULIO DEL 2015</t>
  </si>
  <si>
    <t>SINDICATO</t>
  </si>
  <si>
    <t>NOMINA ADMINISTRATIVOS 16-31 DE JULIO DEL 2015</t>
  </si>
  <si>
    <t>ITSM-AD-059</t>
  </si>
  <si>
    <t>SALDAÑA AMARAL CECILIA</t>
  </si>
  <si>
    <t>NOMINA ADMINISTRATIVOS 01-15 DE AGOSTO DEL 2015</t>
  </si>
  <si>
    <t>ALVAREZ ROBLES NANCY</t>
  </si>
  <si>
    <t>ITS-AD-060</t>
  </si>
  <si>
    <t>ITSM-AD-049</t>
  </si>
  <si>
    <t>IMPACTO AL SALARIO</t>
  </si>
  <si>
    <t>APOYO PARA UTILES ESCOLARES</t>
  </si>
  <si>
    <t>RETRO PRIMA DE ANTIGÜEDAD (QUINQUENIO)</t>
  </si>
  <si>
    <t>NOMINA ADMINISTRATIVOS 16-30 DE AGOSTO DEL 2015</t>
  </si>
  <si>
    <t>NOMINA ADMINISTRATIVOS 01-15 DE SEPTIEMBRE DEL 2015</t>
  </si>
  <si>
    <t>ITSM-AD-060</t>
  </si>
  <si>
    <t>ITSM-AD-061</t>
  </si>
  <si>
    <t>JIMENEZ GOMEZ FRANCISCO JAVIER</t>
  </si>
  <si>
    <t>NOMINA ADMINISTRATIVOS 16-30 DE SEPTIEMBRE DEL 2015</t>
  </si>
  <si>
    <t>ESTIMULO DEL SERVIDOR PUBLICO</t>
  </si>
  <si>
    <t>NOMINA ADMINISTRATIVOS 01-15 DE OTUBRE DEL 2015</t>
  </si>
  <si>
    <t>RETROACTIVO DESPENSA</t>
  </si>
  <si>
    <t>RETROACTIVO GUARDERIA</t>
  </si>
  <si>
    <t>RETROACTIVO AYUDA PARA UTILES ESCOLARES</t>
  </si>
  <si>
    <t xml:space="preserve">                                          LIC. FRANCISCO JAVIER MEDRANO GUZMÁN</t>
  </si>
  <si>
    <t xml:space="preserve">                             JEFE DE DEPTO RECURSOS HUMANOS Y SERVICIOS GENERALES</t>
  </si>
  <si>
    <t>ITSM-AD-062</t>
  </si>
  <si>
    <t>SANCHEZ RUBIO ERNESTO</t>
  </si>
  <si>
    <t xml:space="preserve">              JEFE DE DEPTO RECURSOS HUMANOS Y SERVICIOS GENERALES</t>
  </si>
  <si>
    <t xml:space="preserve">                LIC. FRANCISCO JAVIER MEDRANO GUZMÁN</t>
  </si>
  <si>
    <t>NOMINA ADMINISTRATIVOS 16-31 DE OCTUBRE DEL 2015</t>
  </si>
  <si>
    <t>NOMINA ADMINISTRATIVOS 01-15 DE NOVIEMBRE 2015</t>
  </si>
  <si>
    <t xml:space="preserve">   JEFE DE DEPTO RECURSOS HUMANOS Y SERVICIOS GENERALES</t>
  </si>
  <si>
    <t xml:space="preserve">            LIC. FRANCISCO JAVIER MEDRANO GUZMÁN</t>
  </si>
  <si>
    <t>NOMINA ADMINISTRATIVOS 16-30 DE NOVIEMBRE 2015</t>
  </si>
  <si>
    <t>AYUDA PARA LENTES</t>
  </si>
  <si>
    <t>NOMINA ADMINISTRATIVOS 01-15 DE DICIEMBRE 2015</t>
  </si>
  <si>
    <t>NOMINA ADMINISTRATIVOS 16-31 DE DICIEMBRE 2015</t>
  </si>
  <si>
    <t>ITSM-AD-A63</t>
  </si>
  <si>
    <t>TORRES BARBOSA ROSA MARIA</t>
  </si>
  <si>
    <t>ITSM-AD-064</t>
  </si>
  <si>
    <t>VELASCO FELICIANO</t>
  </si>
  <si>
    <t xml:space="preserve">        LIC. FRANCISCO JAVIER MEDRANO GUZMÁN</t>
  </si>
  <si>
    <t xml:space="preserve">         JEFE DE DEPTO RECURSOS HUMANOS Y SERVICIOS GENERALES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</si>
</sst>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0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</cellStyleXfs>
  <cellXfs count="175">
    <xf numFmtId="0" fontId="0" fillId="0" borderId="0" xfId="0"/>
    <xf numFmtId="0" fontId="2" fillId="0" borderId="0" xfId="2" applyAlignment="1">
      <alignment wrapText="1"/>
    </xf>
    <xf numFmtId="0" fontId="2" fillId="0" borderId="0" xfId="2" applyFont="1" applyAlignment="1">
      <alignment wrapText="1"/>
    </xf>
    <xf numFmtId="0" fontId="3" fillId="0" borderId="0" xfId="2" applyFont="1" applyAlignment="1">
      <alignment wrapText="1"/>
    </xf>
    <xf numFmtId="43" fontId="3" fillId="0" borderId="0" xfId="2" applyNumberFormat="1" applyFont="1" applyAlignment="1">
      <alignment wrapText="1"/>
    </xf>
    <xf numFmtId="43" fontId="4" fillId="0" borderId="0" xfId="2" applyNumberFormat="1" applyFont="1" applyAlignment="1">
      <alignment wrapText="1"/>
    </xf>
    <xf numFmtId="0" fontId="4" fillId="0" borderId="0" xfId="2" applyFont="1" applyAlignment="1">
      <alignment wrapText="1"/>
    </xf>
    <xf numFmtId="10" fontId="5" fillId="0" borderId="0" xfId="2" applyNumberFormat="1" applyFont="1" applyAlignment="1">
      <alignment horizontal="center" vertical="center" wrapText="1"/>
    </xf>
    <xf numFmtId="9" fontId="4" fillId="0" borderId="0" xfId="2" applyNumberFormat="1" applyFont="1" applyAlignment="1">
      <alignment horizontal="right" vertical="center" wrapText="1"/>
    </xf>
    <xf numFmtId="10" fontId="5" fillId="0" borderId="0" xfId="2" applyNumberFormat="1" applyFont="1" applyAlignment="1">
      <alignment wrapText="1"/>
    </xf>
    <xf numFmtId="0" fontId="6" fillId="0" borderId="0" xfId="2" applyFont="1"/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5" borderId="6" xfId="2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center" wrapText="1"/>
    </xf>
    <xf numFmtId="0" fontId="2" fillId="6" borderId="1" xfId="2" applyFill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43" fontId="2" fillId="0" borderId="1" xfId="2" applyNumberFormat="1" applyFont="1" applyFill="1" applyBorder="1" applyAlignment="1">
      <alignment horizontal="center" vertical="center" wrapText="1"/>
    </xf>
    <xf numFmtId="0" fontId="2" fillId="0" borderId="9" xfId="2" applyFill="1" applyBorder="1" applyAlignment="1">
      <alignment horizontal="center" vertical="center" wrapText="1"/>
    </xf>
    <xf numFmtId="0" fontId="2" fillId="0" borderId="0" xfId="2" applyFill="1" applyAlignment="1">
      <alignment horizontal="center" vertical="center" wrapText="1"/>
    </xf>
    <xf numFmtId="43" fontId="2" fillId="0" borderId="0" xfId="2" applyNumberFormat="1" applyFill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2" fillId="0" borderId="1" xfId="2" applyFill="1" applyBorder="1" applyAlignment="1">
      <alignment vertical="center" wrapText="1"/>
    </xf>
    <xf numFmtId="164" fontId="2" fillId="0" borderId="1" xfId="3" applyNumberFormat="1" applyFill="1" applyBorder="1" applyAlignment="1">
      <alignment vertical="center" wrapText="1"/>
    </xf>
    <xf numFmtId="43" fontId="2" fillId="0" borderId="10" xfId="3" applyFill="1" applyBorder="1" applyAlignment="1">
      <alignment wrapText="1"/>
    </xf>
    <xf numFmtId="43" fontId="2" fillId="0" borderId="1" xfId="3" applyFill="1" applyBorder="1" applyAlignment="1">
      <alignment vertical="center" wrapText="1"/>
    </xf>
    <xf numFmtId="43" fontId="2" fillId="0" borderId="1" xfId="3" applyFont="1" applyFill="1" applyBorder="1" applyAlignment="1">
      <alignment vertical="center" wrapText="1"/>
    </xf>
    <xf numFmtId="43" fontId="2" fillId="0" borderId="1" xfId="2" applyNumberFormat="1" applyFill="1" applyBorder="1" applyAlignment="1">
      <alignment vertical="center" wrapText="1"/>
    </xf>
    <xf numFmtId="43" fontId="2" fillId="0" borderId="1" xfId="3" applyBorder="1" applyAlignment="1">
      <alignment vertical="center" wrapText="1"/>
    </xf>
    <xf numFmtId="43" fontId="2" fillId="0" borderId="11" xfId="2" applyNumberFormat="1" applyBorder="1" applyAlignment="1">
      <alignment vertical="center" wrapText="1"/>
    </xf>
    <xf numFmtId="43" fontId="2" fillId="0" borderId="0" xfId="2" applyNumberFormat="1" applyAlignment="1">
      <alignment vertical="center" wrapText="1"/>
    </xf>
    <xf numFmtId="0" fontId="2" fillId="0" borderId="0" xfId="2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0" xfId="2" applyFont="1" applyAlignment="1">
      <alignment vertical="center" wrapText="1"/>
    </xf>
    <xf numFmtId="0" fontId="2" fillId="0" borderId="1" xfId="2" applyFont="1" applyFill="1" applyBorder="1" applyAlignment="1">
      <alignment horizontal="left" vertical="center" wrapText="1"/>
    </xf>
    <xf numFmtId="43" fontId="2" fillId="0" borderId="11" xfId="2" applyNumberFormat="1" applyFill="1" applyBorder="1" applyAlignment="1">
      <alignment vertical="center" wrapText="1"/>
    </xf>
    <xf numFmtId="43" fontId="2" fillId="0" borderId="0" xfId="2" applyNumberFormat="1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43" fontId="2" fillId="0" borderId="12" xfId="3" applyFill="1" applyBorder="1" applyAlignment="1">
      <alignment wrapText="1"/>
    </xf>
    <xf numFmtId="43" fontId="2" fillId="0" borderId="1" xfId="3" applyFill="1" applyBorder="1" applyAlignment="1">
      <alignment wrapText="1"/>
    </xf>
    <xf numFmtId="43" fontId="6" fillId="0" borderId="11" xfId="2" applyNumberFormat="1" applyFont="1" applyFill="1" applyBorder="1" applyAlignment="1">
      <alignment vertical="center" wrapText="1"/>
    </xf>
    <xf numFmtId="43" fontId="6" fillId="0" borderId="0" xfId="2" applyNumberFormat="1" applyFont="1" applyFill="1" applyAlignment="1">
      <alignment vertical="center" wrapText="1"/>
    </xf>
    <xf numFmtId="0" fontId="2" fillId="0" borderId="1" xfId="2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3" xfId="2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0" fontId="2" fillId="0" borderId="1" xfId="2" applyFill="1" applyBorder="1"/>
    <xf numFmtId="164" fontId="2" fillId="0" borderId="1" xfId="3" applyNumberFormat="1" applyBorder="1" applyAlignment="1">
      <alignment wrapText="1"/>
    </xf>
    <xf numFmtId="0" fontId="2" fillId="0" borderId="1" xfId="2" applyFont="1" applyBorder="1" applyAlignment="1">
      <alignment vertical="center" wrapText="1"/>
    </xf>
    <xf numFmtId="43" fontId="2" fillId="0" borderId="1" xfId="3" applyFont="1" applyBorder="1" applyAlignment="1">
      <alignment vertical="center" wrapText="1"/>
    </xf>
    <xf numFmtId="43" fontId="2" fillId="0" borderId="9" xfId="2" applyNumberFormat="1" applyBorder="1" applyAlignment="1">
      <alignment vertical="center" wrapText="1"/>
    </xf>
    <xf numFmtId="164" fontId="2" fillId="0" borderId="1" xfId="3" applyNumberFormat="1" applyFill="1" applyBorder="1" applyAlignment="1">
      <alignment wrapText="1"/>
    </xf>
    <xf numFmtId="43" fontId="2" fillId="0" borderId="9" xfId="2" applyNumberFormat="1" applyFill="1" applyBorder="1" applyAlignment="1">
      <alignment vertical="center" wrapText="1"/>
    </xf>
    <xf numFmtId="0" fontId="2" fillId="0" borderId="1" xfId="2" applyFill="1" applyBorder="1" applyAlignment="1">
      <alignment horizontal="right" vertical="center"/>
    </xf>
    <xf numFmtId="43" fontId="2" fillId="0" borderId="1" xfId="2" applyNumberFormat="1" applyFill="1" applyBorder="1" applyAlignment="1">
      <alignment vertical="center"/>
    </xf>
    <xf numFmtId="43" fontId="2" fillId="0" borderId="1" xfId="2" applyNumberFormat="1" applyFill="1" applyBorder="1"/>
    <xf numFmtId="0" fontId="2" fillId="0" borderId="1" xfId="3" applyNumberFormat="1" applyFill="1" applyBorder="1" applyAlignment="1">
      <alignment wrapText="1"/>
    </xf>
    <xf numFmtId="43" fontId="2" fillId="0" borderId="1" xfId="3" applyNumberFormat="1" applyFont="1" applyFill="1" applyBorder="1" applyAlignment="1">
      <alignment horizontal="center" vertical="center" wrapText="1"/>
    </xf>
    <xf numFmtId="43" fontId="2" fillId="0" borderId="1" xfId="3" applyNumberFormat="1" applyFill="1" applyBorder="1" applyAlignment="1">
      <alignment wrapText="1"/>
    </xf>
    <xf numFmtId="43" fontId="2" fillId="0" borderId="0" xfId="2" applyNumberFormat="1" applyFill="1" applyBorder="1" applyAlignment="1">
      <alignment vertical="center" wrapText="1"/>
    </xf>
    <xf numFmtId="43" fontId="2" fillId="0" borderId="0" xfId="2" applyNumberFormat="1" applyFont="1" applyAlignment="1">
      <alignment vertical="center" wrapText="1"/>
    </xf>
    <xf numFmtId="43" fontId="2" fillId="0" borderId="1" xfId="3" applyFont="1" applyFill="1" applyBorder="1" applyAlignment="1">
      <alignment horizontal="center" vertical="center" wrapText="1"/>
    </xf>
    <xf numFmtId="43" fontId="2" fillId="0" borderId="1" xfId="3" applyFont="1" applyFill="1" applyBorder="1" applyAlignment="1">
      <alignment wrapText="1"/>
    </xf>
    <xf numFmtId="43" fontId="2" fillId="0" borderId="1" xfId="2" applyNumberFormat="1" applyFont="1" applyFill="1" applyBorder="1" applyAlignment="1">
      <alignment horizontal="left" vertical="center" wrapText="1"/>
    </xf>
    <xf numFmtId="43" fontId="2" fillId="0" borderId="1" xfId="2" applyNumberFormat="1" applyFill="1" applyBorder="1" applyAlignment="1">
      <alignment wrapText="1"/>
    </xf>
    <xf numFmtId="43" fontId="2" fillId="0" borderId="9" xfId="3" applyFill="1" applyBorder="1" applyAlignment="1">
      <alignment wrapText="1"/>
    </xf>
    <xf numFmtId="43" fontId="2" fillId="0" borderId="0" xfId="2" applyNumberFormat="1" applyFont="1" applyFill="1" applyAlignment="1">
      <alignment vertical="center" wrapText="1"/>
    </xf>
    <xf numFmtId="49" fontId="10" fillId="7" borderId="1" xfId="0" applyNumberFormat="1" applyFont="1" applyFill="1" applyBorder="1" applyAlignment="1">
      <alignment horizontal="left" vertical="center"/>
    </xf>
    <xf numFmtId="49" fontId="10" fillId="7" borderId="1" xfId="0" applyNumberFormat="1" applyFont="1" applyFill="1" applyBorder="1" applyAlignment="1">
      <alignment horizontal="left" vertical="top" wrapText="1"/>
    </xf>
    <xf numFmtId="43" fontId="2" fillId="0" borderId="1" xfId="3" applyBorder="1" applyAlignment="1">
      <alignment wrapText="1"/>
    </xf>
    <xf numFmtId="43" fontId="2" fillId="0" borderId="1" xfId="3" applyFont="1" applyBorder="1" applyAlignment="1">
      <alignment wrapText="1"/>
    </xf>
    <xf numFmtId="2" fontId="2" fillId="7" borderId="1" xfId="1" applyNumberFormat="1" applyFont="1" applyFill="1" applyBorder="1" applyAlignment="1">
      <alignment horizontal="right" vertical="top"/>
    </xf>
    <xf numFmtId="43" fontId="2" fillId="0" borderId="1" xfId="3" applyNumberFormat="1" applyBorder="1" applyAlignment="1">
      <alignment wrapText="1"/>
    </xf>
    <xf numFmtId="43" fontId="2" fillId="0" borderId="9" xfId="3" applyBorder="1" applyAlignment="1">
      <alignment wrapText="1"/>
    </xf>
    <xf numFmtId="49" fontId="10" fillId="7" borderId="1" xfId="0" applyNumberFormat="1" applyFont="1" applyFill="1" applyBorder="1" applyAlignment="1">
      <alignment horizontal="left" vertical="top"/>
    </xf>
    <xf numFmtId="43" fontId="2" fillId="7" borderId="1" xfId="1" applyNumberFormat="1" applyFont="1" applyFill="1" applyBorder="1" applyAlignment="1">
      <alignment horizontal="right" vertical="top"/>
    </xf>
    <xf numFmtId="49" fontId="10" fillId="0" borderId="1" xfId="0" applyNumberFormat="1" applyFont="1" applyFill="1" applyBorder="1" applyAlignment="1">
      <alignment horizontal="left" vertical="center"/>
    </xf>
    <xf numFmtId="43" fontId="2" fillId="0" borderId="1" xfId="1" applyNumberFormat="1" applyFont="1" applyFill="1" applyBorder="1" applyAlignment="1">
      <alignment horizontal="right" vertical="top"/>
    </xf>
    <xf numFmtId="0" fontId="8" fillId="0" borderId="1" xfId="2" applyFont="1" applyBorder="1" applyAlignment="1">
      <alignment horizontal="right" vertical="center" wrapText="1"/>
    </xf>
    <xf numFmtId="0" fontId="8" fillId="0" borderId="1" xfId="2" applyFont="1" applyFill="1" applyBorder="1" applyAlignment="1">
      <alignment horizontal="right" vertical="center" wrapText="1"/>
    </xf>
    <xf numFmtId="43" fontId="8" fillId="0" borderId="1" xfId="3" applyFont="1" applyBorder="1" applyAlignment="1">
      <alignment horizontal="right" vertical="center" wrapText="1"/>
    </xf>
    <xf numFmtId="43" fontId="8" fillId="0" borderId="1" xfId="3" applyFont="1" applyBorder="1" applyAlignment="1">
      <alignment horizontal="right" wrapText="1"/>
    </xf>
    <xf numFmtId="43" fontId="8" fillId="0" borderId="1" xfId="2" applyNumberFormat="1" applyFont="1" applyBorder="1" applyAlignment="1">
      <alignment horizontal="right" vertical="center" wrapText="1"/>
    </xf>
    <xf numFmtId="43" fontId="12" fillId="0" borderId="0" xfId="2" applyNumberFormat="1" applyFont="1" applyAlignment="1">
      <alignment vertical="center" wrapText="1"/>
    </xf>
    <xf numFmtId="0" fontId="12" fillId="0" borderId="0" xfId="2" applyFont="1" applyAlignment="1">
      <alignment vertical="center" wrapText="1"/>
    </xf>
    <xf numFmtId="43" fontId="2" fillId="0" borderId="0" xfId="2" applyNumberFormat="1" applyAlignment="1">
      <alignment wrapText="1"/>
    </xf>
    <xf numFmtId="43" fontId="5" fillId="0" borderId="0" xfId="3" applyFont="1" applyBorder="1" applyAlignment="1">
      <alignment horizontal="right" wrapText="1"/>
    </xf>
    <xf numFmtId="0" fontId="6" fillId="0" borderId="0" xfId="2" applyFont="1" applyAlignment="1">
      <alignment horizontal="right" wrapText="1"/>
    </xf>
    <xf numFmtId="0" fontId="12" fillId="0" borderId="0" xfId="2" applyFont="1" applyBorder="1" applyAlignment="1">
      <alignment wrapText="1"/>
    </xf>
    <xf numFmtId="0" fontId="12" fillId="0" borderId="0" xfId="2" applyFont="1" applyFill="1" applyBorder="1" applyAlignment="1">
      <alignment wrapText="1"/>
    </xf>
    <xf numFmtId="0" fontId="12" fillId="0" borderId="0" xfId="2" applyFont="1" applyBorder="1" applyAlignment="1">
      <alignment horizontal="center" wrapText="1"/>
    </xf>
    <xf numFmtId="2" fontId="12" fillId="0" borderId="0" xfId="2" applyNumberFormat="1" applyFont="1" applyBorder="1" applyAlignment="1">
      <alignment wrapText="1"/>
    </xf>
    <xf numFmtId="43" fontId="13" fillId="0" borderId="0" xfId="3" applyFont="1" applyBorder="1" applyAlignment="1">
      <alignment wrapText="1"/>
    </xf>
    <xf numFmtId="43" fontId="12" fillId="0" borderId="0" xfId="3" applyFont="1" applyBorder="1" applyAlignment="1">
      <alignment wrapText="1"/>
    </xf>
    <xf numFmtId="0" fontId="12" fillId="0" borderId="0" xfId="2" applyFont="1" applyAlignment="1">
      <alignment wrapText="1"/>
    </xf>
    <xf numFmtId="0" fontId="2" fillId="0" borderId="0" xfId="2" applyAlignment="1">
      <alignment horizontal="center"/>
    </xf>
    <xf numFmtId="0" fontId="2" fillId="0" borderId="0" xfId="2"/>
    <xf numFmtId="0" fontId="2" fillId="0" borderId="0" xfId="2" applyAlignment="1"/>
    <xf numFmtId="0" fontId="2" fillId="0" borderId="0" xfId="2" applyAlignment="1">
      <alignment horizontal="center"/>
    </xf>
    <xf numFmtId="43" fontId="2" fillId="0" borderId="0" xfId="2" applyNumberFormat="1" applyAlignment="1">
      <alignment horizontal="center"/>
    </xf>
    <xf numFmtId="43" fontId="12" fillId="0" borderId="0" xfId="2" applyNumberFormat="1" applyFont="1" applyBorder="1" applyAlignment="1">
      <alignment wrapText="1"/>
    </xf>
    <xf numFmtId="43" fontId="12" fillId="0" borderId="0" xfId="2" applyNumberFormat="1" applyFont="1" applyAlignment="1">
      <alignment wrapText="1"/>
    </xf>
    <xf numFmtId="0" fontId="2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2" fillId="0" borderId="0" xfId="2" applyFont="1" applyFill="1" applyAlignment="1">
      <alignment wrapText="1"/>
    </xf>
    <xf numFmtId="10" fontId="4" fillId="0" borderId="0" xfId="2" applyNumberFormat="1" applyFont="1" applyAlignment="1">
      <alignment wrapText="1"/>
    </xf>
    <xf numFmtId="0" fontId="5" fillId="0" borderId="0" xfId="2" applyFont="1" applyBorder="1" applyAlignment="1">
      <alignment horizontal="right" wrapText="1"/>
    </xf>
    <xf numFmtId="0" fontId="5" fillId="0" borderId="0" xfId="2" applyFont="1" applyFill="1" applyBorder="1" applyAlignment="1">
      <alignment horizontal="right" wrapText="1"/>
    </xf>
    <xf numFmtId="43" fontId="14" fillId="0" borderId="0" xfId="3" applyFont="1" applyBorder="1" applyAlignment="1">
      <alignment horizontal="right" wrapText="1"/>
    </xf>
    <xf numFmtId="43" fontId="15" fillId="0" borderId="0" xfId="3" applyFont="1" applyBorder="1" applyAlignment="1">
      <alignment horizontal="right" wrapText="1"/>
    </xf>
    <xf numFmtId="43" fontId="5" fillId="0" borderId="0" xfId="2" applyNumberFormat="1" applyFont="1" applyAlignment="1">
      <alignment horizontal="right" wrapText="1"/>
    </xf>
    <xf numFmtId="0" fontId="5" fillId="0" borderId="0" xfId="2" applyFont="1" applyAlignment="1">
      <alignment horizontal="right" wrapText="1"/>
    </xf>
    <xf numFmtId="2" fontId="5" fillId="0" borderId="0" xfId="2" applyNumberFormat="1" applyFont="1" applyBorder="1" applyAlignment="1">
      <alignment horizontal="right" wrapText="1"/>
    </xf>
    <xf numFmtId="0" fontId="16" fillId="0" borderId="0" xfId="2" applyFont="1" applyBorder="1" applyAlignment="1">
      <alignment wrapText="1"/>
    </xf>
    <xf numFmtId="0" fontId="16" fillId="0" borderId="0" xfId="2" applyFont="1" applyFill="1" applyBorder="1" applyAlignment="1">
      <alignment wrapText="1"/>
    </xf>
    <xf numFmtId="0" fontId="16" fillId="0" borderId="0" xfId="2" applyFont="1" applyBorder="1" applyAlignment="1">
      <alignment horizontal="center" wrapText="1"/>
    </xf>
    <xf numFmtId="2" fontId="16" fillId="0" borderId="0" xfId="2" applyNumberFormat="1" applyFont="1" applyBorder="1" applyAlignment="1">
      <alignment wrapText="1"/>
    </xf>
    <xf numFmtId="43" fontId="17" fillId="0" borderId="0" xfId="3" applyFont="1" applyBorder="1" applyAlignment="1">
      <alignment wrapText="1"/>
    </xf>
    <xf numFmtId="43" fontId="16" fillId="0" borderId="0" xfId="3" applyFont="1" applyBorder="1" applyAlignment="1">
      <alignment wrapText="1"/>
    </xf>
    <xf numFmtId="0" fontId="16" fillId="0" borderId="0" xfId="2" applyFont="1" applyAlignment="1">
      <alignment wrapText="1"/>
    </xf>
    <xf numFmtId="0" fontId="2" fillId="0" borderId="0" xfId="2" applyFill="1" applyAlignment="1">
      <alignment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2" fontId="2" fillId="0" borderId="1" xfId="1" applyNumberFormat="1" applyFont="1" applyFill="1" applyBorder="1" applyAlignment="1">
      <alignment horizontal="right" vertical="top"/>
    </xf>
    <xf numFmtId="49" fontId="10" fillId="0" borderId="1" xfId="0" applyNumberFormat="1" applyFont="1" applyFill="1" applyBorder="1" applyAlignment="1">
      <alignment horizontal="left" vertical="top"/>
    </xf>
    <xf numFmtId="43" fontId="18" fillId="0" borderId="0" xfId="3" applyFont="1" applyBorder="1" applyAlignment="1">
      <alignment wrapText="1"/>
    </xf>
    <xf numFmtId="0" fontId="2" fillId="0" borderId="0" xfId="2" applyFont="1" applyAlignment="1">
      <alignment vertical="center"/>
    </xf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ill="1" applyBorder="1" applyAlignment="1">
      <alignment vertical="center" wrapText="1"/>
    </xf>
    <xf numFmtId="43" fontId="12" fillId="0" borderId="0" xfId="2" applyNumberFormat="1" applyFont="1" applyAlignment="1"/>
    <xf numFmtId="43" fontId="2" fillId="0" borderId="0" xfId="2" applyNumberFormat="1" applyFont="1" applyAlignment="1"/>
    <xf numFmtId="0" fontId="19" fillId="0" borderId="0" xfId="2" applyFont="1" applyAlignment="1">
      <alignment wrapText="1"/>
    </xf>
    <xf numFmtId="43" fontId="19" fillId="0" borderId="0" xfId="2" applyNumberFormat="1" applyFont="1" applyAlignment="1">
      <alignment wrapText="1"/>
    </xf>
    <xf numFmtId="0" fontId="20" fillId="0" borderId="0" xfId="2" applyFont="1" applyAlignment="1">
      <alignment wrapText="1"/>
    </xf>
    <xf numFmtId="10" fontId="21" fillId="0" borderId="0" xfId="2" applyNumberFormat="1" applyFont="1" applyAlignment="1">
      <alignment horizontal="center" vertical="center" wrapText="1"/>
    </xf>
    <xf numFmtId="9" fontId="19" fillId="0" borderId="0" xfId="2" applyNumberFormat="1" applyFont="1" applyAlignment="1">
      <alignment horizontal="right" vertical="center" wrapText="1"/>
    </xf>
    <xf numFmtId="10" fontId="19" fillId="0" borderId="0" xfId="2" applyNumberFormat="1" applyFont="1" applyAlignment="1">
      <alignment wrapText="1"/>
    </xf>
    <xf numFmtId="10" fontId="21" fillId="0" borderId="0" xfId="2" applyNumberFormat="1" applyFont="1" applyAlignment="1">
      <alignment wrapText="1"/>
    </xf>
    <xf numFmtId="0" fontId="2" fillId="0" borderId="0" xfId="2" applyFill="1" applyAlignment="1">
      <alignment wrapText="1"/>
    </xf>
    <xf numFmtId="43" fontId="12" fillId="0" borderId="0" xfId="2" applyNumberFormat="1" applyFont="1" applyFill="1" applyBorder="1" applyAlignment="1">
      <alignment wrapText="1"/>
    </xf>
    <xf numFmtId="43" fontId="5" fillId="0" borderId="0" xfId="3" applyFont="1" applyFill="1" applyBorder="1" applyAlignment="1">
      <alignment horizontal="right" wrapText="1"/>
    </xf>
    <xf numFmtId="43" fontId="8" fillId="0" borderId="1" xfId="3" applyFont="1" applyFill="1" applyBorder="1" applyAlignment="1">
      <alignment horizontal="right" vertical="center" wrapText="1"/>
    </xf>
    <xf numFmtId="43" fontId="2" fillId="0" borderId="1" xfId="2" applyNumberFormat="1" applyFont="1" applyFill="1" applyBorder="1" applyAlignment="1">
      <alignment vertical="center" wrapText="1"/>
    </xf>
    <xf numFmtId="164" fontId="2" fillId="0" borderId="1" xfId="3" applyNumberFormat="1" applyFont="1" applyFill="1" applyBorder="1" applyAlignment="1">
      <alignment vertical="center" wrapText="1"/>
    </xf>
    <xf numFmtId="10" fontId="4" fillId="0" borderId="0" xfId="2" applyNumberFormat="1" applyFont="1" applyFill="1" applyAlignment="1">
      <alignment wrapText="1"/>
    </xf>
    <xf numFmtId="9" fontId="4" fillId="0" borderId="0" xfId="2" applyNumberFormat="1" applyFont="1" applyFill="1" applyAlignment="1">
      <alignment horizontal="right" vertical="center" wrapText="1"/>
    </xf>
    <xf numFmtId="0" fontId="4" fillId="0" borderId="0" xfId="2" applyFont="1" applyFill="1" applyAlignment="1">
      <alignment wrapText="1"/>
    </xf>
    <xf numFmtId="0" fontId="16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0" fontId="19" fillId="0" borderId="0" xfId="2" applyFont="1" applyFill="1" applyAlignment="1">
      <alignment wrapText="1"/>
    </xf>
    <xf numFmtId="43" fontId="16" fillId="0" borderId="0" xfId="3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3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1" xfId="2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2" fillId="0" borderId="0" xfId="2" applyFont="1" applyAlignment="1"/>
    <xf numFmtId="0" fontId="2" fillId="0" borderId="1" xfId="2" applyNumberFormat="1" applyFont="1" applyFill="1" applyBorder="1" applyAlignment="1">
      <alignment horizontal="right" vertical="center" wrapText="1"/>
    </xf>
    <xf numFmtId="0" fontId="2" fillId="0" borderId="1" xfId="2" applyNumberFormat="1" applyFont="1" applyFill="1" applyBorder="1" applyAlignment="1">
      <alignment vertical="center" wrapText="1"/>
    </xf>
    <xf numFmtId="0" fontId="2" fillId="0" borderId="1" xfId="2" applyFill="1" applyBorder="1" applyAlignment="1">
      <alignment horizontal="left" vertical="center"/>
    </xf>
  </cellXfs>
  <cellStyles count="9">
    <cellStyle name="Millares 2" xfId="4"/>
    <cellStyle name="Millares 2 2" xfId="3"/>
    <cellStyle name="Moneda" xfId="1" builtinId="4"/>
    <cellStyle name="Moneda 2" xfId="5"/>
    <cellStyle name="Moneda 3" xfId="6"/>
    <cellStyle name="Normal" xfId="0" builtinId="0"/>
    <cellStyle name="Normal 2" xfId="2"/>
    <cellStyle name="Normal 3" xfId="7"/>
    <cellStyle name="Normal 3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23.xml"/><Relationship Id="rId50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externalLink" Target="externalLinks/externalLink17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21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externalLink" Target="externalLinks/externalLink24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cid:image004.jpg@01CE35D2.193151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image004.jpg@01CE35D2.193151F0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466535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01462" y="71436"/>
          <a:ext cx="1209485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24</xdr:col>
      <xdr:colOff>648894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02137" y="62297"/>
          <a:ext cx="1406132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488158</xdr:colOff>
      <xdr:row>0</xdr:row>
      <xdr:rowOff>23813</xdr:rowOff>
    </xdr:from>
    <xdr:to>
      <xdr:col>19</xdr:col>
      <xdr:colOff>35719</xdr:colOff>
      <xdr:row>4</xdr:row>
      <xdr:rowOff>29640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1215689" y="23813"/>
          <a:ext cx="1071561" cy="67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47624</xdr:rowOff>
    </xdr:from>
    <xdr:to>
      <xdr:col>1</xdr:col>
      <xdr:colOff>1476598</xdr:colOff>
      <xdr:row>3</xdr:row>
      <xdr:rowOff>119061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47624"/>
          <a:ext cx="148850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3059906</xdr:colOff>
      <xdr:row>0</xdr:row>
      <xdr:rowOff>47624</xdr:rowOff>
    </xdr:from>
    <xdr:to>
      <xdr:col>4</xdr:col>
      <xdr:colOff>321470</xdr:colOff>
      <xdr:row>3</xdr:row>
      <xdr:rowOff>142874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3893344" y="47624"/>
          <a:ext cx="1762126" cy="595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250031</xdr:colOff>
      <xdr:row>0</xdr:row>
      <xdr:rowOff>83344</xdr:rowOff>
    </xdr:from>
    <xdr:to>
      <xdr:col>13</xdr:col>
      <xdr:colOff>654843</xdr:colOff>
      <xdr:row>4</xdr:row>
      <xdr:rowOff>21216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737181" y="83344"/>
          <a:ext cx="1147762" cy="585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440531</xdr:colOff>
      <xdr:row>0</xdr:row>
      <xdr:rowOff>130967</xdr:rowOff>
    </xdr:from>
    <xdr:to>
      <xdr:col>7</xdr:col>
      <xdr:colOff>690563</xdr:colOff>
      <xdr:row>4</xdr:row>
      <xdr:rowOff>37349</xdr:rowOff>
    </xdr:to>
    <xdr:pic>
      <xdr:nvPicPr>
        <xdr:cNvPr id="8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429500" y="130967"/>
          <a:ext cx="1083469" cy="573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466535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3837" y="71436"/>
          <a:ext cx="1209485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577456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54512" y="62297"/>
          <a:ext cx="1410894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535781</xdr:colOff>
      <xdr:row>0</xdr:row>
      <xdr:rowOff>11653</xdr:rowOff>
    </xdr:from>
    <xdr:to>
      <xdr:col>20</xdr:col>
      <xdr:colOff>1119186</xdr:colOff>
      <xdr:row>4</xdr:row>
      <xdr:rowOff>107157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6652081" y="11653"/>
          <a:ext cx="1212056" cy="743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611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95248</xdr:colOff>
      <xdr:row>0</xdr:row>
      <xdr:rowOff>0</xdr:rowOff>
    </xdr:from>
    <xdr:to>
      <xdr:col>4</xdr:col>
      <xdr:colOff>650873</xdr:colOff>
      <xdr:row>4</xdr:row>
      <xdr:rowOff>71971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095748" y="0"/>
          <a:ext cx="1889125" cy="73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333375</xdr:colOff>
      <xdr:row>0</xdr:row>
      <xdr:rowOff>0</xdr:rowOff>
    </xdr:from>
    <xdr:to>
      <xdr:col>10</xdr:col>
      <xdr:colOff>178593</xdr:colOff>
      <xdr:row>3</xdr:row>
      <xdr:rowOff>104559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893969" y="0"/>
          <a:ext cx="1142999" cy="604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466534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8575" y="71436"/>
          <a:ext cx="1209484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577456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39737" y="62297"/>
          <a:ext cx="1410894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535781</xdr:colOff>
      <xdr:row>0</xdr:row>
      <xdr:rowOff>11653</xdr:rowOff>
    </xdr:from>
    <xdr:to>
      <xdr:col>20</xdr:col>
      <xdr:colOff>1119187</xdr:colOff>
      <xdr:row>3</xdr:row>
      <xdr:rowOff>154782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2737306" y="11653"/>
          <a:ext cx="1212056" cy="75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735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23811</xdr:colOff>
      <xdr:row>0</xdr:row>
      <xdr:rowOff>0</xdr:rowOff>
    </xdr:from>
    <xdr:to>
      <xdr:col>4</xdr:col>
      <xdr:colOff>579436</xdr:colOff>
      <xdr:row>3</xdr:row>
      <xdr:rowOff>119596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014786" y="0"/>
          <a:ext cx="1889125" cy="729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440531</xdr:colOff>
      <xdr:row>0</xdr:row>
      <xdr:rowOff>35719</xdr:rowOff>
    </xdr:from>
    <xdr:to>
      <xdr:col>10</xdr:col>
      <xdr:colOff>285750</xdr:colOff>
      <xdr:row>3</xdr:row>
      <xdr:rowOff>140279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03506" y="35719"/>
          <a:ext cx="1140619" cy="714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466535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9562" y="71436"/>
          <a:ext cx="1209485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577456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0237" y="62297"/>
          <a:ext cx="1410894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142875</xdr:colOff>
      <xdr:row>0</xdr:row>
      <xdr:rowOff>11653</xdr:rowOff>
    </xdr:from>
    <xdr:to>
      <xdr:col>20</xdr:col>
      <xdr:colOff>726280</xdr:colOff>
      <xdr:row>3</xdr:row>
      <xdr:rowOff>154782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2442031" y="11653"/>
          <a:ext cx="1214437" cy="762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735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130967</xdr:colOff>
      <xdr:row>0</xdr:row>
      <xdr:rowOff>0</xdr:rowOff>
    </xdr:from>
    <xdr:to>
      <xdr:col>4</xdr:col>
      <xdr:colOff>686592</xdr:colOff>
      <xdr:row>3</xdr:row>
      <xdr:rowOff>119596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131467" y="0"/>
          <a:ext cx="1889125" cy="73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428625</xdr:colOff>
      <xdr:row>0</xdr:row>
      <xdr:rowOff>0</xdr:rowOff>
    </xdr:from>
    <xdr:to>
      <xdr:col>9</xdr:col>
      <xdr:colOff>119061</xdr:colOff>
      <xdr:row>3</xdr:row>
      <xdr:rowOff>104560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251031" y="0"/>
          <a:ext cx="1142999" cy="723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466535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9562" y="71436"/>
          <a:ext cx="1209485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577456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0237" y="62297"/>
          <a:ext cx="1410894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535781</xdr:colOff>
      <xdr:row>0</xdr:row>
      <xdr:rowOff>11653</xdr:rowOff>
    </xdr:from>
    <xdr:to>
      <xdr:col>20</xdr:col>
      <xdr:colOff>1119188</xdr:colOff>
      <xdr:row>3</xdr:row>
      <xdr:rowOff>154782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6737806" y="11653"/>
          <a:ext cx="1212056" cy="75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735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160072</xdr:colOff>
      <xdr:row>0</xdr:row>
      <xdr:rowOff>0</xdr:rowOff>
    </xdr:from>
    <xdr:to>
      <xdr:col>4</xdr:col>
      <xdr:colOff>705114</xdr:colOff>
      <xdr:row>3</xdr:row>
      <xdr:rowOff>119596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149989" y="0"/>
          <a:ext cx="1878542" cy="722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726281</xdr:colOff>
      <xdr:row>0</xdr:row>
      <xdr:rowOff>9261</xdr:rowOff>
    </xdr:from>
    <xdr:to>
      <xdr:col>9</xdr:col>
      <xdr:colOff>422010</xdr:colOff>
      <xdr:row>3</xdr:row>
      <xdr:rowOff>105883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26198" y="9261"/>
          <a:ext cx="1145645" cy="69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466535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9562" y="71436"/>
          <a:ext cx="1209485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577456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0237" y="62297"/>
          <a:ext cx="1410894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535781</xdr:colOff>
      <xdr:row>0</xdr:row>
      <xdr:rowOff>11653</xdr:rowOff>
    </xdr:from>
    <xdr:to>
      <xdr:col>20</xdr:col>
      <xdr:colOff>1119187</xdr:colOff>
      <xdr:row>3</xdr:row>
      <xdr:rowOff>154782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6737806" y="11653"/>
          <a:ext cx="1212056" cy="75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735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11905</xdr:colOff>
      <xdr:row>0</xdr:row>
      <xdr:rowOff>0</xdr:rowOff>
    </xdr:from>
    <xdr:to>
      <xdr:col>4</xdr:col>
      <xdr:colOff>556947</xdr:colOff>
      <xdr:row>3</xdr:row>
      <xdr:rowOff>119596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001822" y="0"/>
          <a:ext cx="1878542" cy="722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345280</xdr:colOff>
      <xdr:row>0</xdr:row>
      <xdr:rowOff>41011</xdr:rowOff>
    </xdr:from>
    <xdr:to>
      <xdr:col>9</xdr:col>
      <xdr:colOff>41009</xdr:colOff>
      <xdr:row>3</xdr:row>
      <xdr:rowOff>137633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145197" y="41011"/>
          <a:ext cx="1145645" cy="699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466535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9562" y="71436"/>
          <a:ext cx="1209485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757373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0237" y="62297"/>
          <a:ext cx="1409836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641614</xdr:colOff>
      <xdr:row>0</xdr:row>
      <xdr:rowOff>64570</xdr:rowOff>
    </xdr:from>
    <xdr:to>
      <xdr:col>20</xdr:col>
      <xdr:colOff>484187</xdr:colOff>
      <xdr:row>4</xdr:row>
      <xdr:rowOff>48949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2166864" y="64570"/>
          <a:ext cx="1207823" cy="74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735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85988</xdr:colOff>
      <xdr:row>0</xdr:row>
      <xdr:rowOff>0</xdr:rowOff>
    </xdr:from>
    <xdr:to>
      <xdr:col>4</xdr:col>
      <xdr:colOff>631030</xdr:colOff>
      <xdr:row>3</xdr:row>
      <xdr:rowOff>119596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075905" y="0"/>
          <a:ext cx="1878542" cy="722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641615</xdr:colOff>
      <xdr:row>0</xdr:row>
      <xdr:rowOff>136261</xdr:rowOff>
    </xdr:from>
    <xdr:to>
      <xdr:col>8</xdr:col>
      <xdr:colOff>84207</xdr:colOff>
      <xdr:row>4</xdr:row>
      <xdr:rowOff>42334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616032" y="136261"/>
          <a:ext cx="1093592" cy="668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214312</xdr:colOff>
      <xdr:row>0</xdr:row>
      <xdr:rowOff>71436</xdr:rowOff>
    </xdr:from>
    <xdr:to>
      <xdr:col>22</xdr:col>
      <xdr:colOff>466534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4312" y="71436"/>
          <a:ext cx="1228534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309562</xdr:colOff>
      <xdr:row>0</xdr:row>
      <xdr:rowOff>62297</xdr:rowOff>
    </xdr:from>
    <xdr:to>
      <xdr:col>27</xdr:col>
      <xdr:colOff>150154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35562" y="62297"/>
          <a:ext cx="1400311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130969</xdr:colOff>
      <xdr:row>0</xdr:row>
      <xdr:rowOff>0</xdr:rowOff>
    </xdr:from>
    <xdr:to>
      <xdr:col>23</xdr:col>
      <xdr:colOff>46303</xdr:colOff>
      <xdr:row>3</xdr:row>
      <xdr:rowOff>143129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3323094" y="0"/>
          <a:ext cx="1213115" cy="797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764381" y="0"/>
          <a:ext cx="759619" cy="697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178592</xdr:colOff>
      <xdr:row>0</xdr:row>
      <xdr:rowOff>0</xdr:rowOff>
    </xdr:from>
    <xdr:to>
      <xdr:col>4</xdr:col>
      <xdr:colOff>785811</xdr:colOff>
      <xdr:row>3</xdr:row>
      <xdr:rowOff>119596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179092" y="0"/>
          <a:ext cx="1869282" cy="77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583406</xdr:colOff>
      <xdr:row>0</xdr:row>
      <xdr:rowOff>1</xdr:rowOff>
    </xdr:from>
    <xdr:to>
      <xdr:col>10</xdr:col>
      <xdr:colOff>357188</xdr:colOff>
      <xdr:row>3</xdr:row>
      <xdr:rowOff>9635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846344" y="1"/>
          <a:ext cx="1000125" cy="664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466535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9562" y="71436"/>
          <a:ext cx="1209485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757373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0237" y="62297"/>
          <a:ext cx="1409836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567531</xdr:colOff>
      <xdr:row>0</xdr:row>
      <xdr:rowOff>0</xdr:rowOff>
    </xdr:from>
    <xdr:to>
      <xdr:col>20</xdr:col>
      <xdr:colOff>410104</xdr:colOff>
      <xdr:row>3</xdr:row>
      <xdr:rowOff>143129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2092781" y="0"/>
          <a:ext cx="1207823" cy="74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735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2975238</xdr:colOff>
      <xdr:row>0</xdr:row>
      <xdr:rowOff>0</xdr:rowOff>
    </xdr:from>
    <xdr:to>
      <xdr:col>4</xdr:col>
      <xdr:colOff>355863</xdr:colOff>
      <xdr:row>3</xdr:row>
      <xdr:rowOff>119596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3800738" y="0"/>
          <a:ext cx="1878542" cy="722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588697</xdr:colOff>
      <xdr:row>0</xdr:row>
      <xdr:rowOff>19844</xdr:rowOff>
    </xdr:from>
    <xdr:to>
      <xdr:col>9</xdr:col>
      <xdr:colOff>24482</xdr:colOff>
      <xdr:row>2</xdr:row>
      <xdr:rowOff>243417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8614" y="19844"/>
          <a:ext cx="885701" cy="54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214312</xdr:colOff>
      <xdr:row>0</xdr:row>
      <xdr:rowOff>71436</xdr:rowOff>
    </xdr:from>
    <xdr:to>
      <xdr:col>20</xdr:col>
      <xdr:colOff>430815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6762" y="71436"/>
          <a:ext cx="1209484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309562</xdr:colOff>
      <xdr:row>0</xdr:row>
      <xdr:rowOff>62297</xdr:rowOff>
    </xdr:from>
    <xdr:to>
      <xdr:col>24</xdr:col>
      <xdr:colOff>757372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26012" y="62297"/>
          <a:ext cx="1409836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535781</xdr:colOff>
      <xdr:row>0</xdr:row>
      <xdr:rowOff>11653</xdr:rowOff>
    </xdr:from>
    <xdr:to>
      <xdr:col>24</xdr:col>
      <xdr:colOff>156103</xdr:colOff>
      <xdr:row>3</xdr:row>
      <xdr:rowOff>154782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7223581" y="11653"/>
          <a:ext cx="1210997" cy="75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735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285749</xdr:colOff>
      <xdr:row>0</xdr:row>
      <xdr:rowOff>47627</xdr:rowOff>
    </xdr:from>
    <xdr:to>
      <xdr:col>10</xdr:col>
      <xdr:colOff>5320</xdr:colOff>
      <xdr:row>3</xdr:row>
      <xdr:rowOff>95250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43937" y="47627"/>
          <a:ext cx="1053071" cy="666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6615</xdr:colOff>
      <xdr:row>0</xdr:row>
      <xdr:rowOff>0</xdr:rowOff>
    </xdr:from>
    <xdr:to>
      <xdr:col>1</xdr:col>
      <xdr:colOff>1629834</xdr:colOff>
      <xdr:row>3</xdr:row>
      <xdr:rowOff>126207</xdr:rowOff>
    </xdr:to>
    <xdr:pic>
      <xdr:nvPicPr>
        <xdr:cNvPr id="8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35290" y="0"/>
          <a:ext cx="1623219" cy="735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236802</xdr:colOff>
      <xdr:row>0</xdr:row>
      <xdr:rowOff>0</xdr:rowOff>
    </xdr:from>
    <xdr:to>
      <xdr:col>4</xdr:col>
      <xdr:colOff>781844</xdr:colOff>
      <xdr:row>3</xdr:row>
      <xdr:rowOff>119596</xdr:rowOff>
    </xdr:to>
    <xdr:pic>
      <xdr:nvPicPr>
        <xdr:cNvPr id="9" name="8 Imagen" descr="cid:_1_0AA1BC200AA1B9E00079477C86257B47"/>
        <xdr:cNvPicPr/>
      </xdr:nvPicPr>
      <xdr:blipFill>
        <a:blip xmlns:r="http://schemas.openxmlformats.org/officeDocument/2006/relationships" r:embed="rId6" r:link="rId7" cstate="print"/>
        <a:srcRect/>
        <a:stretch>
          <a:fillRect/>
        </a:stretch>
      </xdr:blipFill>
      <xdr:spPr bwMode="auto">
        <a:xfrm>
          <a:off x="4237302" y="0"/>
          <a:ext cx="1878542" cy="73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214312</xdr:colOff>
      <xdr:row>0</xdr:row>
      <xdr:rowOff>71436</xdr:rowOff>
    </xdr:from>
    <xdr:to>
      <xdr:col>22</xdr:col>
      <xdr:colOff>466535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3012" y="71436"/>
          <a:ext cx="1209485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309562</xdr:colOff>
      <xdr:row>0</xdr:row>
      <xdr:rowOff>62297</xdr:rowOff>
    </xdr:from>
    <xdr:to>
      <xdr:col>26</xdr:col>
      <xdr:colOff>757372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73687" y="62297"/>
          <a:ext cx="1409836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583406</xdr:colOff>
      <xdr:row>0</xdr:row>
      <xdr:rowOff>0</xdr:rowOff>
    </xdr:from>
    <xdr:to>
      <xdr:col>23</xdr:col>
      <xdr:colOff>429948</xdr:colOff>
      <xdr:row>3</xdr:row>
      <xdr:rowOff>143129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3084969" y="0"/>
          <a:ext cx="1215760" cy="762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16869" cy="735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392905</xdr:colOff>
      <xdr:row>0</xdr:row>
      <xdr:rowOff>23813</xdr:rowOff>
    </xdr:from>
    <xdr:to>
      <xdr:col>7</xdr:col>
      <xdr:colOff>758030</xdr:colOff>
      <xdr:row>3</xdr:row>
      <xdr:rowOff>143409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5126830" y="23813"/>
          <a:ext cx="1879600" cy="729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404813</xdr:colOff>
      <xdr:row>0</xdr:row>
      <xdr:rowOff>11907</xdr:rowOff>
    </xdr:from>
    <xdr:to>
      <xdr:col>12</xdr:col>
      <xdr:colOff>95249</xdr:colOff>
      <xdr:row>3</xdr:row>
      <xdr:rowOff>116467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167813" y="11907"/>
          <a:ext cx="1142999" cy="723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466534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72887" y="71436"/>
          <a:ext cx="1209484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696519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73562" y="62297"/>
          <a:ext cx="1406131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511970</xdr:colOff>
      <xdr:row>0</xdr:row>
      <xdr:rowOff>11652</xdr:rowOff>
    </xdr:from>
    <xdr:to>
      <xdr:col>20</xdr:col>
      <xdr:colOff>214313</xdr:colOff>
      <xdr:row>4</xdr:row>
      <xdr:rowOff>17479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1989595" y="11652"/>
          <a:ext cx="1071562" cy="672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611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523874</xdr:colOff>
      <xdr:row>0</xdr:row>
      <xdr:rowOff>35720</xdr:rowOff>
    </xdr:from>
    <xdr:to>
      <xdr:col>5</xdr:col>
      <xdr:colOff>35720</xdr:colOff>
      <xdr:row>4</xdr:row>
      <xdr:rowOff>23814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524374" y="35720"/>
          <a:ext cx="1809752" cy="654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250032</xdr:colOff>
      <xdr:row>0</xdr:row>
      <xdr:rowOff>71438</xdr:rowOff>
    </xdr:from>
    <xdr:to>
      <xdr:col>8</xdr:col>
      <xdr:colOff>535782</xdr:colOff>
      <xdr:row>3</xdr:row>
      <xdr:rowOff>138208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36720" y="71438"/>
          <a:ext cx="1071562" cy="566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466534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86987" y="71436"/>
          <a:ext cx="1209484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757373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87662" y="62297"/>
          <a:ext cx="1409836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154782</xdr:colOff>
      <xdr:row>0</xdr:row>
      <xdr:rowOff>35465</xdr:rowOff>
    </xdr:from>
    <xdr:to>
      <xdr:col>20</xdr:col>
      <xdr:colOff>1323</xdr:colOff>
      <xdr:row>4</xdr:row>
      <xdr:rowOff>11906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4073188" y="35465"/>
          <a:ext cx="1215760" cy="762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16869" cy="735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607218</xdr:colOff>
      <xdr:row>0</xdr:row>
      <xdr:rowOff>0</xdr:rowOff>
    </xdr:from>
    <xdr:to>
      <xdr:col>6</xdr:col>
      <xdr:colOff>115093</xdr:colOff>
      <xdr:row>3</xdr:row>
      <xdr:rowOff>119596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3655218" y="0"/>
          <a:ext cx="1889125" cy="73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440532</xdr:colOff>
      <xdr:row>0</xdr:row>
      <xdr:rowOff>95251</xdr:rowOff>
    </xdr:from>
    <xdr:to>
      <xdr:col>10</xdr:col>
      <xdr:colOff>82997</xdr:colOff>
      <xdr:row>3</xdr:row>
      <xdr:rowOff>71438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536657" y="95251"/>
          <a:ext cx="940246" cy="595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466534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86987" y="71436"/>
          <a:ext cx="1209484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757373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92412" y="62297"/>
          <a:ext cx="1409836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642938</xdr:colOff>
      <xdr:row>0</xdr:row>
      <xdr:rowOff>71185</xdr:rowOff>
    </xdr:from>
    <xdr:to>
      <xdr:col>20</xdr:col>
      <xdr:colOff>489479</xdr:colOff>
      <xdr:row>4</xdr:row>
      <xdr:rowOff>47626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4466094" y="71185"/>
          <a:ext cx="1215760" cy="762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678656</xdr:colOff>
      <xdr:row>0</xdr:row>
      <xdr:rowOff>0</xdr:rowOff>
    </xdr:from>
    <xdr:to>
      <xdr:col>1</xdr:col>
      <xdr:colOff>1466850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678656" y="0"/>
          <a:ext cx="1621632" cy="745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71437</xdr:colOff>
      <xdr:row>0</xdr:row>
      <xdr:rowOff>0</xdr:rowOff>
    </xdr:from>
    <xdr:to>
      <xdr:col>6</xdr:col>
      <xdr:colOff>305593</xdr:colOff>
      <xdr:row>3</xdr:row>
      <xdr:rowOff>119596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3845718" y="0"/>
          <a:ext cx="1889125" cy="73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416719</xdr:colOff>
      <xdr:row>0</xdr:row>
      <xdr:rowOff>83344</xdr:rowOff>
    </xdr:from>
    <xdr:to>
      <xdr:col>10</xdr:col>
      <xdr:colOff>209625</xdr:colOff>
      <xdr:row>3</xdr:row>
      <xdr:rowOff>154782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512844" y="83344"/>
          <a:ext cx="1090687" cy="69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214312</xdr:colOff>
      <xdr:row>0</xdr:row>
      <xdr:rowOff>71436</xdr:rowOff>
    </xdr:from>
    <xdr:to>
      <xdr:col>20</xdr:col>
      <xdr:colOff>466535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4662" y="71436"/>
          <a:ext cx="1209485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309562</xdr:colOff>
      <xdr:row>0</xdr:row>
      <xdr:rowOff>62297</xdr:rowOff>
    </xdr:from>
    <xdr:to>
      <xdr:col>24</xdr:col>
      <xdr:colOff>757372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940087" y="62297"/>
          <a:ext cx="1409836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631030</xdr:colOff>
      <xdr:row>0</xdr:row>
      <xdr:rowOff>11653</xdr:rowOff>
    </xdr:from>
    <xdr:to>
      <xdr:col>21</xdr:col>
      <xdr:colOff>477572</xdr:colOff>
      <xdr:row>3</xdr:row>
      <xdr:rowOff>154782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1084718" y="11653"/>
          <a:ext cx="1215760" cy="762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340644" cy="735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428623</xdr:colOff>
      <xdr:row>0</xdr:row>
      <xdr:rowOff>35720</xdr:rowOff>
    </xdr:from>
    <xdr:to>
      <xdr:col>6</xdr:col>
      <xdr:colOff>662780</xdr:colOff>
      <xdr:row>3</xdr:row>
      <xdr:rowOff>155316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3929061" y="35720"/>
          <a:ext cx="1889125" cy="73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547689</xdr:colOff>
      <xdr:row>0</xdr:row>
      <xdr:rowOff>83344</xdr:rowOff>
    </xdr:from>
    <xdr:to>
      <xdr:col>11</xdr:col>
      <xdr:colOff>158215</xdr:colOff>
      <xdr:row>3</xdr:row>
      <xdr:rowOff>107156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89095" y="83344"/>
          <a:ext cx="1015464" cy="64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466534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762" y="71436"/>
          <a:ext cx="1209484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543060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6187" y="62297"/>
          <a:ext cx="1409835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11906</xdr:colOff>
      <xdr:row>0</xdr:row>
      <xdr:rowOff>47372</xdr:rowOff>
    </xdr:from>
    <xdr:to>
      <xdr:col>20</xdr:col>
      <xdr:colOff>596635</xdr:colOff>
      <xdr:row>4</xdr:row>
      <xdr:rowOff>23813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0477500" y="47372"/>
          <a:ext cx="1215760" cy="762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340644" cy="735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178593</xdr:colOff>
      <xdr:row>0</xdr:row>
      <xdr:rowOff>11907</xdr:rowOff>
    </xdr:from>
    <xdr:to>
      <xdr:col>6</xdr:col>
      <xdr:colOff>412750</xdr:colOff>
      <xdr:row>3</xdr:row>
      <xdr:rowOff>131503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3679031" y="11907"/>
          <a:ext cx="1889125" cy="73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214312</xdr:colOff>
      <xdr:row>0</xdr:row>
      <xdr:rowOff>0</xdr:rowOff>
    </xdr:from>
    <xdr:to>
      <xdr:col>10</xdr:col>
      <xdr:colOff>678655</xdr:colOff>
      <xdr:row>3</xdr:row>
      <xdr:rowOff>104560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655718" y="0"/>
          <a:ext cx="1143000" cy="723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466534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762" y="71436"/>
          <a:ext cx="1209484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757373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16187" y="62297"/>
          <a:ext cx="1409835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95249</xdr:colOff>
      <xdr:row>0</xdr:row>
      <xdr:rowOff>118809</xdr:rowOff>
    </xdr:from>
    <xdr:to>
      <xdr:col>20</xdr:col>
      <xdr:colOff>679978</xdr:colOff>
      <xdr:row>4</xdr:row>
      <xdr:rowOff>95250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0560843" y="118809"/>
          <a:ext cx="1215760" cy="762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340644" cy="7358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404811</xdr:colOff>
      <xdr:row>0</xdr:row>
      <xdr:rowOff>0</xdr:rowOff>
    </xdr:from>
    <xdr:to>
      <xdr:col>6</xdr:col>
      <xdr:colOff>638968</xdr:colOff>
      <xdr:row>3</xdr:row>
      <xdr:rowOff>119596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3905249" y="0"/>
          <a:ext cx="1889125" cy="73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571501</xdr:colOff>
      <xdr:row>0</xdr:row>
      <xdr:rowOff>59531</xdr:rowOff>
    </xdr:from>
    <xdr:to>
      <xdr:col>11</xdr:col>
      <xdr:colOff>214313</xdr:colOff>
      <xdr:row>3</xdr:row>
      <xdr:rowOff>164091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12907" y="59531"/>
          <a:ext cx="1143000" cy="723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466535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44312" y="71436"/>
          <a:ext cx="1209485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696518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44987" y="62297"/>
          <a:ext cx="1406132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214311</xdr:colOff>
      <xdr:row>0</xdr:row>
      <xdr:rowOff>11906</xdr:rowOff>
    </xdr:from>
    <xdr:to>
      <xdr:col>20</xdr:col>
      <xdr:colOff>797717</xdr:colOff>
      <xdr:row>4</xdr:row>
      <xdr:rowOff>107410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2406311" y="11906"/>
          <a:ext cx="1214437" cy="762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611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83343</xdr:colOff>
      <xdr:row>0</xdr:row>
      <xdr:rowOff>23813</xdr:rowOff>
    </xdr:from>
    <xdr:to>
      <xdr:col>5</xdr:col>
      <xdr:colOff>154783</xdr:colOff>
      <xdr:row>3</xdr:row>
      <xdr:rowOff>95250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691062" y="23813"/>
          <a:ext cx="1762127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476254</xdr:colOff>
      <xdr:row>0</xdr:row>
      <xdr:rowOff>0</xdr:rowOff>
    </xdr:from>
    <xdr:to>
      <xdr:col>10</xdr:col>
      <xdr:colOff>321472</xdr:colOff>
      <xdr:row>3</xdr:row>
      <xdr:rowOff>104559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024942" y="0"/>
          <a:ext cx="1142999" cy="604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214312</xdr:colOff>
      <xdr:row>0</xdr:row>
      <xdr:rowOff>71436</xdr:rowOff>
    </xdr:from>
    <xdr:to>
      <xdr:col>20</xdr:col>
      <xdr:colOff>466535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49187" y="71436"/>
          <a:ext cx="1209485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309562</xdr:colOff>
      <xdr:row>0</xdr:row>
      <xdr:rowOff>62297</xdr:rowOff>
    </xdr:from>
    <xdr:to>
      <xdr:col>24</xdr:col>
      <xdr:colOff>696518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49862" y="62297"/>
          <a:ext cx="1406132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83344</xdr:colOff>
      <xdr:row>0</xdr:row>
      <xdr:rowOff>0</xdr:rowOff>
    </xdr:from>
    <xdr:to>
      <xdr:col>21</xdr:col>
      <xdr:colOff>666750</xdr:colOff>
      <xdr:row>4</xdr:row>
      <xdr:rowOff>95504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3180219" y="0"/>
          <a:ext cx="1214437" cy="762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611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178592</xdr:colOff>
      <xdr:row>0</xdr:row>
      <xdr:rowOff>0</xdr:rowOff>
    </xdr:from>
    <xdr:to>
      <xdr:col>4</xdr:col>
      <xdr:colOff>734217</xdr:colOff>
      <xdr:row>4</xdr:row>
      <xdr:rowOff>71971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179092" y="0"/>
          <a:ext cx="1889125" cy="73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273844</xdr:colOff>
      <xdr:row>0</xdr:row>
      <xdr:rowOff>0</xdr:rowOff>
    </xdr:from>
    <xdr:to>
      <xdr:col>8</xdr:col>
      <xdr:colOff>571499</xdr:colOff>
      <xdr:row>3</xdr:row>
      <xdr:rowOff>104559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96250" y="0"/>
          <a:ext cx="1142999" cy="604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466534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6675" y="71436"/>
          <a:ext cx="1209484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577456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77837" y="62297"/>
          <a:ext cx="1410894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535781</xdr:colOff>
      <xdr:row>0</xdr:row>
      <xdr:rowOff>11653</xdr:rowOff>
    </xdr:from>
    <xdr:to>
      <xdr:col>20</xdr:col>
      <xdr:colOff>1119187</xdr:colOff>
      <xdr:row>4</xdr:row>
      <xdr:rowOff>107157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2775406" y="11653"/>
          <a:ext cx="1212056" cy="743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611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261936</xdr:colOff>
      <xdr:row>0</xdr:row>
      <xdr:rowOff>0</xdr:rowOff>
    </xdr:from>
    <xdr:to>
      <xdr:col>4</xdr:col>
      <xdr:colOff>817561</xdr:colOff>
      <xdr:row>4</xdr:row>
      <xdr:rowOff>71971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252911" y="0"/>
          <a:ext cx="1889125" cy="719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83343</xdr:colOff>
      <xdr:row>0</xdr:row>
      <xdr:rowOff>0</xdr:rowOff>
    </xdr:from>
    <xdr:to>
      <xdr:col>9</xdr:col>
      <xdr:colOff>607218</xdr:colOff>
      <xdr:row>3</xdr:row>
      <xdr:rowOff>104559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84418" y="0"/>
          <a:ext cx="1143000" cy="59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466534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5262" y="71436"/>
          <a:ext cx="1209484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577456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25937" y="62297"/>
          <a:ext cx="1410894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535781</xdr:colOff>
      <xdr:row>0</xdr:row>
      <xdr:rowOff>11653</xdr:rowOff>
    </xdr:from>
    <xdr:to>
      <xdr:col>20</xdr:col>
      <xdr:colOff>1119187</xdr:colOff>
      <xdr:row>4</xdr:row>
      <xdr:rowOff>107157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6623506" y="11653"/>
          <a:ext cx="1212056" cy="743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611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154779</xdr:colOff>
      <xdr:row>0</xdr:row>
      <xdr:rowOff>0</xdr:rowOff>
    </xdr:from>
    <xdr:to>
      <xdr:col>5</xdr:col>
      <xdr:colOff>353217</xdr:colOff>
      <xdr:row>4</xdr:row>
      <xdr:rowOff>71971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762498" y="0"/>
          <a:ext cx="1889125" cy="73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35719</xdr:rowOff>
    </xdr:from>
    <xdr:to>
      <xdr:col>11</xdr:col>
      <xdr:colOff>321468</xdr:colOff>
      <xdr:row>3</xdr:row>
      <xdr:rowOff>140278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822656" y="35719"/>
          <a:ext cx="1143000" cy="604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466534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0512" y="71436"/>
          <a:ext cx="1209484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577456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21187" y="62297"/>
          <a:ext cx="1410894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535781</xdr:colOff>
      <xdr:row>0</xdr:row>
      <xdr:rowOff>11653</xdr:rowOff>
    </xdr:from>
    <xdr:to>
      <xdr:col>20</xdr:col>
      <xdr:colOff>1119187</xdr:colOff>
      <xdr:row>4</xdr:row>
      <xdr:rowOff>107157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6718756" y="11653"/>
          <a:ext cx="1212056" cy="743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611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214311</xdr:colOff>
      <xdr:row>0</xdr:row>
      <xdr:rowOff>0</xdr:rowOff>
    </xdr:from>
    <xdr:to>
      <xdr:col>4</xdr:col>
      <xdr:colOff>769936</xdr:colOff>
      <xdr:row>4</xdr:row>
      <xdr:rowOff>71971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214811" y="0"/>
          <a:ext cx="1889125" cy="73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428625</xdr:colOff>
      <xdr:row>0</xdr:row>
      <xdr:rowOff>35719</xdr:rowOff>
    </xdr:from>
    <xdr:to>
      <xdr:col>9</xdr:col>
      <xdr:colOff>154781</xdr:colOff>
      <xdr:row>3</xdr:row>
      <xdr:rowOff>140278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251031" y="35719"/>
          <a:ext cx="1143000" cy="604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466534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4787" y="71436"/>
          <a:ext cx="1209484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577456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35462" y="62297"/>
          <a:ext cx="1410894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535781</xdr:colOff>
      <xdr:row>0</xdr:row>
      <xdr:rowOff>11653</xdr:rowOff>
    </xdr:from>
    <xdr:to>
      <xdr:col>20</xdr:col>
      <xdr:colOff>1119187</xdr:colOff>
      <xdr:row>4</xdr:row>
      <xdr:rowOff>107157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6633031" y="11653"/>
          <a:ext cx="1212056" cy="743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611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83342</xdr:colOff>
      <xdr:row>0</xdr:row>
      <xdr:rowOff>0</xdr:rowOff>
    </xdr:from>
    <xdr:to>
      <xdr:col>4</xdr:col>
      <xdr:colOff>638967</xdr:colOff>
      <xdr:row>4</xdr:row>
      <xdr:rowOff>71971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083842" y="0"/>
          <a:ext cx="1889125" cy="73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11906</xdr:colOff>
      <xdr:row>0</xdr:row>
      <xdr:rowOff>0</xdr:rowOff>
    </xdr:from>
    <xdr:to>
      <xdr:col>8</xdr:col>
      <xdr:colOff>392906</xdr:colOff>
      <xdr:row>3</xdr:row>
      <xdr:rowOff>104559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86687" y="0"/>
          <a:ext cx="1143000" cy="604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214312</xdr:colOff>
      <xdr:row>0</xdr:row>
      <xdr:rowOff>71436</xdr:rowOff>
    </xdr:from>
    <xdr:to>
      <xdr:col>19</xdr:col>
      <xdr:colOff>466535</xdr:colOff>
      <xdr:row>0</xdr:row>
      <xdr:rowOff>73885</xdr:rowOff>
    </xdr:to>
    <xdr:pic>
      <xdr:nvPicPr>
        <xdr:cNvPr id="2" name="1 Imagen" descr="logo_azul_SNES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01462" y="71436"/>
          <a:ext cx="1209485" cy="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309562</xdr:colOff>
      <xdr:row>0</xdr:row>
      <xdr:rowOff>62297</xdr:rowOff>
    </xdr:from>
    <xdr:to>
      <xdr:col>23</xdr:col>
      <xdr:colOff>577456</xdr:colOff>
      <xdr:row>0</xdr:row>
      <xdr:rowOff>64268</xdr:rowOff>
    </xdr:to>
    <xdr:pic>
      <xdr:nvPicPr>
        <xdr:cNvPr id="3" name="2 Imagen" descr="LOGO ITSM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02137" y="62297"/>
          <a:ext cx="1410894" cy="1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535781</xdr:colOff>
      <xdr:row>0</xdr:row>
      <xdr:rowOff>11653</xdr:rowOff>
    </xdr:from>
    <xdr:to>
      <xdr:col>20</xdr:col>
      <xdr:colOff>1119186</xdr:colOff>
      <xdr:row>4</xdr:row>
      <xdr:rowOff>107157</xdr:rowOff>
    </xdr:to>
    <xdr:pic>
      <xdr:nvPicPr>
        <xdr:cNvPr id="4" name="3 Imagen" descr="LOGO ITSM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8517" t="9448" r="6312" b="16546"/>
        <a:stretch>
          <a:fillRect/>
        </a:stretch>
      </xdr:blipFill>
      <xdr:spPr bwMode="auto">
        <a:xfrm>
          <a:off x="16699706" y="11653"/>
          <a:ext cx="1212056" cy="743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821531</xdr:colOff>
      <xdr:row>0</xdr:row>
      <xdr:rowOff>0</xdr:rowOff>
    </xdr:from>
    <xdr:to>
      <xdr:col>1</xdr:col>
      <xdr:colOff>1619250</xdr:colOff>
      <xdr:row>3</xdr:row>
      <xdr:rowOff>126207</xdr:rowOff>
    </xdr:to>
    <xdr:pic>
      <xdr:nvPicPr>
        <xdr:cNvPr id="5" name="Picture 1" descr="SEP_horizontal_ALTA-0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17251" r="510" b="32322"/>
        <a:stretch>
          <a:fillRect/>
        </a:stretch>
      </xdr:blipFill>
      <xdr:spPr bwMode="auto">
        <a:xfrm>
          <a:off x="821531" y="0"/>
          <a:ext cx="1626394" cy="611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321467</xdr:colOff>
      <xdr:row>0</xdr:row>
      <xdr:rowOff>0</xdr:rowOff>
    </xdr:from>
    <xdr:to>
      <xdr:col>4</xdr:col>
      <xdr:colOff>877092</xdr:colOff>
      <xdr:row>4</xdr:row>
      <xdr:rowOff>71971</xdr:rowOff>
    </xdr:to>
    <xdr:pic>
      <xdr:nvPicPr>
        <xdr:cNvPr id="6" name="5 Imagen" descr="cid:_1_0AA1BC200AA1B9E00079477C86257B47"/>
        <xdr:cNvPicPr/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321967" y="0"/>
          <a:ext cx="1889125" cy="738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571500</xdr:colOff>
      <xdr:row>0</xdr:row>
      <xdr:rowOff>23813</xdr:rowOff>
    </xdr:from>
    <xdr:to>
      <xdr:col>10</xdr:col>
      <xdr:colOff>416718</xdr:colOff>
      <xdr:row>3</xdr:row>
      <xdr:rowOff>128372</xdr:rowOff>
    </xdr:to>
    <xdr:pic>
      <xdr:nvPicPr>
        <xdr:cNvPr id="7" name="Picture 1" descr="plata 20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179719" y="23813"/>
          <a:ext cx="1142999" cy="604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4/NOMINAS%202014/11.%20NOVIEMBRE/NOMINA%20DEL16-30%20DE%20NOVIEMBRE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9.%20DEL%2001-15%20DE%20MAYO%20DE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0.%20DEL%2016-31%20DE%20MAYO%20DE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1.%20DEL%2001-15%20JUNIO%20DE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2.%20DEL%2016-30%20JUNIO%20DE%202015%20-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3.%20DEL%2001-15%20DE%20JULIO%20DE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4.%20DEL%2016-31%20DE%20JULIO%20DE%20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5.%20DEL%2001-15%20DE%20AGOSTO%20DEL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6.%20DEL%2016-30%20DE%20AGOSTO%20DEL%20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7.%20DEL%2001-15%20DE%20SEPTIEMBRE%20%20DEL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8.%20DEL%2016-30%20DE%20SEPTIEMBRE%20%20DEL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.DEL%2001-15%20ENERO%20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19.%20DEL%2001-15%20DE%20OCTUBRE%20DEL%20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4/NOMINAS%202014/11.%20NOVIEMBRE/NOMINA%20DEL16-30%20W11DE%20NOVIEMBRE%20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0.%20DEL16-31DE%20OCTUBRE%20DEL%20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1%20DE%2001-15%20NOVIEMBRE%20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2%20DE%2016-30NOVIEMBRE%20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3%20DE%2001-15%20DICIEMBRE%20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4%20DE%2016-30%20DICIEMBRE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2.DEL%2016-31%20DE%20ENERO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3.DEL%2001-15%20DE%20FEBRERO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4.DEL%2016-28%20DE%20FEBRERO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5.DEL%2001-15%20DE%20MARZO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6.DEL%2016-31%20DE%20MARZO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7.DEL%2001-15%20DE%20ABRIL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ocuments/2015/NOMINAS/NOMINA%208.DEL%2016-30%20DE%20ABRIL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RAMON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MICAELA (3)"/>
      <sheetName val="HILD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Lic. Aida  (2)"/>
      <sheetName val="M.V.Z. GILDARO SANCHEZ"/>
      <sheetName val="HT-ADMINISTRATIVOS FIRMA"/>
      <sheetName val="HT-DOCENTE"/>
      <sheetName val="HT-DOCENTE FIRMA"/>
      <sheetName val="HT-DOCENTE FIRMA estimulo "/>
      <sheetName val="Calculo ISR "/>
      <sheetName val="descuentos"/>
      <sheetName val="NOTAS"/>
      <sheetName val="DEL INTERINATO DE YERA"/>
      <sheetName val="Hoja2"/>
      <sheetName val="10 DIAS AGUINALDO"/>
      <sheetName val="DOCENTES AGU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C8">
            <v>15</v>
          </cell>
          <cell r="G8">
            <v>960</v>
          </cell>
          <cell r="H8">
            <v>0</v>
          </cell>
          <cell r="J8">
            <v>688</v>
          </cell>
          <cell r="W8">
            <v>960</v>
          </cell>
        </row>
        <row r="10">
          <cell r="H10">
            <v>446</v>
          </cell>
          <cell r="S10">
            <v>0</v>
          </cell>
        </row>
        <row r="11">
          <cell r="G11">
            <v>385.5</v>
          </cell>
        </row>
        <row r="12">
          <cell r="G12">
            <v>385.5</v>
          </cell>
        </row>
        <row r="13">
          <cell r="G13">
            <v>385.5</v>
          </cell>
          <cell r="Q13">
            <v>0</v>
          </cell>
        </row>
        <row r="14">
          <cell r="G14">
            <v>385.5</v>
          </cell>
        </row>
        <row r="15">
          <cell r="G15">
            <v>385.5</v>
          </cell>
        </row>
        <row r="16">
          <cell r="G16">
            <v>385.5</v>
          </cell>
        </row>
        <row r="17">
          <cell r="G17">
            <v>385.5</v>
          </cell>
          <cell r="Q17">
            <v>0</v>
          </cell>
          <cell r="S17">
            <v>0</v>
          </cell>
        </row>
        <row r="19">
          <cell r="G19">
            <v>385.5</v>
          </cell>
          <cell r="H19">
            <v>446</v>
          </cell>
        </row>
        <row r="20">
          <cell r="G20">
            <v>385.5</v>
          </cell>
          <cell r="P20">
            <v>0</v>
          </cell>
          <cell r="S20">
            <v>0</v>
          </cell>
        </row>
        <row r="21">
          <cell r="G21">
            <v>385.5</v>
          </cell>
        </row>
        <row r="22">
          <cell r="G22">
            <v>385.5</v>
          </cell>
        </row>
        <row r="23">
          <cell r="G23">
            <v>385.5</v>
          </cell>
          <cell r="H23">
            <v>446</v>
          </cell>
        </row>
        <row r="26">
          <cell r="G26">
            <v>385.5</v>
          </cell>
        </row>
        <row r="27">
          <cell r="G27">
            <v>385.5</v>
          </cell>
        </row>
        <row r="28">
          <cell r="G28">
            <v>385.5</v>
          </cell>
          <cell r="H28">
            <v>446</v>
          </cell>
          <cell r="J28">
            <v>0</v>
          </cell>
        </row>
        <row r="29">
          <cell r="G29">
            <v>385.5</v>
          </cell>
          <cell r="H29">
            <v>892</v>
          </cell>
          <cell r="J29">
            <v>0</v>
          </cell>
          <cell r="P29">
            <v>581</v>
          </cell>
        </row>
        <row r="31">
          <cell r="G31">
            <v>385.5</v>
          </cell>
          <cell r="H31">
            <v>446</v>
          </cell>
          <cell r="J31">
            <v>0</v>
          </cell>
        </row>
        <row r="32">
          <cell r="G32">
            <v>385.5</v>
          </cell>
          <cell r="S32">
            <v>0</v>
          </cell>
        </row>
        <row r="35">
          <cell r="G35">
            <v>385.5</v>
          </cell>
        </row>
        <row r="36">
          <cell r="G36">
            <v>385.5</v>
          </cell>
          <cell r="S36">
            <v>0</v>
          </cell>
        </row>
        <row r="37">
          <cell r="G37">
            <v>385.5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7">
          <cell r="K7">
            <v>24240.959999999999</v>
          </cell>
        </row>
      </sheetData>
      <sheetData sheetId="60" refreshError="1"/>
      <sheetData sheetId="61">
        <row r="10">
          <cell r="F10">
            <v>106.04</v>
          </cell>
        </row>
        <row r="33">
          <cell r="E33">
            <v>96232.5</v>
          </cell>
          <cell r="N33">
            <v>10472.4</v>
          </cell>
        </row>
      </sheetData>
      <sheetData sheetId="62" refreshError="1"/>
      <sheetData sheetId="63">
        <row r="34">
          <cell r="K34">
            <v>5456.9699999999993</v>
          </cell>
          <cell r="L34">
            <v>2099.3806365020209</v>
          </cell>
          <cell r="M34">
            <v>178.73069425452351</v>
          </cell>
          <cell r="N34">
            <v>312.18984722389325</v>
          </cell>
          <cell r="O34">
            <v>142.19420243330924</v>
          </cell>
          <cell r="P34">
            <v>312.18984722389325</v>
          </cell>
          <cell r="Q34">
            <v>40.818725902887451</v>
          </cell>
          <cell r="R34">
            <v>11.694247518221431</v>
          </cell>
          <cell r="S34">
            <v>1199.3182919204733</v>
          </cell>
          <cell r="T34">
            <v>362.93996048903261</v>
          </cell>
          <cell r="U34">
            <v>343.7883128943663</v>
          </cell>
          <cell r="V34">
            <v>2369.8207780401704</v>
          </cell>
          <cell r="W34">
            <v>128.59850201282202</v>
          </cell>
          <cell r="X34">
            <v>-37.084768835120002</v>
          </cell>
          <cell r="Y34">
            <v>40.942644213439934</v>
          </cell>
          <cell r="Z34">
            <v>75.081749049215233</v>
          </cell>
          <cell r="AA34">
            <v>75.081748962733116</v>
          </cell>
          <cell r="AB34">
            <v>143.85654896273311</v>
          </cell>
          <cell r="AC34">
            <v>179.50855715280002</v>
          </cell>
          <cell r="AD34">
            <v>15.149271698239971</v>
          </cell>
          <cell r="AE34">
            <v>1199.3182919204733</v>
          </cell>
          <cell r="AF34">
            <v>146.74541128181463</v>
          </cell>
          <cell r="AG34">
            <v>-61.725528301760008</v>
          </cell>
          <cell r="AH34">
            <v>1166.7533832938893</v>
          </cell>
          <cell r="AI34">
            <v>-61.725528301760008</v>
          </cell>
          <cell r="AJ34">
            <v>2311.300991160128</v>
          </cell>
          <cell r="AK34">
            <v>1166.7533832938893</v>
          </cell>
          <cell r="AL34">
            <v>15.198026224000017</v>
          </cell>
          <cell r="AM34">
            <v>179.50433439359998</v>
          </cell>
          <cell r="AN34">
            <v>306.60419631999991</v>
          </cell>
          <cell r="AO34">
            <v>1166.7533832938893</v>
          </cell>
          <cell r="AP34">
            <v>15.193791999999974</v>
          </cell>
          <cell r="AQ34">
            <v>-73.611346431999976</v>
          </cell>
          <cell r="AR34">
            <v>-73.611346431999976</v>
          </cell>
          <cell r="AS34">
            <v>1893.3293279999998</v>
          </cell>
          <cell r="AT34">
            <v>1893.3293279999998</v>
          </cell>
          <cell r="AU34">
            <v>15.193791999999974</v>
          </cell>
          <cell r="AV34">
            <v>1893.3293279999998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>
        <row r="40">
          <cell r="I40">
            <v>116625.75</v>
          </cell>
          <cell r="J40">
            <v>7258.9199999999992</v>
          </cell>
          <cell r="L40">
            <v>1650.2000000000003</v>
          </cell>
          <cell r="M40">
            <v>590.54499999999996</v>
          </cell>
          <cell r="P40">
            <v>11342.350696</v>
          </cell>
          <cell r="R40">
            <v>10800.74</v>
          </cell>
          <cell r="X40">
            <v>88591.491360000015</v>
          </cell>
        </row>
      </sheetData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>
        <row r="39">
          <cell r="I39">
            <v>116625.75</v>
          </cell>
          <cell r="J39">
            <v>7258.9199999999992</v>
          </cell>
          <cell r="L39">
            <v>1650.2000000000003</v>
          </cell>
          <cell r="N39">
            <v>590.54499999999996</v>
          </cell>
          <cell r="Q39">
            <v>24651.401637999999</v>
          </cell>
          <cell r="S39">
            <v>9546</v>
          </cell>
          <cell r="Y39">
            <v>137272.09369999997</v>
          </cell>
        </row>
      </sheetData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>
        <row r="39">
          <cell r="I39">
            <v>116625.75</v>
          </cell>
          <cell r="J39">
            <v>7258.9199999999992</v>
          </cell>
          <cell r="L39">
            <v>1650.2000000000003</v>
          </cell>
          <cell r="M39">
            <v>590.54499999999996</v>
          </cell>
          <cell r="P39">
            <v>11754.654984000001</v>
          </cell>
          <cell r="X39">
            <v>87606.381294000035</v>
          </cell>
        </row>
      </sheetData>
      <sheetData sheetId="147" refreshError="1"/>
      <sheetData sheetId="148">
        <row r="34">
          <cell r="K34">
            <v>2272.0883519999998</v>
          </cell>
          <cell r="L34">
            <v>2099.3806365020209</v>
          </cell>
          <cell r="M34">
            <v>178.73069425452351</v>
          </cell>
          <cell r="N34">
            <v>312.18984722389325</v>
          </cell>
          <cell r="O34">
            <v>142.19420243330924</v>
          </cell>
          <cell r="P34">
            <v>312.18984722389325</v>
          </cell>
          <cell r="Q34">
            <v>40.818725902887451</v>
          </cell>
          <cell r="R34">
            <v>11.694247518221431</v>
          </cell>
          <cell r="S34">
            <v>1199.3182919204733</v>
          </cell>
          <cell r="T34">
            <v>362.93996048903261</v>
          </cell>
          <cell r="U34">
            <v>343.7883128943663</v>
          </cell>
          <cell r="V34">
            <v>2369.8207780401704</v>
          </cell>
          <cell r="W34">
            <v>135.39635222306563</v>
          </cell>
          <cell r="X34">
            <v>-32.491550770987288</v>
          </cell>
          <cell r="Y34">
            <v>45.537811925495333</v>
          </cell>
          <cell r="Z34">
            <v>75.081749049215233</v>
          </cell>
          <cell r="AA34">
            <v>75.081748962733116</v>
          </cell>
          <cell r="AB34">
            <v>143.85654896273311</v>
          </cell>
          <cell r="AC34">
            <v>143.85654896273311</v>
          </cell>
          <cell r="AD34">
            <v>15.149271698239971</v>
          </cell>
          <cell r="AE34">
            <v>1231.8832005470572</v>
          </cell>
          <cell r="AF34">
            <v>146.74541128181463</v>
          </cell>
          <cell r="AG34">
            <v>-61.725528301760008</v>
          </cell>
          <cell r="AH34">
            <v>1166.7533832938893</v>
          </cell>
          <cell r="AI34">
            <v>-61.725528301760008</v>
          </cell>
          <cell r="AJ34">
            <v>2311.300991160128</v>
          </cell>
          <cell r="AM34">
            <v>179.50433439359998</v>
          </cell>
          <cell r="AN34">
            <v>306.60419631999991</v>
          </cell>
          <cell r="AO34">
            <v>1166.7533832938893</v>
          </cell>
          <cell r="AP34">
            <v>15.193791999999974</v>
          </cell>
          <cell r="AQ34">
            <v>-73.611346431999976</v>
          </cell>
          <cell r="AR34">
            <v>-73.611346431999976</v>
          </cell>
          <cell r="AS34">
            <v>1893.3293279999998</v>
          </cell>
          <cell r="AT34">
            <v>1893.3293279999998</v>
          </cell>
          <cell r="AU34">
            <v>15.193791999999974</v>
          </cell>
          <cell r="AV34">
            <v>1893.3293279999998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>
        <row r="39">
          <cell r="I39">
            <v>116625.75</v>
          </cell>
          <cell r="J39">
            <v>7131.6699999999992</v>
          </cell>
          <cell r="L39">
            <v>1650.2000000000003</v>
          </cell>
          <cell r="M39">
            <v>509.89499999999998</v>
          </cell>
          <cell r="P39">
            <v>11750.893352000001</v>
          </cell>
          <cell r="Q39">
            <v>12245.703750000001</v>
          </cell>
          <cell r="X39">
            <v>87183.502926000016</v>
          </cell>
        </row>
      </sheetData>
      <sheetData sheetId="147" refreshError="1"/>
      <sheetData sheetId="148">
        <row r="34">
          <cell r="K34">
            <v>5456.9489999999996</v>
          </cell>
          <cell r="L34">
            <v>2099.3806365020209</v>
          </cell>
          <cell r="M34">
            <v>178.73069425452351</v>
          </cell>
          <cell r="N34">
            <v>312.18984722389325</v>
          </cell>
          <cell r="O34">
            <v>142.19420243330924</v>
          </cell>
          <cell r="P34">
            <v>312.18984722389325</v>
          </cell>
          <cell r="Q34">
            <v>40.818725902887451</v>
          </cell>
          <cell r="R34">
            <v>11.694247518221431</v>
          </cell>
          <cell r="S34">
            <v>1231.8832005470572</v>
          </cell>
          <cell r="T34">
            <v>362.93996048903261</v>
          </cell>
          <cell r="U34">
            <v>343.7883128943663</v>
          </cell>
          <cell r="V34">
            <v>2369.8207780401704</v>
          </cell>
          <cell r="W34">
            <v>135.39635222306563</v>
          </cell>
          <cell r="X34">
            <v>-32.491550770987288</v>
          </cell>
          <cell r="Y34">
            <v>45.537811925495333</v>
          </cell>
          <cell r="AA34">
            <v>75.081748962733116</v>
          </cell>
          <cell r="AB34">
            <v>143.85654896273311</v>
          </cell>
          <cell r="AC34">
            <v>143.85654896273311</v>
          </cell>
          <cell r="AD34">
            <v>15.149271698239971</v>
          </cell>
          <cell r="AE34">
            <v>1231.8832005470572</v>
          </cell>
          <cell r="AF34">
            <v>146.74541128181463</v>
          </cell>
          <cell r="AG34">
            <v>-61.725528301760008</v>
          </cell>
          <cell r="AH34">
            <v>1166.7533832938893</v>
          </cell>
          <cell r="AI34">
            <v>-61.725528301760008</v>
          </cell>
          <cell r="AJ34">
            <v>2311.300991160128</v>
          </cell>
          <cell r="AM34">
            <v>179.50433439359998</v>
          </cell>
          <cell r="AN34">
            <v>128.60285349759991</v>
          </cell>
          <cell r="AO34">
            <v>1166.7533832938893</v>
          </cell>
          <cell r="AP34">
            <v>15.193791999999974</v>
          </cell>
          <cell r="AQ34">
            <v>-73.611346431999976</v>
          </cell>
          <cell r="AR34">
            <v>-73.611346431999976</v>
          </cell>
          <cell r="AS34">
            <v>1893.3293279999998</v>
          </cell>
          <cell r="AT34">
            <v>1893.3293279999998</v>
          </cell>
          <cell r="AU34">
            <v>15.193791999999974</v>
          </cell>
          <cell r="AV34">
            <v>1893.3293279999998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>
        <row r="39">
          <cell r="I39">
            <v>116625.75</v>
          </cell>
          <cell r="J39">
            <v>7131.6699999999992</v>
          </cell>
          <cell r="L39">
            <v>1650.2000000000003</v>
          </cell>
          <cell r="M39">
            <v>509.89499999999998</v>
          </cell>
          <cell r="Q39">
            <v>12245.703750000001</v>
          </cell>
          <cell r="R39">
            <v>9546</v>
          </cell>
        </row>
      </sheetData>
      <sheetData sheetId="147" refreshError="1"/>
      <sheetData sheetId="148">
        <row r="34">
          <cell r="K34">
            <v>5456.9489999999996</v>
          </cell>
          <cell r="L34">
            <v>2149.9588786422314</v>
          </cell>
          <cell r="M34">
            <v>293.43608197187945</v>
          </cell>
          <cell r="N34">
            <v>323.22927641199925</v>
          </cell>
          <cell r="O34">
            <v>148.99205264355285</v>
          </cell>
          <cell r="P34">
            <v>323.22927641199925</v>
          </cell>
          <cell r="Q34">
            <v>46.13162037702503</v>
          </cell>
          <cell r="R34">
            <v>16.74860144389217</v>
          </cell>
          <cell r="S34">
            <v>1199.3182919204733</v>
          </cell>
          <cell r="T34">
            <v>362.93996048903261</v>
          </cell>
          <cell r="U34">
            <v>343.7883128943663</v>
          </cell>
          <cell r="V34">
            <v>2369.8207780401704</v>
          </cell>
          <cell r="W34">
            <v>135.39635222306563</v>
          </cell>
          <cell r="X34">
            <v>-32.491550770987288</v>
          </cell>
          <cell r="Y34">
            <v>45.537811925495333</v>
          </cell>
          <cell r="AA34">
            <v>75.081748962733116</v>
          </cell>
          <cell r="AB34">
            <v>143.85654896273311</v>
          </cell>
          <cell r="AC34">
            <v>143.85654896273311</v>
          </cell>
          <cell r="AD34">
            <v>15.149271698239971</v>
          </cell>
          <cell r="AE34">
            <v>1231.8832005470572</v>
          </cell>
          <cell r="AF34">
            <v>146.74541128181463</v>
          </cell>
          <cell r="AG34">
            <v>-61.725528301760008</v>
          </cell>
          <cell r="AH34">
            <v>1166.7533832938893</v>
          </cell>
          <cell r="AI34">
            <v>-61.725528301760008</v>
          </cell>
          <cell r="AJ34">
            <v>2311.300991160128</v>
          </cell>
          <cell r="AM34">
            <v>179.50433439359998</v>
          </cell>
          <cell r="AN34">
            <v>128.60285349759991</v>
          </cell>
          <cell r="AO34">
            <v>1166.7533832938893</v>
          </cell>
          <cell r="AP34">
            <v>15.193791999999974</v>
          </cell>
          <cell r="AQ34">
            <v>-73.611346431999976</v>
          </cell>
          <cell r="AR34">
            <v>-73.611346431999976</v>
          </cell>
          <cell r="AS34">
            <v>1893.3293279999998</v>
          </cell>
          <cell r="AT34">
            <v>1893.3293279999998</v>
          </cell>
          <cell r="AU34">
            <v>15.193791999999974</v>
          </cell>
          <cell r="AV34">
            <v>1893.3293279999998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Hoja3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>
        <row r="38">
          <cell r="I38">
            <v>114334.5</v>
          </cell>
          <cell r="J38">
            <v>7114.3199999999988</v>
          </cell>
          <cell r="L38">
            <v>1650.2000000000003</v>
          </cell>
          <cell r="M38">
            <v>624.46</v>
          </cell>
          <cell r="Q38">
            <v>12005.122500000001</v>
          </cell>
          <cell r="R38">
            <v>9546</v>
          </cell>
        </row>
      </sheetData>
      <sheetData sheetId="147" refreshError="1"/>
      <sheetData sheetId="148">
        <row r="34">
          <cell r="K34">
            <v>5456.9489999999996</v>
          </cell>
          <cell r="L34">
            <v>2149.9588786422314</v>
          </cell>
          <cell r="M34">
            <v>293.43608197187945</v>
          </cell>
          <cell r="N34">
            <v>323.22927641199925</v>
          </cell>
          <cell r="O34">
            <v>148.99205264355285</v>
          </cell>
          <cell r="P34">
            <v>323.22927641199925</v>
          </cell>
          <cell r="Q34">
            <v>46.13162037702503</v>
          </cell>
          <cell r="R34">
            <v>16.74860144389217</v>
          </cell>
          <cell r="S34">
            <v>1231.8832005470572</v>
          </cell>
          <cell r="T34">
            <v>375.13150087106567</v>
          </cell>
          <cell r="U34">
            <v>354.29219743312285</v>
          </cell>
          <cell r="V34">
            <v>2369.8207780401704</v>
          </cell>
          <cell r="W34">
            <v>135.39635222306563</v>
          </cell>
          <cell r="X34">
            <v>-32.491550770987288</v>
          </cell>
          <cell r="Y34">
            <v>45.537811925495333</v>
          </cell>
          <cell r="AA34">
            <v>75.081748962733116</v>
          </cell>
          <cell r="AB34">
            <v>143.85654896273311</v>
          </cell>
          <cell r="AC34">
            <v>143.85654896273311</v>
          </cell>
          <cell r="AD34">
            <v>15.149271698239971</v>
          </cell>
          <cell r="AE34">
            <v>1231.8832005470572</v>
          </cell>
          <cell r="AF34">
            <v>146.74541128181463</v>
          </cell>
          <cell r="AG34">
            <v>-61.725528301760008</v>
          </cell>
          <cell r="AH34">
            <v>1166.7533832938893</v>
          </cell>
          <cell r="AI34">
            <v>-61.725528301760008</v>
          </cell>
          <cell r="AJ34">
            <v>2311.300991160128</v>
          </cell>
          <cell r="AM34">
            <v>179.50433439359998</v>
          </cell>
          <cell r="AN34">
            <v>128.60285349759991</v>
          </cell>
          <cell r="AO34">
            <v>1166.7533832938893</v>
          </cell>
          <cell r="AP34">
            <v>15.193791999999974</v>
          </cell>
          <cell r="AQ34">
            <v>-73.611346431999976</v>
          </cell>
          <cell r="AR34">
            <v>-73.611346431999976</v>
          </cell>
          <cell r="AS34">
            <v>1893.3293279999998</v>
          </cell>
          <cell r="AT34">
            <v>1893.3293279999998</v>
          </cell>
          <cell r="AU34">
            <v>15.193791999999974</v>
          </cell>
          <cell r="AV34">
            <v>1893.3293279999998</v>
          </cell>
          <cell r="AW34">
            <v>15.193791999999974</v>
          </cell>
          <cell r="AX34">
            <v>15.29171199999999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Hoja3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>
        <row r="32">
          <cell r="I32">
            <v>98495</v>
          </cell>
          <cell r="J32">
            <v>6053.9199999999992</v>
          </cell>
          <cell r="L32">
            <v>1661.3500000000001</v>
          </cell>
          <cell r="M32">
            <v>247.76499999999999</v>
          </cell>
          <cell r="Q32">
            <v>10341.974999999997</v>
          </cell>
          <cell r="R32">
            <v>5980</v>
          </cell>
        </row>
      </sheetData>
      <sheetData sheetId="148" refreshError="1"/>
      <sheetData sheetId="149">
        <row r="12">
          <cell r="D12">
            <v>12447</v>
          </cell>
          <cell r="E12">
            <v>771</v>
          </cell>
          <cell r="G12">
            <v>0</v>
          </cell>
          <cell r="H12">
            <v>373.40999999999997</v>
          </cell>
          <cell r="L12">
            <v>1306.9349999999999</v>
          </cell>
          <cell r="M12">
            <v>1986</v>
          </cell>
        </row>
      </sheetData>
      <sheetData sheetId="150">
        <row r="34">
          <cell r="K34">
            <v>5456.9489999999996</v>
          </cell>
          <cell r="L34">
            <v>2149.9588786422314</v>
          </cell>
          <cell r="M34">
            <v>293.43608197187945</v>
          </cell>
          <cell r="N34">
            <v>323.22927641199925</v>
          </cell>
          <cell r="O34">
            <v>148.99205264355285</v>
          </cell>
          <cell r="P34">
            <v>323.22927641199925</v>
          </cell>
          <cell r="Q34">
            <v>46.13162037702503</v>
          </cell>
          <cell r="R34">
            <v>16.74860144389217</v>
          </cell>
          <cell r="S34">
            <v>1231.8832005470572</v>
          </cell>
          <cell r="T34">
            <v>375.13150087106567</v>
          </cell>
          <cell r="U34">
            <v>354.29219743312285</v>
          </cell>
          <cell r="V34">
            <v>2369.8207780401704</v>
          </cell>
          <cell r="W34">
            <v>135.39635222306563</v>
          </cell>
          <cell r="X34">
            <v>-32.491550770987288</v>
          </cell>
          <cell r="Y34">
            <v>45.537811925495333</v>
          </cell>
          <cell r="AA34">
            <v>75.081748962733116</v>
          </cell>
          <cell r="AB34">
            <v>143.85654896273311</v>
          </cell>
          <cell r="AC34">
            <v>143.85654896273311</v>
          </cell>
          <cell r="AD34">
            <v>15.149271698239971</v>
          </cell>
          <cell r="AE34">
            <v>1231.8832005470572</v>
          </cell>
          <cell r="AF34">
            <v>146.74541128181463</v>
          </cell>
          <cell r="AG34">
            <v>-61.725528301760008</v>
          </cell>
          <cell r="AH34">
            <v>1166.7533832938893</v>
          </cell>
          <cell r="AI34">
            <v>-61.725528301760008</v>
          </cell>
          <cell r="AJ34">
            <v>2311.300991160128</v>
          </cell>
          <cell r="AM34">
            <v>179.50433439359998</v>
          </cell>
          <cell r="AN34">
            <v>128.60285349759991</v>
          </cell>
          <cell r="AO34">
            <v>1166.7533832938893</v>
          </cell>
          <cell r="AP34">
            <v>15.193791999999974</v>
          </cell>
          <cell r="AQ34">
            <v>-73.611346431999976</v>
          </cell>
          <cell r="AR34">
            <v>-73.611346431999976</v>
          </cell>
          <cell r="AS34">
            <v>1893.3293279999998</v>
          </cell>
          <cell r="AU34">
            <v>15.193791999999974</v>
          </cell>
          <cell r="AV34">
            <v>1893.3293279999998</v>
          </cell>
          <cell r="AW34">
            <v>15.193791999999974</v>
          </cell>
          <cell r="AX34">
            <v>15.29171199999999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"/>
      <sheetName val="Calculo ISR "/>
      <sheetName val="Calculo ISR  con prima. VAC."/>
      <sheetName val="E"/>
      <sheetName val="E."/>
      <sheetName val="E.."/>
      <sheetName val="descuentos"/>
      <sheetName val="DEL INTERINATO DE YERA"/>
      <sheetName val="Hoja2"/>
      <sheetName val="10 DIAS AGUINALDO"/>
      <sheetName val="DOCENTES AGUIN"/>
      <sheetName val="Hoja1"/>
      <sheetName val="IMPACTO PTC"/>
      <sheetName val="calculo IMPCAT.ADMVO"/>
      <sheetName val="CALCULO IMPAC. DOCENTES.VIEJAA"/>
      <sheetName val="CALCULO IMPAC. DOCENTES.NUEVAAA"/>
      <sheetName val="PV. INCREMETADA DOCENTES"/>
      <sheetName val="DOCENTE CALCULOS PRUEBA"/>
      <sheetName val="HT-ADMINISTRATIVOS FIRM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>
        <row r="39">
          <cell r="J39">
            <v>120011.85</v>
          </cell>
          <cell r="K39">
            <v>7162.5199999999986</v>
          </cell>
          <cell r="M39">
            <v>1683.65</v>
          </cell>
          <cell r="N39">
            <v>256.19849999999997</v>
          </cell>
          <cell r="T39">
            <v>12601.244249999994</v>
          </cell>
          <cell r="U39">
            <v>5980</v>
          </cell>
        </row>
      </sheetData>
      <sheetData sheetId="147" refreshError="1"/>
      <sheetData sheetId="148" refreshError="1">
        <row r="15">
          <cell r="D15">
            <v>39564.509999999995</v>
          </cell>
          <cell r="E15">
            <v>1927.5</v>
          </cell>
          <cell r="G15">
            <v>0</v>
          </cell>
          <cell r="H15">
            <v>373.40999999999997</v>
          </cell>
          <cell r="N15">
            <v>4154.2735499999999</v>
          </cell>
          <cell r="O15">
            <v>5759</v>
          </cell>
        </row>
      </sheetData>
      <sheetData sheetId="149" refreshError="1">
        <row r="34">
          <cell r="K34">
            <v>5782.4489999999996</v>
          </cell>
          <cell r="L34">
            <v>4169.5751938976991</v>
          </cell>
          <cell r="M34">
            <v>647.98982280328471</v>
          </cell>
          <cell r="N34">
            <v>940.69815779520854</v>
          </cell>
          <cell r="O34">
            <v>822.05606751864502</v>
          </cell>
          <cell r="P34">
            <v>940.69815779520854</v>
          </cell>
          <cell r="Q34">
            <v>573.57773831800819</v>
          </cell>
          <cell r="R34">
            <v>531.78851561049021</v>
          </cell>
          <cell r="S34">
            <v>2235.8657579461992</v>
          </cell>
          <cell r="T34">
            <v>1047.7585350522797</v>
          </cell>
          <cell r="U34">
            <v>953.67507263538016</v>
          </cell>
          <cell r="V34">
            <v>4345.6741691131365</v>
          </cell>
          <cell r="W34">
            <v>783.56552731682643</v>
          </cell>
          <cell r="X34">
            <v>149.04837193288117</v>
          </cell>
          <cell r="Y34">
            <v>524.92360511642619</v>
          </cell>
          <cell r="AB34">
            <v>531.48930899070172</v>
          </cell>
          <cell r="AC34">
            <v>764.82309460831118</v>
          </cell>
          <cell r="AD34">
            <v>488.59528725698163</v>
          </cell>
          <cell r="AE34">
            <v>2492.2786788557387</v>
          </cell>
          <cell r="AF34">
            <v>590.66934408411294</v>
          </cell>
          <cell r="AG34">
            <v>408.67208725698163</v>
          </cell>
          <cell r="AH34">
            <v>2396.177679412031</v>
          </cell>
          <cell r="AI34">
            <v>408.67208725698163</v>
          </cell>
          <cell r="AJ34">
            <v>4567.0064024275116</v>
          </cell>
          <cell r="AM34">
            <v>764.81888536194049</v>
          </cell>
          <cell r="AN34">
            <v>767.50125048480788</v>
          </cell>
          <cell r="AO34">
            <v>2140.985679412031</v>
          </cell>
          <cell r="AP34">
            <v>343.0716703999999</v>
          </cell>
          <cell r="AQ34">
            <v>81.097487568240638</v>
          </cell>
          <cell r="AR34">
            <v>81.097487568240638</v>
          </cell>
          <cell r="AS34">
            <v>3419.5549919999999</v>
          </cell>
          <cell r="AU34">
            <v>343.0716703999999</v>
          </cell>
          <cell r="AV34">
            <v>3419.5549919999999</v>
          </cell>
          <cell r="AW34">
            <v>343.0716703999999</v>
          </cell>
          <cell r="AX34">
            <v>68.86562047999999</v>
          </cell>
          <cell r="AY34">
            <v>172.59723199999999</v>
          </cell>
        </row>
      </sheetData>
      <sheetData sheetId="150">
        <row r="34">
          <cell r="BC34">
            <v>2059.1278329863012</v>
          </cell>
        </row>
      </sheetData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Hoja3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39">
          <cell r="I39">
            <v>120011.85</v>
          </cell>
          <cell r="L39">
            <v>1683.65</v>
          </cell>
          <cell r="Q39">
            <v>12601.244249999994</v>
          </cell>
          <cell r="R39">
            <v>6983.62</v>
          </cell>
        </row>
      </sheetData>
      <sheetData sheetId="151" refreshError="1"/>
      <sheetData sheetId="152">
        <row r="15">
          <cell r="D15">
            <v>39564.509999999995</v>
          </cell>
          <cell r="K15">
            <v>4154.2735499999999</v>
          </cell>
          <cell r="L15">
            <v>5759</v>
          </cell>
        </row>
      </sheetData>
      <sheetData sheetId="153">
        <row r="34">
          <cell r="K34">
            <v>5457.759</v>
          </cell>
          <cell r="L34">
            <v>2245.6521072</v>
          </cell>
          <cell r="M34">
            <v>313.30680639999991</v>
          </cell>
          <cell r="N34">
            <v>344.11708800000002</v>
          </cell>
          <cell r="O34">
            <v>179.55110239999996</v>
          </cell>
          <cell r="P34">
            <v>344.11708800000002</v>
          </cell>
          <cell r="Q34">
            <v>56.180213951999946</v>
          </cell>
          <cell r="R34">
            <v>41.497959680000037</v>
          </cell>
          <cell r="S34">
            <v>1292.3884620959998</v>
          </cell>
          <cell r="T34">
            <v>398.84451699200014</v>
          </cell>
          <cell r="U34">
            <v>373.80573759999999</v>
          </cell>
          <cell r="V34">
            <v>2476.5595778400002</v>
          </cell>
          <cell r="W34">
            <v>147.7931088</v>
          </cell>
          <cell r="X34">
            <v>-9.7245653760000152</v>
          </cell>
          <cell r="Y34">
            <v>53.800234623999955</v>
          </cell>
          <cell r="AB34">
            <v>172.59723199999999</v>
          </cell>
          <cell r="AC34">
            <v>172.59723199999999</v>
          </cell>
          <cell r="AD34">
            <v>38.007807999999983</v>
          </cell>
          <cell r="AE34">
            <v>1292.3884620959998</v>
          </cell>
          <cell r="AF34">
            <v>177.22884799999994</v>
          </cell>
          <cell r="AG34">
            <v>-39.916992000000022</v>
          </cell>
          <cell r="AH34">
            <v>1225.0436159999999</v>
          </cell>
          <cell r="AI34">
            <v>-39.916992000000022</v>
          </cell>
          <cell r="AM34">
            <v>298.79239999999999</v>
          </cell>
          <cell r="AN34">
            <v>140.76411199999998</v>
          </cell>
          <cell r="AO34">
            <v>1225.0436159999999</v>
          </cell>
          <cell r="AP34">
            <v>39.699647999999968</v>
          </cell>
          <cell r="AQ34">
            <v>-69.316559999999981</v>
          </cell>
          <cell r="AR34">
            <v>-69.316559999999981</v>
          </cell>
          <cell r="AS34">
            <v>1983.8578080000002</v>
          </cell>
          <cell r="AU34">
            <v>39.699647999999968</v>
          </cell>
          <cell r="AV34">
            <v>1983.8578080000002</v>
          </cell>
          <cell r="AW34">
            <v>39.699647999999968</v>
          </cell>
          <cell r="AX34">
            <v>39.699647999999968</v>
          </cell>
          <cell r="AY34">
            <v>172.59723199999999</v>
          </cell>
          <cell r="AZ34">
            <v>177.22884799999994</v>
          </cell>
        </row>
      </sheetData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NOMINA DE BONO SERV. DOCENTES"/>
      <sheetName val="NOMINA BONO SERV. PTC"/>
      <sheetName val=" ISR DEL BONO DOCENT. Y PTC "/>
      <sheetName val="PROY. BONO DEL SERV. ADMVOV"/>
      <sheetName val="proyecto bono del ser. DOCENTES"/>
      <sheetName val="PROYECTO DE BONO. PROPORCIONAL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>
        <row r="39">
          <cell r="I39">
            <v>120327.75</v>
          </cell>
          <cell r="L39">
            <v>1683.65</v>
          </cell>
          <cell r="Q39">
            <v>12634.413749999994</v>
          </cell>
          <cell r="R39">
            <v>5980</v>
          </cell>
        </row>
      </sheetData>
      <sheetData sheetId="149" refreshError="1"/>
      <sheetData sheetId="150">
        <row r="15">
          <cell r="D15">
            <v>39564.509999999995</v>
          </cell>
          <cell r="K15">
            <v>4154.2735499999999</v>
          </cell>
          <cell r="L15">
            <v>5759</v>
          </cell>
        </row>
      </sheetData>
      <sheetData sheetId="151" refreshError="1"/>
      <sheetData sheetId="152" refreshError="1"/>
      <sheetData sheetId="153" refreshError="1"/>
      <sheetData sheetId="154">
        <row r="4">
          <cell r="E4">
            <v>11703</v>
          </cell>
        </row>
        <row r="5">
          <cell r="E5">
            <v>3572.7000000000003</v>
          </cell>
        </row>
        <row r="6">
          <cell r="E6">
            <v>3754.9</v>
          </cell>
        </row>
        <row r="7">
          <cell r="E7">
            <v>3400.2000000000003</v>
          </cell>
        </row>
        <row r="8">
          <cell r="E8">
            <v>3754.9500000000003</v>
          </cell>
        </row>
        <row r="9">
          <cell r="E9">
            <v>2657.4</v>
          </cell>
        </row>
        <row r="10">
          <cell r="E10">
            <v>2529.75</v>
          </cell>
        </row>
        <row r="11">
          <cell r="E11">
            <v>8296.9500000000007</v>
          </cell>
        </row>
        <row r="12">
          <cell r="E12">
            <v>4146.75</v>
          </cell>
        </row>
        <row r="13">
          <cell r="E13">
            <v>3572.7000000000003</v>
          </cell>
        </row>
        <row r="14">
          <cell r="E14">
            <v>13540.5</v>
          </cell>
        </row>
        <row r="15">
          <cell r="E15">
            <v>3400.2000000000003</v>
          </cell>
        </row>
        <row r="16">
          <cell r="E16">
            <v>2297.4</v>
          </cell>
        </row>
        <row r="17">
          <cell r="E17">
            <v>2297.4</v>
          </cell>
        </row>
        <row r="18">
          <cell r="E18">
            <v>3084.15</v>
          </cell>
        </row>
        <row r="19">
          <cell r="E19">
            <v>2793.6000000000004</v>
          </cell>
        </row>
        <row r="20">
          <cell r="E20">
            <v>2195.85</v>
          </cell>
        </row>
        <row r="21">
          <cell r="E21">
            <v>8296.9500000000007</v>
          </cell>
        </row>
        <row r="22">
          <cell r="E22">
            <v>3572.7000000000003</v>
          </cell>
        </row>
        <row r="23">
          <cell r="E23">
            <v>2195.85</v>
          </cell>
        </row>
        <row r="24">
          <cell r="E24">
            <v>8296.9500000000007</v>
          </cell>
        </row>
        <row r="25">
          <cell r="E25">
            <v>2195.85</v>
          </cell>
        </row>
        <row r="26">
          <cell r="E26">
            <v>8296.9500000000007</v>
          </cell>
        </row>
        <row r="27">
          <cell r="E27">
            <v>2793.6000000000004</v>
          </cell>
        </row>
        <row r="28">
          <cell r="E28">
            <v>3400.2000000000003</v>
          </cell>
        </row>
        <row r="29">
          <cell r="E29">
            <v>8296.9500000000007</v>
          </cell>
        </row>
        <row r="30">
          <cell r="E30">
            <v>2657.4</v>
          </cell>
        </row>
        <row r="31">
          <cell r="E31">
            <v>2037.4500000000003</v>
          </cell>
        </row>
        <row r="32">
          <cell r="E32">
            <v>2037.4500000000003</v>
          </cell>
        </row>
        <row r="33">
          <cell r="E33">
            <v>11703</v>
          </cell>
        </row>
        <row r="34">
          <cell r="E34">
            <v>2650.3136</v>
          </cell>
        </row>
        <row r="35">
          <cell r="E35">
            <v>11156.86</v>
          </cell>
        </row>
        <row r="36">
          <cell r="E36">
            <v>2533.3879999999999</v>
          </cell>
        </row>
      </sheetData>
      <sheetData sheetId="155" refreshError="1"/>
      <sheetData sheetId="156" refreshError="1"/>
      <sheetData sheetId="157">
        <row r="34">
          <cell r="K34">
            <v>5457.759</v>
          </cell>
          <cell r="L34">
            <v>5540.4032999999999</v>
          </cell>
          <cell r="M34">
            <v>1022.571116544</v>
          </cell>
          <cell r="N34">
            <v>1102.6207624800002</v>
          </cell>
          <cell r="O34">
            <v>946.78566780000006</v>
          </cell>
          <cell r="P34">
            <v>1102.6314424800003</v>
          </cell>
          <cell r="Q34">
            <v>620.42228474399997</v>
          </cell>
          <cell r="R34">
            <v>564.33152496000025</v>
          </cell>
          <cell r="S34">
            <v>3257.4434579999993</v>
          </cell>
          <cell r="T34">
            <v>1257.9651987360003</v>
          </cell>
          <cell r="U34">
            <v>1103.3371896960002</v>
          </cell>
          <cell r="V34">
            <v>6386.1781350000001</v>
          </cell>
          <cell r="W34">
            <v>919.18651860000023</v>
          </cell>
          <cell r="X34">
            <v>458.71948761600009</v>
          </cell>
          <cell r="Y34">
            <v>538.85382532800008</v>
          </cell>
          <cell r="AB34">
            <v>865.62530400000014</v>
          </cell>
          <cell r="AC34">
            <v>865.62530400000014</v>
          </cell>
          <cell r="AD34">
            <v>494.43387200000018</v>
          </cell>
          <cell r="AE34">
            <v>3257.4434579999993</v>
          </cell>
          <cell r="AF34">
            <v>979.07253600000013</v>
          </cell>
          <cell r="AG34">
            <v>414.51067200000017</v>
          </cell>
          <cell r="AH34">
            <v>3162.8579999999997</v>
          </cell>
          <cell r="AI34">
            <v>414.51067200000017</v>
          </cell>
          <cell r="AK34">
            <v>3162.8579999999997</v>
          </cell>
          <cell r="AM34">
            <v>836.77862400000004</v>
          </cell>
          <cell r="AN34">
            <v>905.38694400000031</v>
          </cell>
          <cell r="AO34">
            <v>3162.8579999999997</v>
          </cell>
          <cell r="AP34">
            <v>588.06705600000009</v>
          </cell>
          <cell r="AQ34">
            <v>361.08359999999999</v>
          </cell>
          <cell r="AR34">
            <v>361.08359999999999</v>
          </cell>
          <cell r="AS34">
            <v>5206.482</v>
          </cell>
          <cell r="AU34">
            <v>586.55340095999998</v>
          </cell>
          <cell r="AV34">
            <v>5042.6400000000003</v>
          </cell>
          <cell r="AW34">
            <v>561.57809280000015</v>
          </cell>
          <cell r="AX34">
            <v>39.699647999999968</v>
          </cell>
          <cell r="AY34">
            <v>172.59723199999999</v>
          </cell>
          <cell r="AZ34">
            <v>177.22884799999994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MICAELA (3)"/>
      <sheetName val="HILD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Lic. Aida  (2)"/>
      <sheetName val="M.V.Z. GILDARO SANCHEZ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NOTAS"/>
      <sheetName val="DEL INTERINATO DE YERA"/>
      <sheetName val="Hoja2"/>
      <sheetName val="10 DIAS AGUINALDO"/>
      <sheetName val="DOCENTES AGU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>
        <row r="33">
          <cell r="E33">
            <v>96232.5</v>
          </cell>
          <cell r="F33">
            <v>6073.2000000000007</v>
          </cell>
          <cell r="H33">
            <v>1605.6</v>
          </cell>
          <cell r="I33">
            <v>534.625</v>
          </cell>
          <cell r="L33">
            <v>10179.314488000002</v>
          </cell>
          <cell r="T33">
            <v>69762.786800000002</v>
          </cell>
        </row>
      </sheetData>
      <sheetData sheetId="78" refreshError="1"/>
      <sheetData sheetId="79" refreshError="1"/>
      <sheetData sheetId="80" refreshError="1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39">
          <cell r="I39">
            <v>120327.75</v>
          </cell>
          <cell r="P39">
            <v>1969.04</v>
          </cell>
          <cell r="Q39">
            <v>4498.2</v>
          </cell>
          <cell r="R39">
            <v>732.42499999999995</v>
          </cell>
          <cell r="W39">
            <v>12634.413749999994</v>
          </cell>
          <cell r="X39">
            <v>5980</v>
          </cell>
        </row>
      </sheetData>
      <sheetData sheetId="152" refreshError="1"/>
      <sheetData sheetId="153">
        <row r="15">
          <cell r="D15">
            <v>39564.509999999995</v>
          </cell>
          <cell r="I15">
            <v>215</v>
          </cell>
          <cell r="N15">
            <v>4154.2735499999999</v>
          </cell>
          <cell r="O15">
            <v>5759</v>
          </cell>
        </row>
      </sheetData>
      <sheetData sheetId="154">
        <row r="34">
          <cell r="K34">
            <v>5457.759</v>
          </cell>
          <cell r="L34">
            <v>2598.0993072000001</v>
          </cell>
          <cell r="M34">
            <v>313.30680639999991</v>
          </cell>
          <cell r="N34">
            <v>378.51708799999994</v>
          </cell>
          <cell r="O34">
            <v>318.53867999999994</v>
          </cell>
          <cell r="P34">
            <v>378.51708799999994</v>
          </cell>
          <cell r="Q34">
            <v>79.572213951999942</v>
          </cell>
          <cell r="R34">
            <v>64.889959680000032</v>
          </cell>
          <cell r="S34">
            <v>1292.3884620959998</v>
          </cell>
          <cell r="T34">
            <v>437.37251699200016</v>
          </cell>
          <cell r="U34">
            <v>660.28806969599987</v>
          </cell>
          <cell r="V34">
            <v>2537.06958768</v>
          </cell>
          <cell r="W34">
            <v>297.86515999999995</v>
          </cell>
          <cell r="X34">
            <v>-9.7245653760000152</v>
          </cell>
          <cell r="Y34">
            <v>395.47980761600013</v>
          </cell>
          <cell r="AB34">
            <v>490.11156800000003</v>
          </cell>
          <cell r="AC34">
            <v>490.11156800000003</v>
          </cell>
          <cell r="AD34">
            <v>371.55559999999997</v>
          </cell>
          <cell r="AE34">
            <v>1338.3124620959998</v>
          </cell>
          <cell r="AF34">
            <v>177.22884799999994</v>
          </cell>
          <cell r="AG34">
            <v>-2.1249919999999918</v>
          </cell>
          <cell r="AH34">
            <v>1270.9676159999999</v>
          </cell>
          <cell r="AI34">
            <v>-2.1249919999999918</v>
          </cell>
          <cell r="AK34">
            <v>1270.9676159999999</v>
          </cell>
          <cell r="AM34">
            <v>834.30086400000005</v>
          </cell>
          <cell r="AN34">
            <v>424.18388800000008</v>
          </cell>
          <cell r="AO34">
            <v>1225.0436159999999</v>
          </cell>
          <cell r="AP34">
            <v>39.699647999999968</v>
          </cell>
          <cell r="AQ34">
            <v>-69.316559999999981</v>
          </cell>
          <cell r="AR34">
            <v>-69.316559999999981</v>
          </cell>
          <cell r="AS34">
            <v>1983.8578080000002</v>
          </cell>
          <cell r="AU34">
            <v>39.699647999999968</v>
          </cell>
          <cell r="AV34">
            <v>1983.8578080000002</v>
          </cell>
          <cell r="AW34">
            <v>39.699647999999968</v>
          </cell>
          <cell r="AX34">
            <v>39.699647999999968</v>
          </cell>
          <cell r="AY34">
            <v>322.23239999999998</v>
          </cell>
          <cell r="AZ34">
            <v>177.22884799999994</v>
          </cell>
        </row>
      </sheetData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alculo ISR 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38">
          <cell r="I38">
            <v>117642.6</v>
          </cell>
          <cell r="M38">
            <v>1838.6399999999999</v>
          </cell>
          <cell r="R38">
            <v>12352.472999999994</v>
          </cell>
          <cell r="S38">
            <v>5980</v>
          </cell>
        </row>
        <row r="39">
          <cell r="B39">
            <v>28</v>
          </cell>
        </row>
      </sheetData>
      <sheetData sheetId="152" refreshError="1"/>
      <sheetData sheetId="153">
        <row r="15">
          <cell r="D15">
            <v>39564.509999999995</v>
          </cell>
          <cell r="K15">
            <v>4154.2735499999999</v>
          </cell>
          <cell r="L15">
            <v>5759</v>
          </cell>
        </row>
        <row r="16">
          <cell r="B16">
            <v>5</v>
          </cell>
        </row>
      </sheetData>
      <sheetData sheetId="154">
        <row r="34">
          <cell r="K34">
            <v>5457.759</v>
          </cell>
          <cell r="L34">
            <v>2263.4097072000004</v>
          </cell>
          <cell r="M34">
            <v>313.30680639999991</v>
          </cell>
          <cell r="N34">
            <v>344.11708800000002</v>
          </cell>
          <cell r="O34">
            <v>179.55110239999996</v>
          </cell>
          <cell r="P34">
            <v>344.11708800000002</v>
          </cell>
          <cell r="Q34">
            <v>56.180213951999946</v>
          </cell>
          <cell r="R34">
            <v>41.497959680000037</v>
          </cell>
          <cell r="S34">
            <v>1292.3884620959998</v>
          </cell>
          <cell r="T34">
            <v>398.84451699200014</v>
          </cell>
          <cell r="U34">
            <v>385.88573759999997</v>
          </cell>
          <cell r="V34">
            <v>2537.06958768</v>
          </cell>
          <cell r="W34">
            <v>147.7931088</v>
          </cell>
          <cell r="X34">
            <v>-9.7245653760000152</v>
          </cell>
          <cell r="Y34">
            <v>62.014634623999967</v>
          </cell>
          <cell r="AB34">
            <v>180.81163199999995</v>
          </cell>
          <cell r="AC34">
            <v>180.81163199999995</v>
          </cell>
          <cell r="AD34">
            <v>46.222207999999995</v>
          </cell>
          <cell r="AE34">
            <v>1292.3884620959998</v>
          </cell>
          <cell r="AF34">
            <v>177.22884799999994</v>
          </cell>
          <cell r="AG34">
            <v>-39.916992000000022</v>
          </cell>
          <cell r="AH34">
            <v>1225.0436159999999</v>
          </cell>
          <cell r="AI34">
            <v>-39.916992000000022</v>
          </cell>
          <cell r="AK34">
            <v>1225.0436159999999</v>
          </cell>
          <cell r="AM34">
            <v>322.95239999999995</v>
          </cell>
          <cell r="AN34">
            <v>140.76411199999998</v>
          </cell>
          <cell r="AO34">
            <v>1225.0436159999999</v>
          </cell>
          <cell r="AP34">
            <v>39.699647999999968</v>
          </cell>
          <cell r="AQ34">
            <v>-69.316559999999981</v>
          </cell>
          <cell r="AR34">
            <v>-69.316559999999981</v>
          </cell>
          <cell r="AS34">
            <v>1983.8578080000002</v>
          </cell>
          <cell r="AU34">
            <v>39.699647999999968</v>
          </cell>
          <cell r="AV34">
            <v>1983.8578080000002</v>
          </cell>
          <cell r="AW34">
            <v>39.699647999999968</v>
          </cell>
          <cell r="AX34">
            <v>39.699647999999968</v>
          </cell>
          <cell r="AY34">
            <v>180.81163199999995</v>
          </cell>
          <cell r="AZ34">
            <v>177.22884799999994</v>
          </cell>
          <cell r="BA34">
            <v>1380.978024</v>
          </cell>
        </row>
      </sheetData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38">
          <cell r="I38">
            <v>117642.6</v>
          </cell>
          <cell r="R38">
            <v>12352.472999999994</v>
          </cell>
          <cell r="S38">
            <v>6766</v>
          </cell>
        </row>
        <row r="39">
          <cell r="B39">
            <v>28</v>
          </cell>
        </row>
      </sheetData>
      <sheetData sheetId="152" refreshError="1"/>
      <sheetData sheetId="153">
        <row r="15">
          <cell r="D15">
            <v>39564.509999999995</v>
          </cell>
          <cell r="K15">
            <v>4154.2735499999999</v>
          </cell>
          <cell r="L15">
            <v>5759</v>
          </cell>
        </row>
        <row r="16">
          <cell r="B16">
            <v>5</v>
          </cell>
        </row>
      </sheetData>
      <sheetData sheetId="154">
        <row r="34">
          <cell r="K34">
            <v>5457.759</v>
          </cell>
          <cell r="L34">
            <v>2263.4097072000004</v>
          </cell>
          <cell r="M34">
            <v>313.30680639999991</v>
          </cell>
          <cell r="N34">
            <v>344.11708800000002</v>
          </cell>
          <cell r="O34">
            <v>179.55110239999996</v>
          </cell>
          <cell r="P34">
            <v>344.11708800000002</v>
          </cell>
          <cell r="Q34">
            <v>56.180213951999946</v>
          </cell>
          <cell r="R34">
            <v>41.497959680000037</v>
          </cell>
          <cell r="S34">
            <v>1292.3884620959998</v>
          </cell>
          <cell r="T34">
            <v>398.84451699200014</v>
          </cell>
          <cell r="U34">
            <v>385.88573759999997</v>
          </cell>
          <cell r="V34">
            <v>2537.06958768</v>
          </cell>
          <cell r="W34">
            <v>147.7931088</v>
          </cell>
          <cell r="X34">
            <v>-9.7245653760000152</v>
          </cell>
          <cell r="Y34">
            <v>62.014634623999967</v>
          </cell>
          <cell r="AB34">
            <v>180.81163199999995</v>
          </cell>
          <cell r="AC34">
            <v>180.81163199999995</v>
          </cell>
          <cell r="AD34">
            <v>46.222207999999995</v>
          </cell>
          <cell r="AE34">
            <v>1292.3884620959998</v>
          </cell>
          <cell r="AF34">
            <v>177.22884799999994</v>
          </cell>
          <cell r="AG34">
            <v>-39.916992000000022</v>
          </cell>
          <cell r="AH34">
            <v>1225.0436159999999</v>
          </cell>
          <cell r="AI34">
            <v>-39.916992000000022</v>
          </cell>
          <cell r="AK34">
            <v>1225.0436159999999</v>
          </cell>
          <cell r="AM34">
            <v>322.95239999999995</v>
          </cell>
          <cell r="AN34">
            <v>140.76411199999998</v>
          </cell>
          <cell r="AO34">
            <v>1225.0436159999999</v>
          </cell>
          <cell r="AP34">
            <v>39.699647999999968</v>
          </cell>
          <cell r="AQ34">
            <v>-69.316559999999981</v>
          </cell>
          <cell r="AR34">
            <v>-69.316559999999981</v>
          </cell>
          <cell r="AS34">
            <v>1983.8578080000002</v>
          </cell>
          <cell r="AU34">
            <v>39.699647999999968</v>
          </cell>
          <cell r="AV34">
            <v>1983.8578080000002</v>
          </cell>
          <cell r="AW34">
            <v>39.699647999999968</v>
          </cell>
          <cell r="AX34">
            <v>39.699647999999968</v>
          </cell>
          <cell r="AY34">
            <v>180.81163199999995</v>
          </cell>
          <cell r="AZ34">
            <v>177.22884799999994</v>
          </cell>
          <cell r="BA34">
            <v>2416.037808</v>
          </cell>
        </row>
      </sheetData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HT-PTC FIRMAS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DOCENTE CALCULOS PRU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38">
          <cell r="I38">
            <v>117642.6</v>
          </cell>
          <cell r="M38">
            <v>1838.6399999999999</v>
          </cell>
          <cell r="N38">
            <v>22500</v>
          </cell>
          <cell r="S38">
            <v>12352.472999999994</v>
          </cell>
          <cell r="T38">
            <v>6766</v>
          </cell>
        </row>
        <row r="39">
          <cell r="B39">
            <v>28</v>
          </cell>
        </row>
      </sheetData>
      <sheetData sheetId="152" refreshError="1"/>
      <sheetData sheetId="153">
        <row r="15">
          <cell r="D15">
            <v>39564.509999999995</v>
          </cell>
          <cell r="H15">
            <v>7500</v>
          </cell>
          <cell r="M15">
            <v>4154.2735499999999</v>
          </cell>
          <cell r="N15">
            <v>5759</v>
          </cell>
        </row>
        <row r="16">
          <cell r="B16">
            <v>5</v>
          </cell>
        </row>
      </sheetData>
      <sheetData sheetId="154">
        <row r="34">
          <cell r="K34">
            <v>5457.759</v>
          </cell>
          <cell r="L34">
            <v>1983.8578080000002</v>
          </cell>
          <cell r="M34">
            <v>793.44239654400008</v>
          </cell>
          <cell r="N34">
            <v>834.57412248000003</v>
          </cell>
          <cell r="O34">
            <v>754.5029477999999</v>
          </cell>
          <cell r="P34">
            <v>834.57412248000003</v>
          </cell>
          <cell r="Q34">
            <v>586.80164474399999</v>
          </cell>
          <cell r="R34">
            <v>557.97692496000025</v>
          </cell>
          <cell r="S34">
            <v>1225.0436159999999</v>
          </cell>
          <cell r="T34">
            <v>906.21939873600013</v>
          </cell>
          <cell r="U34">
            <v>890.33526969600007</v>
          </cell>
          <cell r="V34">
            <v>2416.0495679999999</v>
          </cell>
          <cell r="W34">
            <v>726.90379860000019</v>
          </cell>
          <cell r="X34">
            <v>495.02540761600017</v>
          </cell>
          <cell r="Y34">
            <v>598.25598532800018</v>
          </cell>
          <cell r="AB34">
            <v>756.977664</v>
          </cell>
          <cell r="AC34">
            <v>806.31926399999998</v>
          </cell>
          <cell r="AD34">
            <v>567.25173600000005</v>
          </cell>
          <cell r="AE34">
            <v>1225.0436159999999</v>
          </cell>
          <cell r="AF34">
            <v>749.94381599999997</v>
          </cell>
          <cell r="AG34">
            <v>469.01435200000009</v>
          </cell>
          <cell r="AH34">
            <v>1225.0436159999999</v>
          </cell>
          <cell r="AI34">
            <v>-39.916992000000022</v>
          </cell>
          <cell r="AK34">
            <v>1225.0436159999999</v>
          </cell>
          <cell r="AM34">
            <v>806.31926399999998</v>
          </cell>
          <cell r="AN34">
            <v>713.10422400000004</v>
          </cell>
          <cell r="AO34">
            <v>1225.0436159999999</v>
          </cell>
          <cell r="AP34">
            <v>554.44641599999989</v>
          </cell>
          <cell r="AQ34">
            <v>440.62907200000018</v>
          </cell>
          <cell r="AR34">
            <v>440.62907200000018</v>
          </cell>
          <cell r="AS34">
            <v>1983.8578080000002</v>
          </cell>
          <cell r="AU34">
            <v>39.699647999999968</v>
          </cell>
          <cell r="AV34">
            <v>1983.8578080000002</v>
          </cell>
          <cell r="AW34">
            <v>39.699647999999968</v>
          </cell>
          <cell r="AX34">
            <v>554.44641599999989</v>
          </cell>
          <cell r="AY34">
            <v>756.977664</v>
          </cell>
          <cell r="AZ34">
            <v>749.94381599999997</v>
          </cell>
          <cell r="BA34">
            <v>2416.037808</v>
          </cell>
        </row>
      </sheetData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Admon aguinaldo FIRMAS "/>
      <sheetName val="HT-DOCENTE FIRMA"/>
      <sheetName val="HT-DOCENTE FIRMA estimulo "/>
      <sheetName val="Docentes aguinaldo FIRMAS"/>
      <sheetName val="HT-PTC FIRMAS "/>
      <sheetName val="PTC aguinaldo FIRMAS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PROYECTO.50 DIAS DE AGUI"/>
      <sheetName val="Admon aguinaldo CALCULOS"/>
      <sheetName val="Admon aguinaldo CALCULO RESUME "/>
      <sheetName val=" aguinaldo DOCENTES "/>
      <sheetName val="HT-DOCENTE TODOS LOS CALCULOSS"/>
      <sheetName val="CALCULOSS AGUINALDO PTC"/>
      <sheetName val="Calculo ISR  CON AGUINALDOSSS"/>
      <sheetName val="DOCENTE CALCULOS PRUEBA"/>
      <sheetName val="calculo. PRIMA VAC. ADMVOS"/>
      <sheetName val="FIRMAS PV. ADMVOS"/>
      <sheetName val="CALCULO PV DOCENTES"/>
      <sheetName val="FIRMAS PV. DOCENTES"/>
      <sheetName val="calculo. PRIMA VAC. PTC"/>
      <sheetName val="FIRMAS PV. PTC"/>
      <sheetName val="Calculo ISR P. VACACIONAL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>
        <row r="38">
          <cell r="I38">
            <v>117642.6</v>
          </cell>
          <cell r="M38">
            <v>1838.6399999999999</v>
          </cell>
          <cell r="R38">
            <v>12352.472999999994</v>
          </cell>
          <cell r="S38">
            <v>6766</v>
          </cell>
        </row>
        <row r="39">
          <cell r="B39">
            <v>28</v>
          </cell>
        </row>
      </sheetData>
      <sheetData sheetId="153" refreshError="1"/>
      <sheetData sheetId="154" refreshError="1"/>
      <sheetData sheetId="155">
        <row r="15">
          <cell r="D15">
            <v>39564.509999999995</v>
          </cell>
          <cell r="L15">
            <v>4154.2735499999999</v>
          </cell>
          <cell r="M15">
            <v>5759</v>
          </cell>
        </row>
        <row r="16">
          <cell r="B16">
            <v>5</v>
          </cell>
        </row>
      </sheetData>
      <sheetData sheetId="156" refreshError="1"/>
      <sheetData sheetId="157">
        <row r="34">
          <cell r="K34">
            <v>5457.759</v>
          </cell>
          <cell r="L34">
            <v>1983.8578080000002</v>
          </cell>
          <cell r="M34">
            <v>313.30680639999991</v>
          </cell>
          <cell r="N34">
            <v>344.11708800000002</v>
          </cell>
          <cell r="O34">
            <v>179.55110239999996</v>
          </cell>
          <cell r="P34">
            <v>344.11708800000002</v>
          </cell>
          <cell r="Q34">
            <v>56.180213951999946</v>
          </cell>
          <cell r="R34">
            <v>41.497959680000037</v>
          </cell>
          <cell r="S34">
            <v>1225.0436159999999</v>
          </cell>
          <cell r="T34">
            <v>398.84451699200014</v>
          </cell>
          <cell r="U34">
            <v>385.88573759999997</v>
          </cell>
          <cell r="V34">
            <v>2416.0495679999999</v>
          </cell>
          <cell r="W34">
            <v>147.7931088</v>
          </cell>
          <cell r="X34">
            <v>-9.7245653760000152</v>
          </cell>
          <cell r="Y34">
            <v>62.014634623999967</v>
          </cell>
          <cell r="AB34">
            <v>180.81163199999995</v>
          </cell>
          <cell r="AC34">
            <v>322.95239999999995</v>
          </cell>
          <cell r="AD34">
            <v>46.222207999999995</v>
          </cell>
          <cell r="AE34">
            <v>1225.0436159999999</v>
          </cell>
          <cell r="AF34">
            <v>177.22884799999994</v>
          </cell>
          <cell r="AG34">
            <v>-39.916992000000022</v>
          </cell>
          <cell r="AH34">
            <v>1225.0436159999999</v>
          </cell>
          <cell r="AI34">
            <v>-39.916992000000022</v>
          </cell>
          <cell r="AK34">
            <v>1225.0436159999999</v>
          </cell>
          <cell r="AM34">
            <v>322.95239999999995</v>
          </cell>
          <cell r="AN34">
            <v>140.76411199999998</v>
          </cell>
          <cell r="AO34">
            <v>1225.0436159999999</v>
          </cell>
          <cell r="AP34">
            <v>39.699647999999968</v>
          </cell>
          <cell r="AQ34">
            <v>-69.316559999999981</v>
          </cell>
          <cell r="AR34">
            <v>-69.316559999999981</v>
          </cell>
          <cell r="AS34">
            <v>1983.8578080000002</v>
          </cell>
          <cell r="AU34">
            <v>39.699647999999968</v>
          </cell>
          <cell r="AV34">
            <v>1983.8578080000002</v>
          </cell>
          <cell r="AW34">
            <v>39.699647999999968</v>
          </cell>
          <cell r="AX34">
            <v>39.699647999999968</v>
          </cell>
          <cell r="AY34">
            <v>180.81163199999995</v>
          </cell>
          <cell r="AZ34">
            <v>177.22884799999994</v>
          </cell>
          <cell r="BA34">
            <v>2416.037808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PTC FIRMAS (2)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5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5)"/>
      <sheetName val="LILIANA (4)"/>
      <sheetName val="ANDRES (4)"/>
      <sheetName val="JULIAN (4)"/>
      <sheetName val="LUIS ALBERTO  (4)"/>
      <sheetName val="JOSE EMANUEL (4)"/>
      <sheetName val="KARINA ROBLES (5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Admon aguinaldo FIRMAS "/>
      <sheetName val="HT-DOCENTE FIRMA"/>
      <sheetName val="HT-DOCENTE FIRMA estimulo "/>
      <sheetName val="Docentes aguinaldo FIRMAS"/>
      <sheetName val="HT-PTC FIRMAS "/>
      <sheetName val="PTC aguinaldo FIRMAS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CALCULOS RETRO ADMVOS."/>
      <sheetName val="Hoja1"/>
      <sheetName val="CALCULO RETRO DESPENSA DOCENTES"/>
      <sheetName val="CALCULO RETRO GUARDERIA DOCENTE"/>
      <sheetName val="CALCULO RETRO AYUDA PARA UTILES"/>
      <sheetName val="CALCULO DE RETRO MATERIAL DIDA"/>
      <sheetName val="PTC RETROACTIVOS"/>
      <sheetName val="PROYECTO.50 DIAS DE AGUI"/>
      <sheetName val="Admon aguinaldo CALCULOS"/>
      <sheetName val="Admon aguinaldo CALCULO RESUME "/>
      <sheetName val=" aguinaldo DOCENTES "/>
      <sheetName val="HT-DOCENTE TODOS LOS CALCULOSS"/>
      <sheetName val="CALCULOSS AGUINALDO PTC"/>
      <sheetName val="Calculo ISR  CON AGUINALDOSSS"/>
      <sheetName val="DOCENTE CALCULOS PRUEBA"/>
      <sheetName val="calculo. PRIMA VAC. ADMVOS"/>
      <sheetName val="FIRMAS PV. ADMVOS"/>
      <sheetName val="CALCULO PV DOCENTES"/>
      <sheetName val="FIRMAS PV. DOCENTES"/>
      <sheetName val="calculo. PRIMA VAC. PTC"/>
      <sheetName val="FIRMAS PV. PTC"/>
      <sheetName val="Calculo ISR P. VACACIONAL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>
        <row r="38">
          <cell r="I38">
            <v>117642.6</v>
          </cell>
          <cell r="M38">
            <v>1838.6399999999999</v>
          </cell>
          <cell r="R38">
            <v>12352.472999999994</v>
          </cell>
          <cell r="S38">
            <v>6766</v>
          </cell>
        </row>
        <row r="39">
          <cell r="B39">
            <v>28</v>
          </cell>
        </row>
      </sheetData>
      <sheetData sheetId="153"/>
      <sheetData sheetId="154"/>
      <sheetData sheetId="155">
        <row r="15">
          <cell r="D15">
            <v>39564.509999999995</v>
          </cell>
          <cell r="L15">
            <v>4154.2735499999999</v>
          </cell>
          <cell r="M15">
            <v>5759</v>
          </cell>
        </row>
        <row r="16">
          <cell r="B16">
            <v>5</v>
          </cell>
        </row>
      </sheetData>
      <sheetData sheetId="156"/>
      <sheetData sheetId="157">
        <row r="34">
          <cell r="K34">
            <v>5457.759</v>
          </cell>
          <cell r="L34">
            <v>1983.8578080000002</v>
          </cell>
          <cell r="M34">
            <v>313.30680639999991</v>
          </cell>
          <cell r="N34">
            <v>344.11708800000002</v>
          </cell>
          <cell r="O34">
            <v>179.55110239999996</v>
          </cell>
          <cell r="P34">
            <v>344.11708800000002</v>
          </cell>
          <cell r="Q34">
            <v>56.180213951999946</v>
          </cell>
          <cell r="R34">
            <v>41.497959680000037</v>
          </cell>
          <cell r="S34">
            <v>1225.0436159999999</v>
          </cell>
          <cell r="T34">
            <v>398.84451699200014</v>
          </cell>
          <cell r="U34">
            <v>385.88573759999997</v>
          </cell>
          <cell r="V34">
            <v>2416.0495679999999</v>
          </cell>
          <cell r="W34">
            <v>147.7931088</v>
          </cell>
          <cell r="X34">
            <v>-9.7245653760000152</v>
          </cell>
          <cell r="Y34">
            <v>62.014634623999967</v>
          </cell>
          <cell r="AB34">
            <v>180.81163199999995</v>
          </cell>
          <cell r="AC34">
            <v>322.95239999999995</v>
          </cell>
          <cell r="AD34">
            <v>46.222207999999995</v>
          </cell>
          <cell r="AE34">
            <v>1225.0436159999999</v>
          </cell>
          <cell r="AF34">
            <v>177.22884799999994</v>
          </cell>
          <cell r="AG34">
            <v>-39.916992000000022</v>
          </cell>
          <cell r="AH34">
            <v>1225.0436159999999</v>
          </cell>
          <cell r="AI34">
            <v>-39.916992000000022</v>
          </cell>
          <cell r="AK34">
            <v>1225.0436159999999</v>
          </cell>
          <cell r="AM34">
            <v>322.95239999999995</v>
          </cell>
          <cell r="AN34">
            <v>140.76411199999998</v>
          </cell>
          <cell r="AO34">
            <v>1225.0436159999999</v>
          </cell>
          <cell r="AP34">
            <v>39.699647999999968</v>
          </cell>
          <cell r="AQ34">
            <v>-69.316559999999981</v>
          </cell>
          <cell r="AR34">
            <v>-69.316559999999981</v>
          </cell>
          <cell r="AS34">
            <v>1983.8578080000002</v>
          </cell>
          <cell r="AU34">
            <v>39.699647999999968</v>
          </cell>
          <cell r="AV34">
            <v>1983.8578080000002</v>
          </cell>
          <cell r="AW34">
            <v>39.699647999999968</v>
          </cell>
          <cell r="AX34">
            <v>39.699647999999968</v>
          </cell>
          <cell r="AY34">
            <v>180.81163199999995</v>
          </cell>
          <cell r="AZ34">
            <v>177.22884799999994</v>
          </cell>
          <cell r="BA34">
            <v>2416.037808</v>
          </cell>
          <cell r="BB34">
            <v>-2.1706880000000126</v>
          </cell>
          <cell r="BC34">
            <v>1983.8578080000002</v>
          </cell>
        </row>
      </sheetData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MICAELA (3)"/>
      <sheetName val="HILD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Lic. Aida  (2)"/>
      <sheetName val="M.V.Z. GILDARO SANCHEZ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NOTAS"/>
      <sheetName val="DEL INTERINATO DE YERA"/>
      <sheetName val="Hoja2"/>
      <sheetName val="10 DIAS AGUINALDO"/>
      <sheetName val="DOCENTES AGU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>
        <row r="33">
          <cell r="E33">
            <v>96232.5</v>
          </cell>
          <cell r="F33">
            <v>6073.2000000000007</v>
          </cell>
          <cell r="H33">
            <v>1605.6</v>
          </cell>
          <cell r="I33">
            <v>534.625</v>
          </cell>
          <cell r="L33">
            <v>10179.314488000002</v>
          </cell>
          <cell r="T33">
            <v>70679.286800000002</v>
          </cell>
        </row>
      </sheetData>
      <sheetData sheetId="78" refreshError="1"/>
      <sheetData sheetId="79" refreshError="1"/>
      <sheetData sheetId="80" refreshError="1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NOTAS"/>
      <sheetName val="DEL INTERINATO DE YERA"/>
      <sheetName val="Hoja2"/>
      <sheetName val="10 DIAS AGUINALDO"/>
      <sheetName val="DOCENTES AGU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33">
          <cell r="I33">
            <v>105846.2</v>
          </cell>
          <cell r="J33">
            <v>6439.52</v>
          </cell>
          <cell r="L33">
            <v>1650.2000000000003</v>
          </cell>
          <cell r="M33">
            <v>621.3610000000001</v>
          </cell>
          <cell r="P33">
            <v>11696.5378416</v>
          </cell>
          <cell r="X33">
            <v>77201.873126400009</v>
          </cell>
        </row>
      </sheetData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NOTAS"/>
      <sheetName val="DEL INTERINATO DE YERA"/>
      <sheetName val="Hoja2"/>
      <sheetName val="10 DIAS AGUINALDO"/>
      <sheetName val="DOCENTES AGU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35">
          <cell r="I35">
            <v>108606.375</v>
          </cell>
          <cell r="J35">
            <v>6752.8200000000006</v>
          </cell>
          <cell r="L35">
            <v>1650.2000000000003</v>
          </cell>
          <cell r="M35">
            <v>590.54499999999996</v>
          </cell>
          <cell r="P35">
            <v>11569.224584</v>
          </cell>
          <cell r="R35">
            <v>10629.4</v>
          </cell>
          <cell r="X35">
            <v>79768.260724000007</v>
          </cell>
        </row>
      </sheetData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NOTAS"/>
      <sheetName val="DEL INTERINATO DE YERA"/>
      <sheetName val="Hoja2"/>
      <sheetName val="10 DIAS AGUINALDO"/>
      <sheetName val="DOCENTES AGU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37">
          <cell r="I37">
            <v>112043.25</v>
          </cell>
          <cell r="J37">
            <v>6969.72</v>
          </cell>
          <cell r="L37">
            <v>1650.2000000000003</v>
          </cell>
          <cell r="M37">
            <v>590.54499999999996</v>
          </cell>
          <cell r="P37">
            <v>11342.350696</v>
          </cell>
          <cell r="R37">
            <v>10920.4</v>
          </cell>
          <cell r="X37">
            <v>83569.389840000003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PV ADMVOS MARZO 2015"/>
      <sheetName val="PV ADMVOS MARZO 2015 FIRMA"/>
      <sheetName val="PV ADMVOS MARZO 2015imprimir"/>
      <sheetName val="DOCENTESprima vacMARZO 2015"/>
      <sheetName val="DOC PV Firma  IMPRIMIR"/>
      <sheetName val="DOC PV Firma "/>
      <sheetName val="Calculo ISR "/>
      <sheetName val="Calculo ISR  con prima. VAC."/>
      <sheetName val="ISR PRIMA"/>
      <sheetName val="descuentos"/>
      <sheetName val="DEL INTERINATO DE YERA"/>
      <sheetName val="Hoja2"/>
      <sheetName val="10 DIAS AGUINALDO"/>
      <sheetName val="DOCENTES AGU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0">
          <cell r="I40">
            <v>117389.5</v>
          </cell>
          <cell r="J40">
            <v>7307.12</v>
          </cell>
          <cell r="L40">
            <v>1650.2000000000003</v>
          </cell>
          <cell r="M40">
            <v>590.54499999999996</v>
          </cell>
          <cell r="P40">
            <v>11342.350696</v>
          </cell>
          <cell r="R40">
            <v>10469.74</v>
          </cell>
          <cell r="X40">
            <v>88998.37240800001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0">
          <cell r="I40">
            <v>116625.75</v>
          </cell>
          <cell r="J40">
            <v>7258.9199999999992</v>
          </cell>
          <cell r="L40">
            <v>1650.2000000000003</v>
          </cell>
          <cell r="M40">
            <v>590.54499999999996</v>
          </cell>
          <cell r="P40">
            <v>11342.350696</v>
          </cell>
          <cell r="X40">
            <v>87853.241360000015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MARIA CELI"/>
      <sheetName val="Maria del Rosario"/>
      <sheetName val="MIGUEL (2)"/>
      <sheetName val="CALCULO ISR-SUBS"/>
      <sheetName val="HT-ADMINISTRATIVOS"/>
      <sheetName val="FAUSTINO"/>
      <sheetName val="MARÍA AMELIA"/>
      <sheetName val="PEDRO ALONSO"/>
      <sheetName val="VICTOR MANUEL"/>
      <sheetName val="JOSÉ LUIS CEJA"/>
      <sheetName val="LUIS ENRIQUE"/>
      <sheetName val="JOSÉ RICARDO"/>
      <sheetName val="JORGE ISAAC"/>
      <sheetName val="MARCO VINICIO"/>
      <sheetName val="JUAN JOSÉ"/>
      <sheetName val="ELISEO FLORES"/>
      <sheetName val="GABRIEL RANGEL"/>
      <sheetName val="ROBERTO CONTRERAS"/>
      <sheetName val="BOTELLO"/>
      <sheetName val="GERARDO  LOPEZ"/>
      <sheetName val="SENEN"/>
      <sheetName val="VALDES"/>
      <sheetName val="KARINA LOPEZ"/>
      <sheetName val="CONTRERAS"/>
      <sheetName val="MEDRANO"/>
      <sheetName val="ERNESTO"/>
      <sheetName val="EVE"/>
      <sheetName val="GABRIEL"/>
      <sheetName val="MAIDA"/>
      <sheetName val="ERIKA"/>
      <sheetName val="ADRIANA"/>
      <sheetName val="J. BENJAMIN (2)"/>
      <sheetName val="JAIR (2)"/>
      <sheetName val="PEDRO (2)"/>
      <sheetName val="JOSE VICTORIANO  (2)"/>
      <sheetName val="FEDERICO (2)"/>
      <sheetName val="ARACELI (2)"/>
      <sheetName val="ALEJANDRA (2)"/>
      <sheetName val="KIMBERLY (2)"/>
      <sheetName val="MARICHY (3)"/>
      <sheetName val="EMA (3)"/>
      <sheetName val="LILIANA G. (3)"/>
      <sheetName val="YESENIA. (3)"/>
      <sheetName val="ROBERTO (3)"/>
      <sheetName val="FRANCISCO (3)"/>
      <sheetName val="YERANIA (3)"/>
      <sheetName val="ALTAGRACIA (3)"/>
      <sheetName val="LILIANA (3)"/>
      <sheetName val="ANDRES (3)"/>
      <sheetName val="JULIAN (3)"/>
      <sheetName val="LUIS ALBERTO  (3)"/>
      <sheetName val="JOSE EMANUEL (3)"/>
      <sheetName val="KARINA ROBLES (3)"/>
      <sheetName val="JAIME MEDINA (3)"/>
      <sheetName val="JESUS JERONIMO (3)"/>
      <sheetName val="JUAN DANIEL (3)"/>
      <sheetName val="RIGOBERTO (3)"/>
      <sheetName val="ROCIO (3)"/>
      <sheetName val="FELICIANO (3)"/>
      <sheetName val="Efrain (3)"/>
      <sheetName val="José de Jesús (3)"/>
      <sheetName val="Claudia  (3)"/>
      <sheetName val="Esteban (3)"/>
      <sheetName val="Ana Gabriela (3)"/>
      <sheetName val="Armando  (2)"/>
      <sheetName val="Lic. María Vidal  (2)"/>
      <sheetName val="PARA MODIFICAR FECHAS"/>
      <sheetName val="M.V.Z. GILDARO SANCHEZ"/>
      <sheetName val="JUAN MANUEL"/>
      <sheetName val="MANUEL JESUS"/>
      <sheetName val="MARÍA VERONICA"/>
      <sheetName val="MARIA VICTORIA"/>
      <sheetName val="EDGAR"/>
      <sheetName val="SARAHI"/>
      <sheetName val="JOSÉ MANUEL"/>
      <sheetName val="FAUSTINO (2)"/>
      <sheetName val="MARÍA AMELIA (2)"/>
      <sheetName val="PEDRO ALONSO (2)"/>
      <sheetName val="VICTOR MANUEL (2)"/>
      <sheetName val="JOSÉ LUIS CEJA (2)"/>
      <sheetName val="LUIS ENRIQUE (2)"/>
      <sheetName val="JOSÉ RICARDO (2)"/>
      <sheetName val="JORGE ISAAC (2)"/>
      <sheetName val="MARCO VINICIO (2)"/>
      <sheetName val="JUAN JOSÉ (2)"/>
      <sheetName val="ELISEO FLORES (2)"/>
      <sheetName val="GABRIEL RANGEL (2)"/>
      <sheetName val="ROBERTO CONTRERAS (2)"/>
      <sheetName val="BOTELLO (2)"/>
      <sheetName val="GERARDO  LOPEZ (2)"/>
      <sheetName val="SENEN (2)"/>
      <sheetName val="VALDES (2)"/>
      <sheetName val="KARINA LOPEZ (2)"/>
      <sheetName val="CONTRERAS (2)"/>
      <sheetName val="MEDRANO (2)"/>
      <sheetName val="ERNESTO (2)"/>
      <sheetName val="EVE (2)"/>
      <sheetName val="GABRIEL (2)"/>
      <sheetName val="MAIDA (2)"/>
      <sheetName val="ERIKA (2)"/>
      <sheetName val="ADRIANA (2)"/>
      <sheetName val="J. BENJAMIN (3)"/>
      <sheetName val="JAIR (3)"/>
      <sheetName val="PEDRO (3)"/>
      <sheetName val="JOSE VICTORIANO  (3)"/>
      <sheetName val="FEDERICO (3)"/>
      <sheetName val="ARACELI (3)"/>
      <sheetName val="ALEJANDRA (3)"/>
      <sheetName val="KIMBERLY (3)"/>
      <sheetName val="MARICHY (4)"/>
      <sheetName val="EMA (4)"/>
      <sheetName val="LILIANA G. (4)"/>
      <sheetName val="YESENIA. (4)"/>
      <sheetName val="ROBERTO (4)"/>
      <sheetName val="FRANCISCO (4)"/>
      <sheetName val="YERANIA (4)"/>
      <sheetName val="ALTAGRACIA (4)"/>
      <sheetName val="LILIANA (4)"/>
      <sheetName val="ANDRES (4)"/>
      <sheetName val="JULIAN (4)"/>
      <sheetName val="LUIS ALBERTO  (4)"/>
      <sheetName val="JOSE EMANUEL (4)"/>
      <sheetName val="KARINA ROBLES (4)"/>
      <sheetName val="JAIME MEDINA (4)"/>
      <sheetName val="JESUS JERONIMO (4)"/>
      <sheetName val="JUAN DANIEL (4)"/>
      <sheetName val="RIGOBERTO (4)"/>
      <sheetName val="ROCIO (4)"/>
      <sheetName val="FELICIANO"/>
      <sheetName val="MODIFICA. DOCENTES"/>
      <sheetName val="Efrain (4)"/>
      <sheetName val="José de Jesús (4)"/>
      <sheetName val="Claudia  (4)"/>
      <sheetName val="Esteban (4)"/>
      <sheetName val="Ana Gabriela (4)"/>
      <sheetName val="Armando  (3)"/>
      <sheetName val="Lic. María Vidal  (3)"/>
      <sheetName val="PARA MODIFICAR FECHAS (2)"/>
      <sheetName val="M.V.Z. GILDARO SANCHEZ (2)"/>
      <sheetName val="HT-ADMINISTRATIVOS FIRMA "/>
      <sheetName val="HT-DOCENTE"/>
      <sheetName val="Admon prim vac"/>
      <sheetName val="DOCENTESprima vac"/>
      <sheetName val="Admon prim vac para imprimir"/>
      <sheetName val="DOC PV Firma"/>
      <sheetName val="HT-DOCENTE FIRMA"/>
      <sheetName val="HT-DOCENTE FIRMA estimulo "/>
      <sheetName val="Calculo ISR "/>
      <sheetName val="Calculo ISR  con prima. VAC."/>
      <sheetName val="descuentos"/>
      <sheetName val="DEL INTERINATO DE YERA"/>
      <sheetName val="Hoja2"/>
      <sheetName val="10 DIAS AGUINALDO"/>
      <sheetName val="DOCENTES AGUIN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>
        <row r="40">
          <cell r="I40">
            <v>116473</v>
          </cell>
          <cell r="J40">
            <v>7249.2799999999988</v>
          </cell>
          <cell r="L40">
            <v>1639.0500000000002</v>
          </cell>
          <cell r="M40">
            <v>590.54499999999996</v>
          </cell>
          <cell r="P40">
            <v>11311.998696000001</v>
          </cell>
          <cell r="X40">
            <v>87960.909610000002</v>
          </cell>
        </row>
      </sheetData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U308"/>
  <sheetViews>
    <sheetView zoomScale="80" zoomScaleNormal="80" workbookViewId="0">
      <pane xSplit="2" ySplit="6" topLeftCell="C37" activePane="bottomRight" state="frozen"/>
      <selection activeCell="S28" sqref="S28"/>
      <selection pane="topRight" activeCell="S28" sqref="S28"/>
      <selection pane="bottomLeft" activeCell="S28" sqref="S28"/>
      <selection pane="bottomRight" activeCell="I43" sqref="I43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7" width="12.42578125" style="1" customWidth="1"/>
    <col min="8" max="8" width="11.8554687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5.28515625" style="1" hidden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3" spans="1:26">
      <c r="B3" s="2"/>
      <c r="I3" s="3"/>
      <c r="J3" s="3"/>
      <c r="K3" s="4"/>
      <c r="L3" s="5" t="s">
        <v>0</v>
      </c>
      <c r="O3" s="6"/>
      <c r="P3" s="6"/>
      <c r="Q3" s="6" t="s">
        <v>1</v>
      </c>
    </row>
    <row r="4" spans="1:26" s="6" customFormat="1">
      <c r="L4" s="7">
        <v>1.9E-2</v>
      </c>
      <c r="O4" s="8">
        <v>0.01</v>
      </c>
      <c r="P4" s="121">
        <v>0.105</v>
      </c>
      <c r="Q4" s="9">
        <v>3.7999999999999999E-2</v>
      </c>
    </row>
    <row r="5" spans="1:26" ht="21.75" customHeight="1" thickBot="1">
      <c r="B5" s="10" t="s">
        <v>2</v>
      </c>
      <c r="C5" s="3"/>
      <c r="D5" s="3"/>
      <c r="E5" s="10" t="s">
        <v>3</v>
      </c>
      <c r="F5" s="3"/>
      <c r="J5" s="3"/>
      <c r="K5" s="3"/>
    </row>
    <row r="6" spans="1:26" s="25" customFormat="1" ht="92.2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173">
        <f>'[1]HT-ADMINISTRATIVOS'!C8</f>
        <v>15</v>
      </c>
      <c r="D7" s="28">
        <f>E7/C7</f>
        <v>1129.1146666666668</v>
      </c>
      <c r="E7" s="28">
        <v>16936.72</v>
      </c>
      <c r="F7" s="28">
        <v>6616.24</v>
      </c>
      <c r="G7" s="28">
        <f>'[1]HT-ADMINISTRATIVOS'!G8</f>
        <v>960</v>
      </c>
      <c r="H7" s="28">
        <f>'[1]HT-ADMINISTRATIVOS'!H8</f>
        <v>0</v>
      </c>
      <c r="I7" s="28">
        <f>'[1]HT-ADMINISTRATIVOS'!J8</f>
        <v>688</v>
      </c>
      <c r="J7" s="28">
        <f>'[1]HT-ADMINISTRATIVOS'!I8</f>
        <v>0</v>
      </c>
      <c r="K7" s="28">
        <f>E7+F7+H7+I7+J7</f>
        <v>24240.959999999999</v>
      </c>
      <c r="L7" s="28">
        <f t="shared" ref="L7:L12" si="0">K7+G7</f>
        <v>25200.959999999999</v>
      </c>
      <c r="M7" s="28">
        <f>IF('[1]Calculo ISR '!$K$34&lt;0,0,'[1]Calculo ISR '!$K$34)</f>
        <v>5456.9699999999993</v>
      </c>
      <c r="N7" s="28">
        <f>E7*P4</f>
        <v>1778.3556000000001</v>
      </c>
      <c r="O7" s="28">
        <v>5250</v>
      </c>
      <c r="P7" s="28">
        <f>'[1]HT-ADMINISTRATIVOS'!Q8</f>
        <v>0</v>
      </c>
      <c r="Q7" s="28">
        <f>'[1]HT-ADMINISTRATIVOS'!R8</f>
        <v>0</v>
      </c>
      <c r="R7" s="28">
        <f>'[1]HT-ADMINISTRATIVOS'!S8</f>
        <v>0</v>
      </c>
      <c r="S7" s="28">
        <f>M7+N7+O7+P7+Q7+R7</f>
        <v>12485.3256</v>
      </c>
      <c r="T7" s="28"/>
      <c r="U7" s="28">
        <f>L7-S7-V7</f>
        <v>11755.634399999999</v>
      </c>
      <c r="V7" s="28">
        <f>'[1]HT-ADMINISTRATIVOS'!W8</f>
        <v>960</v>
      </c>
      <c r="W7" s="29"/>
      <c r="Z7" s="31"/>
    </row>
    <row r="8" spans="1:26" s="42" customFormat="1" ht="45" customHeight="1">
      <c r="A8" s="32" t="s">
        <v>29</v>
      </c>
      <c r="B8" s="33" t="s">
        <v>30</v>
      </c>
      <c r="C8" s="34">
        <v>15</v>
      </c>
      <c r="D8" s="35">
        <v>754.53875970000001</v>
      </c>
      <c r="E8" s="36">
        <v>11318.081395499999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E8*Q4</f>
        <v>430.08709302899996</v>
      </c>
      <c r="K8" s="36">
        <f>E8+F8+H8+I8+J8</f>
        <v>12194.168488529</v>
      </c>
      <c r="L8" s="36">
        <f t="shared" si="0"/>
        <v>12579.668488529</v>
      </c>
      <c r="M8" s="28">
        <f>IF('[1]Calculo ISR '!$L$34&lt;0,0,'[1]Calculo ISR '!$L$34)</f>
        <v>2099.3806365020209</v>
      </c>
      <c r="N8" s="38">
        <f>E8*P4</f>
        <v>1188.3985465275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3287.7791830295209</v>
      </c>
      <c r="T8" s="28">
        <f>IF('[1]Calculo ISR '!$L$34&gt;0,0,'[1]Calculo ISR '!$L$34)*-1</f>
        <v>0</v>
      </c>
      <c r="U8" s="39">
        <f>K8-S8</f>
        <v>8906.3893054994787</v>
      </c>
      <c r="V8" s="39">
        <f t="shared" ref="V8:V27" si="1">G8</f>
        <v>385.5</v>
      </c>
      <c r="W8" s="40"/>
      <c r="X8" s="41"/>
    </row>
    <row r="9" spans="1:26" s="44" customFormat="1" ht="45" customHeight="1">
      <c r="A9" s="32" t="s">
        <v>31</v>
      </c>
      <c r="B9" s="43" t="s">
        <v>32</v>
      </c>
      <c r="C9" s="34">
        <v>15</v>
      </c>
      <c r="D9" s="35">
        <v>230.34834514817072</v>
      </c>
      <c r="E9" s="36">
        <v>3455.2251772225609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E9*Q4</f>
        <v>131.29855673445732</v>
      </c>
      <c r="K9" s="36">
        <f>E9+F9+H9+I9+J9</f>
        <v>3586.5237339570181</v>
      </c>
      <c r="L9" s="36">
        <f t="shared" si="0"/>
        <v>3972.0237339570181</v>
      </c>
      <c r="M9" s="28">
        <f>IF('[1]Calculo ISR '!$M$34&lt;0,0,'[1]Calculo ISR '!$M$34)</f>
        <v>178.73069425452351</v>
      </c>
      <c r="N9" s="38">
        <f>E9*P4</f>
        <v>362.79864360836888</v>
      </c>
      <c r="O9" s="38">
        <v>959.26</v>
      </c>
      <c r="P9" s="38">
        <f>'[1]HT-ADMINISTRATIVOS'!Q11</f>
        <v>0</v>
      </c>
      <c r="Q9" s="38">
        <f>'[1]HT-ADMINISTRATIVOS'!R11</f>
        <v>0</v>
      </c>
      <c r="R9" s="38">
        <f>E9*O4</f>
        <v>34.55225177222561</v>
      </c>
      <c r="S9" s="36">
        <f>M9+N9+O9+P9+Q9+R9</f>
        <v>1535.341589635118</v>
      </c>
      <c r="T9" s="28">
        <f>IF('[1]Calculo ISR '!$M$34&gt;0,0,'[1]Calculo ISR '!$M$34)*-1</f>
        <v>0</v>
      </c>
      <c r="U9" s="39">
        <f t="shared" ref="U9:U15" si="2">K9-S9+T9</f>
        <v>2051.1821443219001</v>
      </c>
      <c r="V9" s="39">
        <f t="shared" si="1"/>
        <v>385.5</v>
      </c>
      <c r="W9" s="40"/>
      <c r="X9" s="41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v>242.09274535320057</v>
      </c>
      <c r="E10" s="36">
        <v>3631.3911802980087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E10*Q4</f>
        <v>137.99286485132433</v>
      </c>
      <c r="K10" s="36">
        <f>E10+F10+I10+J10</f>
        <v>3769.3840451493329</v>
      </c>
      <c r="L10" s="36">
        <f t="shared" si="0"/>
        <v>4154.8840451493325</v>
      </c>
      <c r="M10" s="28">
        <f>IF('[1]Calculo ISR '!$N$34&lt;0,0,'[1]Calculo ISR '!$N$34)</f>
        <v>312.18984722389325</v>
      </c>
      <c r="N10" s="38">
        <f>E10*P4</f>
        <v>381.29607393129089</v>
      </c>
      <c r="O10" s="38">
        <v>1345.49</v>
      </c>
      <c r="P10" s="38">
        <f>'[1]HT-ADMINISTRATIVOS'!Q12</f>
        <v>0</v>
      </c>
      <c r="Q10" s="38">
        <f>'[1]HT-ADMINISTRATIVOS'!R12</f>
        <v>0</v>
      </c>
      <c r="R10" s="38">
        <f>E10*O4</f>
        <v>36.313911802980087</v>
      </c>
      <c r="S10" s="36">
        <f t="shared" ref="S10:S31" si="3">M10+N10+O10+R10+P10+Q10</f>
        <v>2075.289832958164</v>
      </c>
      <c r="T10" s="28">
        <f>IF('[1]Calculo ISR '!$N$34&gt;0,0,'[1]Calculo ISR '!$N$34)*-1</f>
        <v>0</v>
      </c>
      <c r="U10" s="39">
        <f t="shared" si="2"/>
        <v>1694.0942121911689</v>
      </c>
      <c r="V10" s="39">
        <f t="shared" si="1"/>
        <v>385.5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219.22891544903311</v>
      </c>
      <c r="E11" s="36">
        <v>3288.4337317354966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E11*Q4</f>
        <v>124.96048180594887</v>
      </c>
      <c r="K11" s="36">
        <f t="shared" ref="K11:K40" si="4">E11+F11+H11+I11+J11</f>
        <v>3413.3942135414454</v>
      </c>
      <c r="L11" s="36">
        <f t="shared" si="0"/>
        <v>3798.8942135414454</v>
      </c>
      <c r="M11" s="28">
        <f>IF('[1]Calculo ISR '!$O$34&lt;0,0,'[1]Calculo ISR '!$O$34)</f>
        <v>142.19420243330924</v>
      </c>
      <c r="N11" s="38">
        <f>E11*P4</f>
        <v>345.28554183222712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32.884337317354969</v>
      </c>
      <c r="S11" s="36">
        <f t="shared" si="3"/>
        <v>1982.5840815828915</v>
      </c>
      <c r="T11" s="28">
        <f>IF('[1]Calculo ISR '!$O$34&gt;0,0,'[1]Calculo ISR '!$O$34)*-1</f>
        <v>0</v>
      </c>
      <c r="U11" s="39">
        <f t="shared" si="2"/>
        <v>1430.8101319585539</v>
      </c>
      <c r="V11" s="39">
        <f t="shared" si="1"/>
        <v>385.5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242.09274535320057</v>
      </c>
      <c r="E12" s="36">
        <v>3631.3911802980087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E12*Q4</f>
        <v>137.99286485132433</v>
      </c>
      <c r="K12" s="36">
        <f t="shared" si="4"/>
        <v>3769.3840451493329</v>
      </c>
      <c r="L12" s="36">
        <f t="shared" si="0"/>
        <v>4154.8840451493325</v>
      </c>
      <c r="M12" s="28">
        <f>IF('[1]Calculo ISR '!$P$34&lt;0,0,'[1]Calculo ISR '!$P$34)</f>
        <v>312.18984722389325</v>
      </c>
      <c r="N12" s="38">
        <f>E12*P4</f>
        <v>381.29607393129089</v>
      </c>
      <c r="O12" s="38">
        <v>1170</v>
      </c>
      <c r="P12" s="38">
        <f>'[1]HT-ADMINISTRATIVOS'!Q14</f>
        <v>0</v>
      </c>
      <c r="Q12" s="38">
        <f>'[1]HT-ADMINISTRATIVOS'!R14</f>
        <v>0</v>
      </c>
      <c r="R12" s="38">
        <f>E12*O4</f>
        <v>36.313911802980087</v>
      </c>
      <c r="S12" s="36">
        <f t="shared" si="3"/>
        <v>1899.7998329581642</v>
      </c>
      <c r="T12" s="28">
        <f>IF('[1]Calculo ISR '!$P$34&gt;0,0,'[1]Calculo ISR '!$P$34)*-1</f>
        <v>0</v>
      </c>
      <c r="U12" s="39">
        <f t="shared" si="2"/>
        <v>1869.5842121911687</v>
      </c>
      <c r="V12" s="39">
        <f t="shared" si="1"/>
        <v>385.5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171.33947607512999</v>
      </c>
      <c r="E13" s="36">
        <v>2570.0921411269501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E13*Q4</f>
        <v>97.663501362824107</v>
      </c>
      <c r="K13" s="36">
        <f t="shared" si="4"/>
        <v>2667.7556424897743</v>
      </c>
      <c r="L13" s="36">
        <f>K13+G13+T13</f>
        <v>3053.2556424897743</v>
      </c>
      <c r="M13" s="28">
        <f>IF('[1]Calculo ISR '!$Q$34&lt;0,0,'[1]Calculo ISR '!$Q$34)</f>
        <v>40.818725902887451</v>
      </c>
      <c r="N13" s="38">
        <f>E13*P4</f>
        <v>269.85967481832972</v>
      </c>
      <c r="O13" s="38">
        <v>584</v>
      </c>
      <c r="P13" s="38">
        <f>'[1]HT-ADMINISTRATIVOS'!Q15</f>
        <v>0</v>
      </c>
      <c r="Q13" s="38">
        <f>'[1]HT-ADMINISTRATIVOS'!R15</f>
        <v>0</v>
      </c>
      <c r="R13" s="38">
        <f>E13*O4</f>
        <v>25.700921411269501</v>
      </c>
      <c r="S13" s="36">
        <f t="shared" si="3"/>
        <v>920.37932213248666</v>
      </c>
      <c r="T13" s="28">
        <f>IF('[1]Calculo ISR '!$Q$34&gt;0,0,'[1]Calculo ISR '!$Q$34)</f>
        <v>0</v>
      </c>
      <c r="U13" s="39">
        <f t="shared" si="2"/>
        <v>1747.3763203572876</v>
      </c>
      <c r="V13" s="39">
        <f t="shared" si="1"/>
        <v>385.5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163.00161009000001</v>
      </c>
      <c r="E14" s="36">
        <v>2445.02415135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E14*Q4</f>
        <v>92.910917751300005</v>
      </c>
      <c r="K14" s="36">
        <f t="shared" si="4"/>
        <v>2537.9350691013001</v>
      </c>
      <c r="L14" s="36">
        <f>K14+G14+T14</f>
        <v>2923.4350691013001</v>
      </c>
      <c r="M14" s="28">
        <f>IF('[1]Calculo ISR '!$R$34&lt;0,0,'[1]Calculo ISR '!$R$34)</f>
        <v>11.694247518221431</v>
      </c>
      <c r="N14" s="38">
        <f>E14*P4</f>
        <v>256.72753589174999</v>
      </c>
      <c r="O14" s="38">
        <v>625</v>
      </c>
      <c r="P14" s="38">
        <f>'[1]HT-ADMINISTRATIVOS'!Q16</f>
        <v>0</v>
      </c>
      <c r="Q14" s="38">
        <f>'[1]HT-ADMINISTRATIVOS'!R16</f>
        <v>0</v>
      </c>
      <c r="R14" s="38">
        <f>E14*O4</f>
        <v>24.4502415135</v>
      </c>
      <c r="S14" s="36">
        <f t="shared" si="3"/>
        <v>917.87202492347149</v>
      </c>
      <c r="T14" s="28">
        <f>IF('[1]Calculo ISR '!$R$34&gt;0,0,'[1]Calculo ISR '!$R$34)*-1</f>
        <v>0</v>
      </c>
      <c r="U14" s="39">
        <f t="shared" si="2"/>
        <v>1620.0630441778285</v>
      </c>
      <c r="V14" s="39">
        <f t="shared" si="1"/>
        <v>385.5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534.93837680832996</v>
      </c>
      <c r="E15" s="36">
        <v>8024.0756521249496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E15*L4</f>
        <v>152.45743739037403</v>
      </c>
      <c r="K15" s="36">
        <f t="shared" si="4"/>
        <v>8176.5330895153238</v>
      </c>
      <c r="L15" s="36">
        <f>K15+G15</f>
        <v>8562.0330895153238</v>
      </c>
      <c r="M15" s="28">
        <f>IF('[1]Calculo ISR '!$S$34&lt;0,0,'[1]Calculo ISR '!$S$34)</f>
        <v>1199.3182919204733</v>
      </c>
      <c r="N15" s="38">
        <f>E15*P4</f>
        <v>842.52794347311965</v>
      </c>
      <c r="O15" s="38">
        <v>2639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3"/>
        <v>4680.8462353935929</v>
      </c>
      <c r="T15" s="28">
        <f>IF('[1]Calculo ISR '!$S$34&gt;0,0,'[1]Calculo ISR '!$S$34)*-1</f>
        <v>0</v>
      </c>
      <c r="U15" s="39">
        <f t="shared" si="2"/>
        <v>3495.6868541217309</v>
      </c>
      <c r="V15" s="39">
        <f t="shared" si="1"/>
        <v>385.5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267.35834171124986</v>
      </c>
      <c r="E16" s="36">
        <v>4010.3751256687478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E16*L4</f>
        <v>76.197127387706203</v>
      </c>
      <c r="K16" s="36">
        <f t="shared" si="4"/>
        <v>4086.572253056454</v>
      </c>
      <c r="L16" s="36">
        <f>K16+G16</f>
        <v>4472.0722530564544</v>
      </c>
      <c r="M16" s="28">
        <f>IF('[1]Calculo ISR '!$T$34&lt;0,0,'[1]Calculo ISR '!$T$34)</f>
        <v>362.93996048903261</v>
      </c>
      <c r="N16" s="38">
        <f>E16*P4</f>
        <v>421.08938819521853</v>
      </c>
      <c r="O16" s="38">
        <v>1867.49</v>
      </c>
      <c r="P16" s="38"/>
      <c r="Q16" s="38"/>
      <c r="R16" s="38">
        <f>E16*O4</f>
        <v>40.103751256687481</v>
      </c>
      <c r="S16" s="36">
        <f>M16+N16+O16+Q16+R16+P16</f>
        <v>2691.6230999409386</v>
      </c>
      <c r="T16" s="28">
        <f>IF('[1]Calculo ISR '!$T$34&gt;0,0,'[1]Calculo ISR '!$T$34)*-1</f>
        <v>0</v>
      </c>
      <c r="U16" s="39">
        <f>K16-S16</f>
        <v>1394.9491531155154</v>
      </c>
      <c r="V16" s="39">
        <f t="shared" si="1"/>
        <v>385.5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230.34834514817072</v>
      </c>
      <c r="E17" s="36">
        <v>3455.2251772225609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7">
        <f>E17*L4</f>
        <v>65.649278367228661</v>
      </c>
      <c r="K17" s="36">
        <f t="shared" si="4"/>
        <v>3966.8744555897897</v>
      </c>
      <c r="L17" s="36">
        <f>K17+G17</f>
        <v>4352.3744555897902</v>
      </c>
      <c r="M17" s="28">
        <f>IF('[1]Calculo ISR '!$U$34&lt;0,0,'[1]Calculo ISR '!$U$34)</f>
        <v>343.7883128943663</v>
      </c>
      <c r="N17" s="38">
        <f>E17*P4</f>
        <v>362.79864360836888</v>
      </c>
      <c r="O17" s="38">
        <v>1532.6</v>
      </c>
      <c r="P17" s="38">
        <f>'[1]HT-ADMINISTRATIVOS'!Q19</f>
        <v>0</v>
      </c>
      <c r="Q17" s="38">
        <f>'[1]HT-ADMINISTRATIVOS'!R19</f>
        <v>0</v>
      </c>
      <c r="R17" s="38">
        <f>E17*O4</f>
        <v>34.55225177222561</v>
      </c>
      <c r="S17" s="36">
        <f t="shared" si="3"/>
        <v>2273.7392082749607</v>
      </c>
      <c r="T17" s="28">
        <f>IF('[1]Calculo ISR '!$U$34&gt;0,0,'[1]Calculo ISR '!$U$34)*-1</f>
        <v>0</v>
      </c>
      <c r="U17" s="39">
        <f t="shared" ref="U17:U32" si="5">K17-S17+T17</f>
        <v>1693.135247314829</v>
      </c>
      <c r="V17" s="39">
        <f t="shared" si="1"/>
        <v>385.5</v>
      </c>
      <c r="W17" s="51"/>
      <c r="X17" s="52"/>
    </row>
    <row r="18" spans="1:24" s="44" customFormat="1" ht="45" customHeight="1">
      <c r="A18" s="33" t="s">
        <v>49</v>
      </c>
      <c r="B18" s="43" t="s">
        <v>50</v>
      </c>
      <c r="C18" s="34">
        <v>15</v>
      </c>
      <c r="D18" s="50">
        <v>873.012693639492</v>
      </c>
      <c r="E18" s="36">
        <v>13095.19040459238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E18*L4</f>
        <v>248.80861768725521</v>
      </c>
      <c r="K18" s="36">
        <f t="shared" si="4"/>
        <v>13343.999022279635</v>
      </c>
      <c r="L18" s="36">
        <f>K18+G18</f>
        <v>13729.499022279635</v>
      </c>
      <c r="M18" s="28">
        <f>IF('[1]Calculo ISR '!$V$34&lt;0,0,'[1]Calculo ISR '!$V$34)</f>
        <v>2369.8207780401704</v>
      </c>
      <c r="N18" s="38">
        <f>E18*P4</f>
        <v>1374.9949924821999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3"/>
        <v>3744.8157705223703</v>
      </c>
      <c r="T18" s="28">
        <f>IF('[1]Calculo ISR '!$V$34&gt;0,0,'[1]Calculo ISR '!$V$34)*-1</f>
        <v>0</v>
      </c>
      <c r="U18" s="36">
        <f t="shared" si="5"/>
        <v>9599.1832517572657</v>
      </c>
      <c r="V18" s="36">
        <f t="shared" si="1"/>
        <v>385.5</v>
      </c>
      <c r="W18" s="46"/>
      <c r="X18" s="41"/>
    </row>
    <row r="19" spans="1:24" s="44" customFormat="1" ht="45" customHeight="1">
      <c r="A19" s="53" t="s">
        <v>51</v>
      </c>
      <c r="B19" s="53" t="s">
        <v>52</v>
      </c>
      <c r="C19" s="34">
        <v>15</v>
      </c>
      <c r="D19" s="50">
        <v>219.22891544903311</v>
      </c>
      <c r="E19" s="36">
        <v>3288.4337317354966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'[1]HT-ADMINISTRATIVOS'!I21</f>
        <v>0</v>
      </c>
      <c r="K19" s="36">
        <f t="shared" si="4"/>
        <v>3288.4337317354966</v>
      </c>
      <c r="L19" s="36">
        <f>K19+G19</f>
        <v>3673.9337317354966</v>
      </c>
      <c r="M19" s="28">
        <f>IF('[1]Calculo ISR '!$W$34&lt;0,0,'[1]Calculo ISR '!$W$34)</f>
        <v>128.59850201282202</v>
      </c>
      <c r="N19" s="38">
        <f>E19*P4</f>
        <v>345.28554183222712</v>
      </c>
      <c r="O19" s="38">
        <v>1320.77</v>
      </c>
      <c r="P19" s="38">
        <f>'[1]HT-ADMINISTRATIVOS'!Q21</f>
        <v>0</v>
      </c>
      <c r="Q19" s="38">
        <f>'[1]HT-ADMINISTRATIVOS'!R21</f>
        <v>0</v>
      </c>
      <c r="R19" s="38">
        <f>E19*O4</f>
        <v>32.884337317354969</v>
      </c>
      <c r="S19" s="36">
        <f t="shared" si="3"/>
        <v>1827.5383811624042</v>
      </c>
      <c r="T19" s="28">
        <f>IF('[1]Calculo ISR '!$W$34&gt;0,0,'[1]Calculo ISR '!$W$34)*-1</f>
        <v>0</v>
      </c>
      <c r="U19" s="36">
        <f t="shared" si="5"/>
        <v>1460.8953505730924</v>
      </c>
      <c r="V19" s="36">
        <f t="shared" si="1"/>
        <v>385.5</v>
      </c>
      <c r="W19" s="40"/>
      <c r="X19" s="41"/>
    </row>
    <row r="20" spans="1:24" s="44" customFormat="1" ht="45" customHeight="1">
      <c r="A20" s="53" t="s">
        <v>53</v>
      </c>
      <c r="B20" s="53" t="s">
        <v>54</v>
      </c>
      <c r="C20" s="34">
        <v>15</v>
      </c>
      <c r="D20" s="50">
        <v>148.1300975275</v>
      </c>
      <c r="E20" s="36">
        <v>2221.9514629125001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'[1]HT-ADMINISTRATIVOS'!I22</f>
        <v>0</v>
      </c>
      <c r="K20" s="36">
        <f t="shared" si="4"/>
        <v>2221.9514629125001</v>
      </c>
      <c r="L20" s="36">
        <f>K20+G20+T20</f>
        <v>2644.5362317476201</v>
      </c>
      <c r="M20" s="28">
        <f>IF('[1]Calculo ISR '!$X$34&lt;0,0,'[1]Calculo ISR '!$X$34)</f>
        <v>0</v>
      </c>
      <c r="N20" s="38">
        <f>E20*P4</f>
        <v>233.30490360581251</v>
      </c>
      <c r="O20" s="38">
        <v>716</v>
      </c>
      <c r="P20" s="38">
        <f>'[1]HT-ADMINISTRATIVOS'!Q22</f>
        <v>0</v>
      </c>
      <c r="Q20" s="38">
        <f>'[1]HT-ADMINISTRATIVOS'!R22</f>
        <v>0</v>
      </c>
      <c r="R20" s="38">
        <f>E20*O4</f>
        <v>22.219514629125001</v>
      </c>
      <c r="S20" s="36">
        <f t="shared" si="3"/>
        <v>971.52441823493757</v>
      </c>
      <c r="T20" s="28">
        <f>IF('[1]Calculo ISR '!$X$34&gt;0,0,('[1]Calculo ISR '!$X$34)*-1)</f>
        <v>37.084768835120002</v>
      </c>
      <c r="U20" s="39">
        <f t="shared" si="5"/>
        <v>1287.5118135126827</v>
      </c>
      <c r="V20" s="39">
        <f t="shared" si="1"/>
        <v>385.5</v>
      </c>
      <c r="W20" s="40"/>
      <c r="X20" s="41"/>
    </row>
    <row r="21" spans="1:24" s="44" customFormat="1" ht="45" customHeight="1">
      <c r="A21" s="53" t="s">
        <v>55</v>
      </c>
      <c r="B21" s="53" t="s">
        <v>56</v>
      </c>
      <c r="C21" s="34">
        <v>15</v>
      </c>
      <c r="D21" s="50">
        <v>148.19297316999999</v>
      </c>
      <c r="E21" s="36">
        <v>2222.8945975499996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'[1]HT-ADMINISTRATIVOS'!I23</f>
        <v>0</v>
      </c>
      <c r="K21" s="36">
        <f t="shared" si="4"/>
        <v>2668.8945975499996</v>
      </c>
      <c r="L21" s="36">
        <f>K21+G21+T21</f>
        <v>3054.3945975499996</v>
      </c>
      <c r="M21" s="28">
        <f>IF('[1]Calculo ISR '!$Y$34&lt;0,0,'[1]Calculo ISR '!$Y$34)</f>
        <v>40.942644213439934</v>
      </c>
      <c r="N21" s="38">
        <f>E21*P4</f>
        <v>233.40393274274996</v>
      </c>
      <c r="O21" s="38">
        <v>851.76</v>
      </c>
      <c r="P21" s="38">
        <f>'[1]HT-ADMINISTRATIVOS'!Q23</f>
        <v>0</v>
      </c>
      <c r="Q21" s="38">
        <f>'[1]HT-ADMINISTRATIVOS'!R23</f>
        <v>0</v>
      </c>
      <c r="R21" s="38">
        <f>E21*O4</f>
        <v>22.228945975499997</v>
      </c>
      <c r="S21" s="36">
        <f t="shared" si="3"/>
        <v>1148.3355229316899</v>
      </c>
      <c r="T21" s="28">
        <f>IF('[1]Calculo ISR '!$Y$34&gt;0,0,'[1]Calculo ISR '!$Y$34)*-1</f>
        <v>0</v>
      </c>
      <c r="U21" s="39">
        <f t="shared" si="5"/>
        <v>1520.5590746183098</v>
      </c>
      <c r="V21" s="39">
        <f t="shared" si="1"/>
        <v>385.5</v>
      </c>
      <c r="W21" s="40"/>
      <c r="X21" s="41"/>
    </row>
    <row r="22" spans="1:24" s="44" customFormat="1" ht="45" customHeight="1">
      <c r="A22" s="53" t="s">
        <v>57</v>
      </c>
      <c r="B22" s="53" t="s">
        <v>58</v>
      </c>
      <c r="C22" s="34">
        <v>15</v>
      </c>
      <c r="D22" s="50">
        <v>198.84487564290151</v>
      </c>
      <c r="E22" s="36">
        <v>2982.6731346435226</v>
      </c>
      <c r="F22" s="43"/>
      <c r="G22" s="36">
        <f>'[1]HT-ADMINISTRATIVOS'!G26</f>
        <v>385.5</v>
      </c>
      <c r="H22" s="36">
        <f>'[1]HT-ADMINISTRATIVOS'!H26</f>
        <v>0</v>
      </c>
      <c r="I22" s="36">
        <f>'[1]HT-ADMINISTRATIVOS'!J26</f>
        <v>0</v>
      </c>
      <c r="J22" s="37">
        <f>'[1]HT-ADMINISTRATIVOS'!I26</f>
        <v>0</v>
      </c>
      <c r="K22" s="36">
        <f t="shared" si="4"/>
        <v>2982.6731346435226</v>
      </c>
      <c r="L22" s="36">
        <f>K22+G22</f>
        <v>3368.1731346435226</v>
      </c>
      <c r="M22" s="28">
        <f>IF('[1]Calculo ISR '!$Z$34&lt;0,0,'[1]Calculo ISR '!$Z$34)</f>
        <v>75.081749049215233</v>
      </c>
      <c r="N22" s="38">
        <f>E22*P4</f>
        <v>313.18067913756988</v>
      </c>
      <c r="O22" s="38">
        <v>801</v>
      </c>
      <c r="P22" s="38">
        <f>'[1]HT-ADMINISTRATIVOS'!Q26</f>
        <v>0</v>
      </c>
      <c r="Q22" s="38">
        <f>'[1]HT-ADMINISTRATIVOS'!R26</f>
        <v>0</v>
      </c>
      <c r="R22" s="38">
        <f>E22*O4</f>
        <v>29.826731346435228</v>
      </c>
      <c r="S22" s="36">
        <f t="shared" si="3"/>
        <v>1219.0891595332205</v>
      </c>
      <c r="T22" s="28">
        <f>IF('[1]Calculo ISR '!$Z$34&gt;0,0,'[1]Calculo ISR '!$Z$34)*-1</f>
        <v>0</v>
      </c>
      <c r="U22" s="39">
        <f t="shared" si="5"/>
        <v>1763.5839751103022</v>
      </c>
      <c r="V22" s="39">
        <f t="shared" si="1"/>
        <v>385.5</v>
      </c>
      <c r="W22" s="40"/>
      <c r="X22" s="41"/>
    </row>
    <row r="23" spans="1:24" s="44" customFormat="1" ht="45" customHeight="1">
      <c r="A23" s="53" t="s">
        <v>59</v>
      </c>
      <c r="B23" s="53" t="s">
        <v>60</v>
      </c>
      <c r="C23" s="34">
        <v>15</v>
      </c>
      <c r="D23" s="50">
        <v>198.84487558991</v>
      </c>
      <c r="E23" s="36">
        <v>2982.6731338486502</v>
      </c>
      <c r="F23" s="43"/>
      <c r="G23" s="36">
        <f>'[1]HT-ADMINISTRATIVOS'!G27</f>
        <v>385.5</v>
      </c>
      <c r="H23" s="36">
        <f>'[1]HT-ADMINISTRATIVOS'!H27</f>
        <v>0</v>
      </c>
      <c r="I23" s="36">
        <f>'[1]HT-ADMINISTRATIVOS'!J27</f>
        <v>0</v>
      </c>
      <c r="J23" s="37">
        <f>'[1]HT-ADMINISTRATIVOS'!I27</f>
        <v>0</v>
      </c>
      <c r="K23" s="36">
        <f t="shared" si="4"/>
        <v>2982.6731338486502</v>
      </c>
      <c r="L23" s="36">
        <f>K23+G23</f>
        <v>3368.1731338486502</v>
      </c>
      <c r="M23" s="28">
        <f>IF('[1]Calculo ISR '!$AA$34&lt;0,0,'[1]Calculo ISR '!$AA$34)</f>
        <v>75.081748962733116</v>
      </c>
      <c r="N23" s="38">
        <f>E23*P4</f>
        <v>313.18067905410828</v>
      </c>
      <c r="O23" s="38">
        <f>'[1]HT-ADMINISTRATIVOS'!P27</f>
        <v>0</v>
      </c>
      <c r="P23" s="38">
        <f>'[1]HT-ADMINISTRATIVOS'!Q27</f>
        <v>0</v>
      </c>
      <c r="Q23" s="38">
        <f>'[1]HT-ADMINISTRATIVOS'!R27</f>
        <v>0</v>
      </c>
      <c r="R23" s="38">
        <f>E23*O4</f>
        <v>29.826731338486503</v>
      </c>
      <c r="S23" s="36">
        <f t="shared" si="3"/>
        <v>418.08915935532792</v>
      </c>
      <c r="T23" s="28">
        <f>IF('[1]Calculo ISR '!$AA$34&gt;0,0,'[1]Calculo ISR '!$AA$34)*-1</f>
        <v>0</v>
      </c>
      <c r="U23" s="39">
        <f t="shared" si="5"/>
        <v>2564.5839744933223</v>
      </c>
      <c r="V23" s="39">
        <f t="shared" si="1"/>
        <v>385.5</v>
      </c>
      <c r="W23" s="40"/>
      <c r="X23" s="41"/>
    </row>
    <row r="24" spans="1:24" s="44" customFormat="1" ht="45" customHeight="1">
      <c r="A24" s="54" t="s">
        <v>61</v>
      </c>
      <c r="B24" s="55" t="s">
        <v>62</v>
      </c>
      <c r="C24" s="34">
        <v>15</v>
      </c>
      <c r="D24" s="50">
        <v>198.84487558991</v>
      </c>
      <c r="E24" s="36">
        <v>2982.6731338486502</v>
      </c>
      <c r="F24" s="43"/>
      <c r="G24" s="36">
        <f>'[1]HT-ADMINISTRATIVOS'!G28</f>
        <v>385.5</v>
      </c>
      <c r="H24" s="36">
        <f>'[1]HT-ADMINISTRATIVOS'!H28</f>
        <v>446</v>
      </c>
      <c r="I24" s="36">
        <f>'[1]HT-ADMINISTRATIVOS'!J28</f>
        <v>0</v>
      </c>
      <c r="J24" s="37">
        <f>'[1]HT-ADMINISTRATIVOS'!I28</f>
        <v>0</v>
      </c>
      <c r="K24" s="36">
        <f t="shared" si="4"/>
        <v>3428.6731338486502</v>
      </c>
      <c r="L24" s="36">
        <f>K24+G24</f>
        <v>3814.1731338486502</v>
      </c>
      <c r="M24" s="28">
        <f>IF('[1]Calculo ISR '!$AB$34&lt;0,0,'[1]Calculo ISR '!$AB$34)</f>
        <v>143.85654896273311</v>
      </c>
      <c r="N24" s="38">
        <f>E24*P4</f>
        <v>313.18067905410828</v>
      </c>
      <c r="O24" s="38">
        <v>215.8</v>
      </c>
      <c r="P24" s="38">
        <f>'[1]HT-ADMINISTRATIVOS'!Q28</f>
        <v>0</v>
      </c>
      <c r="Q24" s="38">
        <f>'[1]HT-ADMINISTRATIVOS'!R28</f>
        <v>0</v>
      </c>
      <c r="R24" s="38">
        <f>E24*O4</f>
        <v>29.826731338486503</v>
      </c>
      <c r="S24" s="36">
        <f t="shared" si="3"/>
        <v>702.66395935532796</v>
      </c>
      <c r="T24" s="28">
        <f>IF('[1]Calculo ISR '!$AB$34&gt;0,0,'[1]Calculo ISR '!$AB$34)*-1</f>
        <v>0</v>
      </c>
      <c r="U24" s="39">
        <f t="shared" si="5"/>
        <v>2726.0091744933225</v>
      </c>
      <c r="V24" s="39">
        <f t="shared" si="1"/>
        <v>385.5</v>
      </c>
      <c r="W24" s="40"/>
      <c r="X24" s="41"/>
    </row>
    <row r="25" spans="1:24" s="44" customFormat="1" ht="45" customHeight="1">
      <c r="A25" s="54" t="s">
        <v>63</v>
      </c>
      <c r="B25" s="55" t="s">
        <v>64</v>
      </c>
      <c r="C25" s="34">
        <v>15</v>
      </c>
      <c r="D25" s="50">
        <v>180.11154727500002</v>
      </c>
      <c r="E25" s="36">
        <v>2701.6732091250005</v>
      </c>
      <c r="F25" s="43"/>
      <c r="G25" s="36">
        <f>'[1]HT-ADMINISTRATIVOS'!G29</f>
        <v>385.5</v>
      </c>
      <c r="H25" s="36">
        <f>'[1]HT-ADMINISTRATIVOS'!H29</f>
        <v>892</v>
      </c>
      <c r="I25" s="36">
        <f>'[1]HT-ADMINISTRATIVOS'!J29</f>
        <v>0</v>
      </c>
      <c r="J25" s="37">
        <f>'[1]HT-ADMINISTRATIVOS'!I29</f>
        <v>0</v>
      </c>
      <c r="K25" s="36">
        <f t="shared" si="4"/>
        <v>3593.6732091250005</v>
      </c>
      <c r="L25" s="36">
        <f>K25+G25</f>
        <v>3979.1732091250005</v>
      </c>
      <c r="M25" s="28">
        <f>IF('[1]Calculo ISR '!$AC$34&lt;0,0,'[1]Calculo ISR '!$AC$34)</f>
        <v>179.50855715280002</v>
      </c>
      <c r="N25" s="38">
        <f>E25*P4</f>
        <v>283.67568695812503</v>
      </c>
      <c r="O25" s="38">
        <f>'[1]HT-ADMINISTRATIVOS'!P29</f>
        <v>581</v>
      </c>
      <c r="P25" s="38">
        <f>'[1]HT-ADMINISTRATIVOS'!Q29</f>
        <v>0</v>
      </c>
      <c r="Q25" s="38">
        <f>'[1]HT-ADMINISTRATIVOS'!R29</f>
        <v>0</v>
      </c>
      <c r="R25" s="38">
        <f>E25*O4</f>
        <v>27.016732091250006</v>
      </c>
      <c r="S25" s="36">
        <f t="shared" si="3"/>
        <v>1071.2009762021753</v>
      </c>
      <c r="T25" s="28">
        <f>IF('[1]Calculo ISR '!$AC$34&gt;0,0,'[1]Calculo ISR '!$AC$34)*-1</f>
        <v>0</v>
      </c>
      <c r="U25" s="39">
        <f t="shared" si="5"/>
        <v>2522.4722329228252</v>
      </c>
      <c r="V25" s="39">
        <f t="shared" si="1"/>
        <v>385.5</v>
      </c>
      <c r="W25" s="40"/>
      <c r="X25" s="41"/>
    </row>
    <row r="26" spans="1:24" s="44" customFormat="1" ht="45" customHeight="1">
      <c r="A26" s="56" t="s">
        <v>65</v>
      </c>
      <c r="B26" s="55" t="s">
        <v>66</v>
      </c>
      <c r="C26" s="34">
        <v>15</v>
      </c>
      <c r="D26" s="50">
        <v>141.57938707</v>
      </c>
      <c r="E26" s="36">
        <v>2123.69080605</v>
      </c>
      <c r="F26" s="43"/>
      <c r="G26" s="36">
        <f>'[1]HT-ADMINISTRATIVOS'!G31</f>
        <v>385.5</v>
      </c>
      <c r="H26" s="36">
        <f>'[1]HT-ADMINISTRATIVOS'!H31</f>
        <v>446</v>
      </c>
      <c r="I26" s="36">
        <f>'[1]HT-ADMINISTRATIVOS'!J31</f>
        <v>0</v>
      </c>
      <c r="J26" s="37">
        <f>'[1]HT-ADMINISTRATIVOS'!I31</f>
        <v>0</v>
      </c>
      <c r="K26" s="36">
        <f t="shared" si="4"/>
        <v>2569.69080605</v>
      </c>
      <c r="L26" s="36">
        <f>K26+G26+T26</f>
        <v>2955.19080605</v>
      </c>
      <c r="M26" s="28">
        <f>IF('[1]Calculo ISR '!$AD$34&lt;0,0,'[1]Calculo ISR '!$AD$34)</f>
        <v>15.149271698239971</v>
      </c>
      <c r="N26" s="38">
        <f>E26*P4</f>
        <v>222.98753463525</v>
      </c>
      <c r="O26" s="38">
        <f>'[1]HT-ADMINISTRATIVOS'!P31</f>
        <v>0</v>
      </c>
      <c r="P26" s="38">
        <f>'[1]HT-ADMINISTRATIVOS'!Q31</f>
        <v>0</v>
      </c>
      <c r="Q26" s="38">
        <f>'[1]HT-ADMINISTRATIVOS'!R31</f>
        <v>0</v>
      </c>
      <c r="R26" s="38">
        <f>E26*O4</f>
        <v>21.236908060499999</v>
      </c>
      <c r="S26" s="36">
        <f t="shared" si="3"/>
        <v>259.37371439398999</v>
      </c>
      <c r="T26" s="28">
        <f>IF('[1]Calculo ISR '!$AD$34&gt;0,0,'[1]Calculo ISR '!$AD$34)*-1</f>
        <v>0</v>
      </c>
      <c r="U26" s="39">
        <f t="shared" si="5"/>
        <v>2310.3170916560102</v>
      </c>
      <c r="V26" s="39">
        <f t="shared" si="1"/>
        <v>385.5</v>
      </c>
      <c r="W26" s="40"/>
      <c r="X26" s="41"/>
    </row>
    <row r="27" spans="1:24" s="44" customFormat="1" ht="45" customHeight="1">
      <c r="A27" s="56" t="s">
        <v>67</v>
      </c>
      <c r="B27" s="57" t="s">
        <v>68</v>
      </c>
      <c r="C27" s="34">
        <v>15</v>
      </c>
      <c r="D27" s="50">
        <v>534.93837680832996</v>
      </c>
      <c r="E27" s="36">
        <v>8024.0756521249496</v>
      </c>
      <c r="F27" s="43"/>
      <c r="G27" s="36">
        <f>'[1]HT-ADMINISTRATIVOS'!G32</f>
        <v>385.5</v>
      </c>
      <c r="H27" s="36">
        <f>'[1]HT-ADMINISTRATIVOS'!H32</f>
        <v>0</v>
      </c>
      <c r="I27" s="36">
        <f>'[1]HT-ADMINISTRATIVOS'!J32</f>
        <v>0</v>
      </c>
      <c r="J27" s="37">
        <f>E27*L4</f>
        <v>152.45743739037403</v>
      </c>
      <c r="K27" s="36">
        <f t="shared" si="4"/>
        <v>8176.5330895153238</v>
      </c>
      <c r="L27" s="36">
        <f>K27+G27</f>
        <v>8562.0330895153238</v>
      </c>
      <c r="M27" s="28">
        <f>IF('[1]Calculo ISR '!$AE$34&lt;0,0,'[1]Calculo ISR '!$AE$34)</f>
        <v>1199.3182919204733</v>
      </c>
      <c r="N27" s="38">
        <f>E27*P4</f>
        <v>842.52794347311965</v>
      </c>
      <c r="O27" s="38">
        <v>2150.31</v>
      </c>
      <c r="P27" s="38">
        <f>'[1]HT-ADMINISTRATIVOS'!Q32</f>
        <v>0</v>
      </c>
      <c r="Q27" s="38">
        <f>'[1]HT-ADMINISTRATIVOS'!R32</f>
        <v>0</v>
      </c>
      <c r="R27" s="38">
        <f>'[1]HT-ADMINISTRATIVOS'!S32</f>
        <v>0</v>
      </c>
      <c r="S27" s="36">
        <f t="shared" si="3"/>
        <v>4192.1562353935933</v>
      </c>
      <c r="T27" s="28">
        <f>IF('[1]Calculo ISR '!$AE$34&gt;0,0,'[1]Calculo ISR '!$AE$34)*-1</f>
        <v>0</v>
      </c>
      <c r="U27" s="39">
        <f t="shared" si="5"/>
        <v>3984.3768541217305</v>
      </c>
      <c r="V27" s="39">
        <f t="shared" si="1"/>
        <v>385.5</v>
      </c>
      <c r="W27" s="40"/>
      <c r="X27" s="41"/>
    </row>
    <row r="28" spans="1:24" s="44" customFormat="1" ht="45" customHeight="1">
      <c r="A28" s="58" t="s">
        <v>69</v>
      </c>
      <c r="B28" s="59" t="s">
        <v>70</v>
      </c>
      <c r="C28" s="34">
        <v>15</v>
      </c>
      <c r="D28" s="50">
        <v>230.34834514817072</v>
      </c>
      <c r="E28" s="36">
        <v>3455.2251772225609</v>
      </c>
      <c r="F28" s="43"/>
      <c r="G28" s="36">
        <v>385.5</v>
      </c>
      <c r="H28" s="36">
        <f>'[1]HT-ADMINISTRATIVOS'!H33</f>
        <v>0</v>
      </c>
      <c r="I28" s="36">
        <f>'[1]HT-ADMINISTRATIVOS'!J33</f>
        <v>0</v>
      </c>
      <c r="J28" s="37">
        <f>'[1]HT-ADMINISTRATIVOS'!I33</f>
        <v>0</v>
      </c>
      <c r="K28" s="36">
        <f t="shared" si="4"/>
        <v>3455.2251772225609</v>
      </c>
      <c r="L28" s="36">
        <f>K28+G28</f>
        <v>3840.7251772225609</v>
      </c>
      <c r="M28" s="28">
        <f>IF('[1]Calculo ISR '!$AF$34&lt;0,0,'[1]Calculo ISR '!$AF$34)</f>
        <v>146.74541128181463</v>
      </c>
      <c r="N28" s="38">
        <f>E28*P4</f>
        <v>362.79864360836888</v>
      </c>
      <c r="O28" s="38"/>
      <c r="P28" s="38">
        <f>[2]descuentos!D12</f>
        <v>0</v>
      </c>
      <c r="Q28" s="38"/>
      <c r="R28" s="38">
        <f>E28*O4</f>
        <v>34.55225177222561</v>
      </c>
      <c r="S28" s="36">
        <f>M28+N28+O28+R28+P28+Q28</f>
        <v>544.09630666240912</v>
      </c>
      <c r="T28" s="28">
        <f>IF('[1]Calculo ISR '!$AF$34&gt;0,0,'[1]Calculo ISR '!$AF$34)*-1</f>
        <v>0</v>
      </c>
      <c r="U28" s="39">
        <f t="shared" si="5"/>
        <v>2911.1288705601519</v>
      </c>
      <c r="V28" s="39">
        <v>385.5</v>
      </c>
      <c r="W28" s="40"/>
      <c r="X28" s="41"/>
    </row>
    <row r="29" spans="1:24" s="44" customFormat="1" ht="45" customHeight="1">
      <c r="A29" s="60" t="s">
        <v>71</v>
      </c>
      <c r="B29" s="61" t="s">
        <v>72</v>
      </c>
      <c r="C29" s="62">
        <v>15</v>
      </c>
      <c r="D29" s="50">
        <v>141.57938707</v>
      </c>
      <c r="E29" s="39">
        <v>2123.69080605</v>
      </c>
      <c r="F29" s="63"/>
      <c r="G29" s="39">
        <f>'[1]HT-ADMINISTRATIVOS'!G35</f>
        <v>385.5</v>
      </c>
      <c r="H29" s="39">
        <f>'[1]HT-ADMINISTRATIVOS'!H35</f>
        <v>0</v>
      </c>
      <c r="I29" s="39">
        <f>'[1]HT-ADMINISTRATIVOS'!J35</f>
        <v>0</v>
      </c>
      <c r="J29" s="64">
        <f>'[1]HT-ADMINISTRATIVOS'!I35</f>
        <v>0</v>
      </c>
      <c r="K29" s="39">
        <f t="shared" si="4"/>
        <v>2123.69080605</v>
      </c>
      <c r="L29" s="39">
        <f>K29+G29+T29</f>
        <v>2570.9163343517598</v>
      </c>
      <c r="M29" s="28">
        <f>IF('[1]Calculo ISR '!$AG$34&lt;0,0,'[1]Calculo ISR '!$AG$34)</f>
        <v>0</v>
      </c>
      <c r="N29" s="38">
        <f>E29*P4</f>
        <v>222.98753463525</v>
      </c>
      <c r="O29" s="38">
        <f>'[1]HT-ADMINISTRATIVOS'!P35</f>
        <v>0</v>
      </c>
      <c r="P29" s="38">
        <f>'[1]HT-ADMINISTRATIVOS'!Q35</f>
        <v>0</v>
      </c>
      <c r="Q29" s="38">
        <f>'[1]HT-ADMINISTRATIVOS'!R35</f>
        <v>0</v>
      </c>
      <c r="R29" s="38">
        <f>E29*O4</f>
        <v>21.236908060499999</v>
      </c>
      <c r="S29" s="36">
        <f t="shared" si="3"/>
        <v>244.22444269574999</v>
      </c>
      <c r="T29" s="28">
        <f>IF('[1]Calculo ISR '!$AG$34&gt;0,0,'[1]Calculo ISR '!$AG$34)*-1</f>
        <v>61.725528301760008</v>
      </c>
      <c r="U29" s="39">
        <f t="shared" si="5"/>
        <v>1941.1918916560101</v>
      </c>
      <c r="V29" s="39">
        <f>G29</f>
        <v>385.5</v>
      </c>
      <c r="W29" s="65"/>
      <c r="X29" s="41"/>
    </row>
    <row r="30" spans="1:24" s="48" customFormat="1" ht="45" customHeight="1">
      <c r="A30" s="53" t="s">
        <v>73</v>
      </c>
      <c r="B30" s="61" t="s">
        <v>74</v>
      </c>
      <c r="C30" s="66">
        <v>15</v>
      </c>
      <c r="D30" s="50">
        <v>534.93837680832996</v>
      </c>
      <c r="E30" s="36">
        <v>8024.0756521249496</v>
      </c>
      <c r="F30" s="43"/>
      <c r="G30" s="36">
        <f>'[1]HT-ADMINISTRATIVOS'!G36</f>
        <v>385.5</v>
      </c>
      <c r="H30" s="36">
        <f>'[1]HT-ADMINISTRATIVOS'!H36</f>
        <v>0</v>
      </c>
      <c r="I30" s="36">
        <f>'[1]HT-ADMINISTRATIVOS'!J36</f>
        <v>0</v>
      </c>
      <c r="J30" s="37">
        <f>'[1]HT-ADMINISTRATIVOS'!I36</f>
        <v>0</v>
      </c>
      <c r="K30" s="36">
        <f t="shared" si="4"/>
        <v>8024.0756521249496</v>
      </c>
      <c r="L30" s="36">
        <f>K30+G30</f>
        <v>8409.5756521249496</v>
      </c>
      <c r="M30" s="28">
        <f>IF('[1]Calculo ISR '!$AH$34&lt;0,0,'[1]Calculo ISR '!$AH$34)</f>
        <v>1166.7533832938893</v>
      </c>
      <c r="N30" s="38">
        <f>E30*P4</f>
        <v>842.52794347311965</v>
      </c>
      <c r="O30" s="38">
        <f>'[1]HT-ADMINISTRATIVOS'!P36</f>
        <v>0</v>
      </c>
      <c r="P30" s="38">
        <f>'[1]HT-ADMINISTRATIVOS'!Q36</f>
        <v>0</v>
      </c>
      <c r="Q30" s="38">
        <f>'[1]HT-ADMINISTRATIVOS'!R36</f>
        <v>0</v>
      </c>
      <c r="R30" s="38">
        <f>'[1]HT-ADMINISTRATIVOS'!S36</f>
        <v>0</v>
      </c>
      <c r="S30" s="36">
        <f t="shared" si="3"/>
        <v>2009.281326767009</v>
      </c>
      <c r="T30" s="28">
        <f>IF('[1]Calculo ISR '!$AH$34&gt;0,0,'[1]Calculo ISR '!$AH$34)*-1</f>
        <v>0</v>
      </c>
      <c r="U30" s="36">
        <f t="shared" si="5"/>
        <v>6014.7943253579406</v>
      </c>
      <c r="V30" s="36">
        <f>G30</f>
        <v>385.5</v>
      </c>
      <c r="W30" s="67"/>
      <c r="X30" s="47"/>
    </row>
    <row r="31" spans="1:24" s="44" customFormat="1" ht="45" customHeight="1">
      <c r="A31" s="68" t="s">
        <v>75</v>
      </c>
      <c r="B31" s="61" t="s">
        <v>76</v>
      </c>
      <c r="C31" s="62">
        <v>15</v>
      </c>
      <c r="D31" s="50">
        <v>141.57938707</v>
      </c>
      <c r="E31" s="39">
        <v>2123.69080605</v>
      </c>
      <c r="F31" s="63"/>
      <c r="G31" s="39">
        <f>'[1]HT-ADMINISTRATIVOS'!G37</f>
        <v>385.5</v>
      </c>
      <c r="H31" s="39">
        <f>'[1]HT-ADMINISTRATIVOS'!H37</f>
        <v>0</v>
      </c>
      <c r="I31" s="39">
        <f>'[1]HT-ADMINISTRATIVOS'!J37</f>
        <v>0</v>
      </c>
      <c r="J31" s="64">
        <f>'[1]HT-ADMINISTRATIVOS'!I37</f>
        <v>0</v>
      </c>
      <c r="K31" s="39">
        <f t="shared" si="4"/>
        <v>2123.69080605</v>
      </c>
      <c r="L31" s="39">
        <f>K31+G31+T31</f>
        <v>2570.9163343517598</v>
      </c>
      <c r="M31" s="28">
        <f>IF('[1]Calculo ISR '!$AI$34&lt;0,0,'[1]Calculo ISR '!$AI$34)</f>
        <v>0</v>
      </c>
      <c r="N31" s="38">
        <f>E31*P4</f>
        <v>222.98753463525</v>
      </c>
      <c r="O31" s="38">
        <f>'[1]HT-ADMINISTRATIVOS'!P37</f>
        <v>0</v>
      </c>
      <c r="P31" s="38">
        <f>'[1]HT-ADMINISTRATIVOS'!Q37</f>
        <v>0</v>
      </c>
      <c r="Q31" s="38">
        <f>'[1]HT-ADMINISTRATIVOS'!R37</f>
        <v>0</v>
      </c>
      <c r="R31" s="38">
        <f>E31*O4</f>
        <v>21.236908060499999</v>
      </c>
      <c r="S31" s="36">
        <f t="shared" si="3"/>
        <v>244.22444269574999</v>
      </c>
      <c r="T31" s="28">
        <f>IF('[1]Calculo ISR '!$AI$34&gt;0,0,'[1]Calculo ISR '!$AI$34)*-1</f>
        <v>61.725528301760008</v>
      </c>
      <c r="U31" s="39">
        <f t="shared" si="5"/>
        <v>1941.1918916560101</v>
      </c>
      <c r="V31" s="39">
        <f>G31</f>
        <v>385.5</v>
      </c>
      <c r="W31" s="65"/>
      <c r="X31" s="41"/>
    </row>
    <row r="32" spans="1:24" s="75" customFormat="1" ht="45" customHeight="1">
      <c r="A32" s="69" t="s">
        <v>77</v>
      </c>
      <c r="B32" s="70" t="s">
        <v>78</v>
      </c>
      <c r="C32" s="71">
        <v>15</v>
      </c>
      <c r="D32" s="72">
        <v>873.012693639492</v>
      </c>
      <c r="E32" s="73">
        <v>13095.19040459238</v>
      </c>
      <c r="F32" s="73">
        <f>'[1]HT-ADMINISTRATIVOS'!F38</f>
        <v>0</v>
      </c>
      <c r="G32" s="73">
        <v>385.5</v>
      </c>
      <c r="H32" s="73">
        <f>'[1]HT-ADMINISTRATIVOS'!H38</f>
        <v>0</v>
      </c>
      <c r="I32" s="73">
        <f>'[1]HT-ADMINISTRATIVOS'!I38</f>
        <v>0</v>
      </c>
      <c r="J32" s="73">
        <f>'[1]HT-ADMINISTRATIVOS'!J38</f>
        <v>0</v>
      </c>
      <c r="K32" s="73">
        <f t="shared" si="4"/>
        <v>13095.19040459238</v>
      </c>
      <c r="L32" s="73">
        <f>K32+G32</f>
        <v>13480.69040459238</v>
      </c>
      <c r="M32" s="28">
        <f>IF('[1]Calculo ISR '!$AJ$34&lt;0,0,'[1]Calculo ISR '!$AJ$34)</f>
        <v>2311.300991160128</v>
      </c>
      <c r="N32" s="73">
        <f>E32*P4</f>
        <v>1374.9949924821999</v>
      </c>
      <c r="O32" s="73">
        <f>'[1]HT-ADMINISTRATIVOS'!P38</f>
        <v>0</v>
      </c>
      <c r="P32" s="73">
        <f>'[1]HT-ADMINISTRATIVOS'!Q38</f>
        <v>0</v>
      </c>
      <c r="Q32" s="73">
        <f>'[1]HT-ADMINISTRATIVOS'!R38</f>
        <v>0</v>
      </c>
      <c r="R32" s="73">
        <f>'[1]HT-ADMINISTRATIVOS'!S38</f>
        <v>0</v>
      </c>
      <c r="S32" s="73">
        <f t="shared" ref="S32:S40" si="6">M32+N32+O32+P32+Q32+R32</f>
        <v>3686.2959836423279</v>
      </c>
      <c r="T32" s="28">
        <f>IF('[1]Calculo ISR '!$AJ$34&gt;0,0,'[1]Calculo ISR '!$AJ$34)*-1</f>
        <v>0</v>
      </c>
      <c r="U32" s="73">
        <f t="shared" si="5"/>
        <v>9408.8944209500514</v>
      </c>
      <c r="V32" s="73">
        <v>385.5</v>
      </c>
      <c r="W32" s="74"/>
      <c r="X32" s="41"/>
    </row>
    <row r="33" spans="1:26" s="81" customFormat="1" ht="45" customHeight="1">
      <c r="A33" s="53" t="s">
        <v>79</v>
      </c>
      <c r="B33" s="61" t="s">
        <v>80</v>
      </c>
      <c r="C33" s="66">
        <v>15</v>
      </c>
      <c r="D33" s="76">
        <v>534.93837680832996</v>
      </c>
      <c r="E33" s="50">
        <v>8024.0756521249496</v>
      </c>
      <c r="F33" s="50"/>
      <c r="G33" s="77">
        <f>385.5</f>
        <v>385.5</v>
      </c>
      <c r="H33" s="50"/>
      <c r="I33" s="50"/>
      <c r="J33" s="50"/>
      <c r="K33" s="78">
        <f t="shared" si="4"/>
        <v>8024.0756521249496</v>
      </c>
      <c r="L33" s="78">
        <f>K33+G33</f>
        <v>8409.5756521249496</v>
      </c>
      <c r="M33" s="28">
        <f>IF('[1]Calculo ISR '!$AK$34&lt;0,0,'[1]Calculo ISR '!$AK$34)</f>
        <v>1166.7533832938893</v>
      </c>
      <c r="N33" s="79">
        <f>E33*P4</f>
        <v>842.52794347311965</v>
      </c>
      <c r="O33" s="78"/>
      <c r="P33" s="50"/>
      <c r="Q33" s="78"/>
      <c r="R33" s="50"/>
      <c r="S33" s="50">
        <f t="shared" si="6"/>
        <v>2009.281326767009</v>
      </c>
      <c r="T33" s="28">
        <f>IF('[1]Calculo ISR '!$AK$34&gt;0,0,'[1]Calculo ISR '!$AK$34)*-1</f>
        <v>0</v>
      </c>
      <c r="U33" s="79">
        <f>K33-S33</f>
        <v>6014.7943253579406</v>
      </c>
      <c r="V33" s="73">
        <v>385.5</v>
      </c>
      <c r="W33" s="80"/>
      <c r="X33" s="47"/>
    </row>
    <row r="34" spans="1:26" s="75" customFormat="1" ht="45" customHeight="1">
      <c r="A34" s="82" t="s">
        <v>81</v>
      </c>
      <c r="B34" s="83" t="s">
        <v>82</v>
      </c>
      <c r="C34" s="62">
        <v>15</v>
      </c>
      <c r="D34" s="76">
        <v>171.34259450000002</v>
      </c>
      <c r="E34" s="84">
        <v>2570.1389175000004</v>
      </c>
      <c r="F34" s="84"/>
      <c r="G34" s="85">
        <f>385.5</f>
        <v>385.5</v>
      </c>
      <c r="H34" s="84"/>
      <c r="I34" s="84"/>
      <c r="J34" s="84"/>
      <c r="K34" s="78">
        <f t="shared" si="4"/>
        <v>2570.1389175000004</v>
      </c>
      <c r="L34" s="78">
        <f>K34+G34</f>
        <v>2955.6389175000004</v>
      </c>
      <c r="M34" s="28">
        <f>IF('[1]Calculo ISR '!$AL$34&lt;0,0,'[1]Calculo ISR '!$AL$34)</f>
        <v>15.198026224000017</v>
      </c>
      <c r="N34" s="86">
        <f>E34*P4</f>
        <v>269.86458633750004</v>
      </c>
      <c r="O34" s="78"/>
      <c r="P34" s="84"/>
      <c r="Q34" s="78"/>
      <c r="R34" s="84">
        <f>E34*O4</f>
        <v>25.701389175000003</v>
      </c>
      <c r="S34" s="84">
        <f>M34+N34+O34+P34+Q34+R34</f>
        <v>310.76400173650006</v>
      </c>
      <c r="T34" s="28">
        <f>IF('[1]Calculo ISR '!$AL$34&gt;0,0,'[1]Calculo ISR '!$AL$34)*-1</f>
        <v>0</v>
      </c>
      <c r="U34" s="79">
        <f t="shared" ref="U34:U40" si="7">K34-S34+T34</f>
        <v>2259.3749157635002</v>
      </c>
      <c r="V34" s="87">
        <v>385.5</v>
      </c>
      <c r="W34" s="88"/>
      <c r="X34" s="41"/>
    </row>
    <row r="35" spans="1:26" s="75" customFormat="1" ht="45" customHeight="1">
      <c r="A35" s="82" t="s">
        <v>83</v>
      </c>
      <c r="B35" s="89" t="s">
        <v>84</v>
      </c>
      <c r="C35" s="62">
        <v>15</v>
      </c>
      <c r="D35" s="76">
        <v>180.10895980000001</v>
      </c>
      <c r="E35" s="84">
        <v>2701.6343970000003</v>
      </c>
      <c r="F35" s="84"/>
      <c r="G35" s="85">
        <f>385.5</f>
        <v>385.5</v>
      </c>
      <c r="H35" s="84">
        <v>892</v>
      </c>
      <c r="I35" s="84"/>
      <c r="J35" s="84"/>
      <c r="K35" s="78">
        <f t="shared" si="4"/>
        <v>3593.6343970000003</v>
      </c>
      <c r="L35" s="78">
        <f>K35+G35</f>
        <v>3979.1343970000003</v>
      </c>
      <c r="M35" s="28">
        <f>IF('[1]Calculo ISR '!$AM$34&lt;0,0,'[1]Calculo ISR '!$AM$34)</f>
        <v>179.50433439359998</v>
      </c>
      <c r="N35" s="90">
        <f>E35*P4</f>
        <v>283.67161168500002</v>
      </c>
      <c r="O35" s="78"/>
      <c r="P35" s="84"/>
      <c r="Q35" s="78"/>
      <c r="R35" s="84">
        <f>E35*O4</f>
        <v>27.016343970000005</v>
      </c>
      <c r="S35" s="84">
        <f>M35+N35+O35+P35+Q35+R35</f>
        <v>490.19229004859994</v>
      </c>
      <c r="T35" s="28">
        <f>IF('[1]Calculo ISR '!$AM$34&gt;0,0,'[1]Calculo ISR '!$AM$34)*-1</f>
        <v>0</v>
      </c>
      <c r="U35" s="79">
        <f t="shared" si="7"/>
        <v>3103.4421069514001</v>
      </c>
      <c r="V35" s="87">
        <v>385.5</v>
      </c>
      <c r="W35" s="88"/>
      <c r="X35" s="41"/>
    </row>
    <row r="36" spans="1:26" s="75" customFormat="1" ht="45" customHeight="1">
      <c r="A36" s="82" t="s">
        <v>85</v>
      </c>
      <c r="B36" s="89" t="s">
        <v>86</v>
      </c>
      <c r="C36" s="62">
        <v>15</v>
      </c>
      <c r="D36" s="76">
        <v>219.23158179999999</v>
      </c>
      <c r="E36" s="84">
        <v>3288.4737269999996</v>
      </c>
      <c r="F36" s="84"/>
      <c r="G36" s="85">
        <f>385.5</f>
        <v>385.5</v>
      </c>
      <c r="H36" s="84">
        <v>446</v>
      </c>
      <c r="I36" s="84"/>
      <c r="J36" s="84"/>
      <c r="K36" s="78">
        <f t="shared" si="4"/>
        <v>3734.4737269999996</v>
      </c>
      <c r="L36" s="78">
        <f>K36+G36</f>
        <v>4119.9737269999996</v>
      </c>
      <c r="M36" s="28">
        <f>IF('[1]Calculo ISR '!$AN$34&lt;0,0,'[1]Calculo ISR '!$AN$34)</f>
        <v>306.60419631999991</v>
      </c>
      <c r="N36" s="90">
        <f>E36*P4</f>
        <v>345.28974133499992</v>
      </c>
      <c r="O36" s="78"/>
      <c r="P36" s="84"/>
      <c r="Q36" s="78"/>
      <c r="R36" s="84">
        <v>0</v>
      </c>
      <c r="S36" s="84">
        <f t="shared" si="6"/>
        <v>651.89393765499983</v>
      </c>
      <c r="T36" s="28">
        <f>IF('[1]Calculo ISR '!$AN$34&gt;0,0,'[1]Calculo ISR '!$AN$34)*-1</f>
        <v>0</v>
      </c>
      <c r="U36" s="79">
        <f t="shared" si="7"/>
        <v>3082.5797893449999</v>
      </c>
      <c r="V36" s="87">
        <v>385.5</v>
      </c>
      <c r="W36" s="88"/>
      <c r="X36" s="41"/>
    </row>
    <row r="37" spans="1:26" s="81" customFormat="1" ht="45" customHeight="1">
      <c r="A37" s="91" t="s">
        <v>87</v>
      </c>
      <c r="B37" s="91" t="s">
        <v>88</v>
      </c>
      <c r="C37" s="66">
        <v>15</v>
      </c>
      <c r="D37" s="76">
        <v>534.93837680832996</v>
      </c>
      <c r="E37" s="50">
        <f>E33</f>
        <v>8024.0756521249496</v>
      </c>
      <c r="F37" s="50"/>
      <c r="G37" s="77">
        <v>385.5</v>
      </c>
      <c r="H37" s="50"/>
      <c r="I37" s="50"/>
      <c r="J37" s="50"/>
      <c r="K37" s="78">
        <f t="shared" si="4"/>
        <v>8024.0756521249496</v>
      </c>
      <c r="L37" s="78">
        <f>K37+G37+T37</f>
        <v>8409.5756521249496</v>
      </c>
      <c r="M37" s="28">
        <f>IF('[1]Calculo ISR '!$AO$34&lt;0,0,'[1]Calculo ISR '!$AO$34)</f>
        <v>1166.7533832938893</v>
      </c>
      <c r="N37" s="92">
        <f>E37*P4</f>
        <v>842.52794347311965</v>
      </c>
      <c r="O37" s="78"/>
      <c r="P37" s="50"/>
      <c r="Q37" s="78"/>
      <c r="R37" s="50"/>
      <c r="S37" s="50">
        <f t="shared" si="6"/>
        <v>2009.281326767009</v>
      </c>
      <c r="T37" s="28">
        <f>IF('[1]Calculo ISR '!$AO$34&gt;0,0,'[1]Calculo ISR '!$AO$34)*-1</f>
        <v>0</v>
      </c>
      <c r="U37" s="79">
        <f t="shared" si="7"/>
        <v>6014.7943253579406</v>
      </c>
      <c r="V37" s="73">
        <f t="shared" ref="V37:V45" si="8">G37</f>
        <v>385.5</v>
      </c>
      <c r="W37" s="80"/>
      <c r="X37" s="47"/>
    </row>
    <row r="38" spans="1:26" s="81" customFormat="1" ht="45" customHeight="1">
      <c r="A38" s="91" t="s">
        <v>89</v>
      </c>
      <c r="B38" s="91" t="s">
        <v>90</v>
      </c>
      <c r="C38" s="66">
        <v>15</v>
      </c>
      <c r="D38" s="76">
        <v>171.34</v>
      </c>
      <c r="E38" s="50">
        <f>C38*D38</f>
        <v>2570.1</v>
      </c>
      <c r="F38" s="50"/>
      <c r="G38" s="77">
        <v>385.5</v>
      </c>
      <c r="H38" s="50"/>
      <c r="I38" s="50"/>
      <c r="J38" s="50"/>
      <c r="K38" s="78">
        <f t="shared" si="4"/>
        <v>2570.1</v>
      </c>
      <c r="L38" s="78">
        <f>K38+G38</f>
        <v>2955.6</v>
      </c>
      <c r="M38" s="28">
        <f>IF('[1]Calculo ISR '!$AP$34&lt;0,0,'[1]Calculo ISR '!$AP$34)</f>
        <v>15.193791999999974</v>
      </c>
      <c r="N38" s="92">
        <f>E38*P4</f>
        <v>269.8605</v>
      </c>
      <c r="O38" s="78"/>
      <c r="P38" s="50"/>
      <c r="Q38" s="78"/>
      <c r="R38" s="50"/>
      <c r="S38" s="50">
        <f t="shared" si="6"/>
        <v>285.05429199999998</v>
      </c>
      <c r="T38" s="28">
        <f>IF('[1]Calculo ISR '!$AP$34&gt;0,0,'[1]Calculo ISR '!$AP$34)*-1</f>
        <v>0</v>
      </c>
      <c r="U38" s="79">
        <f t="shared" si="7"/>
        <v>2285.0457080000001</v>
      </c>
      <c r="V38" s="73">
        <f t="shared" si="8"/>
        <v>385.5</v>
      </c>
      <c r="W38" s="80"/>
      <c r="X38" s="47"/>
    </row>
    <row r="39" spans="1:26" s="81" customFormat="1" ht="45" customHeight="1">
      <c r="A39" s="91" t="s">
        <v>91</v>
      </c>
      <c r="B39" s="91" t="s">
        <v>92</v>
      </c>
      <c r="C39" s="66">
        <v>15</v>
      </c>
      <c r="D39" s="76">
        <v>131.36093080000001</v>
      </c>
      <c r="E39" s="50">
        <v>1970.4139620000001</v>
      </c>
      <c r="F39" s="50"/>
      <c r="G39" s="77">
        <v>385.5</v>
      </c>
      <c r="H39" s="50"/>
      <c r="I39" s="50"/>
      <c r="J39" s="50"/>
      <c r="K39" s="78">
        <f t="shared" si="4"/>
        <v>1970.4139620000001</v>
      </c>
      <c r="L39" s="78">
        <f>K39+G39+T39</f>
        <v>2429.5253084320002</v>
      </c>
      <c r="M39" s="28">
        <f>IF('[1]Calculo ISR '!$AQ$34&lt;0,0,'[1]Calculo ISR '!$AQ$34)</f>
        <v>0</v>
      </c>
      <c r="N39" s="92">
        <f>E39*P4</f>
        <v>206.89346601</v>
      </c>
      <c r="O39" s="78"/>
      <c r="P39" s="50"/>
      <c r="Q39" s="78"/>
      <c r="R39" s="50"/>
      <c r="S39" s="50">
        <f t="shared" si="6"/>
        <v>206.89346601</v>
      </c>
      <c r="T39" s="28">
        <f>IF('[1]Calculo ISR '!$AQ$34&gt;0,0,'[1]Calculo ISR '!$AQ$34)*-1</f>
        <v>73.611346431999976</v>
      </c>
      <c r="U39" s="79">
        <f t="shared" si="7"/>
        <v>1837.1318424220001</v>
      </c>
      <c r="V39" s="73">
        <f t="shared" si="8"/>
        <v>385.5</v>
      </c>
      <c r="W39" s="80"/>
      <c r="X39" s="47"/>
    </row>
    <row r="40" spans="1:26" s="81" customFormat="1" ht="45" customHeight="1">
      <c r="A40" s="91" t="s">
        <v>93</v>
      </c>
      <c r="B40" s="91" t="s">
        <v>94</v>
      </c>
      <c r="C40" s="66">
        <v>15</v>
      </c>
      <c r="D40" s="76">
        <v>131.36093080000001</v>
      </c>
      <c r="E40" s="50">
        <v>1970.4139620000001</v>
      </c>
      <c r="F40" s="50"/>
      <c r="G40" s="77">
        <v>385.5</v>
      </c>
      <c r="H40" s="50"/>
      <c r="I40" s="50"/>
      <c r="J40" s="50"/>
      <c r="K40" s="78">
        <f t="shared" si="4"/>
        <v>1970.4139620000001</v>
      </c>
      <c r="L40" s="78">
        <f>K40+G40+T40</f>
        <v>2429.5253084320002</v>
      </c>
      <c r="M40" s="28">
        <f>IF('[1]Calculo ISR '!$AR$34&lt;0,0,'[1]Calculo ISR '!$AR$34)</f>
        <v>0</v>
      </c>
      <c r="N40" s="92">
        <f>E40*P4</f>
        <v>206.89346601</v>
      </c>
      <c r="O40" s="78"/>
      <c r="P40" s="50"/>
      <c r="Q40" s="78"/>
      <c r="R40" s="50"/>
      <c r="S40" s="50">
        <f t="shared" si="6"/>
        <v>206.89346601</v>
      </c>
      <c r="T40" s="28">
        <f>IF('[1]Calculo ISR '!$AR$34&gt;0,0,'[1]Calculo ISR '!$AR$34)*-1</f>
        <v>73.611346431999976</v>
      </c>
      <c r="U40" s="79">
        <f t="shared" si="7"/>
        <v>1837.1318424220001</v>
      </c>
      <c r="V40" s="73">
        <f t="shared" si="8"/>
        <v>385.5</v>
      </c>
      <c r="W40" s="80"/>
      <c r="X40" s="47"/>
    </row>
    <row r="41" spans="1:26" s="81" customFormat="1" ht="45" customHeight="1">
      <c r="A41" s="91" t="s">
        <v>95</v>
      </c>
      <c r="B41" s="91" t="s">
        <v>96</v>
      </c>
      <c r="C41" s="66">
        <v>15</v>
      </c>
      <c r="D41" s="76">
        <v>754.54</v>
      </c>
      <c r="E41" s="50">
        <f>C41*D41</f>
        <v>11318.099999999999</v>
      </c>
      <c r="F41" s="50"/>
      <c r="G41" s="77">
        <v>385.5</v>
      </c>
      <c r="H41" s="50"/>
      <c r="I41" s="50"/>
      <c r="J41" s="50"/>
      <c r="K41" s="78">
        <f>E41+H41+I41+J41</f>
        <v>11318.099999999999</v>
      </c>
      <c r="L41" s="78">
        <f>K41+G41</f>
        <v>11703.599999999999</v>
      </c>
      <c r="M41" s="28">
        <f>IF('[1]Calculo ISR '!$AS$34&lt;0,0,'[1]Calculo ISR '!$AS$34)</f>
        <v>1893.3293279999998</v>
      </c>
      <c r="N41" s="92">
        <f>E41*P4</f>
        <v>1188.4004999999997</v>
      </c>
      <c r="O41" s="78"/>
      <c r="P41" s="50"/>
      <c r="Q41" s="78"/>
      <c r="R41" s="50"/>
      <c r="S41" s="50">
        <f>M41+N41+O41+P41+Q41+R41</f>
        <v>3081.7298279999995</v>
      </c>
      <c r="T41" s="28">
        <f>IF('[1]Calculo ISR '!$AS$34&gt;0,0,'[1]Calculo ISR '!$AS$34)*-1</f>
        <v>0</v>
      </c>
      <c r="U41" s="79">
        <f>K41-S41</f>
        <v>8236.370171999999</v>
      </c>
      <c r="V41" s="73">
        <f t="shared" si="8"/>
        <v>385.5</v>
      </c>
      <c r="W41" s="80"/>
      <c r="X41" s="47"/>
    </row>
    <row r="42" spans="1:26" s="81" customFormat="1" ht="45" customHeight="1">
      <c r="A42" s="91" t="s">
        <v>97</v>
      </c>
      <c r="B42" s="91" t="s">
        <v>98</v>
      </c>
      <c r="C42" s="66">
        <v>15</v>
      </c>
      <c r="D42" s="76">
        <v>754.54</v>
      </c>
      <c r="E42" s="50">
        <f>D42*C42</f>
        <v>11318.099999999999</v>
      </c>
      <c r="F42" s="50"/>
      <c r="G42" s="77">
        <v>385.5</v>
      </c>
      <c r="H42" s="50"/>
      <c r="I42" s="50"/>
      <c r="J42" s="50"/>
      <c r="K42" s="78">
        <f>E42+H42+I42+J42</f>
        <v>11318.099999999999</v>
      </c>
      <c r="L42" s="78">
        <f>K42+G42</f>
        <v>11703.599999999999</v>
      </c>
      <c r="M42" s="28">
        <f>IF('[1]Calculo ISR '!$AT$34&lt;0,0,'[1]Calculo ISR '!$AT$34)</f>
        <v>1893.3293279999998</v>
      </c>
      <c r="N42" s="92">
        <f>E42*P4</f>
        <v>1188.4004999999997</v>
      </c>
      <c r="O42" s="78">
        <v>689</v>
      </c>
      <c r="P42" s="50"/>
      <c r="Q42" s="78"/>
      <c r="R42" s="50"/>
      <c r="S42" s="50">
        <f>M42+N42+O42+P42+Q42+R42</f>
        <v>3770.7298279999995</v>
      </c>
      <c r="T42" s="28">
        <f>IF('[1]Calculo ISR '!$AT$34&gt;0,0,'[1]Calculo ISR '!$AT$34)*-1</f>
        <v>0</v>
      </c>
      <c r="U42" s="79">
        <f>K42-S42</f>
        <v>7547.370171999999</v>
      </c>
      <c r="V42" s="73">
        <f t="shared" si="8"/>
        <v>385.5</v>
      </c>
      <c r="W42" s="80"/>
      <c r="X42" s="47"/>
    </row>
    <row r="43" spans="1:26" s="81" customFormat="1" ht="45" customHeight="1">
      <c r="A43" s="91" t="s">
        <v>99</v>
      </c>
      <c r="B43" s="91" t="s">
        <v>100</v>
      </c>
      <c r="C43" s="66">
        <v>15</v>
      </c>
      <c r="D43" s="76">
        <v>171.34</v>
      </c>
      <c r="E43" s="50">
        <f>C43*D43</f>
        <v>2570.1</v>
      </c>
      <c r="F43" s="50"/>
      <c r="G43" s="77">
        <v>385.5</v>
      </c>
      <c r="H43" s="50"/>
      <c r="I43" s="50"/>
      <c r="J43" s="50"/>
      <c r="K43" s="78">
        <f>E43+F43+H43+I43+J43</f>
        <v>2570.1</v>
      </c>
      <c r="L43" s="78">
        <f>K43+G43</f>
        <v>2955.6</v>
      </c>
      <c r="M43" s="28">
        <f>IF('[1]Calculo ISR '!$AU$34&lt;0,0,'[1]Calculo ISR '!$AU$34)</f>
        <v>15.193791999999974</v>
      </c>
      <c r="N43" s="92">
        <f>E43*P4</f>
        <v>269.8605</v>
      </c>
      <c r="O43" s="78"/>
      <c r="P43" s="50"/>
      <c r="Q43" s="78"/>
      <c r="R43" s="50"/>
      <c r="S43" s="50">
        <f>M43+N43+O43+P43+Q43+R43</f>
        <v>285.05429199999998</v>
      </c>
      <c r="T43" s="28">
        <f>IF('[1]Calculo ISR '!$AU$34&gt;0,0,'[1]Calculo ISR '!$AU$34)*-1</f>
        <v>0</v>
      </c>
      <c r="U43" s="79">
        <f>K43-S43</f>
        <v>2285.0457080000001</v>
      </c>
      <c r="V43" s="73">
        <f t="shared" si="8"/>
        <v>385.5</v>
      </c>
      <c r="W43" s="80"/>
      <c r="X43" s="47"/>
    </row>
    <row r="44" spans="1:26" s="81" customFormat="1" ht="45" customHeight="1">
      <c r="A44" s="91" t="s">
        <v>101</v>
      </c>
      <c r="B44" s="91" t="s">
        <v>102</v>
      </c>
      <c r="C44" s="66">
        <v>15</v>
      </c>
      <c r="D44" s="76">
        <v>754.54</v>
      </c>
      <c r="E44" s="50">
        <f>C44*D44</f>
        <v>11318.099999999999</v>
      </c>
      <c r="F44" s="50"/>
      <c r="G44" s="77">
        <v>385.5</v>
      </c>
      <c r="H44" s="50"/>
      <c r="I44" s="50"/>
      <c r="J44" s="50"/>
      <c r="K44" s="78">
        <f>E44+F44+H44+I44+J44</f>
        <v>11318.099999999999</v>
      </c>
      <c r="L44" s="78">
        <f>K44+G44</f>
        <v>11703.599999999999</v>
      </c>
      <c r="M44" s="28">
        <f>IF('[1]Calculo ISR '!$AV$34&lt;0,0,'[1]Calculo ISR '!$AV$34)</f>
        <v>1893.3293279999998</v>
      </c>
      <c r="N44" s="92">
        <f>E44*P4</f>
        <v>1188.4004999999997</v>
      </c>
      <c r="O44" s="78"/>
      <c r="P44" s="50"/>
      <c r="Q44" s="78"/>
      <c r="R44" s="50"/>
      <c r="S44" s="50">
        <f>M44+N44+O44+P44+Q44+R44</f>
        <v>3081.7298279999995</v>
      </c>
      <c r="T44" s="28">
        <f>IF('[1]Calculo ISR '!$AV$34&gt;0,0,'[1]Calculo ISR '!$AV$34)*-1</f>
        <v>0</v>
      </c>
      <c r="U44" s="79">
        <f>K44-S44</f>
        <v>8236.370171999999</v>
      </c>
      <c r="V44" s="73">
        <f t="shared" si="8"/>
        <v>385.5</v>
      </c>
      <c r="W44" s="80"/>
      <c r="X44" s="47"/>
    </row>
    <row r="45" spans="1:26" s="81" customFormat="1" ht="45" customHeight="1">
      <c r="A45" s="91" t="s">
        <v>103</v>
      </c>
      <c r="B45" s="91" t="s">
        <v>104</v>
      </c>
      <c r="C45" s="66">
        <v>15</v>
      </c>
      <c r="D45" s="76">
        <v>171.34</v>
      </c>
      <c r="E45" s="50">
        <f>C45*D45</f>
        <v>2570.1</v>
      </c>
      <c r="F45" s="50"/>
      <c r="G45" s="77">
        <v>385.5</v>
      </c>
      <c r="H45" s="50"/>
      <c r="I45" s="50"/>
      <c r="J45" s="50"/>
      <c r="K45" s="78">
        <f>E45+F45+H45+I45+J45</f>
        <v>2570.1</v>
      </c>
      <c r="L45" s="78">
        <f>K45+G45</f>
        <v>2955.6</v>
      </c>
      <c r="M45" s="28">
        <v>15.19</v>
      </c>
      <c r="N45" s="92">
        <f>E45*P4</f>
        <v>269.8605</v>
      </c>
      <c r="O45" s="78"/>
      <c r="P45" s="50"/>
      <c r="Q45" s="78"/>
      <c r="R45" s="50"/>
      <c r="S45" s="50">
        <f>M45+N45+O45+P45+Q45+R45</f>
        <v>285.0505</v>
      </c>
      <c r="T45" s="28"/>
      <c r="U45" s="79">
        <f>K45-S45</f>
        <v>2285.0495000000001</v>
      </c>
      <c r="V45" s="73">
        <f t="shared" si="8"/>
        <v>385.5</v>
      </c>
      <c r="W45" s="80"/>
      <c r="X45" s="47"/>
    </row>
    <row r="46" spans="1:26" s="99" customFormat="1" ht="21.95" customHeight="1">
      <c r="A46" s="93"/>
      <c r="B46" s="94">
        <v>39</v>
      </c>
      <c r="C46" s="95">
        <f t="shared" ref="C46:V46" si="9">SUM(C7:C45)</f>
        <v>585</v>
      </c>
      <c r="D46" s="95">
        <f t="shared" si="9"/>
        <v>13628.510886317883</v>
      </c>
      <c r="E46" s="95">
        <f t="shared" si="9"/>
        <v>204427.66329476825</v>
      </c>
      <c r="F46" s="95">
        <f t="shared" si="9"/>
        <v>6616.24</v>
      </c>
      <c r="G46" s="95">
        <f t="shared" si="9"/>
        <v>15609</v>
      </c>
      <c r="H46" s="95">
        <f t="shared" si="9"/>
        <v>4460</v>
      </c>
      <c r="I46" s="95">
        <f t="shared" si="9"/>
        <v>688</v>
      </c>
      <c r="J46" s="95">
        <f t="shared" si="9"/>
        <v>1848.4761786091169</v>
      </c>
      <c r="K46" s="95">
        <f t="shared" si="9"/>
        <v>218040.37947337734</v>
      </c>
      <c r="L46" s="95">
        <f t="shared" si="9"/>
        <v>233957.13799168001</v>
      </c>
      <c r="M46" s="96">
        <f t="shared" si="9"/>
        <v>26872.751535636457</v>
      </c>
      <c r="N46" s="95">
        <f t="shared" si="9"/>
        <v>21464.904645950657</v>
      </c>
      <c r="O46" s="95">
        <f t="shared" si="9"/>
        <v>24760.699999999997</v>
      </c>
      <c r="P46" s="95">
        <f t="shared" si="9"/>
        <v>0</v>
      </c>
      <c r="Q46" s="95">
        <f t="shared" si="9"/>
        <v>0</v>
      </c>
      <c r="R46" s="95">
        <f t="shared" si="9"/>
        <v>609.68201178458719</v>
      </c>
      <c r="S46" s="95">
        <f t="shared" si="9"/>
        <v>73708.038193371671</v>
      </c>
      <c r="T46" s="95">
        <f t="shared" si="9"/>
        <v>307.75851830263997</v>
      </c>
      <c r="U46" s="95">
        <f t="shared" si="9"/>
        <v>144640.09979830828</v>
      </c>
      <c r="V46" s="95">
        <f t="shared" si="9"/>
        <v>15609</v>
      </c>
      <c r="W46" s="97"/>
      <c r="X46" s="98"/>
    </row>
    <row r="47" spans="1:26" s="6" customFormat="1" ht="21.95" customHeight="1">
      <c r="A47" s="122"/>
      <c r="B47" s="123"/>
      <c r="C47" s="124"/>
      <c r="D47" s="101"/>
      <c r="E47" s="101">
        <f>E46+'[2]HT-DOCENTE FIRMA'!E33</f>
        <v>300660.16329476825</v>
      </c>
      <c r="F47" s="101"/>
      <c r="G47" s="125">
        <f>G46+'[2]HT-DOCENTE FIRMA'!F33</f>
        <v>21682.2</v>
      </c>
      <c r="H47" s="125">
        <f>H46+'[2]HT-DOCENTE FIRMA'!H33</f>
        <v>6065.6</v>
      </c>
      <c r="I47" s="101"/>
      <c r="J47" s="101">
        <f>J46+'[2]HT-DOCENTE FIRMA'!I33</f>
        <v>2383.1011786091167</v>
      </c>
      <c r="K47" s="101"/>
      <c r="L47" s="101"/>
      <c r="M47" s="5">
        <f>M46+'[2]HT-DOCENTE FIRMA'!L33</f>
        <v>37052.066023636457</v>
      </c>
      <c r="N47" s="101"/>
      <c r="O47" s="101"/>
      <c r="P47" s="101"/>
      <c r="Q47" s="101"/>
      <c r="R47" s="101"/>
      <c r="S47" s="101"/>
      <c r="T47" s="101"/>
      <c r="U47" s="101">
        <f>U46+'[2]HT-DOCENTE FIRMA'!T33</f>
        <v>214402.88659830828</v>
      </c>
      <c r="V47" s="101"/>
      <c r="W47" s="126"/>
      <c r="X47" s="5"/>
    </row>
    <row r="48" spans="1:26" s="6" customFormat="1" ht="21.95" customHeight="1">
      <c r="A48" s="122"/>
      <c r="B48" s="123"/>
      <c r="C48" s="124"/>
      <c r="D48" s="101"/>
      <c r="E48" s="101">
        <f>E46+'[1]HT-DOCENTE FIRMA'!E33</f>
        <v>300660.16329476825</v>
      </c>
      <c r="F48" s="101"/>
      <c r="G48" s="125"/>
      <c r="H48" s="125"/>
      <c r="I48" s="101"/>
      <c r="J48" s="101"/>
      <c r="K48" s="101"/>
      <c r="L48" s="101"/>
      <c r="M48" s="101"/>
      <c r="N48" s="101"/>
      <c r="O48" s="101">
        <f>O46+'[1]HT-DOCENTE FIRMA'!N33</f>
        <v>35233.1</v>
      </c>
      <c r="P48" s="101"/>
      <c r="Q48" s="101"/>
      <c r="R48" s="101"/>
      <c r="S48" s="101"/>
      <c r="T48" s="101"/>
      <c r="U48" s="101"/>
      <c r="V48" s="101"/>
      <c r="W48" s="126"/>
      <c r="X48" s="5"/>
      <c r="Z48" s="5"/>
    </row>
    <row r="49" spans="1:24" s="6" customFormat="1">
      <c r="A49" s="127"/>
      <c r="B49" s="123"/>
      <c r="C49" s="122"/>
      <c r="D49" s="128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26"/>
      <c r="X49" s="5"/>
    </row>
    <row r="50" spans="1:24" s="6" customFormat="1" ht="15">
      <c r="A50" s="129"/>
      <c r="B50" s="130"/>
      <c r="C50" s="131"/>
      <c r="D50" s="132"/>
      <c r="E50" s="133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5"/>
      <c r="X50" s="5"/>
    </row>
    <row r="51" spans="1:24" ht="15" customHeight="1">
      <c r="A51" s="110" t="s">
        <v>105</v>
      </c>
      <c r="B51" s="110"/>
      <c r="C51" s="110"/>
      <c r="D51" s="111"/>
      <c r="E51" s="109"/>
      <c r="F51" s="109"/>
      <c r="G51" s="113" t="s">
        <v>106</v>
      </c>
      <c r="H51" s="112"/>
      <c r="I51" s="112"/>
      <c r="K51" s="113"/>
      <c r="L51" s="111" t="s">
        <v>107</v>
      </c>
      <c r="O51" s="115"/>
      <c r="P51" s="115"/>
      <c r="Q51" s="115"/>
      <c r="R51" s="115"/>
      <c r="T51" s="111"/>
      <c r="U51" s="111"/>
      <c r="V51" s="111"/>
      <c r="W51" s="111"/>
      <c r="X51" s="100"/>
    </row>
    <row r="52" spans="1:24" ht="2.25" customHeight="1">
      <c r="A52" s="111"/>
      <c r="B52" s="111"/>
      <c r="C52" s="111"/>
      <c r="D52" s="111"/>
      <c r="E52" s="116"/>
      <c r="F52" s="116"/>
      <c r="G52" s="111"/>
      <c r="H52" s="111"/>
      <c r="I52" s="111"/>
      <c r="J52" s="111"/>
      <c r="K52" s="103"/>
      <c r="L52" s="103"/>
      <c r="O52" s="103"/>
      <c r="P52" s="115"/>
      <c r="Q52" s="103"/>
      <c r="R52" s="103"/>
      <c r="S52" s="111"/>
      <c r="T52" s="111"/>
      <c r="U52" s="111"/>
      <c r="V52" s="111"/>
      <c r="W52" s="111"/>
      <c r="X52" s="100"/>
    </row>
    <row r="53" spans="1:24" hidden="1">
      <c r="A53" s="111"/>
      <c r="B53" s="111"/>
      <c r="C53" s="111"/>
      <c r="D53" s="111"/>
      <c r="E53" s="109"/>
      <c r="F53" s="109"/>
      <c r="G53" s="111"/>
      <c r="H53" s="111"/>
      <c r="I53" s="111"/>
      <c r="J53" s="111"/>
      <c r="K53" s="109"/>
      <c r="L53" s="109"/>
      <c r="O53" s="109"/>
      <c r="P53" s="109"/>
      <c r="Q53" s="109"/>
      <c r="R53" s="109"/>
      <c r="S53" s="111"/>
      <c r="T53" s="111"/>
      <c r="U53" s="111"/>
      <c r="V53" s="111"/>
      <c r="W53" s="111"/>
      <c r="X53" s="100"/>
    </row>
    <row r="54" spans="1:24">
      <c r="A54" s="111"/>
      <c r="B54" s="113" t="s">
        <v>108</v>
      </c>
      <c r="C54" s="111"/>
      <c r="D54" s="111"/>
      <c r="E54" s="116"/>
      <c r="G54" s="118" t="s">
        <v>109</v>
      </c>
      <c r="I54" s="117"/>
      <c r="K54" s="118"/>
      <c r="L54" s="117" t="s">
        <v>110</v>
      </c>
      <c r="O54" s="109"/>
      <c r="P54" s="109"/>
      <c r="Q54" s="116"/>
      <c r="R54" s="109"/>
      <c r="T54" s="117"/>
      <c r="U54" s="117"/>
      <c r="V54" s="117"/>
      <c r="W54" s="111"/>
      <c r="X54" s="100"/>
    </row>
    <row r="55" spans="1:24" ht="15" customHeight="1">
      <c r="A55" s="110" t="s">
        <v>111</v>
      </c>
      <c r="B55" s="110"/>
      <c r="C55" s="110"/>
      <c r="D55" s="111"/>
      <c r="E55" s="109"/>
      <c r="F55" s="109"/>
      <c r="G55" s="118" t="s">
        <v>112</v>
      </c>
      <c r="H55" s="117"/>
      <c r="I55" s="117"/>
      <c r="K55" s="141" t="s">
        <v>119</v>
      </c>
      <c r="L55" s="141"/>
      <c r="M55" s="141"/>
      <c r="N55" s="141"/>
      <c r="O55" s="141"/>
      <c r="P55" s="141"/>
      <c r="Q55" s="141"/>
      <c r="R55" s="141"/>
      <c r="S55" s="141"/>
      <c r="T55" s="141"/>
      <c r="V55" s="118"/>
      <c r="W55" s="111"/>
      <c r="X55" s="100"/>
    </row>
    <row r="56" spans="1:24">
      <c r="A56" s="109"/>
      <c r="B56" s="120"/>
      <c r="C56" s="109"/>
      <c r="D56" s="109"/>
      <c r="E56" s="116"/>
      <c r="F56" s="116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09"/>
      <c r="B58" s="120"/>
      <c r="C58" s="109"/>
      <c r="D58" s="109"/>
      <c r="E58" s="109"/>
      <c r="F58" s="109"/>
      <c r="G58" s="109"/>
      <c r="H58" s="109"/>
      <c r="I58" s="109"/>
      <c r="J58" s="109"/>
      <c r="K58" s="109"/>
      <c r="L58" s="116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4" s="2" customFormat="1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4" s="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>
      <c r="X69" s="100"/>
    </row>
    <row r="70" spans="1:24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2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s="10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308" spans="99:99">
      <c r="CU308" s="1" t="s">
        <v>114</v>
      </c>
    </row>
  </sheetData>
  <mergeCells count="2">
    <mergeCell ref="A51:C51"/>
    <mergeCell ref="A55:C55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CU307"/>
  <sheetViews>
    <sheetView zoomScale="80" zoomScaleNormal="80" workbookViewId="0">
      <pane xSplit="2" ySplit="6" topLeftCell="C39" activePane="bottomRight" state="frozen"/>
      <selection activeCell="S28" sqref="S28"/>
      <selection pane="topRight" activeCell="S28" sqref="S28"/>
      <selection pane="bottomLeft" activeCell="S28" sqref="S28"/>
      <selection pane="bottomRight" activeCell="B8" sqref="B8:B44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7" width="12.85546875" style="1" customWidth="1"/>
    <col min="8" max="8" width="10.710937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7.1406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3" spans="1:26">
      <c r="B3" s="2"/>
      <c r="I3" s="3"/>
      <c r="J3" s="3"/>
      <c r="K3" s="4"/>
      <c r="L3" s="5" t="s">
        <v>0</v>
      </c>
      <c r="O3" s="6"/>
      <c r="P3" s="6"/>
      <c r="Q3" s="6" t="s">
        <v>1</v>
      </c>
    </row>
    <row r="4" spans="1:26">
      <c r="B4" s="2"/>
      <c r="C4" s="3"/>
      <c r="D4" s="3"/>
      <c r="E4" s="3"/>
      <c r="F4" s="3"/>
      <c r="I4" s="3"/>
      <c r="J4" s="3"/>
      <c r="K4" s="3"/>
      <c r="L4" s="7">
        <v>1.9E-2</v>
      </c>
      <c r="O4" s="8">
        <v>0.01</v>
      </c>
      <c r="P4" s="121">
        <v>0.105</v>
      </c>
      <c r="Q4" s="9">
        <v>3.7999999999999999E-2</v>
      </c>
    </row>
    <row r="5" spans="1:26" ht="13.5" thickBot="1">
      <c r="B5" s="10" t="s">
        <v>2</v>
      </c>
      <c r="C5" s="3"/>
      <c r="D5" s="3"/>
      <c r="E5" s="3"/>
      <c r="F5" s="10" t="s">
        <v>130</v>
      </c>
      <c r="I5" s="3"/>
      <c r="J5" s="3"/>
      <c r="K5" s="3"/>
    </row>
    <row r="6" spans="1:26" s="25" customFormat="1" ht="105.7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hidden="1" customHeight="1">
      <c r="A7" s="26"/>
      <c r="B7" s="27"/>
      <c r="C7" s="142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754.53875970000001</v>
      </c>
      <c r="E8" s="36">
        <v>11318.081395499999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E8*Q4</f>
        <v>430.08709302899996</v>
      </c>
      <c r="K8" s="36">
        <f>E8+F8+H8+I8+J8</f>
        <v>12194.168488529</v>
      </c>
      <c r="L8" s="36">
        <f t="shared" ref="L8:L12" si="0">K8+G8</f>
        <v>12579.668488529</v>
      </c>
      <c r="M8" s="28">
        <f>IF('[1]Calculo ISR '!$L$34&lt;0,0,'[1]Calculo ISR '!$L$34)</f>
        <v>2099.3806365020209</v>
      </c>
      <c r="N8" s="38">
        <f>E8*P4</f>
        <v>1188.3985465275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3287.7791830295209</v>
      </c>
      <c r="T8" s="28">
        <f>IF('[1]Calculo ISR '!$L$34&gt;0,0,'[1]Calculo ISR '!$L$34)*-1</f>
        <v>0</v>
      </c>
      <c r="U8" s="36">
        <f>K8-S8</f>
        <v>8906.3893054994787</v>
      </c>
      <c r="V8" s="36">
        <f t="shared" ref="V8:V27" si="1">G8</f>
        <v>385.5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230.34834514817072</v>
      </c>
      <c r="E9" s="36">
        <v>3455.2251772225609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E9*Q4</f>
        <v>131.29855673445732</v>
      </c>
      <c r="K9" s="36">
        <f>E9+F9+H9+I9+J9</f>
        <v>3586.5237339570181</v>
      </c>
      <c r="L9" s="36">
        <f t="shared" si="0"/>
        <v>3972.0237339570181</v>
      </c>
      <c r="M9" s="28">
        <f>IF('[1]Calculo ISR '!$M$34&lt;0,0,'[1]Calculo ISR '!$M$34)</f>
        <v>178.73069425452351</v>
      </c>
      <c r="N9" s="38">
        <f>E9*P4</f>
        <v>362.79864360836888</v>
      </c>
      <c r="O9" s="38">
        <v>959.12</v>
      </c>
      <c r="P9" s="38">
        <f>'[1]HT-ADMINISTRATIVOS'!Q11</f>
        <v>0</v>
      </c>
      <c r="Q9" s="38">
        <f>'[1]HT-ADMINISTRATIVOS'!R11</f>
        <v>0</v>
      </c>
      <c r="R9" s="38">
        <f>E9*O4</f>
        <v>34.55225177222561</v>
      </c>
      <c r="S9" s="36">
        <f>M9+N9+O9+P9+Q9+R9</f>
        <v>1535.2015896351181</v>
      </c>
      <c r="T9" s="28">
        <f>IF('[1]Calculo ISR '!$M$34&gt;0,0,'[1]Calculo ISR '!$M$34)*-1</f>
        <v>0</v>
      </c>
      <c r="U9" s="36">
        <f t="shared" ref="U9:U15" si="2">K9-S9+T9</f>
        <v>2051.3221443218999</v>
      </c>
      <c r="V9" s="36">
        <f t="shared" si="1"/>
        <v>385.5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v>242.09274535320057</v>
      </c>
      <c r="E10" s="36">
        <v>3631.3911802980087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E10*Q4</f>
        <v>137.99286485132433</v>
      </c>
      <c r="K10" s="36">
        <f>E10+F10+I10+J10</f>
        <v>3769.3840451493329</v>
      </c>
      <c r="L10" s="36">
        <f t="shared" si="0"/>
        <v>4154.8840451493325</v>
      </c>
      <c r="M10" s="28">
        <f>IF('[1]Calculo ISR '!$N$34&lt;0,0,'[1]Calculo ISR '!$N$34)</f>
        <v>312.18984722389325</v>
      </c>
      <c r="N10" s="38">
        <f>E10*P4</f>
        <v>381.29607393129089</v>
      </c>
      <c r="O10" s="38">
        <v>1077.99</v>
      </c>
      <c r="P10" s="38">
        <f>'[1]HT-ADMINISTRATIVOS'!Q12</f>
        <v>0</v>
      </c>
      <c r="Q10" s="38">
        <f>'[1]HT-ADMINISTRATIVOS'!R12</f>
        <v>0</v>
      </c>
      <c r="R10" s="38">
        <f>E10*O4</f>
        <v>36.313911802980087</v>
      </c>
      <c r="S10" s="36">
        <f t="shared" ref="S10:S31" si="3">M10+N10+O10+R10+P10+Q10</f>
        <v>1807.7898329581642</v>
      </c>
      <c r="T10" s="28">
        <f>IF('[1]Calculo ISR '!$N$34&gt;0,0,'[1]Calculo ISR '!$N$34)*-1</f>
        <v>0</v>
      </c>
      <c r="U10" s="36">
        <f t="shared" si="2"/>
        <v>1961.5942121911687</v>
      </c>
      <c r="V10" s="36">
        <f t="shared" si="1"/>
        <v>385.5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219.22891544903311</v>
      </c>
      <c r="E11" s="36">
        <v>3288.4337317354966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E11*Q4</f>
        <v>124.96048180594887</v>
      </c>
      <c r="K11" s="36">
        <f t="shared" ref="K11:K33" si="4">E11+F11+H11+I11+J11</f>
        <v>3413.3942135414454</v>
      </c>
      <c r="L11" s="36">
        <f t="shared" si="0"/>
        <v>3798.8942135414454</v>
      </c>
      <c r="M11" s="28">
        <f>IF('[1]Calculo ISR '!$O$34&lt;0,0,'[1]Calculo ISR '!$O$34)</f>
        <v>142.19420243330924</v>
      </c>
      <c r="N11" s="38">
        <f>E11*P4</f>
        <v>345.28554183222712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32.884337317354969</v>
      </c>
      <c r="S11" s="36">
        <f t="shared" si="3"/>
        <v>1982.5840815828915</v>
      </c>
      <c r="T11" s="28">
        <f>IF('[1]Calculo ISR '!$O$34&gt;0,0,'[1]Calculo ISR '!$O$34)*-1</f>
        <v>0</v>
      </c>
      <c r="U11" s="36">
        <f t="shared" si="2"/>
        <v>1430.8101319585539</v>
      </c>
      <c r="V11" s="36">
        <f t="shared" si="1"/>
        <v>385.5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242.09274535320057</v>
      </c>
      <c r="E12" s="36">
        <v>3631.3911802980087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E12*Q4</f>
        <v>137.99286485132433</v>
      </c>
      <c r="K12" s="36">
        <f t="shared" si="4"/>
        <v>3769.3840451493329</v>
      </c>
      <c r="L12" s="36">
        <f t="shared" si="0"/>
        <v>4154.8840451493325</v>
      </c>
      <c r="M12" s="28">
        <f>IF('[1]Calculo ISR '!$P$34&lt;0,0,'[1]Calculo ISR '!$P$34)</f>
        <v>312.18984722389325</v>
      </c>
      <c r="N12" s="38">
        <f>E12*P4</f>
        <v>381.29607393129089</v>
      </c>
      <c r="O12" s="38">
        <v>1211</v>
      </c>
      <c r="P12" s="38">
        <f>'[1]HT-ADMINISTRATIVOS'!Q14</f>
        <v>0</v>
      </c>
      <c r="Q12" s="38">
        <f>'[1]HT-ADMINISTRATIVOS'!R14</f>
        <v>0</v>
      </c>
      <c r="R12" s="38">
        <f>E12*O4</f>
        <v>36.313911802980087</v>
      </c>
      <c r="S12" s="36">
        <f t="shared" si="3"/>
        <v>1940.7998329581642</v>
      </c>
      <c r="T12" s="28">
        <f>IF('[1]Calculo ISR '!$P$34&gt;0,0,'[1]Calculo ISR '!$P$34)*-1</f>
        <v>0</v>
      </c>
      <c r="U12" s="36">
        <f t="shared" si="2"/>
        <v>1828.5842121911687</v>
      </c>
      <c r="V12" s="36">
        <f t="shared" si="1"/>
        <v>385.5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171.33947607512999</v>
      </c>
      <c r="E13" s="36">
        <v>2570.0921411269501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E13*Q4</f>
        <v>97.663501362824107</v>
      </c>
      <c r="K13" s="36">
        <f t="shared" si="4"/>
        <v>2667.7556424897743</v>
      </c>
      <c r="L13" s="36">
        <f>K13+G13+T13</f>
        <v>3053.2556424897743</v>
      </c>
      <c r="M13" s="28">
        <f>IF('[1]Calculo ISR '!$Q$34&lt;0,0,'[1]Calculo ISR '!$Q$34)</f>
        <v>40.818725902887451</v>
      </c>
      <c r="N13" s="38">
        <f>E13*P4</f>
        <v>269.85967481832972</v>
      </c>
      <c r="O13" s="38">
        <v>567</v>
      </c>
      <c r="P13" s="38">
        <f>'[1]HT-ADMINISTRATIVOS'!Q15</f>
        <v>0</v>
      </c>
      <c r="Q13" s="38">
        <f>'[1]HT-ADMINISTRATIVOS'!R15</f>
        <v>0</v>
      </c>
      <c r="R13" s="38">
        <f>E13*O4</f>
        <v>25.700921411269501</v>
      </c>
      <c r="S13" s="36">
        <f t="shared" si="3"/>
        <v>903.37932213248666</v>
      </c>
      <c r="T13" s="28">
        <f>IF('[1]Calculo ISR '!$Q$34&gt;0,0,'[1]Calculo ISR '!$Q$34)</f>
        <v>0</v>
      </c>
      <c r="U13" s="36">
        <f t="shared" si="2"/>
        <v>1764.3763203572876</v>
      </c>
      <c r="V13" s="36">
        <f t="shared" si="1"/>
        <v>385.5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163.00161009000001</v>
      </c>
      <c r="E14" s="36">
        <v>2445.02415135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E14*Q4</f>
        <v>92.910917751300005</v>
      </c>
      <c r="K14" s="36">
        <f t="shared" si="4"/>
        <v>2537.9350691013001</v>
      </c>
      <c r="L14" s="36">
        <f>K14+G14+T14</f>
        <v>2923.4350691013001</v>
      </c>
      <c r="M14" s="28">
        <f>IF('[1]Calculo ISR '!$R$34&lt;0,0,'[1]Calculo ISR '!$R$34)</f>
        <v>11.694247518221431</v>
      </c>
      <c r="N14" s="38">
        <f>E14*P4</f>
        <v>256.72753589174999</v>
      </c>
      <c r="O14" s="38">
        <v>816</v>
      </c>
      <c r="P14" s="38">
        <f>'[1]HT-ADMINISTRATIVOS'!Q16</f>
        <v>0</v>
      </c>
      <c r="Q14" s="38">
        <f>'[1]HT-ADMINISTRATIVOS'!R16</f>
        <v>0</v>
      </c>
      <c r="R14" s="38">
        <f>E14*O4</f>
        <v>24.4502415135</v>
      </c>
      <c r="S14" s="36">
        <f t="shared" si="3"/>
        <v>1108.8720249234714</v>
      </c>
      <c r="T14" s="28">
        <f>IF('[1]Calculo ISR '!$R$34&gt;0,0,'[1]Calculo ISR '!$R$34)*-1</f>
        <v>0</v>
      </c>
      <c r="U14" s="36">
        <f t="shared" si="2"/>
        <v>1429.0630441778287</v>
      </c>
      <c r="V14" s="36">
        <f t="shared" si="1"/>
        <v>385.5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534.93837680832996</v>
      </c>
      <c r="E15" s="36">
        <v>8024.0756521249496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E15*L4</f>
        <v>152.45743739037403</v>
      </c>
      <c r="K15" s="36">
        <f t="shared" si="4"/>
        <v>8176.5330895153238</v>
      </c>
      <c r="L15" s="36">
        <f>K15+G15</f>
        <v>8562.0330895153238</v>
      </c>
      <c r="M15" s="28">
        <f>IF('[1]Calculo ISR '!$S$34&lt;0,0,'[1]Calculo ISR '!$S$34)</f>
        <v>1199.3182919204733</v>
      </c>
      <c r="N15" s="38">
        <f>E15*P4</f>
        <v>842.52794347311965</v>
      </c>
      <c r="O15" s="38">
        <v>2675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3"/>
        <v>4716.8462353935929</v>
      </c>
      <c r="T15" s="28">
        <f>IF('[1]Calculo ISR '!$S$34&gt;0,0,'[1]Calculo ISR '!$S$34)*-1</f>
        <v>0</v>
      </c>
      <c r="U15" s="36">
        <f t="shared" si="2"/>
        <v>3459.6868541217309</v>
      </c>
      <c r="V15" s="36">
        <f t="shared" si="1"/>
        <v>385.5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267.35834171124986</v>
      </c>
      <c r="E16" s="36">
        <v>4010.3751256687478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E16*L4</f>
        <v>76.197127387706203</v>
      </c>
      <c r="K16" s="36">
        <f t="shared" si="4"/>
        <v>4086.572253056454</v>
      </c>
      <c r="L16" s="36">
        <f>K16+G16</f>
        <v>4472.0722530564544</v>
      </c>
      <c r="M16" s="28">
        <f>IF('[1]Calculo ISR '!$T$34&lt;0,0,'[1]Calculo ISR '!$T$34)</f>
        <v>362.93996048903261</v>
      </c>
      <c r="N16" s="38">
        <f>E16*P4</f>
        <v>421.08938819521853</v>
      </c>
      <c r="O16" s="38">
        <v>1867.49</v>
      </c>
      <c r="P16" s="38"/>
      <c r="Q16" s="38"/>
      <c r="R16" s="38">
        <f>E16*O4</f>
        <v>40.103751256687481</v>
      </c>
      <c r="S16" s="36">
        <f>M16+N16+O16+Q16+R16+P16</f>
        <v>2691.6230999409386</v>
      </c>
      <c r="T16" s="28">
        <f>IF('[1]Calculo ISR '!$T$34&gt;0,0,'[1]Calculo ISR '!$T$34)*-1</f>
        <v>0</v>
      </c>
      <c r="U16" s="36">
        <f>K16-S16</f>
        <v>1394.9491531155154</v>
      </c>
      <c r="V16" s="36">
        <f t="shared" si="1"/>
        <v>385.5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230.34834514817072</v>
      </c>
      <c r="E17" s="36">
        <v>3455.2251772225609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7">
        <f>E17*L4</f>
        <v>65.649278367228661</v>
      </c>
      <c r="K17" s="36">
        <f t="shared" si="4"/>
        <v>3966.8744555897897</v>
      </c>
      <c r="L17" s="36">
        <f>K17+G17</f>
        <v>4352.3744555897902</v>
      </c>
      <c r="M17" s="28">
        <f>IF('[1]Calculo ISR '!$U$34&lt;0,0,'[1]Calculo ISR '!$U$34)</f>
        <v>343.7883128943663</v>
      </c>
      <c r="N17" s="38">
        <f>E17*P4</f>
        <v>362.79864360836888</v>
      </c>
      <c r="O17" s="38">
        <v>1571.6</v>
      </c>
      <c r="P17" s="38">
        <f>'[1]HT-ADMINISTRATIVOS'!Q19</f>
        <v>0</v>
      </c>
      <c r="Q17" s="38">
        <f>'[1]HT-ADMINISTRATIVOS'!R19</f>
        <v>0</v>
      </c>
      <c r="R17" s="38">
        <f>E17*O4</f>
        <v>34.55225177222561</v>
      </c>
      <c r="S17" s="36">
        <f t="shared" si="3"/>
        <v>2312.7392082749607</v>
      </c>
      <c r="T17" s="28">
        <f>IF('[1]Calculo ISR '!$U$34&gt;0,0,'[1]Calculo ISR '!$U$34)*-1</f>
        <v>0</v>
      </c>
      <c r="U17" s="36">
        <f t="shared" ref="U17:U32" si="5">K17-S17+T17</f>
        <v>1654.135247314829</v>
      </c>
      <c r="V17" s="36">
        <f t="shared" si="1"/>
        <v>385.5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873.012693639492</v>
      </c>
      <c r="E18" s="36">
        <v>13095.19040459238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E18*L4</f>
        <v>248.80861768725521</v>
      </c>
      <c r="K18" s="36">
        <f t="shared" si="4"/>
        <v>13343.999022279635</v>
      </c>
      <c r="L18" s="36">
        <f>K18+G18</f>
        <v>13729.499022279635</v>
      </c>
      <c r="M18" s="28">
        <f>IF('[1]Calculo ISR '!$V$34&lt;0,0,'[1]Calculo ISR '!$V$34)</f>
        <v>2369.8207780401704</v>
      </c>
      <c r="N18" s="38">
        <f>E18*P4</f>
        <v>1374.9949924821999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3"/>
        <v>3744.8157705223703</v>
      </c>
      <c r="T18" s="28">
        <f>IF('[1]Calculo ISR '!$V$34&gt;0,0,'[1]Calculo ISR '!$V$34)*-1</f>
        <v>0</v>
      </c>
      <c r="U18" s="36">
        <f t="shared" si="5"/>
        <v>9599.1832517572657</v>
      </c>
      <c r="V18" s="36">
        <f t="shared" si="1"/>
        <v>385.5</v>
      </c>
      <c r="W18" s="46"/>
      <c r="X18" s="47"/>
    </row>
    <row r="19" spans="1:24" s="48" customFormat="1" ht="45" customHeight="1">
      <c r="A19" s="53" t="s">
        <v>51</v>
      </c>
      <c r="B19" s="53" t="s">
        <v>52</v>
      </c>
      <c r="C19" s="34">
        <v>15</v>
      </c>
      <c r="D19" s="50">
        <v>219.22891544903311</v>
      </c>
      <c r="E19" s="36">
        <v>3288.4337317354966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'[1]HT-ADMINISTRATIVOS'!I21</f>
        <v>0</v>
      </c>
      <c r="K19" s="36">
        <f t="shared" si="4"/>
        <v>3288.4337317354966</v>
      </c>
      <c r="L19" s="36">
        <f>K19+G19</f>
        <v>3673.9337317354966</v>
      </c>
      <c r="M19" s="28">
        <f>IF('[1]Calculo ISR '!$W$34&lt;0,0,'[1]Calculo ISR '!$W$34)</f>
        <v>128.59850201282202</v>
      </c>
      <c r="N19" s="38">
        <f>E19*P4</f>
        <v>345.28554183222712</v>
      </c>
      <c r="O19" s="38">
        <v>1357.77</v>
      </c>
      <c r="P19" s="38">
        <f>'[1]HT-ADMINISTRATIVOS'!Q21</f>
        <v>0</v>
      </c>
      <c r="Q19" s="38">
        <f>'[1]HT-ADMINISTRATIVOS'!R21</f>
        <v>0</v>
      </c>
      <c r="R19" s="38">
        <f>E19*O4</f>
        <v>32.884337317354969</v>
      </c>
      <c r="S19" s="36">
        <f t="shared" si="3"/>
        <v>1864.5383811624042</v>
      </c>
      <c r="T19" s="28">
        <f>IF('[1]Calculo ISR '!$W$34&gt;0,0,'[1]Calculo ISR '!$W$34)*-1</f>
        <v>0</v>
      </c>
      <c r="U19" s="36">
        <f t="shared" si="5"/>
        <v>1423.8953505730924</v>
      </c>
      <c r="V19" s="36">
        <f t="shared" si="1"/>
        <v>385.5</v>
      </c>
      <c r="W19" s="46"/>
      <c r="X19" s="47"/>
    </row>
    <row r="20" spans="1:24" s="48" customFormat="1" ht="45" customHeight="1">
      <c r="A20" s="53" t="s">
        <v>53</v>
      </c>
      <c r="B20" s="53" t="s">
        <v>54</v>
      </c>
      <c r="C20" s="34">
        <v>15</v>
      </c>
      <c r="D20" s="50">
        <v>148.1300975275</v>
      </c>
      <c r="E20" s="36">
        <v>2221.9514629125001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'[1]HT-ADMINISTRATIVOS'!I22</f>
        <v>0</v>
      </c>
      <c r="K20" s="36">
        <f t="shared" si="4"/>
        <v>2221.9514629125001</v>
      </c>
      <c r="L20" s="36">
        <f>K20+G20+T20</f>
        <v>2644.5362317476201</v>
      </c>
      <c r="M20" s="28">
        <f>IF('[1]Calculo ISR '!$X$34&lt;0,0,'[1]Calculo ISR '!$X$34)</f>
        <v>0</v>
      </c>
      <c r="N20" s="38">
        <f>E20*P4</f>
        <v>233.30490360581251</v>
      </c>
      <c r="O20" s="38">
        <v>741</v>
      </c>
      <c r="P20" s="38">
        <f>'[1]HT-ADMINISTRATIVOS'!Q22</f>
        <v>0</v>
      </c>
      <c r="Q20" s="38">
        <f>'[1]HT-ADMINISTRATIVOS'!R22</f>
        <v>0</v>
      </c>
      <c r="R20" s="38">
        <f>E20*O4</f>
        <v>22.219514629125001</v>
      </c>
      <c r="S20" s="36">
        <f t="shared" si="3"/>
        <v>996.52441823493757</v>
      </c>
      <c r="T20" s="28">
        <f>IF('[1]Calculo ISR '!$X$34&gt;0,0,('[1]Calculo ISR '!$X$34)*-1)</f>
        <v>37.084768835120002</v>
      </c>
      <c r="U20" s="36">
        <f t="shared" si="5"/>
        <v>1262.5118135126827</v>
      </c>
      <c r="V20" s="36">
        <f t="shared" si="1"/>
        <v>385.5</v>
      </c>
      <c r="W20" s="46"/>
      <c r="X20" s="47"/>
    </row>
    <row r="21" spans="1:24" s="48" customFormat="1" ht="45" customHeight="1">
      <c r="A21" s="53" t="s">
        <v>55</v>
      </c>
      <c r="B21" s="53" t="s">
        <v>56</v>
      </c>
      <c r="C21" s="34">
        <v>15</v>
      </c>
      <c r="D21" s="50">
        <v>148.19297316999999</v>
      </c>
      <c r="E21" s="36">
        <v>2222.8945975499996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'[1]HT-ADMINISTRATIVOS'!I23</f>
        <v>0</v>
      </c>
      <c r="K21" s="36">
        <f t="shared" si="4"/>
        <v>2668.8945975499996</v>
      </c>
      <c r="L21" s="36">
        <f>K21+G21+T21</f>
        <v>3054.3945975499996</v>
      </c>
      <c r="M21" s="28">
        <f>IF('[1]Calculo ISR '!$Y$34&lt;0,0,'[1]Calculo ISR '!$Y$34)</f>
        <v>40.942644213439934</v>
      </c>
      <c r="N21" s="38">
        <f>E21*P4</f>
        <v>233.40393274274996</v>
      </c>
      <c r="O21" s="38">
        <v>851.76</v>
      </c>
      <c r="P21" s="38">
        <f>'[1]HT-ADMINISTRATIVOS'!Q23</f>
        <v>0</v>
      </c>
      <c r="Q21" s="38">
        <f>'[1]HT-ADMINISTRATIVOS'!R23</f>
        <v>0</v>
      </c>
      <c r="R21" s="38">
        <f>E21*O4</f>
        <v>22.228945975499997</v>
      </c>
      <c r="S21" s="36">
        <f t="shared" si="3"/>
        <v>1148.3355229316899</v>
      </c>
      <c r="T21" s="28">
        <f>IF('[1]Calculo ISR '!$Y$34&gt;0,0,'[1]Calculo ISR '!$Y$34)*-1</f>
        <v>0</v>
      </c>
      <c r="U21" s="36">
        <f t="shared" si="5"/>
        <v>1520.5590746183098</v>
      </c>
      <c r="V21" s="36">
        <f t="shared" si="1"/>
        <v>385.5</v>
      </c>
      <c r="W21" s="46"/>
      <c r="X21" s="47"/>
    </row>
    <row r="22" spans="1:24" s="48" customFormat="1" ht="45" customHeight="1">
      <c r="A22" s="53" t="s">
        <v>57</v>
      </c>
      <c r="B22" s="53" t="s">
        <v>58</v>
      </c>
      <c r="C22" s="34">
        <v>15</v>
      </c>
      <c r="D22" s="50">
        <v>198.84487564290151</v>
      </c>
      <c r="E22" s="36">
        <v>2982.6731346435226</v>
      </c>
      <c r="F22" s="43"/>
      <c r="G22" s="36">
        <f>'[1]HT-ADMINISTRATIVOS'!G26</f>
        <v>385.5</v>
      </c>
      <c r="H22" s="36">
        <f>'[1]HT-ADMINISTRATIVOS'!H26</f>
        <v>0</v>
      </c>
      <c r="I22" s="36">
        <f>'[1]HT-ADMINISTRATIVOS'!J26</f>
        <v>0</v>
      </c>
      <c r="J22" s="37">
        <f>'[1]HT-ADMINISTRATIVOS'!I26</f>
        <v>0</v>
      </c>
      <c r="K22" s="36">
        <f t="shared" si="4"/>
        <v>2982.6731346435226</v>
      </c>
      <c r="L22" s="36">
        <f>K22+G22</f>
        <v>3368.1731346435226</v>
      </c>
      <c r="M22" s="28">
        <f>IF('[1]Calculo ISR '!$Z$34&lt;0,0,'[1]Calculo ISR '!$Z$34)</f>
        <v>75.081749049215233</v>
      </c>
      <c r="N22" s="38">
        <f>E22*P4</f>
        <v>313.18067913756988</v>
      </c>
      <c r="O22" s="38">
        <v>829</v>
      </c>
      <c r="P22" s="38"/>
      <c r="Q22" s="38">
        <f>'[1]HT-ADMINISTRATIVOS'!R26</f>
        <v>0</v>
      </c>
      <c r="R22" s="38">
        <f>E22*O4</f>
        <v>29.826731346435228</v>
      </c>
      <c r="S22" s="36">
        <f>M22+N22+O22+R22+P22+Q22</f>
        <v>1247.0891595332205</v>
      </c>
      <c r="T22" s="28">
        <f>IF('[1]Calculo ISR '!$Z$34&gt;0,0,'[1]Calculo ISR '!$Z$34)*-1</f>
        <v>0</v>
      </c>
      <c r="U22" s="36">
        <f t="shared" si="5"/>
        <v>1735.5839751103022</v>
      </c>
      <c r="V22" s="36">
        <f t="shared" si="1"/>
        <v>385.5</v>
      </c>
      <c r="W22" s="46"/>
      <c r="X22" s="47"/>
    </row>
    <row r="23" spans="1:24" s="48" customFormat="1" ht="45" customHeight="1">
      <c r="A23" s="53" t="s">
        <v>59</v>
      </c>
      <c r="B23" s="53" t="s">
        <v>60</v>
      </c>
      <c r="C23" s="34">
        <v>15</v>
      </c>
      <c r="D23" s="50">
        <v>198.84487558991</v>
      </c>
      <c r="E23" s="36">
        <v>2982.6731338486502</v>
      </c>
      <c r="F23" s="43"/>
      <c r="G23" s="36">
        <f>'[1]HT-ADMINISTRATIVOS'!G27</f>
        <v>385.5</v>
      </c>
      <c r="H23" s="36">
        <f>'[1]HT-ADMINISTRATIVOS'!H27</f>
        <v>0</v>
      </c>
      <c r="I23" s="36">
        <f>'[1]HT-ADMINISTRATIVOS'!J27</f>
        <v>0</v>
      </c>
      <c r="J23" s="37">
        <f>'[1]HT-ADMINISTRATIVOS'!I27</f>
        <v>0</v>
      </c>
      <c r="K23" s="36">
        <f t="shared" si="4"/>
        <v>2982.6731338486502</v>
      </c>
      <c r="L23" s="36">
        <f>K23+G23</f>
        <v>3368.1731338486502</v>
      </c>
      <c r="M23" s="28">
        <f>IF('[1]Calculo ISR '!$AA$34&lt;0,0,'[1]Calculo ISR '!$AA$34)</f>
        <v>75.081748962733116</v>
      </c>
      <c r="N23" s="38">
        <f>E23*P4</f>
        <v>313.18067905410828</v>
      </c>
      <c r="O23" s="38">
        <f>'[1]HT-ADMINISTRATIVOS'!P27</f>
        <v>0</v>
      </c>
      <c r="P23" s="38">
        <f>'[1]HT-ADMINISTRATIVOS'!Q27</f>
        <v>0</v>
      </c>
      <c r="Q23" s="38">
        <f>'[1]HT-ADMINISTRATIVOS'!R27</f>
        <v>0</v>
      </c>
      <c r="R23" s="38">
        <f>E23*O4</f>
        <v>29.826731338486503</v>
      </c>
      <c r="S23" s="36">
        <f t="shared" si="3"/>
        <v>418.08915935532792</v>
      </c>
      <c r="T23" s="28">
        <f>IF('[1]Calculo ISR '!$AA$34&gt;0,0,'[1]Calculo ISR '!$AA$34)*-1</f>
        <v>0</v>
      </c>
      <c r="U23" s="36">
        <f t="shared" si="5"/>
        <v>2564.5839744933223</v>
      </c>
      <c r="V23" s="36">
        <f t="shared" si="1"/>
        <v>385.5</v>
      </c>
      <c r="W23" s="46"/>
      <c r="X23" s="47"/>
    </row>
    <row r="24" spans="1:24" s="48" customFormat="1" ht="45" customHeight="1">
      <c r="A24" s="54" t="s">
        <v>61</v>
      </c>
      <c r="B24" s="55" t="s">
        <v>62</v>
      </c>
      <c r="C24" s="34">
        <v>15</v>
      </c>
      <c r="D24" s="50">
        <v>198.84487558991</v>
      </c>
      <c r="E24" s="36">
        <v>2982.6731338486502</v>
      </c>
      <c r="F24" s="43"/>
      <c r="G24" s="36">
        <f>'[1]HT-ADMINISTRATIVOS'!G28</f>
        <v>385.5</v>
      </c>
      <c r="H24" s="36">
        <f>'[1]HT-ADMINISTRATIVOS'!H28</f>
        <v>446</v>
      </c>
      <c r="I24" s="36">
        <f>'[1]HT-ADMINISTRATIVOS'!J28</f>
        <v>0</v>
      </c>
      <c r="J24" s="37">
        <f>'[1]HT-ADMINISTRATIVOS'!I28</f>
        <v>0</v>
      </c>
      <c r="K24" s="36">
        <f t="shared" si="4"/>
        <v>3428.6731338486502</v>
      </c>
      <c r="L24" s="36">
        <f>K24+G24</f>
        <v>3814.1731338486502</v>
      </c>
      <c r="M24" s="28">
        <f>IF('[1]Calculo ISR '!$AB$34&lt;0,0,'[1]Calculo ISR '!$AB$34)</f>
        <v>143.85654896273311</v>
      </c>
      <c r="N24" s="38">
        <f>E24*P4</f>
        <v>313.18067905410828</v>
      </c>
      <c r="O24" s="38">
        <v>215.8</v>
      </c>
      <c r="P24" s="38">
        <f>'[1]HT-ADMINISTRATIVOS'!Q28</f>
        <v>0</v>
      </c>
      <c r="Q24" s="38">
        <f>'[1]HT-ADMINISTRATIVOS'!R28</f>
        <v>0</v>
      </c>
      <c r="R24" s="38">
        <f>E24*O4</f>
        <v>29.826731338486503</v>
      </c>
      <c r="S24" s="36">
        <f t="shared" si="3"/>
        <v>702.66395935532796</v>
      </c>
      <c r="T24" s="28">
        <f>IF('[1]Calculo ISR '!$AB$34&gt;0,0,'[1]Calculo ISR '!$AB$34)*-1</f>
        <v>0</v>
      </c>
      <c r="U24" s="36">
        <f t="shared" si="5"/>
        <v>2726.0091744933225</v>
      </c>
      <c r="V24" s="36">
        <f t="shared" si="1"/>
        <v>385.5</v>
      </c>
      <c r="W24" s="46"/>
      <c r="X24" s="47"/>
    </row>
    <row r="25" spans="1:24" s="48" customFormat="1" ht="45" customHeight="1">
      <c r="A25" s="54" t="s">
        <v>63</v>
      </c>
      <c r="B25" s="55" t="s">
        <v>64</v>
      </c>
      <c r="C25" s="34">
        <v>15</v>
      </c>
      <c r="D25" s="50">
        <v>180.11154727500002</v>
      </c>
      <c r="E25" s="36">
        <v>2701.6732091250005</v>
      </c>
      <c r="F25" s="43"/>
      <c r="G25" s="36">
        <f>'[1]HT-ADMINISTRATIVOS'!G29</f>
        <v>385.5</v>
      </c>
      <c r="H25" s="36">
        <f>'[1]HT-ADMINISTRATIVOS'!H29</f>
        <v>892</v>
      </c>
      <c r="I25" s="36">
        <f>'[1]HT-ADMINISTRATIVOS'!J29</f>
        <v>0</v>
      </c>
      <c r="J25" s="37">
        <f>'[1]HT-ADMINISTRATIVOS'!I29</f>
        <v>0</v>
      </c>
      <c r="K25" s="36">
        <f t="shared" si="4"/>
        <v>3593.6732091250005</v>
      </c>
      <c r="L25" s="36">
        <f>K25+G25</f>
        <v>3979.1732091250005</v>
      </c>
      <c r="M25" s="28">
        <f>IF('[1]Calculo ISR '!$AC$34&lt;0,0,'[1]Calculo ISR '!$AC$34)</f>
        <v>179.50855715280002</v>
      </c>
      <c r="N25" s="38">
        <f>E25*P4</f>
        <v>283.67568695812503</v>
      </c>
      <c r="O25" s="38">
        <v>0</v>
      </c>
      <c r="P25" s="38">
        <f>'[1]HT-ADMINISTRATIVOS'!Q29</f>
        <v>0</v>
      </c>
      <c r="Q25" s="38">
        <f>'[1]HT-ADMINISTRATIVOS'!R29</f>
        <v>0</v>
      </c>
      <c r="R25" s="38">
        <f>E25*O4</f>
        <v>27.016732091250006</v>
      </c>
      <c r="S25" s="36">
        <f t="shared" si="3"/>
        <v>490.20097620217507</v>
      </c>
      <c r="T25" s="28">
        <f>IF('[1]Calculo ISR '!$AC$34&gt;0,0,'[1]Calculo ISR '!$AC$34)*-1</f>
        <v>0</v>
      </c>
      <c r="U25" s="36">
        <f t="shared" si="5"/>
        <v>3103.4722329228252</v>
      </c>
      <c r="V25" s="36">
        <f t="shared" si="1"/>
        <v>385.5</v>
      </c>
      <c r="W25" s="46"/>
      <c r="X25" s="47"/>
    </row>
    <row r="26" spans="1:24" s="48" customFormat="1" ht="45" customHeight="1">
      <c r="A26" s="56" t="s">
        <v>65</v>
      </c>
      <c r="B26" s="55" t="s">
        <v>66</v>
      </c>
      <c r="C26" s="34">
        <v>15</v>
      </c>
      <c r="D26" s="50">
        <v>141.57938707</v>
      </c>
      <c r="E26" s="36">
        <v>2123.69080605</v>
      </c>
      <c r="F26" s="43"/>
      <c r="G26" s="36">
        <f>'[1]HT-ADMINISTRATIVOS'!G31</f>
        <v>385.5</v>
      </c>
      <c r="H26" s="36">
        <f>'[1]HT-ADMINISTRATIVOS'!H31</f>
        <v>446</v>
      </c>
      <c r="I26" s="36">
        <f>'[1]HT-ADMINISTRATIVOS'!J31</f>
        <v>0</v>
      </c>
      <c r="J26" s="37">
        <f>'[1]HT-ADMINISTRATIVOS'!I31</f>
        <v>0</v>
      </c>
      <c r="K26" s="36">
        <f t="shared" si="4"/>
        <v>2569.69080605</v>
      </c>
      <c r="L26" s="36">
        <f>K26+G26+T26</f>
        <v>2955.19080605</v>
      </c>
      <c r="M26" s="28">
        <f>IF('[1]Calculo ISR '!$AD$34&lt;0,0,'[1]Calculo ISR '!$AD$34)</f>
        <v>15.149271698239971</v>
      </c>
      <c r="N26" s="38">
        <f>E26*P4</f>
        <v>222.98753463525</v>
      </c>
      <c r="O26" s="38">
        <f>'[1]HT-ADMINISTRATIVOS'!P31</f>
        <v>0</v>
      </c>
      <c r="P26" s="38">
        <f>'[1]HT-ADMINISTRATIVOS'!Q31</f>
        <v>0</v>
      </c>
      <c r="Q26" s="38">
        <f>'[1]HT-ADMINISTRATIVOS'!R31</f>
        <v>0</v>
      </c>
      <c r="R26" s="38">
        <f>E26*O4</f>
        <v>21.236908060499999</v>
      </c>
      <c r="S26" s="36">
        <f t="shared" si="3"/>
        <v>259.37371439398999</v>
      </c>
      <c r="T26" s="28">
        <f>IF('[1]Calculo ISR '!$AD$34&gt;0,0,'[1]Calculo ISR '!$AD$34)*-1</f>
        <v>0</v>
      </c>
      <c r="U26" s="36">
        <f t="shared" si="5"/>
        <v>2310.3170916560102</v>
      </c>
      <c r="V26" s="36">
        <f t="shared" si="1"/>
        <v>385.5</v>
      </c>
      <c r="W26" s="46"/>
      <c r="X26" s="47"/>
    </row>
    <row r="27" spans="1:24" s="48" customFormat="1" ht="45" customHeight="1">
      <c r="A27" s="56" t="s">
        <v>67</v>
      </c>
      <c r="B27" s="57" t="s">
        <v>68</v>
      </c>
      <c r="C27" s="34">
        <v>15</v>
      </c>
      <c r="D27" s="50">
        <v>534.93837680832996</v>
      </c>
      <c r="E27" s="36">
        <v>8024.0756521249496</v>
      </c>
      <c r="F27" s="43"/>
      <c r="G27" s="36">
        <f>'[1]HT-ADMINISTRATIVOS'!G32</f>
        <v>385.5</v>
      </c>
      <c r="H27" s="36">
        <f>'[1]HT-ADMINISTRATIVOS'!H32</f>
        <v>0</v>
      </c>
      <c r="I27" s="36">
        <f>'[1]HT-ADMINISTRATIVOS'!J32</f>
        <v>0</v>
      </c>
      <c r="J27" s="37">
        <f>E27*L4</f>
        <v>152.45743739037403</v>
      </c>
      <c r="K27" s="36">
        <f t="shared" si="4"/>
        <v>8176.5330895153238</v>
      </c>
      <c r="L27" s="36">
        <f>K27+G27</f>
        <v>8562.0330895153238</v>
      </c>
      <c r="M27" s="28">
        <f>IF('[1]Calculo ISR '!$AE$34&lt;0,0,'[1]Calculo ISR '!$AE$34)</f>
        <v>1199.3182919204733</v>
      </c>
      <c r="N27" s="38">
        <f>E27*P4</f>
        <v>842.52794347311965</v>
      </c>
      <c r="O27" s="38">
        <v>2150.31</v>
      </c>
      <c r="P27" s="38">
        <f>'[1]HT-ADMINISTRATIVOS'!Q32</f>
        <v>0</v>
      </c>
      <c r="Q27" s="38">
        <f>'[1]HT-ADMINISTRATIVOS'!R32</f>
        <v>0</v>
      </c>
      <c r="R27" s="38">
        <f>'[1]HT-ADMINISTRATIVOS'!S32</f>
        <v>0</v>
      </c>
      <c r="S27" s="36">
        <f t="shared" si="3"/>
        <v>4192.1562353935933</v>
      </c>
      <c r="T27" s="28">
        <f>IF('[1]Calculo ISR '!$AE$34&gt;0,0,'[1]Calculo ISR '!$AE$34)*-1</f>
        <v>0</v>
      </c>
      <c r="U27" s="36">
        <f t="shared" si="5"/>
        <v>3984.3768541217305</v>
      </c>
      <c r="V27" s="36">
        <f t="shared" si="1"/>
        <v>385.5</v>
      </c>
      <c r="W27" s="46"/>
      <c r="X27" s="47"/>
    </row>
    <row r="28" spans="1:24" s="48" customFormat="1" ht="45" customHeight="1">
      <c r="A28" s="58" t="s">
        <v>69</v>
      </c>
      <c r="B28" s="59" t="s">
        <v>70</v>
      </c>
      <c r="C28" s="34">
        <v>15</v>
      </c>
      <c r="D28" s="50">
        <v>230.34834514817072</v>
      </c>
      <c r="E28" s="36">
        <v>3455.2251772225609</v>
      </c>
      <c r="F28" s="43"/>
      <c r="G28" s="36">
        <v>385.5</v>
      </c>
      <c r="H28" s="36">
        <f>'[1]HT-ADMINISTRATIVOS'!H33</f>
        <v>0</v>
      </c>
      <c r="I28" s="36">
        <f>'[1]HT-ADMINISTRATIVOS'!J33</f>
        <v>0</v>
      </c>
      <c r="J28" s="37">
        <f>'[1]HT-ADMINISTRATIVOS'!I33</f>
        <v>0</v>
      </c>
      <c r="K28" s="36">
        <f t="shared" si="4"/>
        <v>3455.2251772225609</v>
      </c>
      <c r="L28" s="36">
        <f>K28+G28</f>
        <v>3840.7251772225609</v>
      </c>
      <c r="M28" s="28">
        <f>IF('[1]Calculo ISR '!$AF$34&lt;0,0,'[1]Calculo ISR '!$AF$34)</f>
        <v>146.74541128181463</v>
      </c>
      <c r="N28" s="38">
        <f>E28*P4</f>
        <v>362.79864360836888</v>
      </c>
      <c r="O28" s="38"/>
      <c r="P28" s="143"/>
      <c r="Q28" s="38"/>
      <c r="R28" s="38">
        <f>E28*O4</f>
        <v>34.55225177222561</v>
      </c>
      <c r="S28" s="36">
        <f>M28+N28+O28+R28+P28+Q28</f>
        <v>544.09630666240912</v>
      </c>
      <c r="T28" s="28">
        <f>IF('[1]Calculo ISR '!$AF$34&gt;0,0,'[1]Calculo ISR '!$AF$34)*-1</f>
        <v>0</v>
      </c>
      <c r="U28" s="36">
        <f>K28-S28+T28</f>
        <v>2911.1288705601519</v>
      </c>
      <c r="V28" s="36">
        <v>385.5</v>
      </c>
      <c r="W28" s="46"/>
      <c r="X28" s="47"/>
    </row>
    <row r="29" spans="1:24" s="48" customFormat="1" ht="45" customHeight="1">
      <c r="A29" s="60" t="s">
        <v>71</v>
      </c>
      <c r="B29" s="61" t="s">
        <v>72</v>
      </c>
      <c r="C29" s="66">
        <v>15</v>
      </c>
      <c r="D29" s="50">
        <v>141.57938707</v>
      </c>
      <c r="E29" s="36">
        <v>2123.69080605</v>
      </c>
      <c r="F29" s="43"/>
      <c r="G29" s="36">
        <f>'[1]HT-ADMINISTRATIVOS'!G35</f>
        <v>385.5</v>
      </c>
      <c r="H29" s="36">
        <f>'[1]HT-ADMINISTRATIVOS'!H35</f>
        <v>0</v>
      </c>
      <c r="I29" s="36">
        <f>'[1]HT-ADMINISTRATIVOS'!J35</f>
        <v>0</v>
      </c>
      <c r="J29" s="37">
        <f>'[1]HT-ADMINISTRATIVOS'!I35</f>
        <v>0</v>
      </c>
      <c r="K29" s="36">
        <f t="shared" si="4"/>
        <v>2123.69080605</v>
      </c>
      <c r="L29" s="36">
        <f>K29+G29+T29</f>
        <v>2570.9163343517598</v>
      </c>
      <c r="M29" s="28">
        <f>IF('[1]Calculo ISR '!$AG$34&lt;0,0,'[1]Calculo ISR '!$AG$34)</f>
        <v>0</v>
      </c>
      <c r="N29" s="38">
        <f>E29*P4</f>
        <v>222.98753463525</v>
      </c>
      <c r="O29" s="38">
        <v>300</v>
      </c>
      <c r="P29" s="38">
        <f>'[1]HT-ADMINISTRATIVOS'!Q35</f>
        <v>0</v>
      </c>
      <c r="Q29" s="38">
        <f>'[1]HT-ADMINISTRATIVOS'!R35</f>
        <v>0</v>
      </c>
      <c r="R29" s="38">
        <f>E29*O4</f>
        <v>21.236908060499999</v>
      </c>
      <c r="S29" s="36">
        <f t="shared" si="3"/>
        <v>544.22444269574999</v>
      </c>
      <c r="T29" s="28">
        <f>IF('[1]Calculo ISR '!$AG$34&gt;0,0,'[1]Calculo ISR '!$AG$34)*-1</f>
        <v>61.725528301760008</v>
      </c>
      <c r="U29" s="36">
        <f t="shared" si="5"/>
        <v>1641.1918916560101</v>
      </c>
      <c r="V29" s="36">
        <f>G29</f>
        <v>385.5</v>
      </c>
      <c r="W29" s="67"/>
      <c r="X29" s="47"/>
    </row>
    <row r="30" spans="1:24" s="48" customFormat="1" ht="45" customHeight="1">
      <c r="A30" s="53" t="s">
        <v>73</v>
      </c>
      <c r="B30" s="61" t="s">
        <v>74</v>
      </c>
      <c r="C30" s="66">
        <v>15</v>
      </c>
      <c r="D30" s="50">
        <v>534.93837680832996</v>
      </c>
      <c r="E30" s="36">
        <v>8024.0756521249496</v>
      </c>
      <c r="F30" s="43"/>
      <c r="G30" s="36">
        <f>'[1]HT-ADMINISTRATIVOS'!G36</f>
        <v>385.5</v>
      </c>
      <c r="H30" s="36">
        <f>'[1]HT-ADMINISTRATIVOS'!H36</f>
        <v>0</v>
      </c>
      <c r="I30" s="36">
        <f>'[1]HT-ADMINISTRATIVOS'!J36</f>
        <v>0</v>
      </c>
      <c r="J30" s="37">
        <f>'[1]HT-ADMINISTRATIVOS'!I36</f>
        <v>0</v>
      </c>
      <c r="K30" s="36">
        <f t="shared" si="4"/>
        <v>8024.0756521249496</v>
      </c>
      <c r="L30" s="36">
        <f>K30+G30</f>
        <v>8409.5756521249496</v>
      </c>
      <c r="M30" s="28">
        <f>IF('[1]Calculo ISR '!$AH$34&lt;0,0,'[1]Calculo ISR '!$AH$34)</f>
        <v>1166.7533832938893</v>
      </c>
      <c r="N30" s="38">
        <f>E30*P4</f>
        <v>842.52794347311965</v>
      </c>
      <c r="O30" s="38">
        <f>'[1]HT-ADMINISTRATIVOS'!P36</f>
        <v>0</v>
      </c>
      <c r="P30" s="38">
        <f>'[1]HT-ADMINISTRATIVOS'!Q36</f>
        <v>0</v>
      </c>
      <c r="Q30" s="38">
        <f>'[1]HT-ADMINISTRATIVOS'!R36</f>
        <v>0</v>
      </c>
      <c r="R30" s="38">
        <f>'[1]HT-ADMINISTRATIVOS'!S36</f>
        <v>0</v>
      </c>
      <c r="S30" s="36">
        <f t="shared" si="3"/>
        <v>2009.281326767009</v>
      </c>
      <c r="T30" s="28">
        <f>IF('[1]Calculo ISR '!$AH$34&gt;0,0,'[1]Calculo ISR '!$AH$34)*-1</f>
        <v>0</v>
      </c>
      <c r="U30" s="36">
        <f t="shared" si="5"/>
        <v>6014.7943253579406</v>
      </c>
      <c r="V30" s="36">
        <f>G30</f>
        <v>385.5</v>
      </c>
      <c r="W30" s="67"/>
      <c r="X30" s="47"/>
    </row>
    <row r="31" spans="1:24" s="48" customFormat="1" ht="45" customHeight="1">
      <c r="A31" s="68" t="s">
        <v>75</v>
      </c>
      <c r="B31" s="61" t="s">
        <v>76</v>
      </c>
      <c r="C31" s="66">
        <v>15</v>
      </c>
      <c r="D31" s="50">
        <v>141.57938707</v>
      </c>
      <c r="E31" s="36">
        <v>2123.69080605</v>
      </c>
      <c r="F31" s="43"/>
      <c r="G31" s="36">
        <f>'[1]HT-ADMINISTRATIVOS'!G37</f>
        <v>385.5</v>
      </c>
      <c r="H31" s="36">
        <f>'[1]HT-ADMINISTRATIVOS'!H37</f>
        <v>0</v>
      </c>
      <c r="I31" s="36">
        <f>'[1]HT-ADMINISTRATIVOS'!J37</f>
        <v>0</v>
      </c>
      <c r="J31" s="37">
        <f>'[1]HT-ADMINISTRATIVOS'!I37</f>
        <v>0</v>
      </c>
      <c r="K31" s="36">
        <f t="shared" si="4"/>
        <v>2123.69080605</v>
      </c>
      <c r="L31" s="36">
        <f>K31+G31+T31</f>
        <v>2570.9163343517598</v>
      </c>
      <c r="M31" s="28">
        <f>IF('[1]Calculo ISR '!$AI$34&lt;0,0,'[1]Calculo ISR '!$AI$34)</f>
        <v>0</v>
      </c>
      <c r="N31" s="38">
        <f>E31*P4</f>
        <v>222.98753463525</v>
      </c>
      <c r="O31" s="38">
        <f>'[1]HT-ADMINISTRATIVOS'!P37</f>
        <v>0</v>
      </c>
      <c r="P31" s="38">
        <f>'[1]HT-ADMINISTRATIVOS'!Q37</f>
        <v>0</v>
      </c>
      <c r="Q31" s="38">
        <f>'[1]HT-ADMINISTRATIVOS'!R37</f>
        <v>0</v>
      </c>
      <c r="R31" s="38">
        <f>E31*O4</f>
        <v>21.236908060499999</v>
      </c>
      <c r="S31" s="36">
        <f t="shared" si="3"/>
        <v>244.22444269574999</v>
      </c>
      <c r="T31" s="28">
        <f>IF('[1]Calculo ISR '!$AI$34&gt;0,0,'[1]Calculo ISR '!$AI$34)*-1</f>
        <v>61.725528301760008</v>
      </c>
      <c r="U31" s="36">
        <f t="shared" si="5"/>
        <v>1941.1918916560101</v>
      </c>
      <c r="V31" s="36">
        <f>G31</f>
        <v>385.5</v>
      </c>
      <c r="W31" s="67"/>
      <c r="X31" s="47"/>
    </row>
    <row r="32" spans="1:24" s="81" customFormat="1" ht="45" customHeight="1">
      <c r="A32" s="69" t="s">
        <v>77</v>
      </c>
      <c r="B32" s="70" t="s">
        <v>78</v>
      </c>
      <c r="C32" s="71">
        <v>15</v>
      </c>
      <c r="D32" s="72">
        <v>873.012693639492</v>
      </c>
      <c r="E32" s="73">
        <v>13095.19040459238</v>
      </c>
      <c r="F32" s="73">
        <f>'[1]HT-ADMINISTRATIVOS'!F38</f>
        <v>0</v>
      </c>
      <c r="G32" s="73">
        <v>385.5</v>
      </c>
      <c r="H32" s="73">
        <f>'[1]HT-ADMINISTRATIVOS'!H38</f>
        <v>0</v>
      </c>
      <c r="I32" s="73">
        <f>'[1]HT-ADMINISTRATIVOS'!I38</f>
        <v>0</v>
      </c>
      <c r="J32" s="73">
        <f>'[1]HT-ADMINISTRATIVOS'!J38</f>
        <v>0</v>
      </c>
      <c r="K32" s="73">
        <f t="shared" si="4"/>
        <v>13095.19040459238</v>
      </c>
      <c r="L32" s="73">
        <f>K32+G32</f>
        <v>13480.69040459238</v>
      </c>
      <c r="M32" s="28">
        <f>IF('[1]Calculo ISR '!$AJ$34&lt;0,0,'[1]Calculo ISR '!$AJ$34)</f>
        <v>2311.300991160128</v>
      </c>
      <c r="N32" s="73">
        <f>E32*P4</f>
        <v>1374.9949924821999</v>
      </c>
      <c r="O32" s="73">
        <v>1489.84</v>
      </c>
      <c r="P32" s="73">
        <f>'[1]HT-ADMINISTRATIVOS'!Q38</f>
        <v>0</v>
      </c>
      <c r="Q32" s="73">
        <f>'[1]HT-ADMINISTRATIVOS'!R38</f>
        <v>0</v>
      </c>
      <c r="R32" s="73">
        <f>'[1]HT-ADMINISTRATIVOS'!S38</f>
        <v>0</v>
      </c>
      <c r="S32" s="73">
        <f t="shared" ref="S32:S39" si="6">M32+N32+O32+P32+Q32+R32</f>
        <v>5176.135983642328</v>
      </c>
      <c r="T32" s="28">
        <f>IF('[1]Calculo ISR '!$AJ$34&gt;0,0,'[1]Calculo ISR '!$AJ$34)*-1</f>
        <v>0</v>
      </c>
      <c r="U32" s="73">
        <f t="shared" si="5"/>
        <v>7919.0544209500522</v>
      </c>
      <c r="V32" s="73">
        <v>385.5</v>
      </c>
      <c r="W32" s="74"/>
      <c r="X32" s="47"/>
    </row>
    <row r="33" spans="1:26" s="81" customFormat="1" ht="45" customHeight="1">
      <c r="A33" s="53" t="s">
        <v>79</v>
      </c>
      <c r="B33" s="61" t="s">
        <v>80</v>
      </c>
      <c r="C33" s="66">
        <v>15</v>
      </c>
      <c r="D33" s="76">
        <v>534.93837680832996</v>
      </c>
      <c r="E33" s="50">
        <v>8024.0756521249496</v>
      </c>
      <c r="F33" s="50"/>
      <c r="G33" s="77">
        <f>385.5</f>
        <v>385.5</v>
      </c>
      <c r="H33" s="50"/>
      <c r="I33" s="50"/>
      <c r="J33" s="50"/>
      <c r="K33" s="78">
        <f t="shared" si="4"/>
        <v>8024.0756521249496</v>
      </c>
      <c r="L33" s="78">
        <f>K33+G33</f>
        <v>8409.5756521249496</v>
      </c>
      <c r="M33" s="28">
        <f>IF('[1]Calculo ISR '!$AK$34&lt;0,0,'[1]Calculo ISR '!$AK$34)</f>
        <v>1166.7533832938893</v>
      </c>
      <c r="N33" s="79">
        <f>E33*P4</f>
        <v>842.52794347311965</v>
      </c>
      <c r="O33" s="78"/>
      <c r="P33" s="50"/>
      <c r="Q33" s="78"/>
      <c r="R33" s="50"/>
      <c r="S33" s="50">
        <f t="shared" si="6"/>
        <v>2009.281326767009</v>
      </c>
      <c r="T33" s="28">
        <f>IF('[1]Calculo ISR '!$AK$34&gt;0,0,'[1]Calculo ISR '!$AK$34)*-1</f>
        <v>0</v>
      </c>
      <c r="U33" s="79">
        <f>K33-S33</f>
        <v>6014.7943253579406</v>
      </c>
      <c r="V33" s="73">
        <v>385.5</v>
      </c>
      <c r="W33" s="80"/>
      <c r="X33" s="47"/>
    </row>
    <row r="34" spans="1:26" s="81" customFormat="1" ht="45" customHeight="1">
      <c r="A34" s="91" t="s">
        <v>83</v>
      </c>
      <c r="B34" s="139" t="s">
        <v>84</v>
      </c>
      <c r="C34" s="66">
        <v>15</v>
      </c>
      <c r="D34" s="76">
        <v>180.10895980000001</v>
      </c>
      <c r="E34" s="50">
        <v>2701.6343970000003</v>
      </c>
      <c r="F34" s="50"/>
      <c r="G34" s="77">
        <f>385.5</f>
        <v>385.5</v>
      </c>
      <c r="H34" s="50">
        <v>892</v>
      </c>
      <c r="I34" s="50"/>
      <c r="J34" s="50"/>
      <c r="K34" s="78">
        <f t="shared" ref="K34:K39" si="7">E34+F34+H34+I34+J34</f>
        <v>3593.6343970000003</v>
      </c>
      <c r="L34" s="78">
        <f>K34+G34</f>
        <v>3979.1343970000003</v>
      </c>
      <c r="M34" s="28">
        <f>IF('[1]Calculo ISR '!$AM$34&lt;0,0,'[1]Calculo ISR '!$AM$34)</f>
        <v>179.50433439359998</v>
      </c>
      <c r="N34" s="92">
        <f>E34*P4</f>
        <v>283.67161168500002</v>
      </c>
      <c r="O34" s="78"/>
      <c r="P34" s="50"/>
      <c r="Q34" s="78"/>
      <c r="R34" s="50">
        <f>E34*O4</f>
        <v>27.016343970000005</v>
      </c>
      <c r="S34" s="50">
        <f>M34+N34+O34+P34+Q34+R34</f>
        <v>490.19229004859994</v>
      </c>
      <c r="T34" s="28">
        <f>IF('[1]Calculo ISR '!$AM$34&gt;0,0,'[1]Calculo ISR '!$AM$34)*-1</f>
        <v>0</v>
      </c>
      <c r="U34" s="79">
        <f t="shared" ref="U34:U39" si="8">K34-S34+T34</f>
        <v>3103.4421069514001</v>
      </c>
      <c r="V34" s="73">
        <v>385.5</v>
      </c>
      <c r="W34" s="80"/>
      <c r="X34" s="47"/>
    </row>
    <row r="35" spans="1:26" s="81" customFormat="1" ht="45" customHeight="1">
      <c r="A35" s="91" t="s">
        <v>85</v>
      </c>
      <c r="B35" s="139" t="s">
        <v>86</v>
      </c>
      <c r="C35" s="66">
        <v>15</v>
      </c>
      <c r="D35" s="76">
        <v>219.23158179999999</v>
      </c>
      <c r="E35" s="50">
        <v>3288.4737269999996</v>
      </c>
      <c r="F35" s="50"/>
      <c r="G35" s="77">
        <f>385.5</f>
        <v>385.5</v>
      </c>
      <c r="H35" s="50">
        <v>446</v>
      </c>
      <c r="I35" s="50"/>
      <c r="J35" s="50"/>
      <c r="K35" s="78">
        <f t="shared" si="7"/>
        <v>3734.4737269999996</v>
      </c>
      <c r="L35" s="78">
        <f>K35+G35</f>
        <v>4119.9737269999996</v>
      </c>
      <c r="M35" s="28">
        <f>IF('[1]Calculo ISR '!$AN$34&lt;0,0,'[1]Calculo ISR '!$AN$34)</f>
        <v>306.60419631999991</v>
      </c>
      <c r="N35" s="92">
        <f>E35*P4</f>
        <v>345.28974133499992</v>
      </c>
      <c r="O35" s="78"/>
      <c r="P35" s="50"/>
      <c r="Q35" s="78"/>
      <c r="R35" s="50">
        <v>0</v>
      </c>
      <c r="S35" s="50">
        <f t="shared" si="6"/>
        <v>651.89393765499983</v>
      </c>
      <c r="T35" s="28">
        <f>IF('[1]Calculo ISR '!$AN$34&gt;0,0,'[1]Calculo ISR '!$AN$34)*-1</f>
        <v>0</v>
      </c>
      <c r="U35" s="79">
        <f t="shared" si="8"/>
        <v>3082.5797893449999</v>
      </c>
      <c r="V35" s="73">
        <v>385.5</v>
      </c>
      <c r="W35" s="80"/>
      <c r="X35" s="47"/>
    </row>
    <row r="36" spans="1:26" s="81" customFormat="1" ht="45" customHeight="1">
      <c r="A36" s="91" t="s">
        <v>87</v>
      </c>
      <c r="B36" s="91" t="s">
        <v>88</v>
      </c>
      <c r="C36" s="66">
        <v>15</v>
      </c>
      <c r="D36" s="76">
        <v>534.93837680832996</v>
      </c>
      <c r="E36" s="50">
        <f>E33</f>
        <v>8024.0756521249496</v>
      </c>
      <c r="F36" s="50"/>
      <c r="G36" s="77">
        <v>385.5</v>
      </c>
      <c r="H36" s="50"/>
      <c r="I36" s="50"/>
      <c r="J36" s="50"/>
      <c r="K36" s="78">
        <f t="shared" si="7"/>
        <v>8024.0756521249496</v>
      </c>
      <c r="L36" s="78">
        <f>K36+G36+T36</f>
        <v>8409.5756521249496</v>
      </c>
      <c r="M36" s="28">
        <f>IF('[1]Calculo ISR '!$AO$34&lt;0,0,'[1]Calculo ISR '!$AO$34)</f>
        <v>1166.7533832938893</v>
      </c>
      <c r="N36" s="92">
        <f>E36*P4</f>
        <v>842.52794347311965</v>
      </c>
      <c r="O36" s="78">
        <v>1338</v>
      </c>
      <c r="P36" s="50"/>
      <c r="Q36" s="78"/>
      <c r="R36" s="50"/>
      <c r="S36" s="50">
        <f t="shared" si="6"/>
        <v>3347.281326767009</v>
      </c>
      <c r="T36" s="28">
        <f>IF('[1]Calculo ISR '!$AO$34&gt;0,0,'[1]Calculo ISR '!$AO$34)*-1</f>
        <v>0</v>
      </c>
      <c r="U36" s="79">
        <f t="shared" si="8"/>
        <v>4676.7943253579406</v>
      </c>
      <c r="V36" s="73">
        <f t="shared" ref="V36:V44" si="9">G36</f>
        <v>385.5</v>
      </c>
      <c r="W36" s="80"/>
      <c r="X36" s="47"/>
    </row>
    <row r="37" spans="1:26" s="81" customFormat="1" ht="45" customHeight="1">
      <c r="A37" s="91" t="s">
        <v>89</v>
      </c>
      <c r="B37" s="91" t="s">
        <v>90</v>
      </c>
      <c r="C37" s="66">
        <v>15</v>
      </c>
      <c r="D37" s="76">
        <v>171.34</v>
      </c>
      <c r="E37" s="50">
        <f>C37*D37</f>
        <v>2570.1</v>
      </c>
      <c r="F37" s="50"/>
      <c r="G37" s="77">
        <v>385.5</v>
      </c>
      <c r="H37" s="50"/>
      <c r="I37" s="50"/>
      <c r="J37" s="50"/>
      <c r="K37" s="78">
        <f t="shared" si="7"/>
        <v>2570.1</v>
      </c>
      <c r="L37" s="78">
        <f>K37+G37</f>
        <v>2955.6</v>
      </c>
      <c r="M37" s="28">
        <f>IF('[1]Calculo ISR '!$AP$34&lt;0,0,'[1]Calculo ISR '!$AP$34)</f>
        <v>15.193791999999974</v>
      </c>
      <c r="N37" s="92">
        <f>E37*P4</f>
        <v>269.8605</v>
      </c>
      <c r="O37" s="78"/>
      <c r="P37" s="50"/>
      <c r="Q37" s="78"/>
      <c r="R37" s="50"/>
      <c r="S37" s="50">
        <f t="shared" si="6"/>
        <v>285.05429199999998</v>
      </c>
      <c r="T37" s="28">
        <f>IF('[1]Calculo ISR '!$AP$34&gt;0,0,'[1]Calculo ISR '!$AP$34)*-1</f>
        <v>0</v>
      </c>
      <c r="U37" s="79">
        <f t="shared" si="8"/>
        <v>2285.0457080000001</v>
      </c>
      <c r="V37" s="73">
        <f t="shared" si="9"/>
        <v>385.5</v>
      </c>
      <c r="W37" s="80"/>
      <c r="X37" s="47"/>
    </row>
    <row r="38" spans="1:26" s="81" customFormat="1" ht="45" customHeight="1">
      <c r="A38" s="91" t="s">
        <v>91</v>
      </c>
      <c r="B38" s="91" t="s">
        <v>92</v>
      </c>
      <c r="C38" s="66">
        <v>15</v>
      </c>
      <c r="D38" s="76">
        <v>131.36093080000001</v>
      </c>
      <c r="E38" s="50">
        <v>1970.4139620000001</v>
      </c>
      <c r="F38" s="50"/>
      <c r="G38" s="77">
        <v>385.5</v>
      </c>
      <c r="H38" s="50"/>
      <c r="I38" s="50"/>
      <c r="J38" s="50"/>
      <c r="K38" s="78">
        <f t="shared" si="7"/>
        <v>1970.4139620000001</v>
      </c>
      <c r="L38" s="78">
        <f>K38+G38+T38</f>
        <v>2429.5253084320002</v>
      </c>
      <c r="M38" s="28">
        <f>IF('[1]Calculo ISR '!$AQ$34&lt;0,0,'[1]Calculo ISR '!$AQ$34)</f>
        <v>0</v>
      </c>
      <c r="N38" s="92">
        <f>E38*P4</f>
        <v>206.89346601</v>
      </c>
      <c r="O38" s="78">
        <v>493</v>
      </c>
      <c r="P38" s="50"/>
      <c r="Q38" s="78"/>
      <c r="R38" s="50"/>
      <c r="S38" s="50">
        <f t="shared" si="6"/>
        <v>699.89346601</v>
      </c>
      <c r="T38" s="28">
        <f>IF('[1]Calculo ISR '!$AQ$34&gt;0,0,'[1]Calculo ISR '!$AQ$34)*-1</f>
        <v>73.611346431999976</v>
      </c>
      <c r="U38" s="79">
        <f t="shared" si="8"/>
        <v>1344.1318424220001</v>
      </c>
      <c r="V38" s="73">
        <f t="shared" si="9"/>
        <v>385.5</v>
      </c>
      <c r="W38" s="80"/>
      <c r="X38" s="47"/>
    </row>
    <row r="39" spans="1:26" s="81" customFormat="1" ht="45" customHeight="1">
      <c r="A39" s="91" t="s">
        <v>93</v>
      </c>
      <c r="B39" s="91" t="s">
        <v>94</v>
      </c>
      <c r="C39" s="66">
        <v>15</v>
      </c>
      <c r="D39" s="76">
        <v>131.36093080000001</v>
      </c>
      <c r="E39" s="50">
        <v>1970.4139620000001</v>
      </c>
      <c r="F39" s="50"/>
      <c r="G39" s="77">
        <v>385.5</v>
      </c>
      <c r="H39" s="50"/>
      <c r="I39" s="50"/>
      <c r="J39" s="50"/>
      <c r="K39" s="78">
        <f t="shared" si="7"/>
        <v>1970.4139620000001</v>
      </c>
      <c r="L39" s="78">
        <f>K39+G39+T39</f>
        <v>2429.5253084320002</v>
      </c>
      <c r="M39" s="28">
        <f>IF('[1]Calculo ISR '!$AR$34&lt;0,0,'[1]Calculo ISR '!$AR$34)</f>
        <v>0</v>
      </c>
      <c r="N39" s="92">
        <f>E39*P4</f>
        <v>206.89346601</v>
      </c>
      <c r="O39" s="78"/>
      <c r="P39" s="50"/>
      <c r="Q39" s="78"/>
      <c r="R39" s="50"/>
      <c r="S39" s="50">
        <f t="shared" si="6"/>
        <v>206.89346601</v>
      </c>
      <c r="T39" s="28">
        <f>IF('[1]Calculo ISR '!$AR$34&gt;0,0,'[1]Calculo ISR '!$AR$34)*-1</f>
        <v>73.611346431999976</v>
      </c>
      <c r="U39" s="79">
        <f t="shared" si="8"/>
        <v>1837.1318424220001</v>
      </c>
      <c r="V39" s="73">
        <f t="shared" si="9"/>
        <v>385.5</v>
      </c>
      <c r="W39" s="80"/>
      <c r="X39" s="47"/>
    </row>
    <row r="40" spans="1:26" s="81" customFormat="1" ht="45" customHeight="1">
      <c r="A40" s="91" t="s">
        <v>95</v>
      </c>
      <c r="B40" s="91" t="s">
        <v>96</v>
      </c>
      <c r="C40" s="66">
        <v>15</v>
      </c>
      <c r="D40" s="76">
        <v>754.54</v>
      </c>
      <c r="E40" s="50">
        <f>C40*D40</f>
        <v>11318.099999999999</v>
      </c>
      <c r="F40" s="50"/>
      <c r="G40" s="77">
        <v>385.5</v>
      </c>
      <c r="H40" s="50"/>
      <c r="I40" s="50"/>
      <c r="J40" s="50"/>
      <c r="K40" s="78">
        <f>E40+H40+I40+J40</f>
        <v>11318.099999999999</v>
      </c>
      <c r="L40" s="78">
        <f>K40+G40</f>
        <v>11703.599999999999</v>
      </c>
      <c r="M40" s="28">
        <f>IF('[1]Calculo ISR '!$AS$34&lt;0,0,'[1]Calculo ISR '!$AS$34)</f>
        <v>1893.3293279999998</v>
      </c>
      <c r="N40" s="92">
        <f>E40*P4</f>
        <v>1188.4004999999997</v>
      </c>
      <c r="O40" s="78"/>
      <c r="P40" s="50"/>
      <c r="Q40" s="78"/>
      <c r="R40" s="50"/>
      <c r="S40" s="50">
        <f>M40+N40+O40+P40+Q40+R40</f>
        <v>3081.7298279999995</v>
      </c>
      <c r="T40" s="28">
        <f>IF('[1]Calculo ISR '!$AS$34&gt;0,0,'[1]Calculo ISR '!$AS$34)*-1</f>
        <v>0</v>
      </c>
      <c r="U40" s="79">
        <f>K40-S40</f>
        <v>8236.370171999999</v>
      </c>
      <c r="V40" s="73">
        <f t="shared" si="9"/>
        <v>385.5</v>
      </c>
      <c r="W40" s="80"/>
      <c r="X40" s="47"/>
    </row>
    <row r="41" spans="1:26" s="81" customFormat="1" ht="45" customHeight="1">
      <c r="A41" s="91" t="s">
        <v>97</v>
      </c>
      <c r="B41" s="91" t="s">
        <v>98</v>
      </c>
      <c r="C41" s="66">
        <v>15</v>
      </c>
      <c r="D41" s="76">
        <v>754.54</v>
      </c>
      <c r="E41" s="50">
        <f>D41*C41</f>
        <v>11318.099999999999</v>
      </c>
      <c r="F41" s="50"/>
      <c r="G41" s="77">
        <v>385.5</v>
      </c>
      <c r="H41" s="50"/>
      <c r="I41" s="50"/>
      <c r="J41" s="50"/>
      <c r="K41" s="78">
        <f>E41+H41+I41+J41</f>
        <v>11318.099999999999</v>
      </c>
      <c r="L41" s="78">
        <f>K41+G41</f>
        <v>11703.599999999999</v>
      </c>
      <c r="M41" s="28">
        <f>IF('[1]Calculo ISR '!$AT$34&lt;0,0,'[1]Calculo ISR '!$AT$34)</f>
        <v>1893.3293279999998</v>
      </c>
      <c r="N41" s="92">
        <f>E41*P4</f>
        <v>1188.4004999999997</v>
      </c>
      <c r="O41" s="78">
        <v>3773</v>
      </c>
      <c r="P41" s="50"/>
      <c r="Q41" s="78"/>
      <c r="R41" s="50"/>
      <c r="S41" s="50">
        <f>M41+N41+O41+P41+Q41+R41</f>
        <v>6854.7298279999995</v>
      </c>
      <c r="T41" s="28">
        <f>IF('[1]Calculo ISR '!$AT$34&gt;0,0,'[1]Calculo ISR '!$AT$34)*-1</f>
        <v>0</v>
      </c>
      <c r="U41" s="79">
        <f>K41-S41</f>
        <v>4463.370171999999</v>
      </c>
      <c r="V41" s="73">
        <f t="shared" si="9"/>
        <v>385.5</v>
      </c>
      <c r="W41" s="80"/>
      <c r="X41" s="47"/>
    </row>
    <row r="42" spans="1:26" s="81" customFormat="1" ht="45" customHeight="1">
      <c r="A42" s="91" t="s">
        <v>99</v>
      </c>
      <c r="B42" s="91" t="s">
        <v>100</v>
      </c>
      <c r="C42" s="66">
        <v>15</v>
      </c>
      <c r="D42" s="76">
        <v>171.34</v>
      </c>
      <c r="E42" s="50">
        <f>C42*D42</f>
        <v>2570.1</v>
      </c>
      <c r="F42" s="50"/>
      <c r="G42" s="77">
        <v>385.5</v>
      </c>
      <c r="H42" s="50"/>
      <c r="I42" s="50"/>
      <c r="J42" s="50"/>
      <c r="K42" s="78">
        <f>E42+F42+H42+I42+J42</f>
        <v>2570.1</v>
      </c>
      <c r="L42" s="78">
        <f>K42+G42</f>
        <v>2955.6</v>
      </c>
      <c r="M42" s="28">
        <f>IF('[1]Calculo ISR '!$AU$34&lt;0,0,'[1]Calculo ISR '!$AU$34)</f>
        <v>15.193791999999974</v>
      </c>
      <c r="N42" s="92">
        <f>E42*P4</f>
        <v>269.8605</v>
      </c>
      <c r="O42" s="78"/>
      <c r="P42" s="50"/>
      <c r="Q42" s="78"/>
      <c r="R42" s="50"/>
      <c r="S42" s="50">
        <f>M42+N42+O42+P42+Q42+R42</f>
        <v>285.05429199999998</v>
      </c>
      <c r="T42" s="28">
        <f>IF('[1]Calculo ISR '!$AU$34&gt;0,0,'[1]Calculo ISR '!$AU$34)*-1</f>
        <v>0</v>
      </c>
      <c r="U42" s="79">
        <f>K42-S42</f>
        <v>2285.0457080000001</v>
      </c>
      <c r="V42" s="73">
        <f t="shared" si="9"/>
        <v>385.5</v>
      </c>
      <c r="W42" s="80"/>
      <c r="X42" s="47"/>
    </row>
    <row r="43" spans="1:26" s="81" customFormat="1" ht="45" customHeight="1">
      <c r="A43" s="91" t="s">
        <v>101</v>
      </c>
      <c r="B43" s="91" t="s">
        <v>121</v>
      </c>
      <c r="C43" s="66">
        <v>15</v>
      </c>
      <c r="D43" s="76">
        <v>754.54</v>
      </c>
      <c r="E43" s="50">
        <f>C43*D43</f>
        <v>11318.099999999999</v>
      </c>
      <c r="F43" s="50"/>
      <c r="G43" s="77">
        <v>385.5</v>
      </c>
      <c r="H43" s="50"/>
      <c r="I43" s="50"/>
      <c r="J43" s="50"/>
      <c r="K43" s="78">
        <f>E43+F43+H43+I43+J43</f>
        <v>11318.099999999999</v>
      </c>
      <c r="L43" s="78">
        <f>K43+G43</f>
        <v>11703.599999999999</v>
      </c>
      <c r="M43" s="28">
        <f>IF('[1]Calculo ISR '!$AV$34&lt;0,0,'[1]Calculo ISR '!$AV$34)</f>
        <v>1893.3293279999998</v>
      </c>
      <c r="N43" s="92">
        <f>E43*P4</f>
        <v>1188.4004999999997</v>
      </c>
      <c r="O43" s="78"/>
      <c r="P43" s="50"/>
      <c r="Q43" s="78"/>
      <c r="R43" s="50"/>
      <c r="S43" s="50">
        <f>M43+N43+O43+P43+Q43+R43</f>
        <v>3081.7298279999995</v>
      </c>
      <c r="T43" s="28">
        <f>IF('[1]Calculo ISR '!$AV$34&gt;0,0,'[1]Calculo ISR '!$AV$34)*-1</f>
        <v>0</v>
      </c>
      <c r="U43" s="79">
        <f>K43-S43</f>
        <v>8236.370171999999</v>
      </c>
      <c r="V43" s="73">
        <f t="shared" si="9"/>
        <v>385.5</v>
      </c>
      <c r="W43" s="80"/>
      <c r="X43" s="47"/>
    </row>
    <row r="44" spans="1:26" s="81" customFormat="1" ht="45" customHeight="1">
      <c r="A44" s="91" t="s">
        <v>103</v>
      </c>
      <c r="B44" s="91" t="s">
        <v>122</v>
      </c>
      <c r="C44" s="66">
        <v>15</v>
      </c>
      <c r="D44" s="76">
        <v>171.34</v>
      </c>
      <c r="E44" s="50">
        <f>C44*D44</f>
        <v>2570.1</v>
      </c>
      <c r="F44" s="50"/>
      <c r="G44" s="77">
        <v>385.5</v>
      </c>
      <c r="H44" s="50"/>
      <c r="I44" s="50"/>
      <c r="J44" s="50"/>
      <c r="K44" s="78">
        <f>E44+F44+H44+I44+J44</f>
        <v>2570.1</v>
      </c>
      <c r="L44" s="78">
        <f>K44+G44</f>
        <v>2955.6</v>
      </c>
      <c r="M44" s="28">
        <v>15.19</v>
      </c>
      <c r="N44" s="92">
        <f>E44*P4</f>
        <v>269.8605</v>
      </c>
      <c r="O44" s="78"/>
      <c r="P44" s="50"/>
      <c r="Q44" s="78"/>
      <c r="R44" s="50"/>
      <c r="S44" s="50">
        <f>M44+N44+O44+P44+Q44+R44</f>
        <v>285.0505</v>
      </c>
      <c r="T44" s="28"/>
      <c r="U44" s="79">
        <f>K44-S44</f>
        <v>2285.0495000000001</v>
      </c>
      <c r="V44" s="73">
        <f t="shared" si="9"/>
        <v>385.5</v>
      </c>
      <c r="W44" s="80"/>
      <c r="X44" s="47"/>
    </row>
    <row r="45" spans="1:26" s="99" customFormat="1" ht="21.95" customHeight="1">
      <c r="A45" s="93"/>
      <c r="B45" s="94">
        <v>37</v>
      </c>
      <c r="C45" s="95">
        <f>SUM(C8:C44)</f>
        <v>555</v>
      </c>
      <c r="D45" s="95">
        <f>SUM(D8:D44)</f>
        <v>12328.053625151217</v>
      </c>
      <c r="E45" s="95">
        <f>SUM(E7:E44)</f>
        <v>184920.80437726821</v>
      </c>
      <c r="F45" s="95">
        <f t="shared" ref="F45:V45" si="10">SUM(F7:F44)</f>
        <v>0</v>
      </c>
      <c r="G45" s="95">
        <f t="shared" si="10"/>
        <v>14263.5</v>
      </c>
      <c r="H45" s="95">
        <f t="shared" si="10"/>
        <v>4460</v>
      </c>
      <c r="I45" s="95">
        <f t="shared" si="10"/>
        <v>0</v>
      </c>
      <c r="J45" s="95">
        <f t="shared" si="10"/>
        <v>1848.4761786091169</v>
      </c>
      <c r="K45" s="95">
        <f t="shared" si="10"/>
        <v>191229.28055587734</v>
      </c>
      <c r="L45" s="95">
        <f t="shared" si="10"/>
        <v>205800.53907417998</v>
      </c>
      <c r="M45" s="96">
        <f t="shared" si="10"/>
        <v>21400.583509412456</v>
      </c>
      <c r="N45" s="95">
        <f>SUM(N7:N44)</f>
        <v>19416.684459613163</v>
      </c>
      <c r="O45" s="95">
        <f t="shared" si="10"/>
        <v>25746.9</v>
      </c>
      <c r="P45" s="95">
        <f t="shared" si="10"/>
        <v>0</v>
      </c>
      <c r="Q45" s="95">
        <f t="shared" si="10"/>
        <v>0</v>
      </c>
      <c r="R45" s="95">
        <f t="shared" si="10"/>
        <v>583.98062260958716</v>
      </c>
      <c r="S45" s="95">
        <f t="shared" si="10"/>
        <v>67148.148591635181</v>
      </c>
      <c r="T45" s="95">
        <f t="shared" si="10"/>
        <v>307.75851830263997</v>
      </c>
      <c r="U45" s="95">
        <f t="shared" si="10"/>
        <v>124388.89048254475</v>
      </c>
      <c r="V45" s="95">
        <f t="shared" si="10"/>
        <v>14263.5</v>
      </c>
      <c r="W45" s="97"/>
      <c r="X45" s="98"/>
    </row>
    <row r="46" spans="1:26" s="6" customFormat="1" ht="1.5" customHeight="1">
      <c r="A46" s="122"/>
      <c r="B46" s="123"/>
      <c r="C46" s="124"/>
      <c r="D46" s="101"/>
      <c r="E46" s="101">
        <f>E45+'[11]HT-DOCENTE FIRMA'!I39</f>
        <v>301546.55437726818</v>
      </c>
      <c r="F46" s="101"/>
      <c r="G46" s="125">
        <f>G45+'[11]HT-DOCENTE FIRMA'!J39</f>
        <v>21522.42</v>
      </c>
      <c r="H46" s="125">
        <f>H45+'[11]HT-DOCENTE FIRMA'!L39</f>
        <v>6110.2000000000007</v>
      </c>
      <c r="I46" s="101"/>
      <c r="J46" s="101">
        <f>J45+'[11]HT-DOCENTE FIRMA'!N39</f>
        <v>2439.0211786091168</v>
      </c>
      <c r="K46" s="101"/>
      <c r="L46" s="101"/>
      <c r="M46" s="5">
        <f>M45+'[11]HT-DOCENTE FIRMA'!Q39</f>
        <v>46051.985147412459</v>
      </c>
      <c r="N46" s="101"/>
      <c r="O46" s="101"/>
      <c r="P46" s="101"/>
      <c r="Q46" s="101"/>
      <c r="R46" s="101"/>
      <c r="S46" s="101"/>
      <c r="T46" s="101"/>
      <c r="U46" s="101">
        <f>U45+'[11]HT-DOCENTE FIRMA'!Y39</f>
        <v>261660.98418254472</v>
      </c>
      <c r="V46" s="101"/>
      <c r="W46" s="126"/>
      <c r="X46" s="5"/>
    </row>
    <row r="47" spans="1:26" s="6" customFormat="1" ht="1.5" customHeight="1">
      <c r="A47" s="122"/>
      <c r="B47" s="123"/>
      <c r="C47" s="124"/>
      <c r="D47" s="101"/>
      <c r="E47" s="101">
        <f>E45+'[11]HT-DOCENTE FIRMA'!I39</f>
        <v>301546.55437726818</v>
      </c>
      <c r="F47" s="101"/>
      <c r="G47" s="125"/>
      <c r="H47" s="125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26"/>
      <c r="X47" s="5"/>
      <c r="Z47" s="5"/>
    </row>
    <row r="48" spans="1:26" s="6" customFormat="1" ht="1.5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>
        <f>O45+'[11]HT-DOCENTE FIRMA'!S39</f>
        <v>35292.9</v>
      </c>
      <c r="P48" s="101"/>
      <c r="Q48" s="101"/>
      <c r="R48" s="101"/>
      <c r="S48" s="101"/>
      <c r="T48" s="101"/>
      <c r="U48" s="101"/>
      <c r="V48" s="101"/>
      <c r="W48" s="126"/>
      <c r="X48" s="5"/>
    </row>
    <row r="49" spans="1:24" s="6" customFormat="1" ht="21.75" customHeight="1">
      <c r="A49" s="129"/>
      <c r="B49" s="130"/>
      <c r="C49" s="131"/>
      <c r="D49" s="132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5"/>
    </row>
    <row r="50" spans="1:24" ht="14.25" customHeight="1">
      <c r="A50" s="110" t="s">
        <v>105</v>
      </c>
      <c r="B50" s="110"/>
      <c r="C50" s="110"/>
      <c r="D50" s="111"/>
      <c r="E50" s="109"/>
      <c r="F50" s="113" t="s">
        <v>106</v>
      </c>
      <c r="G50" s="112"/>
      <c r="H50" s="112"/>
      <c r="I50" s="112"/>
      <c r="K50" s="113"/>
      <c r="L50" s="114"/>
      <c r="O50" s="115"/>
      <c r="P50" s="115"/>
      <c r="Q50" s="115"/>
      <c r="R50" s="115"/>
      <c r="S50" s="110" t="s">
        <v>131</v>
      </c>
      <c r="T50" s="110"/>
      <c r="U50" s="111"/>
      <c r="V50" s="111"/>
      <c r="W50" s="111"/>
      <c r="X50" s="100"/>
    </row>
    <row r="51" spans="1:24" ht="0.75" hidden="1" customHeight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03"/>
      <c r="L51" s="103"/>
      <c r="O51" s="103"/>
      <c r="P51" s="115"/>
      <c r="Q51" s="103"/>
      <c r="R51" s="103"/>
      <c r="S51" s="111"/>
      <c r="T51" s="111"/>
      <c r="U51" s="111"/>
      <c r="V51" s="111"/>
      <c r="W51" s="111"/>
      <c r="X51" s="100"/>
    </row>
    <row r="52" spans="1:24" ht="0.75" hidden="1" customHeight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09"/>
      <c r="L52" s="109"/>
      <c r="O52" s="109"/>
      <c r="P52" s="109"/>
      <c r="Q52" s="109"/>
      <c r="R52" s="109"/>
      <c r="S52" s="111"/>
      <c r="T52" s="111"/>
      <c r="U52" s="111"/>
      <c r="V52" s="111"/>
      <c r="W52" s="111"/>
      <c r="X52" s="100"/>
    </row>
    <row r="53" spans="1:24">
      <c r="A53" s="111"/>
      <c r="B53" s="113" t="s">
        <v>108</v>
      </c>
      <c r="C53" s="111"/>
      <c r="D53" s="111"/>
      <c r="E53" s="116"/>
      <c r="F53" s="118" t="s">
        <v>109</v>
      </c>
      <c r="G53" s="117"/>
      <c r="H53" s="117"/>
      <c r="K53" s="118"/>
      <c r="L53" s="117" t="s">
        <v>127</v>
      </c>
      <c r="O53" s="109"/>
      <c r="P53" s="109"/>
      <c r="Q53" s="116"/>
      <c r="R53" s="109"/>
      <c r="T53" s="117"/>
      <c r="U53" s="117"/>
      <c r="V53" s="117"/>
      <c r="W53" s="111"/>
      <c r="X53" s="100"/>
    </row>
    <row r="54" spans="1:24" ht="15" customHeight="1">
      <c r="A54" s="110" t="s">
        <v>111</v>
      </c>
      <c r="B54" s="110"/>
      <c r="C54" s="110"/>
      <c r="D54" s="111"/>
      <c r="E54" s="109"/>
      <c r="F54" s="118" t="s">
        <v>112</v>
      </c>
      <c r="G54" s="117"/>
      <c r="H54" s="117"/>
      <c r="I54" s="117"/>
      <c r="K54" s="119" t="s">
        <v>128</v>
      </c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1"/>
      <c r="X54" s="100"/>
    </row>
    <row r="55" spans="1:24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16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307" spans="99:99">
      <c r="CU307" s="1" t="s">
        <v>114</v>
      </c>
    </row>
  </sheetData>
  <mergeCells count="4">
    <mergeCell ref="A50:C50"/>
    <mergeCell ref="A54:C54"/>
    <mergeCell ref="K54:V54"/>
    <mergeCell ref="S50:T50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U307"/>
  <sheetViews>
    <sheetView zoomScale="80" zoomScaleNormal="80" workbookViewId="0">
      <pane xSplit="2" ySplit="6" topLeftCell="C40" activePane="bottomRight" state="frozen"/>
      <selection activeCell="S28" sqref="S28"/>
      <selection pane="topRight" activeCell="S28" sqref="S28"/>
      <selection pane="bottomLeft" activeCell="S28" sqref="S28"/>
      <selection pane="bottomRight" activeCell="E47" sqref="E47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7" width="12.7109375" style="1" customWidth="1"/>
    <col min="8" max="8" width="11.14062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7.1406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1" spans="1:26">
      <c r="K1" s="3"/>
      <c r="L1" s="3"/>
      <c r="P1" s="3"/>
      <c r="Q1" s="3"/>
      <c r="R1" s="3"/>
    </row>
    <row r="2" spans="1:26">
      <c r="K2" s="3"/>
      <c r="L2" s="3"/>
      <c r="P2" s="3"/>
      <c r="Q2" s="3"/>
      <c r="R2" s="3"/>
    </row>
    <row r="3" spans="1:26" ht="22.5">
      <c r="B3" s="2"/>
      <c r="I3" s="3"/>
      <c r="J3" s="3"/>
      <c r="K3" s="4"/>
      <c r="L3" s="5" t="s">
        <v>0</v>
      </c>
      <c r="O3" s="6"/>
      <c r="P3" s="135" t="s">
        <v>132</v>
      </c>
      <c r="Q3" s="6" t="s">
        <v>1</v>
      </c>
      <c r="R3" s="6" t="s">
        <v>133</v>
      </c>
      <c r="S3" s="6"/>
    </row>
    <row r="4" spans="1:26">
      <c r="B4" s="2"/>
      <c r="C4" s="3"/>
      <c r="D4" s="3"/>
      <c r="E4" s="3"/>
      <c r="F4" s="3"/>
      <c r="I4" s="3"/>
      <c r="J4" s="3"/>
      <c r="K4" s="3"/>
      <c r="L4" s="7">
        <v>1.9E-2</v>
      </c>
      <c r="O4" s="8">
        <v>0.01</v>
      </c>
      <c r="P4" s="121">
        <v>0.105</v>
      </c>
      <c r="Q4" s="9">
        <v>3.7999999999999999E-2</v>
      </c>
      <c r="R4" s="121">
        <v>5.7000000000000002E-2</v>
      </c>
      <c r="S4" s="6"/>
    </row>
    <row r="5" spans="1:26" ht="13.5" thickBot="1">
      <c r="B5" s="10" t="s">
        <v>2</v>
      </c>
      <c r="C5" s="3"/>
      <c r="D5" s="3"/>
      <c r="E5" s="3"/>
      <c r="F5" s="10" t="s">
        <v>134</v>
      </c>
      <c r="I5" s="3"/>
      <c r="J5" s="3"/>
      <c r="K5" s="3"/>
    </row>
    <row r="6" spans="1:26" s="25" customFormat="1" ht="105.7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142">
        <v>8</v>
      </c>
      <c r="D7" s="28">
        <v>1129.1099999999999</v>
      </c>
      <c r="E7" s="28">
        <f>C7*D7</f>
        <v>9032.8799999999992</v>
      </c>
      <c r="F7" s="28">
        <v>3528.66</v>
      </c>
      <c r="G7" s="28">
        <v>512</v>
      </c>
      <c r="H7" s="28">
        <f>'[1]HT-ADMINISTRATIVOS'!H8</f>
        <v>0</v>
      </c>
      <c r="I7" s="28">
        <v>366.93</v>
      </c>
      <c r="J7" s="28"/>
      <c r="K7" s="28">
        <f>SUM(E7+F7+I7+J7)</f>
        <v>12928.47</v>
      </c>
      <c r="L7" s="28">
        <f>SUM(K7+G7)</f>
        <v>13440.47</v>
      </c>
      <c r="M7" s="28">
        <f>IF('[12]Calculo ISR '!$K$34&lt;0,0,'[12]Calculo ISR '!$K$34)</f>
        <v>2272.0883519999998</v>
      </c>
      <c r="N7" s="28">
        <f>E7*P4</f>
        <v>948.4523999999999</v>
      </c>
      <c r="O7" s="28"/>
      <c r="P7" s="28"/>
      <c r="Q7" s="28"/>
      <c r="R7" s="28"/>
      <c r="S7" s="28">
        <f>SUM(M7+N7+O7+P7+Q7+R7)</f>
        <v>3220.5407519999999</v>
      </c>
      <c r="T7" s="28"/>
      <c r="U7" s="36">
        <f>K7-S7</f>
        <v>9707.9292480000004</v>
      </c>
      <c r="V7" s="28">
        <f>G7</f>
        <v>512</v>
      </c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754.53875970000001</v>
      </c>
      <c r="E8" s="36">
        <v>11318.081395499999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E8*Q4</f>
        <v>430.08709302899996</v>
      </c>
      <c r="K8" s="36">
        <f>E8+F8+H8+I8+J8</f>
        <v>12194.168488529</v>
      </c>
      <c r="L8" s="36">
        <f t="shared" ref="L8:L12" si="0">K8+G8</f>
        <v>12579.668488529</v>
      </c>
      <c r="M8" s="28">
        <f>IF('[12]Calculo ISR '!$L$34&lt;0,0,'[12]Calculo ISR '!$L$34)</f>
        <v>2099.3806365020209</v>
      </c>
      <c r="N8" s="38">
        <f>E8*P4</f>
        <v>1188.3985465275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3287.7791830295209</v>
      </c>
      <c r="T8" s="28">
        <f>IF('[1]Calculo ISR '!$L$34&gt;0,0,'[1]Calculo ISR '!$L$34)*-1</f>
        <v>0</v>
      </c>
      <c r="U8" s="36">
        <f>K8-S8</f>
        <v>8906.3893054994787</v>
      </c>
      <c r="V8" s="36">
        <f t="shared" ref="V8:V27" si="1">G8</f>
        <v>385.5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230.34834514817072</v>
      </c>
      <c r="E9" s="36">
        <v>3455.2251772225609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E9*Q4</f>
        <v>131.29855673445732</v>
      </c>
      <c r="K9" s="36">
        <f>E9+F9+H9+I9+J9</f>
        <v>3586.5237339570181</v>
      </c>
      <c r="L9" s="36">
        <f t="shared" si="0"/>
        <v>3972.0237339570181</v>
      </c>
      <c r="M9" s="28">
        <f>IF('[12]Calculo ISR '!$M$34&lt;0,0,'[12]Calculo ISR '!$M$34)</f>
        <v>178.73069425452351</v>
      </c>
      <c r="N9" s="38">
        <f>E9*P4</f>
        <v>362.79864360836888</v>
      </c>
      <c r="O9" s="38">
        <v>700</v>
      </c>
      <c r="P9" s="38">
        <f>'[1]HT-ADMINISTRATIVOS'!Q11</f>
        <v>0</v>
      </c>
      <c r="Q9" s="38">
        <f>'[1]HT-ADMINISTRATIVOS'!R11</f>
        <v>0</v>
      </c>
      <c r="R9" s="38">
        <f>E9*O4</f>
        <v>34.55225177222561</v>
      </c>
      <c r="S9" s="36">
        <f>M9+N9+O9+P9+Q9+R9</f>
        <v>1276.081589635118</v>
      </c>
      <c r="T9" s="28">
        <f>IF('[1]Calculo ISR '!$M$34&gt;0,0,'[1]Calculo ISR '!$M$34)*-1</f>
        <v>0</v>
      </c>
      <c r="U9" s="36">
        <f t="shared" ref="U9:U15" si="2">K9-S9+T9</f>
        <v>2310.4421443218998</v>
      </c>
      <c r="V9" s="36">
        <f t="shared" si="1"/>
        <v>385.5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v>242.09274535320057</v>
      </c>
      <c r="E10" s="36">
        <v>3631.3911802980087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E10*Q4</f>
        <v>137.99286485132433</v>
      </c>
      <c r="K10" s="36">
        <f>E10+F10+I10+J10</f>
        <v>3769.3840451493329</v>
      </c>
      <c r="L10" s="36">
        <f t="shared" si="0"/>
        <v>4154.8840451493325</v>
      </c>
      <c r="M10" s="28">
        <f>IF('[12]Calculo ISR '!$N$34&lt;0,0,'[12]Calculo ISR '!$N$34)</f>
        <v>312.18984722389325</v>
      </c>
      <c r="N10" s="38">
        <f>E10*P4</f>
        <v>381.29607393129089</v>
      </c>
      <c r="O10" s="38">
        <v>1077.99</v>
      </c>
      <c r="P10" s="38">
        <f>'[1]HT-ADMINISTRATIVOS'!Q12</f>
        <v>0</v>
      </c>
      <c r="Q10" s="38">
        <f>'[1]HT-ADMINISTRATIVOS'!R12</f>
        <v>0</v>
      </c>
      <c r="R10" s="38">
        <f>E10*O4</f>
        <v>36.313911802980087</v>
      </c>
      <c r="S10" s="36">
        <f t="shared" ref="S10:S31" si="3">M10+N10+O10+R10+P10+Q10</f>
        <v>1807.7898329581642</v>
      </c>
      <c r="T10" s="28">
        <f>IF('[1]Calculo ISR '!$N$34&gt;0,0,'[1]Calculo ISR '!$N$34)*-1</f>
        <v>0</v>
      </c>
      <c r="U10" s="36">
        <f t="shared" si="2"/>
        <v>1961.5942121911687</v>
      </c>
      <c r="V10" s="36">
        <f t="shared" si="1"/>
        <v>385.5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219.22891544903311</v>
      </c>
      <c r="E11" s="36">
        <v>3288.4337317354966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E11*Q4</f>
        <v>124.96048180594887</v>
      </c>
      <c r="K11" s="36">
        <f t="shared" ref="K11:K33" si="4">E11+F11+H11+I11+J11</f>
        <v>3413.3942135414454</v>
      </c>
      <c r="L11" s="36">
        <f t="shared" si="0"/>
        <v>3798.8942135414454</v>
      </c>
      <c r="M11" s="28">
        <f>IF('[12]Calculo ISR '!$O$34&lt;0,0,'[12]Calculo ISR '!$O$34)</f>
        <v>142.19420243330924</v>
      </c>
      <c r="N11" s="38">
        <f>E11*P4</f>
        <v>345.28554183222712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32.884337317354969</v>
      </c>
      <c r="S11" s="36">
        <f t="shared" si="3"/>
        <v>1982.5840815828915</v>
      </c>
      <c r="T11" s="28">
        <f>IF('[1]Calculo ISR '!$O$34&gt;0,0,'[1]Calculo ISR '!$O$34)*-1</f>
        <v>0</v>
      </c>
      <c r="U11" s="36">
        <f t="shared" si="2"/>
        <v>1430.8101319585539</v>
      </c>
      <c r="V11" s="36">
        <f t="shared" si="1"/>
        <v>385.5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242.09274535320057</v>
      </c>
      <c r="E12" s="36">
        <v>3631.3911802980087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E12*Q4</f>
        <v>137.99286485132433</v>
      </c>
      <c r="K12" s="36">
        <f t="shared" si="4"/>
        <v>3769.3840451493329</v>
      </c>
      <c r="L12" s="36">
        <f t="shared" si="0"/>
        <v>4154.8840451493325</v>
      </c>
      <c r="M12" s="28">
        <f>IF('[12]Calculo ISR '!$P$34&lt;0,0,'[12]Calculo ISR '!$P$34)</f>
        <v>312.18984722389325</v>
      </c>
      <c r="N12" s="38">
        <f>E12*P4</f>
        <v>381.29607393129089</v>
      </c>
      <c r="O12" s="38">
        <v>1211</v>
      </c>
      <c r="P12" s="38">
        <f>'[1]HT-ADMINISTRATIVOS'!Q14</f>
        <v>0</v>
      </c>
      <c r="Q12" s="38">
        <f>'[1]HT-ADMINISTRATIVOS'!R14</f>
        <v>0</v>
      </c>
      <c r="R12" s="38">
        <f>E12*O4</f>
        <v>36.313911802980087</v>
      </c>
      <c r="S12" s="36">
        <f t="shared" si="3"/>
        <v>1940.7998329581642</v>
      </c>
      <c r="T12" s="28">
        <f>IF('[1]Calculo ISR '!$P$34&gt;0,0,'[1]Calculo ISR '!$P$34)*-1</f>
        <v>0</v>
      </c>
      <c r="U12" s="36">
        <f t="shared" si="2"/>
        <v>1828.5842121911687</v>
      </c>
      <c r="V12" s="36">
        <f t="shared" si="1"/>
        <v>385.5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171.33947607512999</v>
      </c>
      <c r="E13" s="36">
        <v>2570.0921411269501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E13*Q4</f>
        <v>97.663501362824107</v>
      </c>
      <c r="K13" s="36">
        <f t="shared" si="4"/>
        <v>2667.7556424897743</v>
      </c>
      <c r="L13" s="36">
        <f>K13+G13+T13</f>
        <v>3053.2556424897743</v>
      </c>
      <c r="M13" s="28">
        <f>IF('[12]Calculo ISR '!$Q$34&lt;0,0,'[12]Calculo ISR '!$Q$34)</f>
        <v>40.818725902887451</v>
      </c>
      <c r="N13" s="38">
        <f>E13*P4</f>
        <v>269.85967481832972</v>
      </c>
      <c r="O13" s="38">
        <v>567</v>
      </c>
      <c r="P13" s="38">
        <f>'[1]HT-ADMINISTRATIVOS'!Q15</f>
        <v>0</v>
      </c>
      <c r="Q13" s="38">
        <f>'[1]HT-ADMINISTRATIVOS'!R15</f>
        <v>0</v>
      </c>
      <c r="R13" s="38">
        <f>E13*O4</f>
        <v>25.700921411269501</v>
      </c>
      <c r="S13" s="36">
        <f t="shared" si="3"/>
        <v>903.37932213248666</v>
      </c>
      <c r="T13" s="28">
        <f>IF('[1]Calculo ISR '!$Q$34&gt;0,0,'[1]Calculo ISR '!$Q$34)</f>
        <v>0</v>
      </c>
      <c r="U13" s="36">
        <f t="shared" si="2"/>
        <v>1764.3763203572876</v>
      </c>
      <c r="V13" s="36">
        <f t="shared" si="1"/>
        <v>385.5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163.00161009000001</v>
      </c>
      <c r="E14" s="36">
        <v>2445.02415135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E14*Q4</f>
        <v>92.910917751300005</v>
      </c>
      <c r="K14" s="36">
        <f t="shared" si="4"/>
        <v>2537.9350691013001</v>
      </c>
      <c r="L14" s="36">
        <f>K14+G14+T14</f>
        <v>2923.4350691013001</v>
      </c>
      <c r="M14" s="28">
        <f>IF('[12]Calculo ISR '!$R$34&lt;0,0,'[12]Calculo ISR '!$R$34)</f>
        <v>11.694247518221431</v>
      </c>
      <c r="N14" s="38">
        <f>E14*P4</f>
        <v>256.72753589174999</v>
      </c>
      <c r="O14" s="38">
        <v>816</v>
      </c>
      <c r="P14" s="38">
        <f>'[1]HT-ADMINISTRATIVOS'!Q16</f>
        <v>0</v>
      </c>
      <c r="Q14" s="38">
        <f>'[1]HT-ADMINISTRATIVOS'!R16</f>
        <v>0</v>
      </c>
      <c r="R14" s="38">
        <f>E14*O4</f>
        <v>24.4502415135</v>
      </c>
      <c r="S14" s="36">
        <f t="shared" si="3"/>
        <v>1108.8720249234714</v>
      </c>
      <c r="T14" s="28">
        <f>IF('[1]Calculo ISR '!$R$34&gt;0,0,'[1]Calculo ISR '!$R$34)*-1</f>
        <v>0</v>
      </c>
      <c r="U14" s="36">
        <f t="shared" si="2"/>
        <v>1429.0630441778287</v>
      </c>
      <c r="V14" s="36">
        <f t="shared" si="1"/>
        <v>385.5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534.93837680832996</v>
      </c>
      <c r="E15" s="36">
        <v>8024.0756521249496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E15*L4</f>
        <v>152.45743739037403</v>
      </c>
      <c r="K15" s="36">
        <f t="shared" si="4"/>
        <v>8176.5330895153238</v>
      </c>
      <c r="L15" s="36">
        <f>K15+G15</f>
        <v>8562.0330895153238</v>
      </c>
      <c r="M15" s="28">
        <f>IF('[12]Calculo ISR '!$S$34&lt;0,0,'[12]Calculo ISR '!$S$34)</f>
        <v>1199.3182919204733</v>
      </c>
      <c r="N15" s="38">
        <f>E15*P4</f>
        <v>842.52794347311965</v>
      </c>
      <c r="O15" s="38">
        <v>2675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3"/>
        <v>4716.8462353935929</v>
      </c>
      <c r="T15" s="28">
        <f>IF('[1]Calculo ISR '!$S$34&gt;0,0,'[1]Calculo ISR '!$S$34)*-1</f>
        <v>0</v>
      </c>
      <c r="U15" s="36">
        <f t="shared" si="2"/>
        <v>3459.6868541217309</v>
      </c>
      <c r="V15" s="36">
        <f t="shared" si="1"/>
        <v>385.5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267.35834171124986</v>
      </c>
      <c r="E16" s="36">
        <v>4010.3751256687478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E16*L4</f>
        <v>76.197127387706203</v>
      </c>
      <c r="K16" s="36">
        <f t="shared" si="4"/>
        <v>4086.572253056454</v>
      </c>
      <c r="L16" s="36">
        <f>K16+G16</f>
        <v>4472.0722530564544</v>
      </c>
      <c r="M16" s="28">
        <f>IF('[12]Calculo ISR '!$T$34&lt;0,0,'[12]Calculo ISR '!$T$34)</f>
        <v>362.93996048903261</v>
      </c>
      <c r="N16" s="38">
        <f>E16*P4</f>
        <v>421.08938819521853</v>
      </c>
      <c r="O16" s="38">
        <v>1337</v>
      </c>
      <c r="P16" s="38"/>
      <c r="Q16" s="38"/>
      <c r="R16" s="38">
        <f>E16*O4</f>
        <v>40.103751256687481</v>
      </c>
      <c r="S16" s="36">
        <f>M16+N16+O16+Q16+R16+P16</f>
        <v>2161.1330999409388</v>
      </c>
      <c r="T16" s="28">
        <f>IF('[1]Calculo ISR '!$T$34&gt;0,0,'[1]Calculo ISR '!$T$34)*-1</f>
        <v>0</v>
      </c>
      <c r="U16" s="36">
        <f>K16-S16</f>
        <v>1925.4391531155152</v>
      </c>
      <c r="V16" s="36">
        <f t="shared" si="1"/>
        <v>385.5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230.34834514817072</v>
      </c>
      <c r="E17" s="36">
        <v>3455.2251772225609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7">
        <f>E17*L4</f>
        <v>65.649278367228661</v>
      </c>
      <c r="K17" s="36">
        <f t="shared" si="4"/>
        <v>3966.8744555897897</v>
      </c>
      <c r="L17" s="36">
        <f>K17+G17</f>
        <v>4352.3744555897902</v>
      </c>
      <c r="M17" s="28">
        <f>IF('[12]Calculo ISR '!$U$34&lt;0,0,'[12]Calculo ISR '!$U$34)</f>
        <v>343.7883128943663</v>
      </c>
      <c r="N17" s="38">
        <f>E17*P4</f>
        <v>362.79864360836888</v>
      </c>
      <c r="O17" s="38">
        <v>1152</v>
      </c>
      <c r="P17" s="38">
        <f>'[1]HT-ADMINISTRATIVOS'!Q19</f>
        <v>0</v>
      </c>
      <c r="Q17" s="38">
        <f>'[1]HT-ADMINISTRATIVOS'!R19</f>
        <v>0</v>
      </c>
      <c r="R17" s="38">
        <f>E17*O4</f>
        <v>34.55225177222561</v>
      </c>
      <c r="S17" s="36">
        <f t="shared" si="3"/>
        <v>1893.1392082749608</v>
      </c>
      <c r="T17" s="28">
        <f>IF('[1]Calculo ISR '!$U$34&gt;0,0,'[1]Calculo ISR '!$U$34)*-1</f>
        <v>0</v>
      </c>
      <c r="U17" s="36">
        <f t="shared" ref="U17:U32" si="5">K17-S17+T17</f>
        <v>2073.7352473148289</v>
      </c>
      <c r="V17" s="36">
        <f t="shared" si="1"/>
        <v>385.5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873.012693639492</v>
      </c>
      <c r="E18" s="36">
        <v>13095.19040459238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E18*L4</f>
        <v>248.80861768725521</v>
      </c>
      <c r="K18" s="36">
        <f t="shared" si="4"/>
        <v>13343.999022279635</v>
      </c>
      <c r="L18" s="36">
        <f>K18+G18</f>
        <v>13729.499022279635</v>
      </c>
      <c r="M18" s="28">
        <f>IF('[12]Calculo ISR '!$V$34&lt;0,0,'[12]Calculo ISR '!$V$34)</f>
        <v>2369.8207780401704</v>
      </c>
      <c r="N18" s="38">
        <f>E18*P4</f>
        <v>1374.9949924821999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3"/>
        <v>3744.8157705223703</v>
      </c>
      <c r="T18" s="28">
        <f>IF('[1]Calculo ISR '!$V$34&gt;0,0,'[1]Calculo ISR '!$V$34)*-1</f>
        <v>0</v>
      </c>
      <c r="U18" s="36">
        <f t="shared" si="5"/>
        <v>9599.1832517572657</v>
      </c>
      <c r="V18" s="36">
        <f t="shared" si="1"/>
        <v>385.5</v>
      </c>
      <c r="W18" s="46"/>
      <c r="X18" s="47"/>
    </row>
    <row r="19" spans="1:24" s="48" customFormat="1" ht="45" customHeight="1">
      <c r="A19" s="53" t="s">
        <v>51</v>
      </c>
      <c r="B19" s="53" t="s">
        <v>52</v>
      </c>
      <c r="C19" s="34">
        <v>15</v>
      </c>
      <c r="D19" s="50">
        <v>219.22891544903311</v>
      </c>
      <c r="E19" s="36">
        <v>3288.4337317354966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E19*L4</f>
        <v>62.480240902974437</v>
      </c>
      <c r="K19" s="36">
        <f t="shared" si="4"/>
        <v>3350.913972638471</v>
      </c>
      <c r="L19" s="36">
        <f>K19+G19</f>
        <v>3736.413972638471</v>
      </c>
      <c r="M19" s="28">
        <f>IF('[12]Calculo ISR '!$W$34&lt;0,0,'[12]Calculo ISR '!$W$34)</f>
        <v>135.39635222306563</v>
      </c>
      <c r="N19" s="38">
        <f>E19*P4</f>
        <v>345.28554183222712</v>
      </c>
      <c r="O19" s="38">
        <v>1357.77</v>
      </c>
      <c r="P19" s="38">
        <f>'[1]HT-ADMINISTRATIVOS'!Q21</f>
        <v>0</v>
      </c>
      <c r="Q19" s="38">
        <f>'[1]HT-ADMINISTRATIVOS'!R21</f>
        <v>0</v>
      </c>
      <c r="R19" s="38">
        <f>E19*O4</f>
        <v>32.884337317354969</v>
      </c>
      <c r="S19" s="36">
        <f t="shared" si="3"/>
        <v>1871.3362313726477</v>
      </c>
      <c r="T19" s="28">
        <f>IF('[1]Calculo ISR '!$W$34&gt;0,0,'[1]Calculo ISR '!$W$34)*-1</f>
        <v>0</v>
      </c>
      <c r="U19" s="36">
        <f t="shared" si="5"/>
        <v>1479.5777412658233</v>
      </c>
      <c r="V19" s="36">
        <f t="shared" si="1"/>
        <v>385.5</v>
      </c>
      <c r="W19" s="46"/>
      <c r="X19" s="47"/>
    </row>
    <row r="20" spans="1:24" s="48" customFormat="1" ht="45" customHeight="1">
      <c r="A20" s="53" t="s">
        <v>53</v>
      </c>
      <c r="B20" s="53" t="s">
        <v>54</v>
      </c>
      <c r="C20" s="34">
        <v>15</v>
      </c>
      <c r="D20" s="50">
        <v>148.1300975275</v>
      </c>
      <c r="E20" s="36">
        <v>2221.9514629125001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E20*L4</f>
        <v>42.217077795337502</v>
      </c>
      <c r="K20" s="36">
        <f t="shared" si="4"/>
        <v>2264.1685407078376</v>
      </c>
      <c r="L20" s="36">
        <f>K20+G20+T20</f>
        <v>2686.7533095429576</v>
      </c>
      <c r="M20" s="28">
        <f>IF('[12]Calculo ISR '!$X$34&lt;0,0,'[12]Calculo ISR '!$X$34)</f>
        <v>0</v>
      </c>
      <c r="N20" s="38">
        <f>E20*P4</f>
        <v>233.30490360581251</v>
      </c>
      <c r="O20" s="38">
        <v>741</v>
      </c>
      <c r="P20" s="38">
        <f>'[1]HT-ADMINISTRATIVOS'!Q22</f>
        <v>0</v>
      </c>
      <c r="Q20" s="38">
        <f>'[1]HT-ADMINISTRATIVOS'!R22</f>
        <v>0</v>
      </c>
      <c r="R20" s="38">
        <f>E20*O4</f>
        <v>22.219514629125001</v>
      </c>
      <c r="S20" s="36">
        <f t="shared" si="3"/>
        <v>996.52441823493757</v>
      </c>
      <c r="T20" s="28">
        <f>IF('[1]Calculo ISR '!$X$34&gt;0,0,('[1]Calculo ISR '!$X$34)*-1)</f>
        <v>37.084768835120002</v>
      </c>
      <c r="U20" s="36">
        <f t="shared" si="5"/>
        <v>1304.7288913080201</v>
      </c>
      <c r="V20" s="36">
        <f t="shared" si="1"/>
        <v>385.5</v>
      </c>
      <c r="W20" s="46"/>
      <c r="X20" s="47"/>
    </row>
    <row r="21" spans="1:24" s="48" customFormat="1" ht="45" customHeight="1">
      <c r="A21" s="53" t="s">
        <v>55</v>
      </c>
      <c r="B21" s="53" t="s">
        <v>56</v>
      </c>
      <c r="C21" s="34">
        <v>15</v>
      </c>
      <c r="D21" s="50">
        <v>148.19297316999999</v>
      </c>
      <c r="E21" s="36">
        <v>2222.8945975499996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E21*L4</f>
        <v>42.234997353449991</v>
      </c>
      <c r="K21" s="36">
        <f t="shared" si="4"/>
        <v>2711.1295949034497</v>
      </c>
      <c r="L21" s="36">
        <f>K21+G21+T21</f>
        <v>3096.6295949034497</v>
      </c>
      <c r="M21" s="28">
        <f>IF('[12]Calculo ISR '!$Y$34&lt;0,0,'[12]Calculo ISR '!$Y$34)</f>
        <v>45.537811925495333</v>
      </c>
      <c r="N21" s="38">
        <f>E21*P4</f>
        <v>233.40393274274996</v>
      </c>
      <c r="O21" s="38">
        <v>597</v>
      </c>
      <c r="P21" s="38">
        <f>'[1]HT-ADMINISTRATIVOS'!Q23</f>
        <v>0</v>
      </c>
      <c r="Q21" s="38">
        <f>'[1]HT-ADMINISTRATIVOS'!R23</f>
        <v>0</v>
      </c>
      <c r="R21" s="38">
        <f>E21*O4</f>
        <v>22.228945975499997</v>
      </c>
      <c r="S21" s="36">
        <f t="shared" si="3"/>
        <v>898.17069064374527</v>
      </c>
      <c r="T21" s="28">
        <f>IF('[1]Calculo ISR '!$Y$34&gt;0,0,'[1]Calculo ISR '!$Y$34)*-1</f>
        <v>0</v>
      </c>
      <c r="U21" s="36">
        <f t="shared" si="5"/>
        <v>1812.9589042597045</v>
      </c>
      <c r="V21" s="36">
        <f t="shared" si="1"/>
        <v>385.5</v>
      </c>
      <c r="W21" s="46"/>
      <c r="X21" s="47"/>
    </row>
    <row r="22" spans="1:24" s="48" customFormat="1" ht="45" customHeight="1">
      <c r="A22" s="53" t="s">
        <v>57</v>
      </c>
      <c r="B22" s="53" t="s">
        <v>58</v>
      </c>
      <c r="C22" s="34">
        <v>15</v>
      </c>
      <c r="D22" s="50">
        <v>198.84487564290151</v>
      </c>
      <c r="E22" s="36">
        <v>2982.6731346435226</v>
      </c>
      <c r="F22" s="43"/>
      <c r="G22" s="36">
        <f>'[1]HT-ADMINISTRATIVOS'!G26</f>
        <v>385.5</v>
      </c>
      <c r="H22" s="36">
        <f>'[1]HT-ADMINISTRATIVOS'!H26</f>
        <v>0</v>
      </c>
      <c r="I22" s="36">
        <f>'[1]HT-ADMINISTRATIVOS'!J26</f>
        <v>0</v>
      </c>
      <c r="J22" s="37">
        <f>'[1]HT-ADMINISTRATIVOS'!I26</f>
        <v>0</v>
      </c>
      <c r="K22" s="36">
        <f t="shared" si="4"/>
        <v>2982.6731346435226</v>
      </c>
      <c r="L22" s="36">
        <f>K22+G22</f>
        <v>3368.1731346435226</v>
      </c>
      <c r="M22" s="28">
        <f>IF('[12]Calculo ISR '!$Z$34&lt;0,0,'[12]Calculo ISR '!$Z$34)</f>
        <v>75.081749049215233</v>
      </c>
      <c r="N22" s="38">
        <f>E22*P4</f>
        <v>313.18067913756988</v>
      </c>
      <c r="O22" s="38">
        <v>829</v>
      </c>
      <c r="P22" s="38"/>
      <c r="Q22" s="38">
        <f>'[1]HT-ADMINISTRATIVOS'!R26</f>
        <v>0</v>
      </c>
      <c r="R22" s="38">
        <f>E22*O4</f>
        <v>29.826731346435228</v>
      </c>
      <c r="S22" s="36">
        <f>M22+N22+O22+R22+P22+Q22</f>
        <v>1247.0891595332205</v>
      </c>
      <c r="T22" s="28">
        <f>IF('[1]Calculo ISR '!$Z$34&gt;0,0,'[1]Calculo ISR '!$Z$34)*-1</f>
        <v>0</v>
      </c>
      <c r="U22" s="36">
        <f t="shared" si="5"/>
        <v>1735.5839751103022</v>
      </c>
      <c r="V22" s="36">
        <f t="shared" si="1"/>
        <v>385.5</v>
      </c>
      <c r="W22" s="46"/>
      <c r="X22" s="47"/>
    </row>
    <row r="23" spans="1:24" s="48" customFormat="1" ht="45" customHeight="1">
      <c r="A23" s="53" t="s">
        <v>59</v>
      </c>
      <c r="B23" s="53" t="s">
        <v>60</v>
      </c>
      <c r="C23" s="34">
        <v>15</v>
      </c>
      <c r="D23" s="50">
        <v>198.84487558991</v>
      </c>
      <c r="E23" s="36">
        <v>2982.6731338486502</v>
      </c>
      <c r="F23" s="43"/>
      <c r="G23" s="36">
        <f>'[1]HT-ADMINISTRATIVOS'!G27</f>
        <v>385.5</v>
      </c>
      <c r="H23" s="36">
        <f>'[1]HT-ADMINISTRATIVOS'!H27</f>
        <v>0</v>
      </c>
      <c r="I23" s="36">
        <f>'[1]HT-ADMINISTRATIVOS'!J27</f>
        <v>0</v>
      </c>
      <c r="J23" s="37">
        <f>'[1]HT-ADMINISTRATIVOS'!I27</f>
        <v>0</v>
      </c>
      <c r="K23" s="36">
        <f t="shared" si="4"/>
        <v>2982.6731338486502</v>
      </c>
      <c r="L23" s="36">
        <f>K23+G23</f>
        <v>3368.1731338486502</v>
      </c>
      <c r="M23" s="28">
        <f>IF('[12]Calculo ISR '!$AA$34&lt;0,0,'[12]Calculo ISR '!$AA$34)</f>
        <v>75.081748962733116</v>
      </c>
      <c r="N23" s="38">
        <f>E23*P4</f>
        <v>313.18067905410828</v>
      </c>
      <c r="O23" s="38">
        <f>'[1]HT-ADMINISTRATIVOS'!P27</f>
        <v>0</v>
      </c>
      <c r="P23" s="38">
        <f>'[1]HT-ADMINISTRATIVOS'!Q27</f>
        <v>0</v>
      </c>
      <c r="Q23" s="38">
        <f>'[1]HT-ADMINISTRATIVOS'!R27</f>
        <v>0</v>
      </c>
      <c r="R23" s="38">
        <f>E23*O4</f>
        <v>29.826731338486503</v>
      </c>
      <c r="S23" s="36">
        <f t="shared" si="3"/>
        <v>418.08915935532792</v>
      </c>
      <c r="T23" s="28">
        <f>IF('[1]Calculo ISR '!$AA$34&gt;0,0,'[1]Calculo ISR '!$AA$34)*-1</f>
        <v>0</v>
      </c>
      <c r="U23" s="36">
        <f t="shared" si="5"/>
        <v>2564.5839744933223</v>
      </c>
      <c r="V23" s="36">
        <f t="shared" si="1"/>
        <v>385.5</v>
      </c>
      <c r="W23" s="46"/>
      <c r="X23" s="47"/>
    </row>
    <row r="24" spans="1:24" s="48" customFormat="1" ht="45" customHeight="1">
      <c r="A24" s="54" t="s">
        <v>61</v>
      </c>
      <c r="B24" s="55" t="s">
        <v>62</v>
      </c>
      <c r="C24" s="34">
        <v>15</v>
      </c>
      <c r="D24" s="50">
        <v>198.84487558991</v>
      </c>
      <c r="E24" s="36">
        <v>2982.6731338486502</v>
      </c>
      <c r="F24" s="43"/>
      <c r="G24" s="36">
        <f>'[1]HT-ADMINISTRATIVOS'!G28</f>
        <v>385.5</v>
      </c>
      <c r="H24" s="36">
        <f>'[1]HT-ADMINISTRATIVOS'!H28</f>
        <v>446</v>
      </c>
      <c r="I24" s="36">
        <f>'[1]HT-ADMINISTRATIVOS'!J28</f>
        <v>0</v>
      </c>
      <c r="J24" s="37">
        <f>'[1]HT-ADMINISTRATIVOS'!I28</f>
        <v>0</v>
      </c>
      <c r="K24" s="36">
        <f t="shared" si="4"/>
        <v>3428.6731338486502</v>
      </c>
      <c r="L24" s="36">
        <f>K24+G24</f>
        <v>3814.1731338486502</v>
      </c>
      <c r="M24" s="28">
        <f>IF('[12]Calculo ISR '!$AB$34&lt;0,0,'[12]Calculo ISR '!$AB$34)</f>
        <v>143.85654896273311</v>
      </c>
      <c r="N24" s="38">
        <f>E24*P4</f>
        <v>313.18067905410828</v>
      </c>
      <c r="O24" s="38">
        <v>215.8</v>
      </c>
      <c r="P24" s="38">
        <f>'[1]HT-ADMINISTRATIVOS'!Q28</f>
        <v>0</v>
      </c>
      <c r="Q24" s="38">
        <f>'[1]HT-ADMINISTRATIVOS'!R28</f>
        <v>0</v>
      </c>
      <c r="R24" s="38">
        <f>E24*O4</f>
        <v>29.826731338486503</v>
      </c>
      <c r="S24" s="36">
        <f t="shared" si="3"/>
        <v>702.66395935532796</v>
      </c>
      <c r="T24" s="28">
        <f>IF('[1]Calculo ISR '!$AB$34&gt;0,0,'[1]Calculo ISR '!$AB$34)*-1</f>
        <v>0</v>
      </c>
      <c r="U24" s="36">
        <f t="shared" si="5"/>
        <v>2726.0091744933225</v>
      </c>
      <c r="V24" s="36">
        <f t="shared" si="1"/>
        <v>385.5</v>
      </c>
      <c r="W24" s="46"/>
      <c r="X24" s="47"/>
    </row>
    <row r="25" spans="1:24" s="48" customFormat="1" ht="45" customHeight="1">
      <c r="A25" s="54" t="s">
        <v>63</v>
      </c>
      <c r="B25" s="55" t="s">
        <v>64</v>
      </c>
      <c r="C25" s="34">
        <v>15</v>
      </c>
      <c r="D25" s="50">
        <v>180.11154727500002</v>
      </c>
      <c r="E25" s="36">
        <v>2701.6732091250005</v>
      </c>
      <c r="F25" s="43"/>
      <c r="G25" s="36">
        <f>'[1]HT-ADMINISTRATIVOS'!G29</f>
        <v>385.5</v>
      </c>
      <c r="H25" s="36">
        <f>'[1]HT-ADMINISTRATIVOS'!H29</f>
        <v>892</v>
      </c>
      <c r="I25" s="36">
        <f>'[1]HT-ADMINISTRATIVOS'!J29</f>
        <v>0</v>
      </c>
      <c r="J25" s="37">
        <f>'[1]HT-ADMINISTRATIVOS'!I29</f>
        <v>0</v>
      </c>
      <c r="K25" s="36">
        <f t="shared" si="4"/>
        <v>3593.6732091250005</v>
      </c>
      <c r="L25" s="36">
        <f>K25+G25</f>
        <v>3979.1732091250005</v>
      </c>
      <c r="M25" s="28">
        <f>IF('[12]Calculo ISR '!$AC$34&lt;0,0,'[12]Calculo ISR '!$AC$34)</f>
        <v>143.85654896273311</v>
      </c>
      <c r="N25" s="38">
        <f>E25*P4</f>
        <v>283.67568695812503</v>
      </c>
      <c r="O25" s="38">
        <v>0</v>
      </c>
      <c r="P25" s="38">
        <f>'[1]HT-ADMINISTRATIVOS'!Q29</f>
        <v>0</v>
      </c>
      <c r="Q25" s="38">
        <f>'[1]HT-ADMINISTRATIVOS'!R29</f>
        <v>0</v>
      </c>
      <c r="R25" s="38">
        <f>E25*O4</f>
        <v>27.016732091250006</v>
      </c>
      <c r="S25" s="36">
        <f t="shared" si="3"/>
        <v>454.54896801210816</v>
      </c>
      <c r="T25" s="28">
        <f>IF('[1]Calculo ISR '!$AC$34&gt;0,0,'[1]Calculo ISR '!$AC$34)*-1</f>
        <v>0</v>
      </c>
      <c r="U25" s="36">
        <f t="shared" si="5"/>
        <v>3139.1242411128924</v>
      </c>
      <c r="V25" s="36">
        <f t="shared" si="1"/>
        <v>385.5</v>
      </c>
      <c r="W25" s="46"/>
      <c r="X25" s="47"/>
    </row>
    <row r="26" spans="1:24" s="48" customFormat="1" ht="45" customHeight="1">
      <c r="A26" s="56" t="s">
        <v>65</v>
      </c>
      <c r="B26" s="55" t="s">
        <v>66</v>
      </c>
      <c r="C26" s="34">
        <v>15</v>
      </c>
      <c r="D26" s="50">
        <v>141.57938707</v>
      </c>
      <c r="E26" s="36">
        <v>2123.69080605</v>
      </c>
      <c r="F26" s="43"/>
      <c r="G26" s="36">
        <f>'[1]HT-ADMINISTRATIVOS'!G31</f>
        <v>385.5</v>
      </c>
      <c r="H26" s="36">
        <f>'[1]HT-ADMINISTRATIVOS'!H31</f>
        <v>446</v>
      </c>
      <c r="I26" s="36">
        <f>'[1]HT-ADMINISTRATIVOS'!J31</f>
        <v>0</v>
      </c>
      <c r="J26" s="37">
        <f>'[1]HT-ADMINISTRATIVOS'!I31</f>
        <v>0</v>
      </c>
      <c r="K26" s="36">
        <f t="shared" si="4"/>
        <v>2569.69080605</v>
      </c>
      <c r="L26" s="36">
        <f>K26+G26+T26</f>
        <v>2955.19080605</v>
      </c>
      <c r="M26" s="28">
        <f>IF('[12]Calculo ISR '!$AD$34&lt;0,0,'[12]Calculo ISR '!$AD$34)</f>
        <v>15.149271698239971</v>
      </c>
      <c r="N26" s="38">
        <f>E26*P4</f>
        <v>222.98753463525</v>
      </c>
      <c r="O26" s="38">
        <f>'[1]HT-ADMINISTRATIVOS'!P31</f>
        <v>0</v>
      </c>
      <c r="P26" s="38">
        <f>'[1]HT-ADMINISTRATIVOS'!Q31</f>
        <v>0</v>
      </c>
      <c r="Q26" s="38">
        <f>'[1]HT-ADMINISTRATIVOS'!R31</f>
        <v>0</v>
      </c>
      <c r="R26" s="38">
        <f>E26*O4</f>
        <v>21.236908060499999</v>
      </c>
      <c r="S26" s="36">
        <f t="shared" si="3"/>
        <v>259.37371439398999</v>
      </c>
      <c r="T26" s="28">
        <f>IF('[1]Calculo ISR '!$AD$34&gt;0,0,'[1]Calculo ISR '!$AD$34)*-1</f>
        <v>0</v>
      </c>
      <c r="U26" s="36">
        <f t="shared" si="5"/>
        <v>2310.3170916560102</v>
      </c>
      <c r="V26" s="36">
        <f t="shared" si="1"/>
        <v>385.5</v>
      </c>
      <c r="W26" s="46"/>
      <c r="X26" s="47"/>
    </row>
    <row r="27" spans="1:24" s="48" customFormat="1" ht="45" customHeight="1">
      <c r="A27" s="56" t="s">
        <v>67</v>
      </c>
      <c r="B27" s="57" t="s">
        <v>68</v>
      </c>
      <c r="C27" s="34">
        <v>15</v>
      </c>
      <c r="D27" s="50">
        <v>534.93837680832996</v>
      </c>
      <c r="E27" s="36">
        <v>8024.0756521249496</v>
      </c>
      <c r="F27" s="43"/>
      <c r="G27" s="36">
        <f>'[1]HT-ADMINISTRATIVOS'!G32</f>
        <v>385.5</v>
      </c>
      <c r="H27" s="36">
        <f>'[1]HT-ADMINISTRATIVOS'!H32</f>
        <v>0</v>
      </c>
      <c r="I27" s="36">
        <f>'[1]HT-ADMINISTRATIVOS'!J32</f>
        <v>0</v>
      </c>
      <c r="J27" s="37">
        <f>E27*Q4</f>
        <v>304.91487478074805</v>
      </c>
      <c r="K27" s="36">
        <f t="shared" si="4"/>
        <v>8328.9905269056981</v>
      </c>
      <c r="L27" s="36">
        <f>K27+G27</f>
        <v>8714.4905269056981</v>
      </c>
      <c r="M27" s="28">
        <f>IF('[12]Calculo ISR '!$AE$34&lt;0,0,'[12]Calculo ISR '!$AE$34)</f>
        <v>1231.8832005470572</v>
      </c>
      <c r="N27" s="38">
        <f>E27*P4</f>
        <v>842.52794347311965</v>
      </c>
      <c r="O27" s="38">
        <v>2150.31</v>
      </c>
      <c r="P27" s="38">
        <f>'[1]HT-ADMINISTRATIVOS'!Q32</f>
        <v>0</v>
      </c>
      <c r="Q27" s="38">
        <f>'[1]HT-ADMINISTRATIVOS'!R32</f>
        <v>0</v>
      </c>
      <c r="R27" s="38">
        <f>'[1]HT-ADMINISTRATIVOS'!S32</f>
        <v>0</v>
      </c>
      <c r="S27" s="36">
        <f t="shared" si="3"/>
        <v>4224.7211440201772</v>
      </c>
      <c r="T27" s="28">
        <f>IF('[1]Calculo ISR '!$AE$34&gt;0,0,'[1]Calculo ISR '!$AE$34)*-1</f>
        <v>0</v>
      </c>
      <c r="U27" s="36">
        <f t="shared" si="5"/>
        <v>4104.2693828855208</v>
      </c>
      <c r="V27" s="36">
        <f t="shared" si="1"/>
        <v>385.5</v>
      </c>
      <c r="W27" s="46"/>
      <c r="X27" s="47"/>
    </row>
    <row r="28" spans="1:24" s="48" customFormat="1" ht="45" customHeight="1">
      <c r="A28" s="58" t="s">
        <v>69</v>
      </c>
      <c r="B28" s="59" t="s">
        <v>70</v>
      </c>
      <c r="C28" s="34">
        <v>15</v>
      </c>
      <c r="D28" s="50">
        <v>230.34834514817072</v>
      </c>
      <c r="E28" s="36">
        <v>3455.2251772225609</v>
      </c>
      <c r="F28" s="43"/>
      <c r="G28" s="36">
        <v>385.5</v>
      </c>
      <c r="H28" s="36">
        <f>'[1]HT-ADMINISTRATIVOS'!H33</f>
        <v>0</v>
      </c>
      <c r="I28" s="36">
        <f>'[1]HT-ADMINISTRATIVOS'!J33</f>
        <v>0</v>
      </c>
      <c r="J28" s="37">
        <f>'[1]HT-ADMINISTRATIVOS'!I33</f>
        <v>0</v>
      </c>
      <c r="K28" s="36">
        <f t="shared" si="4"/>
        <v>3455.2251772225609</v>
      </c>
      <c r="L28" s="36">
        <f>K28+G28</f>
        <v>3840.7251772225609</v>
      </c>
      <c r="M28" s="28">
        <f>IF('[12]Calculo ISR '!$AF$34&lt;0,0,'[12]Calculo ISR '!$AF$34)</f>
        <v>146.74541128181463</v>
      </c>
      <c r="N28" s="38">
        <f>E28*P4</f>
        <v>362.79864360836888</v>
      </c>
      <c r="O28" s="38"/>
      <c r="P28" s="143"/>
      <c r="Q28" s="38"/>
      <c r="R28" s="38">
        <f>E28*O4</f>
        <v>34.55225177222561</v>
      </c>
      <c r="S28" s="36">
        <f>M28+N28+O28+R28+P28+Q28</f>
        <v>544.09630666240912</v>
      </c>
      <c r="T28" s="28">
        <f>IF('[1]Calculo ISR '!$AF$34&gt;0,0,'[1]Calculo ISR '!$AF$34)*-1</f>
        <v>0</v>
      </c>
      <c r="U28" s="36">
        <f>K28-S28+T28</f>
        <v>2911.1288705601519</v>
      </c>
      <c r="V28" s="36">
        <v>385.5</v>
      </c>
      <c r="W28" s="46"/>
      <c r="X28" s="47"/>
    </row>
    <row r="29" spans="1:24" s="48" customFormat="1" ht="45" customHeight="1">
      <c r="A29" s="60" t="s">
        <v>71</v>
      </c>
      <c r="B29" s="61" t="s">
        <v>72</v>
      </c>
      <c r="C29" s="66">
        <v>15</v>
      </c>
      <c r="D29" s="50">
        <v>141.57938707</v>
      </c>
      <c r="E29" s="36">
        <v>2123.69080605</v>
      </c>
      <c r="F29" s="43"/>
      <c r="G29" s="36">
        <f>'[1]HT-ADMINISTRATIVOS'!G35</f>
        <v>385.5</v>
      </c>
      <c r="H29" s="36">
        <f>'[1]HT-ADMINISTRATIVOS'!H35</f>
        <v>0</v>
      </c>
      <c r="I29" s="36">
        <f>'[1]HT-ADMINISTRATIVOS'!J35</f>
        <v>0</v>
      </c>
      <c r="J29" s="37">
        <f>'[1]HT-ADMINISTRATIVOS'!I35</f>
        <v>0</v>
      </c>
      <c r="K29" s="36">
        <f t="shared" si="4"/>
        <v>2123.69080605</v>
      </c>
      <c r="L29" s="36">
        <f>K29+G29+T29</f>
        <v>2570.9163343517598</v>
      </c>
      <c r="M29" s="28">
        <f>IF('[12]Calculo ISR '!$AG$34&lt;0,0,'[12]Calculo ISR '!$AG$34)</f>
        <v>0</v>
      </c>
      <c r="N29" s="38">
        <f>E29*P4</f>
        <v>222.98753463525</v>
      </c>
      <c r="O29" s="38">
        <v>300</v>
      </c>
      <c r="P29" s="38">
        <f>'[1]HT-ADMINISTRATIVOS'!Q35</f>
        <v>0</v>
      </c>
      <c r="Q29" s="38">
        <f>'[1]HT-ADMINISTRATIVOS'!R35</f>
        <v>0</v>
      </c>
      <c r="R29" s="38">
        <f>E29*O4</f>
        <v>21.236908060499999</v>
      </c>
      <c r="S29" s="36">
        <f t="shared" si="3"/>
        <v>544.22444269574999</v>
      </c>
      <c r="T29" s="28">
        <f>IF('[1]Calculo ISR '!$AG$34&gt;0,0,'[1]Calculo ISR '!$AG$34)*-1</f>
        <v>61.725528301760008</v>
      </c>
      <c r="U29" s="36">
        <f t="shared" si="5"/>
        <v>1641.1918916560101</v>
      </c>
      <c r="V29" s="36">
        <f>G29</f>
        <v>385.5</v>
      </c>
      <c r="W29" s="67"/>
      <c r="X29" s="47"/>
    </row>
    <row r="30" spans="1:24" s="48" customFormat="1" ht="45" customHeight="1">
      <c r="A30" s="53" t="s">
        <v>73</v>
      </c>
      <c r="B30" s="61" t="s">
        <v>74</v>
      </c>
      <c r="C30" s="66">
        <v>15</v>
      </c>
      <c r="D30" s="50">
        <v>534.93837680832996</v>
      </c>
      <c r="E30" s="36">
        <v>8024.0756521249496</v>
      </c>
      <c r="F30" s="43"/>
      <c r="G30" s="36">
        <f>'[1]HT-ADMINISTRATIVOS'!G36</f>
        <v>385.5</v>
      </c>
      <c r="H30" s="36">
        <f>'[1]HT-ADMINISTRATIVOS'!H36</f>
        <v>0</v>
      </c>
      <c r="I30" s="36">
        <f>'[1]HT-ADMINISTRATIVOS'!J36</f>
        <v>0</v>
      </c>
      <c r="J30" s="37">
        <f>'[1]HT-ADMINISTRATIVOS'!I36</f>
        <v>0</v>
      </c>
      <c r="K30" s="36">
        <f t="shared" si="4"/>
        <v>8024.0756521249496</v>
      </c>
      <c r="L30" s="36">
        <f>K30+G30</f>
        <v>8409.5756521249496</v>
      </c>
      <c r="M30" s="28">
        <f>IF('[12]Calculo ISR '!$AH$34&lt;0,0,'[12]Calculo ISR '!$AH$34)</f>
        <v>1166.7533832938893</v>
      </c>
      <c r="N30" s="38">
        <f>E30*P4</f>
        <v>842.52794347311965</v>
      </c>
      <c r="O30" s="38">
        <f>'[1]HT-ADMINISTRATIVOS'!P36</f>
        <v>0</v>
      </c>
      <c r="P30" s="38">
        <f>'[1]HT-ADMINISTRATIVOS'!Q36</f>
        <v>0</v>
      </c>
      <c r="Q30" s="38">
        <f>'[1]HT-ADMINISTRATIVOS'!R36</f>
        <v>0</v>
      </c>
      <c r="R30" s="38">
        <f>'[1]HT-ADMINISTRATIVOS'!S36</f>
        <v>0</v>
      </c>
      <c r="S30" s="36">
        <f t="shared" si="3"/>
        <v>2009.281326767009</v>
      </c>
      <c r="T30" s="28">
        <f>IF('[1]Calculo ISR '!$AH$34&gt;0,0,'[1]Calculo ISR '!$AH$34)*-1</f>
        <v>0</v>
      </c>
      <c r="U30" s="36">
        <f t="shared" si="5"/>
        <v>6014.7943253579406</v>
      </c>
      <c r="V30" s="36">
        <f>G30</f>
        <v>385.5</v>
      </c>
      <c r="W30" s="67"/>
      <c r="X30" s="47"/>
    </row>
    <row r="31" spans="1:24" s="48" customFormat="1" ht="45" customHeight="1">
      <c r="A31" s="68" t="s">
        <v>75</v>
      </c>
      <c r="B31" s="61" t="s">
        <v>76</v>
      </c>
      <c r="C31" s="66">
        <v>15</v>
      </c>
      <c r="D31" s="50">
        <v>141.57938707</v>
      </c>
      <c r="E31" s="36">
        <v>2123.69080605</v>
      </c>
      <c r="F31" s="43"/>
      <c r="G31" s="36">
        <f>'[1]HT-ADMINISTRATIVOS'!G37</f>
        <v>385.5</v>
      </c>
      <c r="H31" s="36">
        <f>'[1]HT-ADMINISTRATIVOS'!H37</f>
        <v>0</v>
      </c>
      <c r="I31" s="36">
        <f>'[1]HT-ADMINISTRATIVOS'!J37</f>
        <v>0</v>
      </c>
      <c r="J31" s="37">
        <f>'[1]HT-ADMINISTRATIVOS'!I37</f>
        <v>0</v>
      </c>
      <c r="K31" s="36">
        <f t="shared" si="4"/>
        <v>2123.69080605</v>
      </c>
      <c r="L31" s="36">
        <f>K31+G31+T31</f>
        <v>2570.9163343517598</v>
      </c>
      <c r="M31" s="28">
        <f>IF('[12]Calculo ISR '!$AI$34&lt;0,0,'[12]Calculo ISR '!$AI$34)</f>
        <v>0</v>
      </c>
      <c r="N31" s="38">
        <f>E31*P4</f>
        <v>222.98753463525</v>
      </c>
      <c r="O31" s="38">
        <f>'[1]HT-ADMINISTRATIVOS'!P37</f>
        <v>0</v>
      </c>
      <c r="P31" s="38">
        <f>'[1]HT-ADMINISTRATIVOS'!Q37</f>
        <v>0</v>
      </c>
      <c r="Q31" s="38">
        <f>'[1]HT-ADMINISTRATIVOS'!R37</f>
        <v>0</v>
      </c>
      <c r="R31" s="38">
        <f>E31*O4</f>
        <v>21.236908060499999</v>
      </c>
      <c r="S31" s="36">
        <f t="shared" si="3"/>
        <v>244.22444269574999</v>
      </c>
      <c r="T31" s="28">
        <f>IF('[1]Calculo ISR '!$AI$34&gt;0,0,'[1]Calculo ISR '!$AI$34)*-1</f>
        <v>61.725528301760008</v>
      </c>
      <c r="U31" s="36">
        <f t="shared" si="5"/>
        <v>1941.1918916560101</v>
      </c>
      <c r="V31" s="36">
        <f>G31</f>
        <v>385.5</v>
      </c>
      <c r="W31" s="67"/>
      <c r="X31" s="47"/>
    </row>
    <row r="32" spans="1:24" s="81" customFormat="1" ht="45" customHeight="1">
      <c r="A32" s="69" t="s">
        <v>77</v>
      </c>
      <c r="B32" s="70" t="s">
        <v>78</v>
      </c>
      <c r="C32" s="71">
        <v>15</v>
      </c>
      <c r="D32" s="72">
        <v>873.012693639492</v>
      </c>
      <c r="E32" s="73">
        <v>13095.19040459238</v>
      </c>
      <c r="F32" s="73">
        <f>'[1]HT-ADMINISTRATIVOS'!F38</f>
        <v>0</v>
      </c>
      <c r="G32" s="73">
        <v>385.5</v>
      </c>
      <c r="H32" s="73">
        <f>'[1]HT-ADMINISTRATIVOS'!H38</f>
        <v>0</v>
      </c>
      <c r="I32" s="73">
        <f>'[1]HT-ADMINISTRATIVOS'!I38</f>
        <v>0</v>
      </c>
      <c r="J32" s="73">
        <f>'[1]HT-ADMINISTRATIVOS'!J38</f>
        <v>0</v>
      </c>
      <c r="K32" s="73">
        <f t="shared" si="4"/>
        <v>13095.19040459238</v>
      </c>
      <c r="L32" s="73">
        <f>K32+G32</f>
        <v>13480.69040459238</v>
      </c>
      <c r="M32" s="28">
        <f>IF('[12]Calculo ISR '!$AJ$34&lt;0,0,'[12]Calculo ISR '!$AJ$34)</f>
        <v>2311.300991160128</v>
      </c>
      <c r="N32" s="73">
        <f>E32*P4</f>
        <v>1374.9949924821999</v>
      </c>
      <c r="O32" s="73">
        <v>1489.84</v>
      </c>
      <c r="P32" s="73">
        <f>'[1]HT-ADMINISTRATIVOS'!Q38</f>
        <v>0</v>
      </c>
      <c r="Q32" s="73">
        <f>'[1]HT-ADMINISTRATIVOS'!R38</f>
        <v>0</v>
      </c>
      <c r="R32" s="73">
        <f>'[1]HT-ADMINISTRATIVOS'!S38</f>
        <v>0</v>
      </c>
      <c r="S32" s="73">
        <f t="shared" ref="S32:S39" si="6">M32+N32+O32+P32+Q32+R32</f>
        <v>5176.135983642328</v>
      </c>
      <c r="T32" s="28">
        <f>IF('[1]Calculo ISR '!$AJ$34&gt;0,0,'[1]Calculo ISR '!$AJ$34)*-1</f>
        <v>0</v>
      </c>
      <c r="U32" s="73">
        <f t="shared" si="5"/>
        <v>7919.0544209500522</v>
      </c>
      <c r="V32" s="73">
        <v>385.5</v>
      </c>
      <c r="W32" s="74"/>
      <c r="X32" s="47"/>
    </row>
    <row r="33" spans="1:26" s="81" customFormat="1" ht="45" customHeight="1">
      <c r="A33" s="53" t="s">
        <v>79</v>
      </c>
      <c r="B33" s="61" t="s">
        <v>80</v>
      </c>
      <c r="C33" s="66">
        <v>15</v>
      </c>
      <c r="D33" s="76">
        <v>534.93837680832996</v>
      </c>
      <c r="E33" s="50">
        <v>8024.0756521249496</v>
      </c>
      <c r="F33" s="50"/>
      <c r="G33" s="77">
        <f>385.5</f>
        <v>385.5</v>
      </c>
      <c r="H33" s="50"/>
      <c r="I33" s="50"/>
      <c r="J33" s="50"/>
      <c r="K33" s="78">
        <f t="shared" si="4"/>
        <v>8024.0756521249496</v>
      </c>
      <c r="L33" s="78">
        <f>K33+G33</f>
        <v>8409.5756521249496</v>
      </c>
      <c r="M33" s="28">
        <f>IF('[1]Calculo ISR '!$AK$34&lt;0,0,'[1]Calculo ISR '!$AK$34)</f>
        <v>1166.7533832938893</v>
      </c>
      <c r="N33" s="79">
        <f>E33*P4</f>
        <v>842.52794347311965</v>
      </c>
      <c r="O33" s="78"/>
      <c r="P33" s="50"/>
      <c r="Q33" s="78"/>
      <c r="R33" s="50"/>
      <c r="S33" s="50">
        <f t="shared" si="6"/>
        <v>2009.281326767009</v>
      </c>
      <c r="T33" s="28">
        <f>IF('[1]Calculo ISR '!$AK$34&gt;0,0,'[1]Calculo ISR '!$AK$34)*-1</f>
        <v>0</v>
      </c>
      <c r="U33" s="79">
        <f>K33-S33</f>
        <v>6014.7943253579406</v>
      </c>
      <c r="V33" s="73">
        <v>385.5</v>
      </c>
      <c r="W33" s="80"/>
      <c r="X33" s="47"/>
    </row>
    <row r="34" spans="1:26" s="81" customFormat="1" ht="45" customHeight="1">
      <c r="A34" s="91" t="s">
        <v>83</v>
      </c>
      <c r="B34" s="139" t="s">
        <v>84</v>
      </c>
      <c r="C34" s="66">
        <v>15</v>
      </c>
      <c r="D34" s="76">
        <v>180.10895980000001</v>
      </c>
      <c r="E34" s="50">
        <v>2701.6343970000003</v>
      </c>
      <c r="F34" s="50"/>
      <c r="G34" s="77">
        <f>385.5</f>
        <v>385.5</v>
      </c>
      <c r="H34" s="50">
        <v>892</v>
      </c>
      <c r="I34" s="50"/>
      <c r="J34" s="50"/>
      <c r="K34" s="78">
        <f t="shared" ref="K34:K39" si="7">E34+F34+H34+I34+J34</f>
        <v>3593.6343970000003</v>
      </c>
      <c r="L34" s="78">
        <f>K34+G34</f>
        <v>3979.1343970000003</v>
      </c>
      <c r="M34" s="28">
        <f>IF('[12]Calculo ISR '!$AM$34&lt;0,0,'[12]Calculo ISR '!$AM$34)</f>
        <v>179.50433439359998</v>
      </c>
      <c r="N34" s="92">
        <f>E34*P4</f>
        <v>283.67161168500002</v>
      </c>
      <c r="O34" s="78"/>
      <c r="P34" s="50"/>
      <c r="Q34" s="78"/>
      <c r="R34" s="50">
        <f>E34*O4</f>
        <v>27.016343970000005</v>
      </c>
      <c r="S34" s="50">
        <f>M34+N34+O34+P34+Q34+R34</f>
        <v>490.19229004859994</v>
      </c>
      <c r="T34" s="28">
        <f>IF('[1]Calculo ISR '!$AM$34&gt;0,0,'[1]Calculo ISR '!$AM$34)*-1</f>
        <v>0</v>
      </c>
      <c r="U34" s="79">
        <f t="shared" ref="U34:U39" si="8">K34-S34+T34</f>
        <v>3103.4421069514001</v>
      </c>
      <c r="V34" s="73">
        <v>385.5</v>
      </c>
      <c r="W34" s="80"/>
      <c r="X34" s="47"/>
    </row>
    <row r="35" spans="1:26" s="81" customFormat="1" ht="45" customHeight="1">
      <c r="A35" s="91" t="s">
        <v>85</v>
      </c>
      <c r="B35" s="139" t="s">
        <v>86</v>
      </c>
      <c r="C35" s="66">
        <v>15</v>
      </c>
      <c r="D35" s="76">
        <v>219.23158179999999</v>
      </c>
      <c r="E35" s="50">
        <v>3288.4737269999996</v>
      </c>
      <c r="F35" s="50"/>
      <c r="G35" s="77">
        <f>385.5</f>
        <v>385.5</v>
      </c>
      <c r="H35" s="50">
        <v>446</v>
      </c>
      <c r="I35" s="50"/>
      <c r="J35" s="50"/>
      <c r="K35" s="78">
        <f t="shared" si="7"/>
        <v>3734.4737269999996</v>
      </c>
      <c r="L35" s="78">
        <f>K35+G35</f>
        <v>4119.9737269999996</v>
      </c>
      <c r="M35" s="28">
        <f>IF('[12]Calculo ISR '!$AN$34&lt;0,0,'[12]Calculo ISR '!$AN$34)</f>
        <v>306.60419631999991</v>
      </c>
      <c r="N35" s="92">
        <f>E35*P4</f>
        <v>345.28974133499992</v>
      </c>
      <c r="O35" s="78"/>
      <c r="P35" s="50"/>
      <c r="Q35" s="78"/>
      <c r="R35" s="50">
        <v>0</v>
      </c>
      <c r="S35" s="50">
        <f t="shared" si="6"/>
        <v>651.89393765499983</v>
      </c>
      <c r="T35" s="28">
        <f>IF('[1]Calculo ISR '!$AN$34&gt;0,0,'[1]Calculo ISR '!$AN$34)*-1</f>
        <v>0</v>
      </c>
      <c r="U35" s="79">
        <f t="shared" si="8"/>
        <v>3082.5797893449999</v>
      </c>
      <c r="V35" s="73">
        <v>385.5</v>
      </c>
      <c r="W35" s="80"/>
      <c r="X35" s="47"/>
    </row>
    <row r="36" spans="1:26" s="81" customFormat="1" ht="45" customHeight="1">
      <c r="A36" s="91" t="s">
        <v>87</v>
      </c>
      <c r="B36" s="91" t="s">
        <v>88</v>
      </c>
      <c r="C36" s="66">
        <v>15</v>
      </c>
      <c r="D36" s="76">
        <v>534.93837680832996</v>
      </c>
      <c r="E36" s="50">
        <f>E33</f>
        <v>8024.0756521249496</v>
      </c>
      <c r="F36" s="50"/>
      <c r="G36" s="77">
        <v>385.5</v>
      </c>
      <c r="H36" s="50"/>
      <c r="I36" s="50"/>
      <c r="J36" s="50"/>
      <c r="K36" s="78">
        <f t="shared" si="7"/>
        <v>8024.0756521249496</v>
      </c>
      <c r="L36" s="78">
        <f>K36+G36+T36</f>
        <v>8409.5756521249496</v>
      </c>
      <c r="M36" s="28">
        <f>IF('[12]Calculo ISR '!$AO$34&lt;0,0,'[12]Calculo ISR '!$AO$34)</f>
        <v>1166.7533832938893</v>
      </c>
      <c r="N36" s="92">
        <f>E36*P4</f>
        <v>842.52794347311965</v>
      </c>
      <c r="O36" s="78">
        <v>1338</v>
      </c>
      <c r="P36" s="50"/>
      <c r="Q36" s="78"/>
      <c r="R36" s="50"/>
      <c r="S36" s="50">
        <f t="shared" si="6"/>
        <v>3347.281326767009</v>
      </c>
      <c r="T36" s="28">
        <f>IF('[1]Calculo ISR '!$AO$34&gt;0,0,'[1]Calculo ISR '!$AO$34)*-1</f>
        <v>0</v>
      </c>
      <c r="U36" s="79">
        <f t="shared" si="8"/>
        <v>4676.7943253579406</v>
      </c>
      <c r="V36" s="73">
        <f t="shared" ref="V36:V44" si="9">G36</f>
        <v>385.5</v>
      </c>
      <c r="W36" s="80"/>
      <c r="X36" s="47"/>
    </row>
    <row r="37" spans="1:26" s="81" customFormat="1" ht="45" customHeight="1">
      <c r="A37" s="91" t="s">
        <v>89</v>
      </c>
      <c r="B37" s="91" t="s">
        <v>90</v>
      </c>
      <c r="C37" s="66">
        <v>15</v>
      </c>
      <c r="D37" s="76">
        <v>171.34</v>
      </c>
      <c r="E37" s="50">
        <f>C37*D37</f>
        <v>2570.1</v>
      </c>
      <c r="F37" s="50"/>
      <c r="G37" s="77">
        <v>385.5</v>
      </c>
      <c r="H37" s="50"/>
      <c r="I37" s="50"/>
      <c r="J37" s="50"/>
      <c r="K37" s="78">
        <f t="shared" si="7"/>
        <v>2570.1</v>
      </c>
      <c r="L37" s="78">
        <f>K37+G37</f>
        <v>2955.6</v>
      </c>
      <c r="M37" s="28">
        <f>IF('[12]Calculo ISR '!$AP$34&lt;0,0,'[12]Calculo ISR '!$AP$34)</f>
        <v>15.193791999999974</v>
      </c>
      <c r="N37" s="92">
        <f>E37*P4</f>
        <v>269.8605</v>
      </c>
      <c r="O37" s="78"/>
      <c r="P37" s="50"/>
      <c r="Q37" s="78"/>
      <c r="R37" s="50"/>
      <c r="S37" s="50">
        <f t="shared" si="6"/>
        <v>285.05429199999998</v>
      </c>
      <c r="T37" s="28">
        <f>IF('[1]Calculo ISR '!$AP$34&gt;0,0,'[1]Calculo ISR '!$AP$34)*-1</f>
        <v>0</v>
      </c>
      <c r="U37" s="79">
        <f t="shared" si="8"/>
        <v>2285.0457080000001</v>
      </c>
      <c r="V37" s="73">
        <f t="shared" si="9"/>
        <v>385.5</v>
      </c>
      <c r="W37" s="80"/>
      <c r="X37" s="47"/>
    </row>
    <row r="38" spans="1:26" s="81" customFormat="1" ht="45" customHeight="1">
      <c r="A38" s="91" t="s">
        <v>91</v>
      </c>
      <c r="B38" s="91" t="s">
        <v>92</v>
      </c>
      <c r="C38" s="66">
        <v>15</v>
      </c>
      <c r="D38" s="76">
        <v>131.36093080000001</v>
      </c>
      <c r="E38" s="50">
        <v>1970.4139620000001</v>
      </c>
      <c r="F38" s="50"/>
      <c r="G38" s="77">
        <v>385.5</v>
      </c>
      <c r="H38" s="50"/>
      <c r="I38" s="50"/>
      <c r="J38" s="50"/>
      <c r="K38" s="78">
        <f t="shared" si="7"/>
        <v>1970.4139620000001</v>
      </c>
      <c r="L38" s="78">
        <f>K38+G38+T38</f>
        <v>2429.5253084320002</v>
      </c>
      <c r="M38" s="28">
        <f>IF('[12]Calculo ISR '!$AQ$34&lt;0,0,'[12]Calculo ISR '!$AQ$34)</f>
        <v>0</v>
      </c>
      <c r="N38" s="92">
        <f>E38*P4</f>
        <v>206.89346601</v>
      </c>
      <c r="O38" s="78">
        <v>493</v>
      </c>
      <c r="P38" s="50"/>
      <c r="Q38" s="78"/>
      <c r="R38" s="50"/>
      <c r="S38" s="50">
        <f t="shared" si="6"/>
        <v>699.89346601</v>
      </c>
      <c r="T38" s="28">
        <f>IF('[1]Calculo ISR '!$AQ$34&gt;0,0,'[1]Calculo ISR '!$AQ$34)*-1</f>
        <v>73.611346431999976</v>
      </c>
      <c r="U38" s="79">
        <f t="shared" si="8"/>
        <v>1344.1318424220001</v>
      </c>
      <c r="V38" s="73">
        <f t="shared" si="9"/>
        <v>385.5</v>
      </c>
      <c r="W38" s="80"/>
      <c r="X38" s="47"/>
    </row>
    <row r="39" spans="1:26" s="81" customFormat="1" ht="45" customHeight="1">
      <c r="A39" s="91" t="s">
        <v>93</v>
      </c>
      <c r="B39" s="91" t="s">
        <v>94</v>
      </c>
      <c r="C39" s="66">
        <v>15</v>
      </c>
      <c r="D39" s="76">
        <v>131.36093080000001</v>
      </c>
      <c r="E39" s="50">
        <v>1970.4139620000001</v>
      </c>
      <c r="F39" s="50"/>
      <c r="G39" s="77">
        <v>385.5</v>
      </c>
      <c r="H39" s="50"/>
      <c r="I39" s="50"/>
      <c r="J39" s="50"/>
      <c r="K39" s="78">
        <f t="shared" si="7"/>
        <v>1970.4139620000001</v>
      </c>
      <c r="L39" s="78">
        <f>K39+G39+T39</f>
        <v>2429.5253084320002</v>
      </c>
      <c r="M39" s="28">
        <f>IF('[12]Calculo ISR '!$AR$34&lt;0,0,'[12]Calculo ISR '!$AR$34)</f>
        <v>0</v>
      </c>
      <c r="N39" s="92">
        <f>E39*P4</f>
        <v>206.89346601</v>
      </c>
      <c r="O39" s="78"/>
      <c r="P39" s="50"/>
      <c r="Q39" s="78"/>
      <c r="R39" s="50"/>
      <c r="S39" s="50">
        <f t="shared" si="6"/>
        <v>206.89346601</v>
      </c>
      <c r="T39" s="28">
        <f>IF('[1]Calculo ISR '!$AR$34&gt;0,0,'[1]Calculo ISR '!$AR$34)*-1</f>
        <v>73.611346431999976</v>
      </c>
      <c r="U39" s="79">
        <f t="shared" si="8"/>
        <v>1837.1318424220001</v>
      </c>
      <c r="V39" s="73">
        <f t="shared" si="9"/>
        <v>385.5</v>
      </c>
      <c r="W39" s="80"/>
      <c r="X39" s="47"/>
    </row>
    <row r="40" spans="1:26" s="81" customFormat="1" ht="45" customHeight="1">
      <c r="A40" s="91" t="s">
        <v>95</v>
      </c>
      <c r="B40" s="91" t="s">
        <v>96</v>
      </c>
      <c r="C40" s="66">
        <v>15</v>
      </c>
      <c r="D40" s="76">
        <v>754.54</v>
      </c>
      <c r="E40" s="50">
        <f>C40*D40</f>
        <v>11318.099999999999</v>
      </c>
      <c r="F40" s="50"/>
      <c r="G40" s="77">
        <v>385.5</v>
      </c>
      <c r="H40" s="50"/>
      <c r="I40" s="50"/>
      <c r="J40" s="50"/>
      <c r="K40" s="78">
        <f>E40+H40+I40+J40</f>
        <v>11318.099999999999</v>
      </c>
      <c r="L40" s="78">
        <f>K40+G40</f>
        <v>11703.599999999999</v>
      </c>
      <c r="M40" s="28">
        <f>IF('[12]Calculo ISR '!$AS$34&lt;0,0,'[12]Calculo ISR '!$AS$34)</f>
        <v>1893.3293279999998</v>
      </c>
      <c r="N40" s="92">
        <f>E40*P4</f>
        <v>1188.4004999999997</v>
      </c>
      <c r="O40" s="78"/>
      <c r="P40" s="50"/>
      <c r="Q40" s="78"/>
      <c r="R40" s="50"/>
      <c r="S40" s="50">
        <f>M40+N40+O40+P40+Q40+R40</f>
        <v>3081.7298279999995</v>
      </c>
      <c r="T40" s="28">
        <f>IF('[1]Calculo ISR '!$AS$34&gt;0,0,'[1]Calculo ISR '!$AS$34)*-1</f>
        <v>0</v>
      </c>
      <c r="U40" s="79">
        <f>K40-S40</f>
        <v>8236.370171999999</v>
      </c>
      <c r="V40" s="73">
        <f t="shared" si="9"/>
        <v>385.5</v>
      </c>
      <c r="W40" s="80"/>
      <c r="X40" s="47"/>
    </row>
    <row r="41" spans="1:26" s="81" customFormat="1" ht="45" customHeight="1">
      <c r="A41" s="91" t="s">
        <v>97</v>
      </c>
      <c r="B41" s="91" t="s">
        <v>98</v>
      </c>
      <c r="C41" s="66">
        <v>15</v>
      </c>
      <c r="D41" s="76">
        <v>754.54</v>
      </c>
      <c r="E41" s="50">
        <f>D41*C41</f>
        <v>11318.099999999999</v>
      </c>
      <c r="F41" s="50"/>
      <c r="G41" s="77">
        <v>385.5</v>
      </c>
      <c r="H41" s="50"/>
      <c r="I41" s="50"/>
      <c r="J41" s="50"/>
      <c r="K41" s="78">
        <f>E41+H41+I41+J41</f>
        <v>11318.099999999999</v>
      </c>
      <c r="L41" s="78">
        <f>K41+G41</f>
        <v>11703.599999999999</v>
      </c>
      <c r="M41" s="28">
        <f>IF('[12]Calculo ISR '!$AT$34&lt;0,0,'[12]Calculo ISR '!$AT$34)</f>
        <v>1893.3293279999998</v>
      </c>
      <c r="N41" s="92">
        <f>E41*P4</f>
        <v>1188.4004999999997</v>
      </c>
      <c r="O41" s="78">
        <v>3773</v>
      </c>
      <c r="P41" s="50"/>
      <c r="Q41" s="78"/>
      <c r="R41" s="50"/>
      <c r="S41" s="50">
        <f>M41+N41+O41+P41+Q41+R41</f>
        <v>6854.7298279999995</v>
      </c>
      <c r="T41" s="28">
        <f>IF('[1]Calculo ISR '!$AT$34&gt;0,0,'[1]Calculo ISR '!$AT$34)*-1</f>
        <v>0</v>
      </c>
      <c r="U41" s="79">
        <f>K41-S41</f>
        <v>4463.370171999999</v>
      </c>
      <c r="V41" s="73">
        <f t="shared" si="9"/>
        <v>385.5</v>
      </c>
      <c r="W41" s="80"/>
      <c r="X41" s="47"/>
    </row>
    <row r="42" spans="1:26" s="81" customFormat="1" ht="45" customHeight="1">
      <c r="A42" s="91" t="s">
        <v>99</v>
      </c>
      <c r="B42" s="91" t="s">
        <v>100</v>
      </c>
      <c r="C42" s="66">
        <v>15</v>
      </c>
      <c r="D42" s="76">
        <v>171.34</v>
      </c>
      <c r="E42" s="50">
        <f>C42*D42</f>
        <v>2570.1</v>
      </c>
      <c r="F42" s="50"/>
      <c r="G42" s="77">
        <v>385.5</v>
      </c>
      <c r="H42" s="50"/>
      <c r="I42" s="50"/>
      <c r="J42" s="50"/>
      <c r="K42" s="78">
        <f>E42+F42+H42+I42+J42</f>
        <v>2570.1</v>
      </c>
      <c r="L42" s="78">
        <f>K42+G42</f>
        <v>2955.6</v>
      </c>
      <c r="M42" s="28">
        <f>IF('[12]Calculo ISR '!$AU$34&lt;0,0,'[12]Calculo ISR '!$AU$34)</f>
        <v>15.193791999999974</v>
      </c>
      <c r="N42" s="92">
        <f>E42*P4</f>
        <v>269.8605</v>
      </c>
      <c r="O42" s="78"/>
      <c r="P42" s="50"/>
      <c r="Q42" s="78"/>
      <c r="R42" s="50"/>
      <c r="S42" s="50">
        <f>M42+N42+O42+P42+Q42+R42</f>
        <v>285.05429199999998</v>
      </c>
      <c r="T42" s="28">
        <f>IF('[1]Calculo ISR '!$AU$34&gt;0,0,'[1]Calculo ISR '!$AU$34)*-1</f>
        <v>0</v>
      </c>
      <c r="U42" s="79">
        <f>K42-S42</f>
        <v>2285.0457080000001</v>
      </c>
      <c r="V42" s="73">
        <f t="shared" si="9"/>
        <v>385.5</v>
      </c>
      <c r="W42" s="80"/>
      <c r="X42" s="47"/>
    </row>
    <row r="43" spans="1:26" s="81" customFormat="1" ht="45" customHeight="1">
      <c r="A43" s="91" t="s">
        <v>101</v>
      </c>
      <c r="B43" s="91" t="s">
        <v>121</v>
      </c>
      <c r="C43" s="66">
        <v>15</v>
      </c>
      <c r="D43" s="76">
        <v>754.54</v>
      </c>
      <c r="E43" s="50">
        <f>C43*D43</f>
        <v>11318.099999999999</v>
      </c>
      <c r="F43" s="50"/>
      <c r="G43" s="77">
        <v>385.5</v>
      </c>
      <c r="H43" s="50"/>
      <c r="I43" s="50"/>
      <c r="J43" s="50"/>
      <c r="K43" s="78">
        <f>E43+F43+H43+I43+J43</f>
        <v>11318.099999999999</v>
      </c>
      <c r="L43" s="78">
        <f>K43+G43</f>
        <v>11703.599999999999</v>
      </c>
      <c r="M43" s="28">
        <f>IF('[12]Calculo ISR '!$AV$34&lt;0,0,'[12]Calculo ISR '!$AV$34)</f>
        <v>1893.3293279999998</v>
      </c>
      <c r="N43" s="92">
        <f>E43*P4</f>
        <v>1188.4004999999997</v>
      </c>
      <c r="O43" s="78"/>
      <c r="P43" s="50"/>
      <c r="Q43" s="78"/>
      <c r="R43" s="50"/>
      <c r="S43" s="50">
        <f>M43+N43+O43+P43+Q43+R43</f>
        <v>3081.7298279999995</v>
      </c>
      <c r="T43" s="28">
        <f>IF('[1]Calculo ISR '!$AV$34&gt;0,0,'[1]Calculo ISR '!$AV$34)*-1</f>
        <v>0</v>
      </c>
      <c r="U43" s="79">
        <f>K43-S43</f>
        <v>8236.370171999999</v>
      </c>
      <c r="V43" s="73">
        <f t="shared" si="9"/>
        <v>385.5</v>
      </c>
      <c r="W43" s="80"/>
      <c r="X43" s="47"/>
    </row>
    <row r="44" spans="1:26" s="81" customFormat="1" ht="45" customHeight="1">
      <c r="A44" s="91" t="s">
        <v>103</v>
      </c>
      <c r="B44" s="91" t="s">
        <v>122</v>
      </c>
      <c r="C44" s="66">
        <v>15</v>
      </c>
      <c r="D44" s="76">
        <v>171.34</v>
      </c>
      <c r="E44" s="50">
        <f>C44*D44</f>
        <v>2570.1</v>
      </c>
      <c r="F44" s="50"/>
      <c r="G44" s="77">
        <v>385.5</v>
      </c>
      <c r="H44" s="50"/>
      <c r="I44" s="50"/>
      <c r="J44" s="50"/>
      <c r="K44" s="78">
        <f>E44+F44+H44+I44+J44</f>
        <v>2570.1</v>
      </c>
      <c r="L44" s="78">
        <f>K44+G44</f>
        <v>2955.6</v>
      </c>
      <c r="M44" s="28">
        <v>15.19</v>
      </c>
      <c r="N44" s="92">
        <f>E44*P4</f>
        <v>269.8605</v>
      </c>
      <c r="O44" s="78"/>
      <c r="P44" s="50"/>
      <c r="Q44" s="78"/>
      <c r="R44" s="50"/>
      <c r="S44" s="50">
        <f>M44+N44+O44+P44+Q44+R44</f>
        <v>285.0505</v>
      </c>
      <c r="T44" s="28"/>
      <c r="U44" s="79">
        <f>K44-S44</f>
        <v>2285.0495000000001</v>
      </c>
      <c r="V44" s="73">
        <f t="shared" si="9"/>
        <v>385.5</v>
      </c>
      <c r="W44" s="80"/>
      <c r="X44" s="47"/>
    </row>
    <row r="45" spans="1:26" s="99" customFormat="1" ht="21.95" customHeight="1">
      <c r="A45" s="93"/>
      <c r="B45" s="94">
        <v>38</v>
      </c>
      <c r="C45" s="95">
        <f>SUM(C8:C44)</f>
        <v>555</v>
      </c>
      <c r="D45" s="95">
        <f>SUM(D8:D44)</f>
        <v>12328.053625151217</v>
      </c>
      <c r="E45" s="95">
        <f>SUM(E7:E44)</f>
        <v>193953.68437726822</v>
      </c>
      <c r="F45" s="95">
        <f t="shared" ref="F45:V45" si="10">SUM(F7:F44)</f>
        <v>3528.66</v>
      </c>
      <c r="G45" s="95">
        <f t="shared" si="10"/>
        <v>14775.5</v>
      </c>
      <c r="H45" s="95">
        <f t="shared" si="10"/>
        <v>4460</v>
      </c>
      <c r="I45" s="95">
        <f t="shared" si="10"/>
        <v>366.93</v>
      </c>
      <c r="J45" s="95">
        <f t="shared" si="10"/>
        <v>2147.8659320512525</v>
      </c>
      <c r="K45" s="95">
        <f t="shared" si="10"/>
        <v>204457.14030931948</v>
      </c>
      <c r="L45" s="95">
        <f t="shared" si="10"/>
        <v>219540.39882762215</v>
      </c>
      <c r="M45" s="96">
        <f t="shared" si="10"/>
        <v>23680.97777977127</v>
      </c>
      <c r="N45" s="95">
        <f>SUM(N7:N44)</f>
        <v>20365.136859613162</v>
      </c>
      <c r="O45" s="95">
        <f t="shared" si="10"/>
        <v>24282.93</v>
      </c>
      <c r="P45" s="95">
        <f t="shared" si="10"/>
        <v>0</v>
      </c>
      <c r="Q45" s="95">
        <f t="shared" si="10"/>
        <v>0</v>
      </c>
      <c r="R45" s="95">
        <f t="shared" si="10"/>
        <v>583.98062260958716</v>
      </c>
      <c r="S45" s="95">
        <f t="shared" si="10"/>
        <v>68913.025261994</v>
      </c>
      <c r="T45" s="95">
        <f t="shared" si="10"/>
        <v>307.75851830263997</v>
      </c>
      <c r="U45" s="95">
        <f t="shared" si="10"/>
        <v>135851.87356562808</v>
      </c>
      <c r="V45" s="95">
        <f t="shared" si="10"/>
        <v>14775.5</v>
      </c>
      <c r="W45" s="97"/>
      <c r="X45" s="98"/>
    </row>
    <row r="46" spans="1:26" s="6" customFormat="1" ht="10.5" customHeight="1">
      <c r="A46" s="122"/>
      <c r="B46" s="123"/>
      <c r="C46" s="124"/>
      <c r="D46" s="101"/>
      <c r="E46" s="101"/>
      <c r="F46" s="101"/>
      <c r="G46" s="125">
        <f>G45+'[12]HT-DOCENTE FIRMA'!J39</f>
        <v>22034.42</v>
      </c>
      <c r="H46" s="125">
        <f>H45+'[12]HT-DOCENTE FIRMA'!L39</f>
        <v>6110.2000000000007</v>
      </c>
      <c r="I46" s="101"/>
      <c r="J46" s="101">
        <f>J45+'[12]HT-DOCENTE FIRMA'!M39</f>
        <v>2738.4109320512525</v>
      </c>
      <c r="K46" s="101"/>
      <c r="L46" s="101"/>
      <c r="M46" s="5">
        <f>M45+'[12]HT-DOCENTE FIRMA'!P39</f>
        <v>35435.632763771267</v>
      </c>
      <c r="N46" s="101"/>
      <c r="O46" s="101"/>
      <c r="P46" s="101"/>
      <c r="Q46" s="101"/>
      <c r="R46" s="101"/>
      <c r="S46" s="101"/>
      <c r="T46" s="101"/>
      <c r="U46" s="101">
        <f>U45+'[12]HT-DOCENTE FIRMA'!X39</f>
        <v>223458.2548596281</v>
      </c>
      <c r="V46" s="101"/>
      <c r="W46" s="126"/>
      <c r="X46" s="5"/>
    </row>
    <row r="47" spans="1:26" s="6" customFormat="1" ht="10.5" customHeight="1">
      <c r="A47" s="122"/>
      <c r="B47" s="123"/>
      <c r="C47" s="124"/>
      <c r="D47" s="101"/>
      <c r="E47" s="101">
        <f>E45+'[12]HT-DOCENTE FIRMA'!I39</f>
        <v>310579.43437726819</v>
      </c>
      <c r="F47" s="101"/>
      <c r="G47" s="125"/>
      <c r="H47" s="125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26"/>
      <c r="X47" s="5"/>
      <c r="Z47" s="5"/>
    </row>
    <row r="48" spans="1:26" s="6" customFormat="1" ht="10.5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26"/>
      <c r="X48" s="5"/>
    </row>
    <row r="49" spans="1:24" s="6" customFormat="1" ht="10.5" customHeight="1">
      <c r="A49" s="129"/>
      <c r="B49" s="130"/>
      <c r="C49" s="131"/>
      <c r="D49" s="132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5"/>
    </row>
    <row r="50" spans="1:24" ht="15" customHeight="1">
      <c r="A50" s="110" t="s">
        <v>105</v>
      </c>
      <c r="B50" s="110"/>
      <c r="C50" s="110"/>
      <c r="D50" s="111"/>
      <c r="E50" s="109"/>
      <c r="F50" s="113" t="s">
        <v>106</v>
      </c>
      <c r="G50" s="112"/>
      <c r="H50" s="112"/>
      <c r="I50" s="112"/>
      <c r="K50" s="113"/>
      <c r="L50" s="114"/>
      <c r="O50" s="115"/>
      <c r="P50" s="115"/>
      <c r="Q50" s="115"/>
      <c r="R50" s="115"/>
      <c r="S50" s="111" t="s">
        <v>107</v>
      </c>
      <c r="T50" s="111"/>
      <c r="U50" s="111"/>
      <c r="V50" s="111"/>
      <c r="W50" s="111"/>
      <c r="X50" s="100"/>
    </row>
    <row r="51" spans="1:24" ht="0.75" hidden="1" customHeight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03"/>
      <c r="L51" s="103"/>
      <c r="O51" s="103"/>
      <c r="P51" s="115"/>
      <c r="Q51" s="103"/>
      <c r="R51" s="103"/>
      <c r="S51" s="111"/>
      <c r="T51" s="111"/>
      <c r="U51" s="111"/>
      <c r="V51" s="111"/>
      <c r="W51" s="111"/>
      <c r="X51" s="100"/>
    </row>
    <row r="52" spans="1:24" ht="0.75" customHeight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09"/>
      <c r="L52" s="109"/>
      <c r="O52" s="109"/>
      <c r="P52" s="109"/>
      <c r="Q52" s="109"/>
      <c r="R52" s="109"/>
      <c r="S52" s="111"/>
      <c r="T52" s="111"/>
      <c r="U52" s="111"/>
      <c r="V52" s="111"/>
      <c r="W52" s="111"/>
      <c r="X52" s="100"/>
    </row>
    <row r="53" spans="1:24" ht="21.75" customHeight="1">
      <c r="A53" s="111"/>
      <c r="B53" s="113" t="s">
        <v>108</v>
      </c>
      <c r="C53" s="111"/>
      <c r="D53" s="111"/>
      <c r="E53" s="116"/>
      <c r="F53" s="118" t="s">
        <v>109</v>
      </c>
      <c r="G53" s="117"/>
      <c r="H53" s="117"/>
      <c r="I53" s="117"/>
      <c r="K53" s="118"/>
      <c r="L53" s="118"/>
      <c r="O53" s="109"/>
      <c r="P53" s="109"/>
      <c r="R53" s="109"/>
      <c r="S53" s="144" t="s">
        <v>110</v>
      </c>
      <c r="T53" s="117"/>
      <c r="U53" s="117"/>
      <c r="V53" s="117"/>
      <c r="W53" s="111"/>
      <c r="X53" s="100"/>
    </row>
    <row r="54" spans="1:24" ht="15" customHeight="1">
      <c r="A54" s="110" t="s">
        <v>111</v>
      </c>
      <c r="B54" s="110"/>
      <c r="C54" s="110"/>
      <c r="D54" s="111"/>
      <c r="E54" s="109"/>
      <c r="F54" s="118" t="s">
        <v>112</v>
      </c>
      <c r="G54" s="117"/>
      <c r="H54" s="117"/>
      <c r="I54" s="117"/>
      <c r="K54" s="118"/>
      <c r="L54" s="118"/>
      <c r="O54" s="109"/>
      <c r="P54" s="109"/>
      <c r="Q54" s="109"/>
      <c r="R54" s="119" t="s">
        <v>113</v>
      </c>
      <c r="S54" s="119"/>
      <c r="T54" s="119"/>
      <c r="U54" s="119"/>
      <c r="V54" s="119"/>
      <c r="W54" s="111"/>
      <c r="X54" s="100"/>
    </row>
    <row r="55" spans="1:24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16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307" spans="99:99">
      <c r="CU307" s="1" t="s">
        <v>114</v>
      </c>
    </row>
  </sheetData>
  <mergeCells count="3">
    <mergeCell ref="A50:C50"/>
    <mergeCell ref="A54:C54"/>
    <mergeCell ref="R54:V54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U306"/>
  <sheetViews>
    <sheetView zoomScale="80" zoomScaleNormal="80" workbookViewId="0">
      <pane xSplit="2" ySplit="6" topLeftCell="C7" activePane="bottomRight" state="frozen"/>
      <selection activeCell="S28" sqref="S28"/>
      <selection pane="topRight" activeCell="S28" sqref="S28"/>
      <selection pane="bottomLeft" activeCell="S28" sqref="S28"/>
      <selection pane="bottomRight" activeCell="B43" sqref="B43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8" width="12.4257812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7.1406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1" spans="1:26">
      <c r="K1" s="3"/>
      <c r="L1" s="3"/>
      <c r="P1" s="3"/>
      <c r="Q1" s="3"/>
      <c r="R1" s="3"/>
    </row>
    <row r="2" spans="1:26">
      <c r="K2" s="3"/>
      <c r="L2" s="3"/>
      <c r="P2" s="3"/>
      <c r="Q2" s="3"/>
      <c r="R2" s="3"/>
    </row>
    <row r="3" spans="1:26" ht="22.5">
      <c r="B3" s="2"/>
      <c r="I3" s="3"/>
      <c r="J3" s="3"/>
      <c r="K3" s="4"/>
      <c r="L3" s="5" t="s">
        <v>0</v>
      </c>
      <c r="O3" s="6"/>
      <c r="P3" s="135" t="s">
        <v>132</v>
      </c>
      <c r="Q3" s="6" t="s">
        <v>1</v>
      </c>
      <c r="R3" s="6" t="s">
        <v>133</v>
      </c>
      <c r="S3" s="6"/>
    </row>
    <row r="4" spans="1:26">
      <c r="B4" s="2"/>
      <c r="C4" s="3"/>
      <c r="D4" s="3"/>
      <c r="E4" s="3"/>
      <c r="I4" s="3"/>
      <c r="J4" s="3"/>
      <c r="K4" s="3"/>
      <c r="L4" s="7">
        <v>1.9E-2</v>
      </c>
      <c r="O4" s="8">
        <v>0.01</v>
      </c>
      <c r="P4" s="121">
        <v>0.105</v>
      </c>
      <c r="Q4" s="9">
        <v>3.7999999999999999E-2</v>
      </c>
      <c r="R4" s="121">
        <v>5.7000000000000002E-2</v>
      </c>
      <c r="S4" s="6"/>
    </row>
    <row r="5" spans="1:26" ht="13.5" thickBot="1">
      <c r="B5" s="10" t="s">
        <v>2</v>
      </c>
      <c r="C5" s="3"/>
      <c r="D5" s="3"/>
      <c r="E5" s="3"/>
      <c r="F5" s="10" t="s">
        <v>135</v>
      </c>
      <c r="I5" s="3"/>
      <c r="J5" s="3"/>
      <c r="K5" s="3"/>
    </row>
    <row r="6" spans="1:26" s="25" customFormat="1" ht="105.7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142">
        <v>15</v>
      </c>
      <c r="D7" s="28">
        <v>1129.1099999999999</v>
      </c>
      <c r="E7" s="28">
        <f>C7*D7</f>
        <v>16936.649999999998</v>
      </c>
      <c r="F7" s="28">
        <v>6616.24</v>
      </c>
      <c r="G7" s="28">
        <v>960</v>
      </c>
      <c r="H7" s="28">
        <f>'[1]HT-ADMINISTRATIVOS'!H8</f>
        <v>0</v>
      </c>
      <c r="I7" s="28">
        <v>688</v>
      </c>
      <c r="J7" s="28"/>
      <c r="K7" s="28">
        <f>SUM(E7+F7+I7+J7)</f>
        <v>24240.89</v>
      </c>
      <c r="L7" s="28">
        <f>SUM(K7+G7)</f>
        <v>25200.89</v>
      </c>
      <c r="M7" s="28">
        <f>IF('[13]Calculo ISR '!$K$34&lt;0,0,'[13]Calculo ISR '!$K$34)</f>
        <v>5456.9489999999996</v>
      </c>
      <c r="N7" s="28">
        <f>E7*P4</f>
        <v>1778.3482499999998</v>
      </c>
      <c r="O7" s="28"/>
      <c r="P7" s="28"/>
      <c r="Q7" s="28"/>
      <c r="R7" s="28"/>
      <c r="S7" s="28">
        <f>SUM(M7+N7+O7+P7+Q7+R7)</f>
        <v>7235.2972499999996</v>
      </c>
      <c r="T7" s="28"/>
      <c r="U7" s="36">
        <f>K7-S7</f>
        <v>17005.59275</v>
      </c>
      <c r="V7" s="28">
        <f>G7</f>
        <v>960</v>
      </c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754.53875970000001</v>
      </c>
      <c r="E8" s="36">
        <v>11318.081395499999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E8*Q4</f>
        <v>430.08709302899996</v>
      </c>
      <c r="K8" s="36">
        <f>E8+F8+H8+I8+J8</f>
        <v>12194.168488529</v>
      </c>
      <c r="L8" s="36">
        <f t="shared" ref="L8:L12" si="0">K8+G8</f>
        <v>12579.668488529</v>
      </c>
      <c r="M8" s="28">
        <f>IF('[13]Calculo ISR '!$L$34&lt;0,0,'[13]Calculo ISR '!$L$34)</f>
        <v>2099.3806365020209</v>
      </c>
      <c r="N8" s="38">
        <f>E8*P4</f>
        <v>1188.3985465275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3287.7791830295209</v>
      </c>
      <c r="T8" s="28">
        <f>IF('[1]Calculo ISR '!$L$34&gt;0,0,'[1]Calculo ISR '!$L$34)*-1</f>
        <v>0</v>
      </c>
      <c r="U8" s="36">
        <f>K8-S8</f>
        <v>8906.3893054994787</v>
      </c>
      <c r="V8" s="36">
        <f t="shared" ref="V8:V26" si="1">G8</f>
        <v>385.5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230.34834514817072</v>
      </c>
      <c r="E9" s="36">
        <v>3455.2251772225609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E9*Q4</f>
        <v>131.29855673445732</v>
      </c>
      <c r="K9" s="36">
        <f>E9+F9+H9+I9+J9</f>
        <v>3586.5237339570181</v>
      </c>
      <c r="L9" s="36">
        <f t="shared" si="0"/>
        <v>3972.0237339570181</v>
      </c>
      <c r="M9" s="28">
        <f>IF('[13]Calculo ISR '!$M$34&lt;0,0,'[13]Calculo ISR '!$M$34)</f>
        <v>178.73069425452351</v>
      </c>
      <c r="N9" s="38">
        <f>E9*P4</f>
        <v>362.79864360836888</v>
      </c>
      <c r="O9" s="38">
        <v>700</v>
      </c>
      <c r="P9" s="38">
        <f>'[1]HT-ADMINISTRATIVOS'!Q11</f>
        <v>0</v>
      </c>
      <c r="Q9" s="38">
        <f>'[1]HT-ADMINISTRATIVOS'!R11</f>
        <v>0</v>
      </c>
      <c r="R9" s="38">
        <f>E9*O4</f>
        <v>34.55225177222561</v>
      </c>
      <c r="S9" s="36">
        <f>M9+N9+O9+P9+Q9+R9</f>
        <v>1276.081589635118</v>
      </c>
      <c r="T9" s="28">
        <f>IF('[1]Calculo ISR '!$M$34&gt;0,0,'[1]Calculo ISR '!$M$34)*-1</f>
        <v>0</v>
      </c>
      <c r="U9" s="36">
        <f t="shared" ref="U9:U15" si="2">K9-S9+T9</f>
        <v>2310.4421443218998</v>
      </c>
      <c r="V9" s="36">
        <f t="shared" si="1"/>
        <v>385.5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v>242.09274535320057</v>
      </c>
      <c r="E10" s="36">
        <v>3631.3911802980087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E10*Q4</f>
        <v>137.99286485132433</v>
      </c>
      <c r="K10" s="36">
        <f>E10+F10+I10+J10</f>
        <v>3769.3840451493329</v>
      </c>
      <c r="L10" s="36">
        <f t="shared" si="0"/>
        <v>4154.8840451493325</v>
      </c>
      <c r="M10" s="28">
        <f>IF('[13]Calculo ISR '!$N$34&lt;0,0,'[13]Calculo ISR '!$N$34)</f>
        <v>312.18984722389325</v>
      </c>
      <c r="N10" s="38">
        <f>E10*P4</f>
        <v>381.29607393129089</v>
      </c>
      <c r="O10" s="38">
        <v>1077.99</v>
      </c>
      <c r="P10" s="38">
        <f>'[1]HT-ADMINISTRATIVOS'!Q12</f>
        <v>0</v>
      </c>
      <c r="Q10" s="38">
        <f>'[1]HT-ADMINISTRATIVOS'!R12</f>
        <v>0</v>
      </c>
      <c r="R10" s="38">
        <f>E10*O4</f>
        <v>36.313911802980087</v>
      </c>
      <c r="S10" s="36">
        <f t="shared" ref="S10:S30" si="3">M10+N10+O10+R10+P10+Q10</f>
        <v>1807.7898329581642</v>
      </c>
      <c r="T10" s="28">
        <f>IF('[1]Calculo ISR '!$N$34&gt;0,0,'[1]Calculo ISR '!$N$34)*-1</f>
        <v>0</v>
      </c>
      <c r="U10" s="36">
        <f t="shared" si="2"/>
        <v>1961.5942121911687</v>
      </c>
      <c r="V10" s="36">
        <f t="shared" si="1"/>
        <v>385.5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219.22891544903311</v>
      </c>
      <c r="E11" s="36">
        <v>3288.4337317354966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E11*Q4</f>
        <v>124.96048180594887</v>
      </c>
      <c r="K11" s="36">
        <f t="shared" ref="K11:K32" si="4">E11+F11+H11+I11+J11</f>
        <v>3413.3942135414454</v>
      </c>
      <c r="L11" s="36">
        <f t="shared" si="0"/>
        <v>3798.8942135414454</v>
      </c>
      <c r="M11" s="28">
        <f>IF('[13]Calculo ISR '!$O$34&lt;0,0,'[13]Calculo ISR '!$O$34)</f>
        <v>142.19420243330924</v>
      </c>
      <c r="N11" s="38">
        <f>E11*P4</f>
        <v>345.28554183222712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32.884337317354969</v>
      </c>
      <c r="S11" s="36">
        <f t="shared" si="3"/>
        <v>1982.5840815828915</v>
      </c>
      <c r="T11" s="28">
        <f>IF('[1]Calculo ISR '!$O$34&gt;0,0,'[1]Calculo ISR '!$O$34)*-1</f>
        <v>0</v>
      </c>
      <c r="U11" s="36">
        <f t="shared" si="2"/>
        <v>1430.8101319585539</v>
      </c>
      <c r="V11" s="36">
        <f t="shared" si="1"/>
        <v>385.5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242.09274535320057</v>
      </c>
      <c r="E12" s="36">
        <v>3631.3911802980087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E12*Q4</f>
        <v>137.99286485132433</v>
      </c>
      <c r="K12" s="36">
        <f t="shared" si="4"/>
        <v>3769.3840451493329</v>
      </c>
      <c r="L12" s="36">
        <f t="shared" si="0"/>
        <v>4154.8840451493325</v>
      </c>
      <c r="M12" s="28">
        <f>IF('[13]Calculo ISR '!$P$34&lt;0,0,'[13]Calculo ISR '!$P$34)</f>
        <v>312.18984722389325</v>
      </c>
      <c r="N12" s="38">
        <f>E12*P4</f>
        <v>381.29607393129089</v>
      </c>
      <c r="O12" s="38">
        <v>1211</v>
      </c>
      <c r="P12" s="38">
        <f>'[1]HT-ADMINISTRATIVOS'!Q14</f>
        <v>0</v>
      </c>
      <c r="Q12" s="38">
        <f>'[1]HT-ADMINISTRATIVOS'!R14</f>
        <v>0</v>
      </c>
      <c r="R12" s="38">
        <f>E12*O4</f>
        <v>36.313911802980087</v>
      </c>
      <c r="S12" s="36">
        <f t="shared" si="3"/>
        <v>1940.7998329581642</v>
      </c>
      <c r="T12" s="28">
        <f>IF('[1]Calculo ISR '!$P$34&gt;0,0,'[1]Calculo ISR '!$P$34)*-1</f>
        <v>0</v>
      </c>
      <c r="U12" s="36">
        <f t="shared" si="2"/>
        <v>1828.5842121911687</v>
      </c>
      <c r="V12" s="36">
        <f t="shared" si="1"/>
        <v>385.5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171.33947607512999</v>
      </c>
      <c r="E13" s="36">
        <v>2570.0921411269501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E13*Q4</f>
        <v>97.663501362824107</v>
      </c>
      <c r="K13" s="36">
        <f t="shared" si="4"/>
        <v>2667.7556424897743</v>
      </c>
      <c r="L13" s="36">
        <f>K13+G13+T13</f>
        <v>3053.2556424897743</v>
      </c>
      <c r="M13" s="28">
        <f>IF('[13]Calculo ISR '!$Q$34&lt;0,0,'[13]Calculo ISR '!$Q$34)</f>
        <v>40.818725902887451</v>
      </c>
      <c r="N13" s="38">
        <f>E13*P4</f>
        <v>269.85967481832972</v>
      </c>
      <c r="O13" s="38">
        <v>567</v>
      </c>
      <c r="P13" s="38">
        <f>'[1]HT-ADMINISTRATIVOS'!Q15</f>
        <v>0</v>
      </c>
      <c r="Q13" s="38">
        <f>'[1]HT-ADMINISTRATIVOS'!R15</f>
        <v>0</v>
      </c>
      <c r="R13" s="38">
        <f>E13*O4</f>
        <v>25.700921411269501</v>
      </c>
      <c r="S13" s="36">
        <f t="shared" si="3"/>
        <v>903.37932213248666</v>
      </c>
      <c r="T13" s="28">
        <f>IF('[1]Calculo ISR '!$Q$34&gt;0,0,'[1]Calculo ISR '!$Q$34)</f>
        <v>0</v>
      </c>
      <c r="U13" s="36">
        <f t="shared" si="2"/>
        <v>1764.3763203572876</v>
      </c>
      <c r="V13" s="36">
        <f t="shared" si="1"/>
        <v>385.5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163.00161009000001</v>
      </c>
      <c r="E14" s="36">
        <v>2445.02415135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E14*Q4</f>
        <v>92.910917751300005</v>
      </c>
      <c r="K14" s="36">
        <f t="shared" si="4"/>
        <v>2537.9350691013001</v>
      </c>
      <c r="L14" s="36">
        <f>K14+G14+T14</f>
        <v>2923.4350691013001</v>
      </c>
      <c r="M14" s="28">
        <f>IF('[13]Calculo ISR '!$R$34&lt;0,0,'[13]Calculo ISR '!$R$34)</f>
        <v>11.694247518221431</v>
      </c>
      <c r="N14" s="38">
        <f>E14*P4</f>
        <v>256.72753589174999</v>
      </c>
      <c r="O14" s="38">
        <v>816</v>
      </c>
      <c r="P14" s="38">
        <f>'[1]HT-ADMINISTRATIVOS'!Q16</f>
        <v>0</v>
      </c>
      <c r="Q14" s="38">
        <f>'[1]HT-ADMINISTRATIVOS'!R16</f>
        <v>0</v>
      </c>
      <c r="R14" s="38">
        <f>E14*O4</f>
        <v>24.4502415135</v>
      </c>
      <c r="S14" s="36">
        <f t="shared" si="3"/>
        <v>1108.8720249234714</v>
      </c>
      <c r="T14" s="28">
        <f>IF('[1]Calculo ISR '!$R$34&gt;0,0,'[1]Calculo ISR '!$R$34)*-1</f>
        <v>0</v>
      </c>
      <c r="U14" s="36">
        <f t="shared" si="2"/>
        <v>1429.0630441778287</v>
      </c>
      <c r="V14" s="36">
        <f t="shared" si="1"/>
        <v>385.5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534.93837680832996</v>
      </c>
      <c r="E15" s="36">
        <v>8024.0756521249496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E15*Q4</f>
        <v>304.91487478074805</v>
      </c>
      <c r="K15" s="36">
        <f t="shared" si="4"/>
        <v>8328.9905269056981</v>
      </c>
      <c r="L15" s="36">
        <f>K15+G15</f>
        <v>8714.4905269056981</v>
      </c>
      <c r="M15" s="28">
        <f>IF('[13]Calculo ISR '!$S$34&lt;0,0,'[13]Calculo ISR '!$S$34)</f>
        <v>1231.8832005470572</v>
      </c>
      <c r="N15" s="38">
        <f>E15*P4</f>
        <v>842.52794347311965</v>
      </c>
      <c r="O15" s="38">
        <v>2675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3"/>
        <v>4749.4111440201768</v>
      </c>
      <c r="T15" s="28">
        <f>IF('[1]Calculo ISR '!$S$34&gt;0,0,'[1]Calculo ISR '!$S$34)*-1</f>
        <v>0</v>
      </c>
      <c r="U15" s="36">
        <f t="shared" si="2"/>
        <v>3579.5793828855212</v>
      </c>
      <c r="V15" s="36">
        <f t="shared" si="1"/>
        <v>385.5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267.35834171124986</v>
      </c>
      <c r="E16" s="36">
        <v>4010.3751256687478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E16*L4</f>
        <v>76.197127387706203</v>
      </c>
      <c r="K16" s="36">
        <f t="shared" si="4"/>
        <v>4086.572253056454</v>
      </c>
      <c r="L16" s="36">
        <f>K16+G16</f>
        <v>4472.0722530564544</v>
      </c>
      <c r="M16" s="28">
        <f>IF('[13]Calculo ISR '!$T$34&lt;0,0,'[13]Calculo ISR '!$T$34)</f>
        <v>362.93996048903261</v>
      </c>
      <c r="N16" s="38">
        <f>E16*P4</f>
        <v>421.08938819521853</v>
      </c>
      <c r="O16" s="38">
        <v>1337</v>
      </c>
      <c r="P16" s="38"/>
      <c r="Q16" s="38"/>
      <c r="R16" s="38">
        <f>E16*O4</f>
        <v>40.103751256687481</v>
      </c>
      <c r="S16" s="36">
        <f>M16+N16+O16+Q16+R16+P16</f>
        <v>2161.1330999409388</v>
      </c>
      <c r="T16" s="28">
        <f>IF('[1]Calculo ISR '!$T$34&gt;0,0,'[1]Calculo ISR '!$T$34)*-1</f>
        <v>0</v>
      </c>
      <c r="U16" s="36">
        <f>K16-S16</f>
        <v>1925.4391531155152</v>
      </c>
      <c r="V16" s="36">
        <f t="shared" si="1"/>
        <v>385.5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230.34834514817072</v>
      </c>
      <c r="E17" s="36">
        <v>3455.2251772225609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7">
        <f>E17*L4</f>
        <v>65.649278367228661</v>
      </c>
      <c r="K17" s="36">
        <f t="shared" si="4"/>
        <v>3966.8744555897897</v>
      </c>
      <c r="L17" s="36">
        <f>K17+G17</f>
        <v>4352.3744555897902</v>
      </c>
      <c r="M17" s="28">
        <f>IF('[13]Calculo ISR '!$U$34&lt;0,0,'[13]Calculo ISR '!$U$34)</f>
        <v>343.7883128943663</v>
      </c>
      <c r="N17" s="38">
        <f>E17*P4</f>
        <v>362.79864360836888</v>
      </c>
      <c r="O17" s="38">
        <v>1152</v>
      </c>
      <c r="P17" s="38">
        <f>'[1]HT-ADMINISTRATIVOS'!Q19</f>
        <v>0</v>
      </c>
      <c r="Q17" s="38">
        <f>'[1]HT-ADMINISTRATIVOS'!R19</f>
        <v>0</v>
      </c>
      <c r="R17" s="38">
        <f>E17*O4</f>
        <v>34.55225177222561</v>
      </c>
      <c r="S17" s="36">
        <f t="shared" si="3"/>
        <v>1893.1392082749608</v>
      </c>
      <c r="T17" s="28">
        <f>IF('[1]Calculo ISR '!$U$34&gt;0,0,'[1]Calculo ISR '!$U$34)*-1</f>
        <v>0</v>
      </c>
      <c r="U17" s="36">
        <f t="shared" ref="U17:U31" si="5">K17-S17+T17</f>
        <v>2073.7352473148289</v>
      </c>
      <c r="V17" s="36">
        <f t="shared" si="1"/>
        <v>385.5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873.012693639492</v>
      </c>
      <c r="E18" s="36">
        <v>13095.19040459238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E18*L4</f>
        <v>248.80861768725521</v>
      </c>
      <c r="K18" s="36">
        <f t="shared" si="4"/>
        <v>13343.999022279635</v>
      </c>
      <c r="L18" s="36">
        <f>K18+G18</f>
        <v>13729.499022279635</v>
      </c>
      <c r="M18" s="28">
        <f>IF('[13]Calculo ISR '!$V$34&lt;0,0,'[13]Calculo ISR '!$V$34)</f>
        <v>2369.8207780401704</v>
      </c>
      <c r="N18" s="38">
        <f>E18*P4</f>
        <v>1374.9949924821999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3"/>
        <v>3744.8157705223703</v>
      </c>
      <c r="T18" s="28">
        <f>IF('[1]Calculo ISR '!$V$34&gt;0,0,'[1]Calculo ISR '!$V$34)*-1</f>
        <v>0</v>
      </c>
      <c r="U18" s="36">
        <f t="shared" si="5"/>
        <v>9599.1832517572657</v>
      </c>
      <c r="V18" s="36">
        <f t="shared" si="1"/>
        <v>385.5</v>
      </c>
      <c r="W18" s="46"/>
      <c r="X18" s="47"/>
    </row>
    <row r="19" spans="1:24" s="48" customFormat="1" ht="45" customHeight="1">
      <c r="A19" s="53" t="s">
        <v>51</v>
      </c>
      <c r="B19" s="53" t="s">
        <v>52</v>
      </c>
      <c r="C19" s="34">
        <v>15</v>
      </c>
      <c r="D19" s="50">
        <v>219.22891544903311</v>
      </c>
      <c r="E19" s="36">
        <v>3288.4337317354966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E19*L4</f>
        <v>62.480240902974437</v>
      </c>
      <c r="K19" s="36">
        <f t="shared" si="4"/>
        <v>3350.913972638471</v>
      </c>
      <c r="L19" s="36">
        <f>K19+G19</f>
        <v>3736.413972638471</v>
      </c>
      <c r="M19" s="28">
        <f>IF('[13]Calculo ISR '!$W$34&lt;0,0,'[13]Calculo ISR '!$W$34)</f>
        <v>135.39635222306563</v>
      </c>
      <c r="N19" s="38">
        <f>E19*P4</f>
        <v>345.28554183222712</v>
      </c>
      <c r="O19" s="38">
        <v>1357.77</v>
      </c>
      <c r="P19" s="38">
        <f>'[1]HT-ADMINISTRATIVOS'!Q21</f>
        <v>0</v>
      </c>
      <c r="Q19" s="38">
        <f>'[1]HT-ADMINISTRATIVOS'!R21</f>
        <v>0</v>
      </c>
      <c r="R19" s="38">
        <f>E19*O4</f>
        <v>32.884337317354969</v>
      </c>
      <c r="S19" s="36">
        <f t="shared" si="3"/>
        <v>1871.3362313726477</v>
      </c>
      <c r="T19" s="28">
        <f>IF('[1]Calculo ISR '!$W$34&gt;0,0,'[1]Calculo ISR '!$W$34)*-1</f>
        <v>0</v>
      </c>
      <c r="U19" s="36">
        <f t="shared" si="5"/>
        <v>1479.5777412658233</v>
      </c>
      <c r="V19" s="36">
        <f t="shared" si="1"/>
        <v>385.5</v>
      </c>
      <c r="W19" s="46"/>
      <c r="X19" s="47"/>
    </row>
    <row r="20" spans="1:24" s="48" customFormat="1" ht="45" customHeight="1">
      <c r="A20" s="53" t="s">
        <v>53</v>
      </c>
      <c r="B20" s="53" t="s">
        <v>54</v>
      </c>
      <c r="C20" s="34">
        <v>15</v>
      </c>
      <c r="D20" s="50">
        <v>148.1300975275</v>
      </c>
      <c r="E20" s="36">
        <v>2221.9514629125001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E20*L4</f>
        <v>42.217077795337502</v>
      </c>
      <c r="K20" s="36">
        <f t="shared" si="4"/>
        <v>2264.1685407078376</v>
      </c>
      <c r="L20" s="36">
        <f>K20+G20+T20</f>
        <v>2686.7533095429576</v>
      </c>
      <c r="M20" s="28">
        <f>IF('[13]Calculo ISR '!$X$34&lt;0,0,'[13]Calculo ISR '!$X$34)</f>
        <v>0</v>
      </c>
      <c r="N20" s="38">
        <f>E20*P4</f>
        <v>233.30490360581251</v>
      </c>
      <c r="O20" s="38">
        <v>741</v>
      </c>
      <c r="P20" s="38">
        <f>'[1]HT-ADMINISTRATIVOS'!Q22</f>
        <v>0</v>
      </c>
      <c r="Q20" s="38">
        <f>'[1]HT-ADMINISTRATIVOS'!R22</f>
        <v>0</v>
      </c>
      <c r="R20" s="38">
        <f>E20*O4</f>
        <v>22.219514629125001</v>
      </c>
      <c r="S20" s="36">
        <f t="shared" si="3"/>
        <v>996.52441823493757</v>
      </c>
      <c r="T20" s="28">
        <f>IF('[1]Calculo ISR '!$X$34&gt;0,0,('[1]Calculo ISR '!$X$34)*-1)</f>
        <v>37.084768835120002</v>
      </c>
      <c r="U20" s="36">
        <f t="shared" si="5"/>
        <v>1304.7288913080201</v>
      </c>
      <c r="V20" s="36">
        <f t="shared" si="1"/>
        <v>385.5</v>
      </c>
      <c r="W20" s="46"/>
      <c r="X20" s="47"/>
    </row>
    <row r="21" spans="1:24" s="48" customFormat="1" ht="45" customHeight="1">
      <c r="A21" s="53" t="s">
        <v>55</v>
      </c>
      <c r="B21" s="53" t="s">
        <v>56</v>
      </c>
      <c r="C21" s="34">
        <v>15</v>
      </c>
      <c r="D21" s="50">
        <v>148.19297316999999</v>
      </c>
      <c r="E21" s="36">
        <v>2222.8945975499996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E21*L4</f>
        <v>42.234997353449991</v>
      </c>
      <c r="K21" s="36">
        <f t="shared" si="4"/>
        <v>2711.1295949034497</v>
      </c>
      <c r="L21" s="36">
        <f>K21+G21+T21</f>
        <v>3096.6295949034497</v>
      </c>
      <c r="M21" s="28">
        <f>IF('[13]Calculo ISR '!$Y$34&lt;0,0,'[13]Calculo ISR '!$Y$34)</f>
        <v>45.537811925495333</v>
      </c>
      <c r="N21" s="38">
        <f>E21*P4</f>
        <v>233.40393274274996</v>
      </c>
      <c r="O21" s="38">
        <v>597</v>
      </c>
      <c r="P21" s="38">
        <f>'[1]HT-ADMINISTRATIVOS'!Q23</f>
        <v>0</v>
      </c>
      <c r="Q21" s="38">
        <f>'[1]HT-ADMINISTRATIVOS'!R23</f>
        <v>0</v>
      </c>
      <c r="R21" s="38">
        <f>E21*O4</f>
        <v>22.228945975499997</v>
      </c>
      <c r="S21" s="36">
        <f t="shared" si="3"/>
        <v>898.17069064374527</v>
      </c>
      <c r="T21" s="28">
        <f>IF('[1]Calculo ISR '!$Y$34&gt;0,0,'[1]Calculo ISR '!$Y$34)*-1</f>
        <v>0</v>
      </c>
      <c r="U21" s="36">
        <f t="shared" si="5"/>
        <v>1812.9589042597045</v>
      </c>
      <c r="V21" s="36">
        <f t="shared" si="1"/>
        <v>385.5</v>
      </c>
      <c r="W21" s="46"/>
      <c r="X21" s="47"/>
    </row>
    <row r="22" spans="1:24" s="48" customFormat="1" ht="45" customHeight="1">
      <c r="A22" s="53" t="s">
        <v>59</v>
      </c>
      <c r="B22" s="53" t="s">
        <v>60</v>
      </c>
      <c r="C22" s="34">
        <v>15</v>
      </c>
      <c r="D22" s="50">
        <v>198.84487558991</v>
      </c>
      <c r="E22" s="36">
        <v>2982.6731338486502</v>
      </c>
      <c r="F22" s="43"/>
      <c r="G22" s="36">
        <f>'[1]HT-ADMINISTRATIVOS'!G27</f>
        <v>385.5</v>
      </c>
      <c r="H22" s="36">
        <f>'[1]HT-ADMINISTRATIVOS'!H27</f>
        <v>0</v>
      </c>
      <c r="I22" s="36">
        <f>'[1]HT-ADMINISTRATIVOS'!J27</f>
        <v>0</v>
      </c>
      <c r="J22" s="37">
        <f>'[1]HT-ADMINISTRATIVOS'!I27</f>
        <v>0</v>
      </c>
      <c r="K22" s="36">
        <f t="shared" si="4"/>
        <v>2982.6731338486502</v>
      </c>
      <c r="L22" s="36">
        <f>K22+G22</f>
        <v>3368.1731338486502</v>
      </c>
      <c r="M22" s="28">
        <f>IF('[13]Calculo ISR '!$AA$34&lt;0,0,'[13]Calculo ISR '!$AA$34)</f>
        <v>75.081748962733116</v>
      </c>
      <c r="N22" s="38">
        <f>E22*P4</f>
        <v>313.18067905410828</v>
      </c>
      <c r="O22" s="38">
        <f>'[1]HT-ADMINISTRATIVOS'!P27</f>
        <v>0</v>
      </c>
      <c r="P22" s="38">
        <f>'[1]HT-ADMINISTRATIVOS'!Q27</f>
        <v>0</v>
      </c>
      <c r="Q22" s="38">
        <f>'[1]HT-ADMINISTRATIVOS'!R27</f>
        <v>0</v>
      </c>
      <c r="R22" s="38">
        <f>E22*O4</f>
        <v>29.826731338486503</v>
      </c>
      <c r="S22" s="36">
        <f t="shared" si="3"/>
        <v>418.08915935532792</v>
      </c>
      <c r="T22" s="28">
        <f>IF('[1]Calculo ISR '!$AA$34&gt;0,0,'[1]Calculo ISR '!$AA$34)*-1</f>
        <v>0</v>
      </c>
      <c r="U22" s="36">
        <f t="shared" si="5"/>
        <v>2564.5839744933223</v>
      </c>
      <c r="V22" s="36">
        <f t="shared" si="1"/>
        <v>385.5</v>
      </c>
      <c r="W22" s="46"/>
      <c r="X22" s="47"/>
    </row>
    <row r="23" spans="1:24" s="48" customFormat="1" ht="45" customHeight="1">
      <c r="A23" s="54" t="s">
        <v>61</v>
      </c>
      <c r="B23" s="55" t="s">
        <v>62</v>
      </c>
      <c r="C23" s="34">
        <v>15</v>
      </c>
      <c r="D23" s="50">
        <v>198.84487558991</v>
      </c>
      <c r="E23" s="36">
        <v>2982.6731338486502</v>
      </c>
      <c r="F23" s="43"/>
      <c r="G23" s="36">
        <f>'[1]HT-ADMINISTRATIVOS'!G28</f>
        <v>385.5</v>
      </c>
      <c r="H23" s="36">
        <f>'[1]HT-ADMINISTRATIVOS'!H28</f>
        <v>446</v>
      </c>
      <c r="I23" s="36">
        <f>'[1]HT-ADMINISTRATIVOS'!J28</f>
        <v>0</v>
      </c>
      <c r="J23" s="37">
        <f>'[1]HT-ADMINISTRATIVOS'!I28</f>
        <v>0</v>
      </c>
      <c r="K23" s="36">
        <f t="shared" si="4"/>
        <v>3428.6731338486502</v>
      </c>
      <c r="L23" s="36">
        <f>K23+G23</f>
        <v>3814.1731338486502</v>
      </c>
      <c r="M23" s="28">
        <f>IF('[13]Calculo ISR '!$AB$34&lt;0,0,'[13]Calculo ISR '!$AB$34)</f>
        <v>143.85654896273311</v>
      </c>
      <c r="N23" s="38">
        <f>E23*P4</f>
        <v>313.18067905410828</v>
      </c>
      <c r="O23" s="38">
        <v>0</v>
      </c>
      <c r="P23" s="38">
        <f>'[1]HT-ADMINISTRATIVOS'!Q28</f>
        <v>0</v>
      </c>
      <c r="Q23" s="38">
        <f>'[1]HT-ADMINISTRATIVOS'!R28</f>
        <v>0</v>
      </c>
      <c r="R23" s="38">
        <f>E23*O4</f>
        <v>29.826731338486503</v>
      </c>
      <c r="S23" s="36">
        <f t="shared" si="3"/>
        <v>486.86395935532789</v>
      </c>
      <c r="T23" s="28">
        <f>IF('[1]Calculo ISR '!$AB$34&gt;0,0,'[1]Calculo ISR '!$AB$34)*-1</f>
        <v>0</v>
      </c>
      <c r="U23" s="36">
        <f t="shared" si="5"/>
        <v>2941.8091744933222</v>
      </c>
      <c r="V23" s="36">
        <f t="shared" si="1"/>
        <v>385.5</v>
      </c>
      <c r="W23" s="46"/>
      <c r="X23" s="47"/>
    </row>
    <row r="24" spans="1:24" s="48" customFormat="1" ht="45" customHeight="1">
      <c r="A24" s="54" t="s">
        <v>63</v>
      </c>
      <c r="B24" s="55" t="s">
        <v>64</v>
      </c>
      <c r="C24" s="34">
        <v>15</v>
      </c>
      <c r="D24" s="50">
        <v>180.11154727500002</v>
      </c>
      <c r="E24" s="36">
        <v>2701.6732091250005</v>
      </c>
      <c r="F24" s="43"/>
      <c r="G24" s="36">
        <f>'[1]HT-ADMINISTRATIVOS'!G29</f>
        <v>385.5</v>
      </c>
      <c r="H24" s="36">
        <f>'[1]HT-ADMINISTRATIVOS'!H29</f>
        <v>892</v>
      </c>
      <c r="I24" s="36">
        <f>'[1]HT-ADMINISTRATIVOS'!J29</f>
        <v>0</v>
      </c>
      <c r="J24" s="37">
        <f>'[1]HT-ADMINISTRATIVOS'!I29</f>
        <v>0</v>
      </c>
      <c r="K24" s="36">
        <f t="shared" si="4"/>
        <v>3593.6732091250005</v>
      </c>
      <c r="L24" s="36">
        <f>K24+G24</f>
        <v>3979.1732091250005</v>
      </c>
      <c r="M24" s="28">
        <f>IF('[13]Calculo ISR '!$AC$34&lt;0,0,'[13]Calculo ISR '!$AC$34)</f>
        <v>143.85654896273311</v>
      </c>
      <c r="N24" s="38">
        <f>E24*P4</f>
        <v>283.67568695812503</v>
      </c>
      <c r="O24" s="38">
        <v>1081</v>
      </c>
      <c r="P24" s="38">
        <f>'[1]HT-ADMINISTRATIVOS'!Q29</f>
        <v>0</v>
      </c>
      <c r="Q24" s="38">
        <f>'[1]HT-ADMINISTRATIVOS'!R29</f>
        <v>0</v>
      </c>
      <c r="R24" s="38">
        <f>E24*O4</f>
        <v>27.016732091250006</v>
      </c>
      <c r="S24" s="36">
        <f t="shared" si="3"/>
        <v>1535.5489680121082</v>
      </c>
      <c r="T24" s="28">
        <f>IF('[1]Calculo ISR '!$AC$34&gt;0,0,'[1]Calculo ISR '!$AC$34)*-1</f>
        <v>0</v>
      </c>
      <c r="U24" s="36">
        <f t="shared" si="5"/>
        <v>2058.1242411128924</v>
      </c>
      <c r="V24" s="36">
        <f t="shared" si="1"/>
        <v>385.5</v>
      </c>
      <c r="W24" s="46"/>
      <c r="X24" s="47"/>
    </row>
    <row r="25" spans="1:24" s="48" customFormat="1" ht="45" customHeight="1">
      <c r="A25" s="56" t="s">
        <v>65</v>
      </c>
      <c r="B25" s="55" t="s">
        <v>66</v>
      </c>
      <c r="C25" s="34">
        <v>15</v>
      </c>
      <c r="D25" s="50">
        <v>141.57938707</v>
      </c>
      <c r="E25" s="36">
        <v>2123.69080605</v>
      </c>
      <c r="F25" s="43"/>
      <c r="G25" s="36">
        <f>'[1]HT-ADMINISTRATIVOS'!G31</f>
        <v>385.5</v>
      </c>
      <c r="H25" s="36">
        <f>'[1]HT-ADMINISTRATIVOS'!H31</f>
        <v>446</v>
      </c>
      <c r="I25" s="36">
        <f>'[1]HT-ADMINISTRATIVOS'!J31</f>
        <v>0</v>
      </c>
      <c r="J25" s="37">
        <f>'[1]HT-ADMINISTRATIVOS'!I31</f>
        <v>0</v>
      </c>
      <c r="K25" s="36">
        <f t="shared" si="4"/>
        <v>2569.69080605</v>
      </c>
      <c r="L25" s="36">
        <f>K25+G25+T25</f>
        <v>2955.19080605</v>
      </c>
      <c r="M25" s="28">
        <f>IF('[13]Calculo ISR '!$AD$34&lt;0,0,'[13]Calculo ISR '!$AD$34)</f>
        <v>15.149271698239971</v>
      </c>
      <c r="N25" s="38">
        <f>E25*P4</f>
        <v>222.98753463525</v>
      </c>
      <c r="O25" s="38">
        <f>'[1]HT-ADMINISTRATIVOS'!P31</f>
        <v>0</v>
      </c>
      <c r="P25" s="38">
        <f>'[1]HT-ADMINISTRATIVOS'!Q31</f>
        <v>0</v>
      </c>
      <c r="Q25" s="38">
        <f>'[1]HT-ADMINISTRATIVOS'!R31</f>
        <v>0</v>
      </c>
      <c r="R25" s="38">
        <f>E25*O4</f>
        <v>21.236908060499999</v>
      </c>
      <c r="S25" s="36">
        <f t="shared" si="3"/>
        <v>259.37371439398999</v>
      </c>
      <c r="T25" s="28">
        <f>IF('[1]Calculo ISR '!$AD$34&gt;0,0,'[1]Calculo ISR '!$AD$34)*-1</f>
        <v>0</v>
      </c>
      <c r="U25" s="36">
        <f t="shared" si="5"/>
        <v>2310.3170916560102</v>
      </c>
      <c r="V25" s="36">
        <f t="shared" si="1"/>
        <v>385.5</v>
      </c>
      <c r="W25" s="46"/>
      <c r="X25" s="47"/>
    </row>
    <row r="26" spans="1:24" s="48" customFormat="1" ht="45" customHeight="1">
      <c r="A26" s="56" t="s">
        <v>67</v>
      </c>
      <c r="B26" s="57" t="s">
        <v>68</v>
      </c>
      <c r="C26" s="34">
        <v>15</v>
      </c>
      <c r="D26" s="50">
        <v>534.93837680832996</v>
      </c>
      <c r="E26" s="36">
        <v>8024.0756521249496</v>
      </c>
      <c r="F26" s="43"/>
      <c r="G26" s="36">
        <f>'[1]HT-ADMINISTRATIVOS'!G32</f>
        <v>385.5</v>
      </c>
      <c r="H26" s="36">
        <f>'[1]HT-ADMINISTRATIVOS'!H32</f>
        <v>0</v>
      </c>
      <c r="I26" s="36">
        <f>'[1]HT-ADMINISTRATIVOS'!J32</f>
        <v>0</v>
      </c>
      <c r="J26" s="37">
        <f>E26*Q4</f>
        <v>304.91487478074805</v>
      </c>
      <c r="K26" s="36">
        <f t="shared" si="4"/>
        <v>8328.9905269056981</v>
      </c>
      <c r="L26" s="36">
        <f>K26+G26</f>
        <v>8714.4905269056981</v>
      </c>
      <c r="M26" s="28">
        <f>IF('[13]Calculo ISR '!$AE$34&lt;0,0,'[13]Calculo ISR '!$AE$34)</f>
        <v>1231.8832005470572</v>
      </c>
      <c r="N26" s="38">
        <f>E26*P4</f>
        <v>842.52794347311965</v>
      </c>
      <c r="O26" s="38">
        <v>2150.31</v>
      </c>
      <c r="P26" s="38">
        <f>'[1]HT-ADMINISTRATIVOS'!Q32</f>
        <v>0</v>
      </c>
      <c r="Q26" s="38">
        <f>'[1]HT-ADMINISTRATIVOS'!R32</f>
        <v>0</v>
      </c>
      <c r="R26" s="38">
        <f>'[1]HT-ADMINISTRATIVOS'!S32</f>
        <v>0</v>
      </c>
      <c r="S26" s="36">
        <f t="shared" si="3"/>
        <v>4224.7211440201772</v>
      </c>
      <c r="T26" s="28">
        <f>IF('[1]Calculo ISR '!$AE$34&gt;0,0,'[1]Calculo ISR '!$AE$34)*-1</f>
        <v>0</v>
      </c>
      <c r="U26" s="36">
        <f t="shared" si="5"/>
        <v>4104.2693828855208</v>
      </c>
      <c r="V26" s="36">
        <f t="shared" si="1"/>
        <v>385.5</v>
      </c>
      <c r="W26" s="46"/>
      <c r="X26" s="47"/>
    </row>
    <row r="27" spans="1:24" s="48" customFormat="1" ht="45" customHeight="1">
      <c r="A27" s="58" t="s">
        <v>69</v>
      </c>
      <c r="B27" s="59" t="s">
        <v>70</v>
      </c>
      <c r="C27" s="34">
        <v>15</v>
      </c>
      <c r="D27" s="50">
        <v>230.34834514817072</v>
      </c>
      <c r="E27" s="36">
        <v>3455.2251772225609</v>
      </c>
      <c r="F27" s="43"/>
      <c r="G27" s="36">
        <v>385.5</v>
      </c>
      <c r="H27" s="36">
        <f>'[1]HT-ADMINISTRATIVOS'!H33</f>
        <v>0</v>
      </c>
      <c r="I27" s="36">
        <f>'[1]HT-ADMINISTRATIVOS'!J33</f>
        <v>0</v>
      </c>
      <c r="J27" s="37">
        <f>'[1]HT-ADMINISTRATIVOS'!I33</f>
        <v>0</v>
      </c>
      <c r="K27" s="36">
        <f t="shared" si="4"/>
        <v>3455.2251772225609</v>
      </c>
      <c r="L27" s="36">
        <f>K27+G27</f>
        <v>3840.7251772225609</v>
      </c>
      <c r="M27" s="28">
        <f>IF('[13]Calculo ISR '!$AF$34&lt;0,0,'[13]Calculo ISR '!$AF$34)</f>
        <v>146.74541128181463</v>
      </c>
      <c r="N27" s="38">
        <f>E27*P4</f>
        <v>362.79864360836888</v>
      </c>
      <c r="O27" s="38"/>
      <c r="P27" s="143"/>
      <c r="Q27" s="38"/>
      <c r="R27" s="38">
        <f>E27*O4</f>
        <v>34.55225177222561</v>
      </c>
      <c r="S27" s="36">
        <f>M27+N27+O27+R27+P27+Q27</f>
        <v>544.09630666240912</v>
      </c>
      <c r="T27" s="28">
        <f>IF('[1]Calculo ISR '!$AF$34&gt;0,0,'[1]Calculo ISR '!$AF$34)*-1</f>
        <v>0</v>
      </c>
      <c r="U27" s="36">
        <f>K27-S27+T27</f>
        <v>2911.1288705601519</v>
      </c>
      <c r="V27" s="36">
        <v>385.5</v>
      </c>
      <c r="W27" s="46"/>
      <c r="X27" s="47"/>
    </row>
    <row r="28" spans="1:24" s="48" customFormat="1" ht="45" customHeight="1">
      <c r="A28" s="60" t="s">
        <v>71</v>
      </c>
      <c r="B28" s="53" t="s">
        <v>72</v>
      </c>
      <c r="C28" s="66">
        <v>15</v>
      </c>
      <c r="D28" s="50">
        <v>141.57938707</v>
      </c>
      <c r="E28" s="36">
        <v>2123.69080605</v>
      </c>
      <c r="F28" s="43"/>
      <c r="G28" s="36">
        <f>'[1]HT-ADMINISTRATIVOS'!G35</f>
        <v>385.5</v>
      </c>
      <c r="H28" s="36">
        <f>'[1]HT-ADMINISTRATIVOS'!H35</f>
        <v>0</v>
      </c>
      <c r="I28" s="36">
        <f>'[1]HT-ADMINISTRATIVOS'!J35</f>
        <v>0</v>
      </c>
      <c r="J28" s="37">
        <f>'[1]HT-ADMINISTRATIVOS'!I35</f>
        <v>0</v>
      </c>
      <c r="K28" s="36">
        <f t="shared" si="4"/>
        <v>2123.69080605</v>
      </c>
      <c r="L28" s="36">
        <f>K28+G28+T28</f>
        <v>2570.9163343517598</v>
      </c>
      <c r="M28" s="28">
        <f>IF('[13]Calculo ISR '!$AG$34&lt;0,0,'[13]Calculo ISR '!$AG$34)</f>
        <v>0</v>
      </c>
      <c r="N28" s="38">
        <f>E28*P4</f>
        <v>222.98753463525</v>
      </c>
      <c r="O28" s="38">
        <v>300</v>
      </c>
      <c r="P28" s="38">
        <f>'[1]HT-ADMINISTRATIVOS'!Q35</f>
        <v>0</v>
      </c>
      <c r="Q28" s="38">
        <f>'[1]HT-ADMINISTRATIVOS'!R35</f>
        <v>0</v>
      </c>
      <c r="R28" s="38">
        <f>E28*O4</f>
        <v>21.236908060499999</v>
      </c>
      <c r="S28" s="36">
        <f t="shared" si="3"/>
        <v>544.22444269574999</v>
      </c>
      <c r="T28" s="28">
        <f>IF('[1]Calculo ISR '!$AG$34&gt;0,0,'[1]Calculo ISR '!$AG$34)*-1</f>
        <v>61.725528301760008</v>
      </c>
      <c r="U28" s="36">
        <f t="shared" si="5"/>
        <v>1641.1918916560101</v>
      </c>
      <c r="V28" s="36">
        <f>G28</f>
        <v>385.5</v>
      </c>
      <c r="W28" s="67"/>
      <c r="X28" s="47"/>
    </row>
    <row r="29" spans="1:24" s="48" customFormat="1" ht="45" customHeight="1">
      <c r="A29" s="53" t="s">
        <v>73</v>
      </c>
      <c r="B29" s="53" t="s">
        <v>74</v>
      </c>
      <c r="C29" s="66">
        <v>15</v>
      </c>
      <c r="D29" s="50">
        <v>534.93837680832996</v>
      </c>
      <c r="E29" s="36">
        <v>8024.0756521249496</v>
      </c>
      <c r="F29" s="43"/>
      <c r="G29" s="36">
        <f>'[1]HT-ADMINISTRATIVOS'!G36</f>
        <v>385.5</v>
      </c>
      <c r="H29" s="36">
        <f>'[1]HT-ADMINISTRATIVOS'!H36</f>
        <v>0</v>
      </c>
      <c r="I29" s="36">
        <f>'[1]HT-ADMINISTRATIVOS'!J36</f>
        <v>0</v>
      </c>
      <c r="J29" s="37">
        <f>'[1]HT-ADMINISTRATIVOS'!I36</f>
        <v>0</v>
      </c>
      <c r="K29" s="36">
        <f t="shared" si="4"/>
        <v>8024.0756521249496</v>
      </c>
      <c r="L29" s="36">
        <f>K29+G29</f>
        <v>8409.5756521249496</v>
      </c>
      <c r="M29" s="28">
        <f>IF('[13]Calculo ISR '!$AH$34&lt;0,0,'[13]Calculo ISR '!$AH$34)</f>
        <v>1166.7533832938893</v>
      </c>
      <c r="N29" s="38">
        <f>E29*P4</f>
        <v>842.52794347311965</v>
      </c>
      <c r="O29" s="38">
        <f>'[1]HT-ADMINISTRATIVOS'!P36</f>
        <v>0</v>
      </c>
      <c r="P29" s="38">
        <f>'[1]HT-ADMINISTRATIVOS'!Q36</f>
        <v>0</v>
      </c>
      <c r="Q29" s="38">
        <f>'[1]HT-ADMINISTRATIVOS'!R36</f>
        <v>0</v>
      </c>
      <c r="R29" s="38">
        <f>'[1]HT-ADMINISTRATIVOS'!S36</f>
        <v>0</v>
      </c>
      <c r="S29" s="36">
        <f t="shared" si="3"/>
        <v>2009.281326767009</v>
      </c>
      <c r="T29" s="28">
        <f>IF('[1]Calculo ISR '!$AH$34&gt;0,0,'[1]Calculo ISR '!$AH$34)*-1</f>
        <v>0</v>
      </c>
      <c r="U29" s="36">
        <f t="shared" si="5"/>
        <v>6014.7943253579406</v>
      </c>
      <c r="V29" s="36">
        <f>G29</f>
        <v>385.5</v>
      </c>
      <c r="W29" s="67"/>
      <c r="X29" s="47"/>
    </row>
    <row r="30" spans="1:24" s="48" customFormat="1" ht="45" customHeight="1">
      <c r="A30" s="68" t="s">
        <v>75</v>
      </c>
      <c r="B30" s="53" t="s">
        <v>76</v>
      </c>
      <c r="C30" s="66">
        <v>15</v>
      </c>
      <c r="D30" s="50">
        <v>141.57938707</v>
      </c>
      <c r="E30" s="36">
        <v>2123.69080605</v>
      </c>
      <c r="F30" s="43"/>
      <c r="G30" s="36">
        <f>'[1]HT-ADMINISTRATIVOS'!G37</f>
        <v>385.5</v>
      </c>
      <c r="H30" s="36">
        <f>'[1]HT-ADMINISTRATIVOS'!H37</f>
        <v>0</v>
      </c>
      <c r="I30" s="36">
        <f>'[1]HT-ADMINISTRATIVOS'!J37</f>
        <v>0</v>
      </c>
      <c r="J30" s="37">
        <f>'[1]HT-ADMINISTRATIVOS'!I37</f>
        <v>0</v>
      </c>
      <c r="K30" s="36">
        <f t="shared" si="4"/>
        <v>2123.69080605</v>
      </c>
      <c r="L30" s="36">
        <f>K30+G30+T30</f>
        <v>2570.9163343517598</v>
      </c>
      <c r="M30" s="28">
        <f>IF('[13]Calculo ISR '!$AI$34&lt;0,0,'[13]Calculo ISR '!$AI$34)</f>
        <v>0</v>
      </c>
      <c r="N30" s="38">
        <f>E30*P4</f>
        <v>222.98753463525</v>
      </c>
      <c r="O30" s="38">
        <f>'[1]HT-ADMINISTRATIVOS'!P37</f>
        <v>0</v>
      </c>
      <c r="P30" s="38">
        <f>'[1]HT-ADMINISTRATIVOS'!Q37</f>
        <v>0</v>
      </c>
      <c r="Q30" s="38">
        <f>'[1]HT-ADMINISTRATIVOS'!R37</f>
        <v>0</v>
      </c>
      <c r="R30" s="38">
        <f>E30*O4</f>
        <v>21.236908060499999</v>
      </c>
      <c r="S30" s="36">
        <f t="shared" si="3"/>
        <v>244.22444269574999</v>
      </c>
      <c r="T30" s="28">
        <f>IF('[1]Calculo ISR '!$AI$34&gt;0,0,'[1]Calculo ISR '!$AI$34)*-1</f>
        <v>61.725528301760008</v>
      </c>
      <c r="U30" s="36">
        <f t="shared" si="5"/>
        <v>1941.1918916560101</v>
      </c>
      <c r="V30" s="36">
        <f>G30</f>
        <v>385.5</v>
      </c>
      <c r="W30" s="67"/>
      <c r="X30" s="47"/>
    </row>
    <row r="31" spans="1:24" s="81" customFormat="1" ht="45" customHeight="1">
      <c r="A31" s="69" t="s">
        <v>77</v>
      </c>
      <c r="B31" s="69" t="s">
        <v>78</v>
      </c>
      <c r="C31" s="71">
        <v>15</v>
      </c>
      <c r="D31" s="72">
        <v>873.012693639492</v>
      </c>
      <c r="E31" s="73">
        <v>13095.19040459238</v>
      </c>
      <c r="F31" s="73">
        <f>'[1]HT-ADMINISTRATIVOS'!F38</f>
        <v>0</v>
      </c>
      <c r="G31" s="73">
        <v>385.5</v>
      </c>
      <c r="H31" s="73">
        <f>'[1]HT-ADMINISTRATIVOS'!H38</f>
        <v>0</v>
      </c>
      <c r="I31" s="73">
        <f>'[1]HT-ADMINISTRATIVOS'!I38</f>
        <v>0</v>
      </c>
      <c r="J31" s="73">
        <f>'[1]HT-ADMINISTRATIVOS'!J38</f>
        <v>0</v>
      </c>
      <c r="K31" s="73">
        <f t="shared" si="4"/>
        <v>13095.19040459238</v>
      </c>
      <c r="L31" s="73">
        <f>K31+G31</f>
        <v>13480.69040459238</v>
      </c>
      <c r="M31" s="28">
        <f>IF('[13]Calculo ISR '!$AJ$34&lt;0,0,'[13]Calculo ISR '!$AJ$34)</f>
        <v>2311.300991160128</v>
      </c>
      <c r="N31" s="73">
        <f>E31*P4</f>
        <v>1374.9949924821999</v>
      </c>
      <c r="O31" s="73">
        <v>1489.84</v>
      </c>
      <c r="P31" s="73">
        <f>'[1]HT-ADMINISTRATIVOS'!Q38</f>
        <v>0</v>
      </c>
      <c r="Q31" s="73">
        <f>'[1]HT-ADMINISTRATIVOS'!R38</f>
        <v>0</v>
      </c>
      <c r="R31" s="73">
        <f>'[1]HT-ADMINISTRATIVOS'!S38</f>
        <v>0</v>
      </c>
      <c r="S31" s="73">
        <f t="shared" ref="S31:S38" si="6">M31+N31+O31+P31+Q31+R31</f>
        <v>5176.135983642328</v>
      </c>
      <c r="T31" s="28">
        <f>IF('[1]Calculo ISR '!$AJ$34&gt;0,0,'[1]Calculo ISR '!$AJ$34)*-1</f>
        <v>0</v>
      </c>
      <c r="U31" s="73">
        <f t="shared" si="5"/>
        <v>7919.0544209500522</v>
      </c>
      <c r="V31" s="73">
        <v>385.5</v>
      </c>
      <c r="W31" s="74"/>
      <c r="X31" s="47"/>
    </row>
    <row r="32" spans="1:24" s="81" customFormat="1" ht="45" customHeight="1">
      <c r="A32" s="53" t="s">
        <v>79</v>
      </c>
      <c r="B32" s="174" t="s">
        <v>80</v>
      </c>
      <c r="C32" s="66">
        <v>15</v>
      </c>
      <c r="D32" s="76">
        <v>534.93837680832996</v>
      </c>
      <c r="E32" s="50">
        <v>8024.0756521249496</v>
      </c>
      <c r="F32" s="50"/>
      <c r="G32" s="77">
        <f>385.5</f>
        <v>385.5</v>
      </c>
      <c r="H32" s="50"/>
      <c r="I32" s="50"/>
      <c r="J32" s="50"/>
      <c r="K32" s="78">
        <f t="shared" si="4"/>
        <v>8024.0756521249496</v>
      </c>
      <c r="L32" s="78">
        <f>K32+G32</f>
        <v>8409.5756521249496</v>
      </c>
      <c r="M32" s="28">
        <f>IF('[1]Calculo ISR '!$AK$34&lt;0,0,'[1]Calculo ISR '!$AK$34)</f>
        <v>1166.7533832938893</v>
      </c>
      <c r="N32" s="79">
        <f>E32*P4</f>
        <v>842.52794347311965</v>
      </c>
      <c r="O32" s="78"/>
      <c r="P32" s="50"/>
      <c r="Q32" s="78"/>
      <c r="R32" s="50"/>
      <c r="S32" s="50">
        <f t="shared" si="6"/>
        <v>2009.281326767009</v>
      </c>
      <c r="T32" s="28">
        <f>IF('[1]Calculo ISR '!$AK$34&gt;0,0,'[1]Calculo ISR '!$AK$34)*-1</f>
        <v>0</v>
      </c>
      <c r="U32" s="79">
        <f>K32-S32</f>
        <v>6014.7943253579406</v>
      </c>
      <c r="V32" s="73">
        <v>385.5</v>
      </c>
      <c r="W32" s="80"/>
      <c r="X32" s="47"/>
    </row>
    <row r="33" spans="1:26" s="81" customFormat="1" ht="45" customHeight="1">
      <c r="A33" s="91" t="s">
        <v>83</v>
      </c>
      <c r="B33" s="91" t="s">
        <v>84</v>
      </c>
      <c r="C33" s="66">
        <v>15</v>
      </c>
      <c r="D33" s="76">
        <v>180.10895980000001</v>
      </c>
      <c r="E33" s="50">
        <v>2701.6343970000003</v>
      </c>
      <c r="F33" s="50"/>
      <c r="G33" s="77">
        <f>385.5</f>
        <v>385.5</v>
      </c>
      <c r="H33" s="50">
        <v>892</v>
      </c>
      <c r="I33" s="50"/>
      <c r="J33" s="50"/>
      <c r="K33" s="78">
        <f t="shared" ref="K33:K38" si="7">E33+F33+H33+I33+J33</f>
        <v>3593.6343970000003</v>
      </c>
      <c r="L33" s="78">
        <f>K33+G33</f>
        <v>3979.1343970000003</v>
      </c>
      <c r="M33" s="28">
        <f>IF('[13]Calculo ISR '!$AM$34&lt;0,0,'[13]Calculo ISR '!$AM$34)</f>
        <v>179.50433439359998</v>
      </c>
      <c r="N33" s="92">
        <f>E33*P4</f>
        <v>283.67161168500002</v>
      </c>
      <c r="O33" s="78"/>
      <c r="P33" s="50"/>
      <c r="Q33" s="78"/>
      <c r="R33" s="50">
        <f>E33*O4</f>
        <v>27.016343970000005</v>
      </c>
      <c r="S33" s="50">
        <f>M33+N33+O33+P33+Q33+R33</f>
        <v>490.19229004859994</v>
      </c>
      <c r="T33" s="28">
        <f>IF('[1]Calculo ISR '!$AM$34&gt;0,0,'[1]Calculo ISR '!$AM$34)*-1</f>
        <v>0</v>
      </c>
      <c r="U33" s="79">
        <f t="shared" ref="U33:U38" si="8">K33-S33+T33</f>
        <v>3103.4421069514001</v>
      </c>
      <c r="V33" s="73">
        <v>385.5</v>
      </c>
      <c r="W33" s="80"/>
      <c r="X33" s="47"/>
    </row>
    <row r="34" spans="1:26" s="81" customFormat="1" ht="45" customHeight="1">
      <c r="A34" s="91" t="s">
        <v>85</v>
      </c>
      <c r="B34" s="91" t="s">
        <v>86</v>
      </c>
      <c r="C34" s="66">
        <v>15</v>
      </c>
      <c r="D34" s="76">
        <v>219.23158179999999</v>
      </c>
      <c r="E34" s="50">
        <v>3288.4737269999996</v>
      </c>
      <c r="F34" s="50"/>
      <c r="G34" s="77">
        <f>385.5</f>
        <v>385.5</v>
      </c>
      <c r="H34" s="50"/>
      <c r="I34" s="50"/>
      <c r="J34" s="50"/>
      <c r="K34" s="78">
        <f t="shared" si="7"/>
        <v>3288.4737269999996</v>
      </c>
      <c r="L34" s="78">
        <f>K34+G34</f>
        <v>3673.9737269999996</v>
      </c>
      <c r="M34" s="28">
        <f>IF('[13]Calculo ISR '!$AN$34&lt;0,0,'[13]Calculo ISR '!$AN$34)</f>
        <v>128.60285349759991</v>
      </c>
      <c r="N34" s="92">
        <f>E34*P4</f>
        <v>345.28974133499992</v>
      </c>
      <c r="O34" s="78"/>
      <c r="P34" s="50"/>
      <c r="Q34" s="78"/>
      <c r="R34" s="50">
        <v>0</v>
      </c>
      <c r="S34" s="50">
        <f t="shared" si="6"/>
        <v>473.8925948325998</v>
      </c>
      <c r="T34" s="28">
        <f>IF('[1]Calculo ISR '!$AN$34&gt;0,0,'[1]Calculo ISR '!$AN$34)*-1</f>
        <v>0</v>
      </c>
      <c r="U34" s="79">
        <f t="shared" si="8"/>
        <v>2814.5811321674</v>
      </c>
      <c r="V34" s="73">
        <v>385.5</v>
      </c>
      <c r="W34" s="80"/>
      <c r="X34" s="47"/>
    </row>
    <row r="35" spans="1:26" s="81" customFormat="1" ht="45" customHeight="1">
      <c r="A35" s="91" t="s">
        <v>87</v>
      </c>
      <c r="B35" s="91" t="s">
        <v>88</v>
      </c>
      <c r="C35" s="66">
        <v>15</v>
      </c>
      <c r="D35" s="76">
        <v>534.93837680832996</v>
      </c>
      <c r="E35" s="50">
        <f>E32</f>
        <v>8024.0756521249496</v>
      </c>
      <c r="F35" s="50"/>
      <c r="G35" s="77">
        <v>385.5</v>
      </c>
      <c r="H35" s="50"/>
      <c r="I35" s="50"/>
      <c r="J35" s="50"/>
      <c r="K35" s="78">
        <f t="shared" si="7"/>
        <v>8024.0756521249496</v>
      </c>
      <c r="L35" s="78">
        <f>K35+G35+T35</f>
        <v>8409.5756521249496</v>
      </c>
      <c r="M35" s="28">
        <f>IF('[13]Calculo ISR '!$AO$34&lt;0,0,'[13]Calculo ISR '!$AO$34)</f>
        <v>1166.7533832938893</v>
      </c>
      <c r="N35" s="92">
        <f>E35*P4</f>
        <v>842.52794347311965</v>
      </c>
      <c r="O35" s="78">
        <v>1338</v>
      </c>
      <c r="P35" s="50"/>
      <c r="Q35" s="78"/>
      <c r="R35" s="50"/>
      <c r="S35" s="50">
        <f t="shared" si="6"/>
        <v>3347.281326767009</v>
      </c>
      <c r="T35" s="28">
        <f>IF('[1]Calculo ISR '!$AO$34&gt;0,0,'[1]Calculo ISR '!$AO$34)*-1</f>
        <v>0</v>
      </c>
      <c r="U35" s="79">
        <f t="shared" si="8"/>
        <v>4676.7943253579406</v>
      </c>
      <c r="V35" s="73">
        <f t="shared" ref="V35:V43" si="9">G35</f>
        <v>385.5</v>
      </c>
      <c r="W35" s="80"/>
      <c r="X35" s="47"/>
    </row>
    <row r="36" spans="1:26" s="81" customFormat="1" ht="45" customHeight="1">
      <c r="A36" s="91" t="s">
        <v>89</v>
      </c>
      <c r="B36" s="91" t="s">
        <v>90</v>
      </c>
      <c r="C36" s="66">
        <v>15</v>
      </c>
      <c r="D36" s="76">
        <v>171.34</v>
      </c>
      <c r="E36" s="50">
        <f>C36*D36</f>
        <v>2570.1</v>
      </c>
      <c r="F36" s="50"/>
      <c r="G36" s="77">
        <v>385.5</v>
      </c>
      <c r="H36" s="50"/>
      <c r="I36" s="50"/>
      <c r="J36" s="50"/>
      <c r="K36" s="78">
        <f t="shared" si="7"/>
        <v>2570.1</v>
      </c>
      <c r="L36" s="78">
        <f>K36+G36</f>
        <v>2955.6</v>
      </c>
      <c r="M36" s="28">
        <f>IF('[13]Calculo ISR '!$AP$34&lt;0,0,'[13]Calculo ISR '!$AP$34)</f>
        <v>15.193791999999974</v>
      </c>
      <c r="N36" s="92">
        <f>E36*P4</f>
        <v>269.8605</v>
      </c>
      <c r="O36" s="78"/>
      <c r="P36" s="50"/>
      <c r="Q36" s="78"/>
      <c r="R36" s="50"/>
      <c r="S36" s="50">
        <f t="shared" si="6"/>
        <v>285.05429199999998</v>
      </c>
      <c r="T36" s="28">
        <f>IF('[1]Calculo ISR '!$AP$34&gt;0,0,'[1]Calculo ISR '!$AP$34)*-1</f>
        <v>0</v>
      </c>
      <c r="U36" s="79">
        <f t="shared" si="8"/>
        <v>2285.0457080000001</v>
      </c>
      <c r="V36" s="73">
        <f t="shared" si="9"/>
        <v>385.5</v>
      </c>
      <c r="W36" s="80"/>
      <c r="X36" s="47"/>
    </row>
    <row r="37" spans="1:26" s="81" customFormat="1" ht="45" customHeight="1">
      <c r="A37" s="91" t="s">
        <v>91</v>
      </c>
      <c r="B37" s="91" t="s">
        <v>92</v>
      </c>
      <c r="C37" s="66">
        <v>15</v>
      </c>
      <c r="D37" s="76">
        <v>131.36093080000001</v>
      </c>
      <c r="E37" s="50">
        <v>1970.4139620000001</v>
      </c>
      <c r="F37" s="50"/>
      <c r="G37" s="77">
        <v>385.5</v>
      </c>
      <c r="H37" s="50"/>
      <c r="I37" s="50"/>
      <c r="J37" s="50"/>
      <c r="K37" s="78">
        <f t="shared" si="7"/>
        <v>1970.4139620000001</v>
      </c>
      <c r="L37" s="78">
        <f>K37+G37+T37</f>
        <v>2429.5253084320002</v>
      </c>
      <c r="M37" s="28">
        <f>IF('[13]Calculo ISR '!$AQ$34&lt;0,0,'[13]Calculo ISR '!$AQ$34)</f>
        <v>0</v>
      </c>
      <c r="N37" s="92">
        <f>E37*P4</f>
        <v>206.89346601</v>
      </c>
      <c r="O37" s="78">
        <v>493</v>
      </c>
      <c r="P37" s="50"/>
      <c r="Q37" s="78"/>
      <c r="R37" s="50"/>
      <c r="S37" s="50">
        <f t="shared" si="6"/>
        <v>699.89346601</v>
      </c>
      <c r="T37" s="28">
        <f>IF('[1]Calculo ISR '!$AQ$34&gt;0,0,'[1]Calculo ISR '!$AQ$34)*-1</f>
        <v>73.611346431999976</v>
      </c>
      <c r="U37" s="79">
        <f t="shared" si="8"/>
        <v>1344.1318424220001</v>
      </c>
      <c r="V37" s="73">
        <f t="shared" si="9"/>
        <v>385.5</v>
      </c>
      <c r="W37" s="80"/>
      <c r="X37" s="47"/>
    </row>
    <row r="38" spans="1:26" s="81" customFormat="1" ht="45" customHeight="1">
      <c r="A38" s="91" t="s">
        <v>93</v>
      </c>
      <c r="B38" s="91" t="s">
        <v>94</v>
      </c>
      <c r="C38" s="66">
        <v>15</v>
      </c>
      <c r="D38" s="76">
        <v>131.36093080000001</v>
      </c>
      <c r="E38" s="50">
        <v>1970.4139620000001</v>
      </c>
      <c r="F38" s="50"/>
      <c r="G38" s="77">
        <v>385.5</v>
      </c>
      <c r="H38" s="50"/>
      <c r="I38" s="50"/>
      <c r="J38" s="50"/>
      <c r="K38" s="78">
        <f t="shared" si="7"/>
        <v>1970.4139620000001</v>
      </c>
      <c r="L38" s="78">
        <f>K38+G38+T38</f>
        <v>2429.5253084320002</v>
      </c>
      <c r="M38" s="28">
        <f>IF('[13]Calculo ISR '!$AR$34&lt;0,0,'[13]Calculo ISR '!$AR$34)</f>
        <v>0</v>
      </c>
      <c r="N38" s="92">
        <f>E38*P4</f>
        <v>206.89346601</v>
      </c>
      <c r="O38" s="78"/>
      <c r="P38" s="50"/>
      <c r="Q38" s="78"/>
      <c r="R38" s="50"/>
      <c r="S38" s="50">
        <f t="shared" si="6"/>
        <v>206.89346601</v>
      </c>
      <c r="T38" s="28">
        <f>IF('[1]Calculo ISR '!$AR$34&gt;0,0,'[1]Calculo ISR '!$AR$34)*-1</f>
        <v>73.611346431999976</v>
      </c>
      <c r="U38" s="79">
        <f t="shared" si="8"/>
        <v>1837.1318424220001</v>
      </c>
      <c r="V38" s="73">
        <f t="shared" si="9"/>
        <v>385.5</v>
      </c>
      <c r="W38" s="80"/>
      <c r="X38" s="47"/>
    </row>
    <row r="39" spans="1:26" s="81" customFormat="1" ht="45" customHeight="1">
      <c r="A39" s="91" t="s">
        <v>95</v>
      </c>
      <c r="B39" s="91" t="s">
        <v>96</v>
      </c>
      <c r="C39" s="66">
        <v>15</v>
      </c>
      <c r="D39" s="76">
        <v>754.54</v>
      </c>
      <c r="E39" s="50">
        <f>C39*D39</f>
        <v>11318.099999999999</v>
      </c>
      <c r="F39" s="50"/>
      <c r="G39" s="77">
        <v>385.5</v>
      </c>
      <c r="H39" s="50"/>
      <c r="I39" s="50"/>
      <c r="J39" s="50"/>
      <c r="K39" s="78">
        <f>E39+H39+I39+J39</f>
        <v>11318.099999999999</v>
      </c>
      <c r="L39" s="78">
        <f>K39+G39</f>
        <v>11703.599999999999</v>
      </c>
      <c r="M39" s="28">
        <f>IF('[13]Calculo ISR '!$AS$34&lt;0,0,'[13]Calculo ISR '!$AS$34)</f>
        <v>1893.3293279999998</v>
      </c>
      <c r="N39" s="92">
        <f>E39*P4</f>
        <v>1188.4004999999997</v>
      </c>
      <c r="O39" s="78"/>
      <c r="P39" s="50"/>
      <c r="Q39" s="78"/>
      <c r="R39" s="50"/>
      <c r="S39" s="50">
        <f>M39+N39+O39+P39+Q39+R39</f>
        <v>3081.7298279999995</v>
      </c>
      <c r="T39" s="28">
        <f>IF('[1]Calculo ISR '!$AS$34&gt;0,0,'[1]Calculo ISR '!$AS$34)*-1</f>
        <v>0</v>
      </c>
      <c r="U39" s="79">
        <f>K39-S39</f>
        <v>8236.370171999999</v>
      </c>
      <c r="V39" s="73">
        <f t="shared" si="9"/>
        <v>385.5</v>
      </c>
      <c r="W39" s="80"/>
      <c r="X39" s="47"/>
    </row>
    <row r="40" spans="1:26" s="81" customFormat="1" ht="45" customHeight="1">
      <c r="A40" s="91" t="s">
        <v>97</v>
      </c>
      <c r="B40" s="91" t="s">
        <v>98</v>
      </c>
      <c r="C40" s="66">
        <v>15</v>
      </c>
      <c r="D40" s="76">
        <v>754.54</v>
      </c>
      <c r="E40" s="50">
        <f>D40*C40</f>
        <v>11318.099999999999</v>
      </c>
      <c r="F40" s="50"/>
      <c r="G40" s="77">
        <v>385.5</v>
      </c>
      <c r="H40" s="50"/>
      <c r="I40" s="50"/>
      <c r="J40" s="50"/>
      <c r="K40" s="78">
        <f>E40+H40+I40+J40</f>
        <v>11318.099999999999</v>
      </c>
      <c r="L40" s="78">
        <f>K40+G40</f>
        <v>11703.599999999999</v>
      </c>
      <c r="M40" s="28">
        <f>IF('[13]Calculo ISR '!$AT$34&lt;0,0,'[13]Calculo ISR '!$AT$34)</f>
        <v>1893.3293279999998</v>
      </c>
      <c r="N40" s="92">
        <f>E40*P4</f>
        <v>1188.4004999999997</v>
      </c>
      <c r="O40" s="78">
        <v>3773</v>
      </c>
      <c r="P40" s="50"/>
      <c r="Q40" s="78"/>
      <c r="R40" s="50"/>
      <c r="S40" s="50">
        <f>M40+N40+O40+P40+Q40+R40</f>
        <v>6854.7298279999995</v>
      </c>
      <c r="T40" s="28">
        <f>IF('[1]Calculo ISR '!$AT$34&gt;0,0,'[1]Calculo ISR '!$AT$34)*-1</f>
        <v>0</v>
      </c>
      <c r="U40" s="79">
        <f>K40-S40</f>
        <v>4463.370171999999</v>
      </c>
      <c r="V40" s="73">
        <f t="shared" si="9"/>
        <v>385.5</v>
      </c>
      <c r="W40" s="80"/>
      <c r="X40" s="47"/>
    </row>
    <row r="41" spans="1:26" s="81" customFormat="1" ht="45" customHeight="1">
      <c r="A41" s="91" t="s">
        <v>99</v>
      </c>
      <c r="B41" s="91" t="s">
        <v>100</v>
      </c>
      <c r="C41" s="66">
        <v>15</v>
      </c>
      <c r="D41" s="76">
        <v>171.34</v>
      </c>
      <c r="E41" s="50">
        <f>C41*D41</f>
        <v>2570.1</v>
      </c>
      <c r="F41" s="50"/>
      <c r="G41" s="77">
        <v>385.5</v>
      </c>
      <c r="H41" s="50"/>
      <c r="I41" s="50"/>
      <c r="J41" s="50"/>
      <c r="K41" s="78">
        <f>E41+F41+H41+I41+J41</f>
        <v>2570.1</v>
      </c>
      <c r="L41" s="78">
        <f>K41+G41</f>
        <v>2955.6</v>
      </c>
      <c r="M41" s="28">
        <f>IF('[13]Calculo ISR '!$AU$34&lt;0,0,'[13]Calculo ISR '!$AU$34)</f>
        <v>15.193791999999974</v>
      </c>
      <c r="N41" s="92">
        <f>E41*P4</f>
        <v>269.8605</v>
      </c>
      <c r="O41" s="78"/>
      <c r="P41" s="50"/>
      <c r="Q41" s="78"/>
      <c r="R41" s="50"/>
      <c r="S41" s="50">
        <f>M41+N41+O41+P41+Q41+R41</f>
        <v>285.05429199999998</v>
      </c>
      <c r="T41" s="28">
        <f>IF('[1]Calculo ISR '!$AU$34&gt;0,0,'[1]Calculo ISR '!$AU$34)*-1</f>
        <v>0</v>
      </c>
      <c r="U41" s="79">
        <f>K41-S41</f>
        <v>2285.0457080000001</v>
      </c>
      <c r="V41" s="73">
        <f t="shared" si="9"/>
        <v>385.5</v>
      </c>
      <c r="W41" s="80"/>
      <c r="X41" s="47"/>
    </row>
    <row r="42" spans="1:26" s="81" customFormat="1" ht="45" customHeight="1">
      <c r="A42" s="91" t="s">
        <v>101</v>
      </c>
      <c r="B42" s="91" t="s">
        <v>121</v>
      </c>
      <c r="C42" s="66">
        <v>15</v>
      </c>
      <c r="D42" s="76">
        <v>754.54</v>
      </c>
      <c r="E42" s="50">
        <f>C42*D42</f>
        <v>11318.099999999999</v>
      </c>
      <c r="F42" s="50"/>
      <c r="G42" s="77">
        <v>385.5</v>
      </c>
      <c r="H42" s="50"/>
      <c r="I42" s="50"/>
      <c r="J42" s="50"/>
      <c r="K42" s="78">
        <f>E42+F42+H42+I42+J42</f>
        <v>11318.099999999999</v>
      </c>
      <c r="L42" s="78">
        <f>K42+G42</f>
        <v>11703.599999999999</v>
      </c>
      <c r="M42" s="28">
        <f>IF('[13]Calculo ISR '!$AV$34&lt;0,0,'[13]Calculo ISR '!$AV$34)</f>
        <v>1893.3293279999998</v>
      </c>
      <c r="N42" s="92">
        <f>E42*P4</f>
        <v>1188.4004999999997</v>
      </c>
      <c r="O42" s="78">
        <v>1887</v>
      </c>
      <c r="P42" s="50"/>
      <c r="Q42" s="78"/>
      <c r="R42" s="50"/>
      <c r="S42" s="50">
        <f>M42+N42+O42+P42+Q42+R42</f>
        <v>4968.7298279999995</v>
      </c>
      <c r="T42" s="28">
        <f>IF('[1]Calculo ISR '!$AV$34&gt;0,0,'[1]Calculo ISR '!$AV$34)*-1</f>
        <v>0</v>
      </c>
      <c r="U42" s="79">
        <f>K42-S42</f>
        <v>6349.370171999999</v>
      </c>
      <c r="V42" s="73">
        <f t="shared" si="9"/>
        <v>385.5</v>
      </c>
      <c r="W42" s="80"/>
      <c r="X42" s="47"/>
    </row>
    <row r="43" spans="1:26" s="81" customFormat="1" ht="45" customHeight="1">
      <c r="A43" s="91" t="s">
        <v>103</v>
      </c>
      <c r="B43" s="91" t="s">
        <v>122</v>
      </c>
      <c r="C43" s="66">
        <v>15</v>
      </c>
      <c r="D43" s="76">
        <v>171.34</v>
      </c>
      <c r="E43" s="50">
        <f>C43*D43</f>
        <v>2570.1</v>
      </c>
      <c r="F43" s="50"/>
      <c r="G43" s="77">
        <v>385.5</v>
      </c>
      <c r="H43" s="50"/>
      <c r="I43" s="50"/>
      <c r="J43" s="50"/>
      <c r="K43" s="78">
        <f>E43+F43+H43+I43+J43</f>
        <v>2570.1</v>
      </c>
      <c r="L43" s="78">
        <f>K43+G43</f>
        <v>2955.6</v>
      </c>
      <c r="M43" s="28">
        <v>15.19</v>
      </c>
      <c r="N43" s="92">
        <f>E43*P4</f>
        <v>269.8605</v>
      </c>
      <c r="O43" s="78"/>
      <c r="P43" s="50"/>
      <c r="Q43" s="78"/>
      <c r="R43" s="50"/>
      <c r="S43" s="50">
        <f>M43+N43+O43+P43+Q43+R43</f>
        <v>285.0505</v>
      </c>
      <c r="T43" s="28"/>
      <c r="U43" s="79">
        <f>K43-S43</f>
        <v>2285.0495000000001</v>
      </c>
      <c r="V43" s="73">
        <f t="shared" si="9"/>
        <v>385.5</v>
      </c>
      <c r="W43" s="80"/>
      <c r="X43" s="47"/>
    </row>
    <row r="44" spans="1:26" s="99" customFormat="1" ht="21.95" customHeight="1">
      <c r="A44" s="93"/>
      <c r="B44" s="94">
        <v>37</v>
      </c>
      <c r="C44" s="95">
        <f>SUM(C8:C43)</f>
        <v>540</v>
      </c>
      <c r="D44" s="95">
        <f>SUM(D8:D43)</f>
        <v>12129.208749508314</v>
      </c>
      <c r="E44" s="95">
        <f>SUM(E7:E43)</f>
        <v>198874.78124262471</v>
      </c>
      <c r="F44" s="95">
        <f t="shared" ref="F44:V44" si="10">SUM(F7:F43)</f>
        <v>6616.24</v>
      </c>
      <c r="G44" s="95">
        <f t="shared" si="10"/>
        <v>14838</v>
      </c>
      <c r="H44" s="95">
        <f t="shared" si="10"/>
        <v>4014</v>
      </c>
      <c r="I44" s="95">
        <f t="shared" si="10"/>
        <v>688</v>
      </c>
      <c r="J44" s="95">
        <f t="shared" si="10"/>
        <v>2300.3233694416267</v>
      </c>
      <c r="K44" s="95">
        <f t="shared" si="10"/>
        <v>212493.34461206634</v>
      </c>
      <c r="L44" s="95">
        <f t="shared" si="10"/>
        <v>227639.10313036898</v>
      </c>
      <c r="M44" s="96">
        <f t="shared" si="10"/>
        <v>26645.32024452624</v>
      </c>
      <c r="N44" s="95">
        <f>SUM(N7:N43)</f>
        <v>20881.852030475591</v>
      </c>
      <c r="O44" s="95">
        <f t="shared" si="10"/>
        <v>26206.13</v>
      </c>
      <c r="P44" s="95">
        <f t="shared" si="10"/>
        <v>0</v>
      </c>
      <c r="Q44" s="95">
        <f t="shared" si="10"/>
        <v>0</v>
      </c>
      <c r="R44" s="95">
        <f t="shared" si="10"/>
        <v>554.15389126315188</v>
      </c>
      <c r="S44" s="95">
        <f t="shared" si="10"/>
        <v>74287.456166264979</v>
      </c>
      <c r="T44" s="95">
        <f t="shared" si="10"/>
        <v>307.75851830263997</v>
      </c>
      <c r="U44" s="95">
        <f t="shared" si="10"/>
        <v>138513.64696410397</v>
      </c>
      <c r="V44" s="95">
        <f t="shared" si="10"/>
        <v>14838</v>
      </c>
      <c r="W44" s="97"/>
      <c r="X44" s="98"/>
    </row>
    <row r="45" spans="1:26" s="6" customFormat="1" ht="5.25" customHeight="1">
      <c r="A45" s="122"/>
      <c r="B45" s="123"/>
      <c r="C45" s="124"/>
      <c r="D45" s="101"/>
      <c r="E45" s="101">
        <f>E44+'[13]HT-DOCENTE FIRMA'!I39</f>
        <v>315500.53124262474</v>
      </c>
      <c r="F45" s="101"/>
      <c r="G45" s="125">
        <f>G44+'[13]HT-DOCENTE FIRMA'!J39</f>
        <v>21969.67</v>
      </c>
      <c r="H45" s="125">
        <f>H44+'[13]HT-DOCENTE FIRMA'!L39</f>
        <v>5664.2000000000007</v>
      </c>
      <c r="I45" s="101"/>
      <c r="J45" s="101">
        <f>J44+'[13]HT-DOCENTE FIRMA'!M39</f>
        <v>2810.2183694416267</v>
      </c>
      <c r="K45" s="101"/>
      <c r="L45" s="101"/>
      <c r="M45" s="5">
        <f>M44+'[13]HT-DOCENTE FIRMA'!P39</f>
        <v>38396.213596526242</v>
      </c>
      <c r="N45" s="101">
        <f>N44+'[13]HT-DOCENTE FIRMA'!Q39</f>
        <v>33127.555780475595</v>
      </c>
      <c r="O45" s="101"/>
      <c r="P45" s="101"/>
      <c r="Q45" s="101"/>
      <c r="R45" s="101"/>
      <c r="S45" s="101"/>
      <c r="T45" s="101"/>
      <c r="U45" s="101">
        <f>U44+'[13]HT-DOCENTE FIRMA'!X39</f>
        <v>225697.14989010399</v>
      </c>
      <c r="V45" s="101"/>
      <c r="W45" s="126"/>
      <c r="X45" s="5"/>
    </row>
    <row r="46" spans="1:26" s="6" customFormat="1" ht="5.25" customHeight="1">
      <c r="A46" s="122"/>
      <c r="B46" s="123"/>
      <c r="C46" s="124"/>
      <c r="D46" s="101"/>
      <c r="E46" s="101">
        <f>E44+'[13]HT-DOCENTE FIRMA'!I39</f>
        <v>315500.53124262474</v>
      </c>
      <c r="F46" s="101"/>
      <c r="G46" s="125"/>
      <c r="H46" s="125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26"/>
      <c r="X46" s="5"/>
      <c r="Z46" s="5"/>
    </row>
    <row r="47" spans="1:26" s="6" customFormat="1" ht="5.25" customHeight="1">
      <c r="A47" s="127"/>
      <c r="B47" s="123"/>
      <c r="C47" s="122"/>
      <c r="D47" s="128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26"/>
      <c r="X47" s="5"/>
    </row>
    <row r="48" spans="1:26" s="6" customFormat="1" ht="5.25" customHeight="1">
      <c r="A48" s="129"/>
      <c r="B48" s="130"/>
      <c r="C48" s="131"/>
      <c r="D48" s="132"/>
      <c r="E48" s="133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5"/>
      <c r="X48" s="5"/>
    </row>
    <row r="49" spans="1:24" ht="15" customHeight="1">
      <c r="A49" s="110" t="s">
        <v>105</v>
      </c>
      <c r="B49" s="110"/>
      <c r="C49" s="110"/>
      <c r="D49" s="111"/>
      <c r="E49" s="109"/>
      <c r="F49" s="113" t="s">
        <v>106</v>
      </c>
      <c r="G49" s="112"/>
      <c r="H49" s="112"/>
      <c r="I49" s="112"/>
      <c r="K49" s="113"/>
      <c r="L49" s="114"/>
      <c r="O49" s="115"/>
      <c r="P49" s="115"/>
      <c r="Q49" s="115"/>
      <c r="R49" s="115"/>
      <c r="S49" s="111" t="s">
        <v>107</v>
      </c>
      <c r="T49" s="111"/>
      <c r="U49" s="111"/>
      <c r="V49" s="111"/>
      <c r="W49" s="111"/>
      <c r="X49" s="100"/>
    </row>
    <row r="50" spans="1:24" hidden="1">
      <c r="A50" s="111"/>
      <c r="B50" s="111"/>
      <c r="C50" s="111"/>
      <c r="D50" s="111"/>
      <c r="E50" s="116"/>
      <c r="F50" s="116"/>
      <c r="G50" s="111"/>
      <c r="H50" s="111"/>
      <c r="I50" s="111"/>
      <c r="J50" s="111"/>
      <c r="K50" s="103"/>
      <c r="L50" s="103"/>
      <c r="O50" s="103"/>
      <c r="P50" s="115"/>
      <c r="Q50" s="103"/>
      <c r="R50" s="103"/>
      <c r="S50" s="111"/>
      <c r="T50" s="111"/>
      <c r="U50" s="111"/>
      <c r="V50" s="111"/>
      <c r="W50" s="111"/>
      <c r="X50" s="100"/>
    </row>
    <row r="51" spans="1:24" hidden="1">
      <c r="A51" s="111"/>
      <c r="B51" s="111"/>
      <c r="C51" s="111"/>
      <c r="D51" s="111"/>
      <c r="E51" s="109"/>
      <c r="F51" s="109"/>
      <c r="G51" s="111"/>
      <c r="H51" s="111"/>
      <c r="I51" s="111"/>
      <c r="J51" s="111"/>
      <c r="K51" s="109"/>
      <c r="L51" s="109"/>
      <c r="O51" s="109"/>
      <c r="P51" s="109"/>
      <c r="Q51" s="109"/>
      <c r="R51" s="109"/>
      <c r="S51" s="111"/>
      <c r="T51" s="111"/>
      <c r="U51" s="111"/>
      <c r="V51" s="111"/>
      <c r="W51" s="111"/>
      <c r="X51" s="100"/>
    </row>
    <row r="52" spans="1:24" ht="21.75" customHeight="1">
      <c r="A52" s="111"/>
      <c r="B52" s="113" t="s">
        <v>108</v>
      </c>
      <c r="C52" s="111"/>
      <c r="D52" s="111"/>
      <c r="E52" s="116"/>
      <c r="F52" s="118" t="s">
        <v>109</v>
      </c>
      <c r="G52" s="117"/>
      <c r="H52" s="117"/>
      <c r="I52" s="117"/>
      <c r="K52" s="118"/>
      <c r="L52" s="118"/>
      <c r="O52" s="109"/>
      <c r="P52" s="109"/>
      <c r="R52" s="109"/>
      <c r="S52" s="144" t="s">
        <v>110</v>
      </c>
      <c r="T52" s="117"/>
      <c r="U52" s="117"/>
      <c r="V52" s="117"/>
      <c r="W52" s="111"/>
      <c r="X52" s="100"/>
    </row>
    <row r="53" spans="1:24" ht="15" customHeight="1">
      <c r="A53" s="110" t="s">
        <v>111</v>
      </c>
      <c r="B53" s="110"/>
      <c r="C53" s="110"/>
      <c r="D53" s="111"/>
      <c r="E53" s="109"/>
      <c r="F53" s="118" t="s">
        <v>112</v>
      </c>
      <c r="G53" s="117"/>
      <c r="H53" s="117"/>
      <c r="I53" s="117"/>
      <c r="K53" s="118"/>
      <c r="L53" s="118"/>
      <c r="O53" s="109"/>
      <c r="P53" s="109"/>
      <c r="Q53" s="109"/>
      <c r="R53" s="119" t="s">
        <v>113</v>
      </c>
      <c r="S53" s="119"/>
      <c r="T53" s="119"/>
      <c r="U53" s="119"/>
      <c r="V53" s="119"/>
      <c r="W53" s="111"/>
      <c r="X53" s="100"/>
    </row>
    <row r="54" spans="1:24">
      <c r="A54" s="109"/>
      <c r="B54" s="120"/>
      <c r="C54" s="109"/>
      <c r="D54" s="109"/>
      <c r="E54" s="116"/>
      <c r="F54" s="116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0"/>
    </row>
    <row r="55" spans="1:24" s="2" customFormat="1">
      <c r="A55" s="109"/>
      <c r="B55" s="120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16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 s="102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306" spans="99:99">
      <c r="CU306" s="1" t="s">
        <v>114</v>
      </c>
    </row>
  </sheetData>
  <mergeCells count="3">
    <mergeCell ref="A49:C49"/>
    <mergeCell ref="A53:C53"/>
    <mergeCell ref="R53:V53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U306"/>
  <sheetViews>
    <sheetView zoomScale="80" zoomScaleNormal="80" workbookViewId="0">
      <pane xSplit="2" ySplit="6" topLeftCell="C39" activePane="bottomRight" state="frozen"/>
      <selection activeCell="S28" sqref="S28"/>
      <selection pane="topRight" activeCell="S28" sqref="S28"/>
      <selection pane="bottomLeft" activeCell="S28" sqref="S28"/>
      <selection pane="bottomRight" activeCell="B46" sqref="B46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8" width="12.4257812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7.1406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1" spans="1:26">
      <c r="K1" s="3"/>
      <c r="L1" s="3"/>
      <c r="P1" s="3"/>
      <c r="Q1" s="3"/>
      <c r="R1" s="3"/>
    </row>
    <row r="2" spans="1:26">
      <c r="I2" s="3"/>
      <c r="J2" s="3"/>
      <c r="K2" s="3"/>
      <c r="L2" s="3"/>
      <c r="P2" s="3"/>
      <c r="Q2" s="3"/>
      <c r="R2" s="3"/>
    </row>
    <row r="3" spans="1:26" ht="22.5">
      <c r="B3" s="2"/>
      <c r="I3" s="3"/>
      <c r="J3" s="3"/>
      <c r="K3" s="5"/>
      <c r="L3" s="5" t="s">
        <v>0</v>
      </c>
      <c r="M3" s="6"/>
      <c r="N3" s="6"/>
      <c r="O3" s="6"/>
      <c r="P3" s="135" t="s">
        <v>132</v>
      </c>
      <c r="Q3" s="6" t="s">
        <v>1</v>
      </c>
      <c r="R3" s="6" t="s">
        <v>133</v>
      </c>
      <c r="S3" s="6"/>
    </row>
    <row r="4" spans="1:26">
      <c r="B4" s="2"/>
      <c r="C4" s="3"/>
      <c r="D4" s="3"/>
      <c r="E4" s="3"/>
      <c r="F4" s="3"/>
      <c r="I4" s="3"/>
      <c r="J4" s="3"/>
      <c r="K4" s="6"/>
      <c r="L4" s="7">
        <v>1.9E-2</v>
      </c>
      <c r="M4" s="6"/>
      <c r="N4" s="6"/>
      <c r="O4" s="8">
        <v>0.01</v>
      </c>
      <c r="P4" s="121">
        <v>0.105</v>
      </c>
      <c r="Q4" s="9">
        <v>3.7999999999999999E-2</v>
      </c>
      <c r="R4" s="121">
        <v>5.7000000000000002E-2</v>
      </c>
      <c r="S4" s="6"/>
    </row>
    <row r="5" spans="1:26" ht="13.5" thickBot="1">
      <c r="B5" s="10" t="s">
        <v>2</v>
      </c>
      <c r="C5" s="3"/>
      <c r="D5" s="3"/>
      <c r="E5" s="3"/>
      <c r="F5" s="10" t="s">
        <v>136</v>
      </c>
      <c r="I5" s="3"/>
      <c r="J5" s="3"/>
      <c r="K5" s="3"/>
      <c r="Q5" s="3"/>
      <c r="R5" s="3"/>
      <c r="S5" s="3"/>
    </row>
    <row r="6" spans="1:26" s="25" customFormat="1" ht="105.7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142">
        <v>15</v>
      </c>
      <c r="D7" s="28">
        <v>1129.1099999999999</v>
      </c>
      <c r="E7" s="28">
        <f>C7*D7</f>
        <v>16936.649999999998</v>
      </c>
      <c r="F7" s="28">
        <v>6616.24</v>
      </c>
      <c r="G7" s="28">
        <v>960</v>
      </c>
      <c r="H7" s="28">
        <f>'[1]HT-ADMINISTRATIVOS'!H8</f>
        <v>0</v>
      </c>
      <c r="I7" s="28">
        <v>688</v>
      </c>
      <c r="J7" s="28"/>
      <c r="K7" s="28">
        <f>SUM(E7+F7+I7+J7)</f>
        <v>24240.89</v>
      </c>
      <c r="L7" s="28">
        <f>SUM(K7+G7)</f>
        <v>25200.89</v>
      </c>
      <c r="M7" s="28">
        <f>IF('[14]Calculo ISR '!$K$34&lt;0,0,'[14]Calculo ISR '!$K$34)</f>
        <v>5456.9489999999996</v>
      </c>
      <c r="N7" s="28">
        <f>E7*P4</f>
        <v>1778.3482499999998</v>
      </c>
      <c r="O7" s="28"/>
      <c r="P7" s="28"/>
      <c r="Q7" s="28"/>
      <c r="R7" s="28"/>
      <c r="S7" s="28">
        <f>SUM(M7+N7+O7+P7+Q7+R7)</f>
        <v>7235.2972499999996</v>
      </c>
      <c r="T7" s="28"/>
      <c r="U7" s="36">
        <f>K7-S7</f>
        <v>17005.59275</v>
      </c>
      <c r="V7" s="28">
        <f>G7</f>
        <v>960</v>
      </c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754.53875970000001</v>
      </c>
      <c r="E8" s="36">
        <v>11318.081395499999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E8*R4</f>
        <v>645.13063954350002</v>
      </c>
      <c r="K8" s="36">
        <f>E8+F8+H8+I8+J8</f>
        <v>12409.2120350435</v>
      </c>
      <c r="L8" s="36">
        <f t="shared" ref="L8:L12" si="0">K8+G8</f>
        <v>12794.7120350435</v>
      </c>
      <c r="M8" s="28">
        <f>IF('[14]Calculo ISR '!$L$34&lt;0,0,'[14]Calculo ISR '!$L$34)</f>
        <v>2149.9588786422314</v>
      </c>
      <c r="N8" s="38">
        <f>E8*P4</f>
        <v>1188.3985465275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3338.3574251697314</v>
      </c>
      <c r="T8" s="28">
        <f>IF('[1]Calculo ISR '!$L$34&gt;0,0,'[1]Calculo ISR '!$L$34)*-1</f>
        <v>0</v>
      </c>
      <c r="U8" s="36">
        <f>K8-S8</f>
        <v>9070.8546098737679</v>
      </c>
      <c r="V8" s="36">
        <f t="shared" ref="V8:V26" si="1">G8</f>
        <v>385.5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230.34834514817072</v>
      </c>
      <c r="E9" s="36">
        <v>3455.2251772225609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E9*R4</f>
        <v>196.94783510168597</v>
      </c>
      <c r="K9" s="36">
        <f>E9+F9+H9+I9+J9</f>
        <v>3652.1730123242469</v>
      </c>
      <c r="L9" s="36">
        <f t="shared" si="0"/>
        <v>4037.6730123242469</v>
      </c>
      <c r="M9" s="28">
        <f>IF('[14]Calculo ISR '!$M$34&lt;0,0,'[14]Calculo ISR '!$M$34)</f>
        <v>293.43608197187945</v>
      </c>
      <c r="N9" s="38">
        <f>E9*P4</f>
        <v>362.79864360836888</v>
      </c>
      <c r="O9" s="38">
        <v>700</v>
      </c>
      <c r="P9" s="38">
        <f>'[1]HT-ADMINISTRATIVOS'!Q11</f>
        <v>0</v>
      </c>
      <c r="Q9" s="38">
        <f>'[1]HT-ADMINISTRATIVOS'!R11</f>
        <v>0</v>
      </c>
      <c r="R9" s="38">
        <f>E9*O4</f>
        <v>34.55225177222561</v>
      </c>
      <c r="S9" s="36">
        <f>M9+N9+O9+P9+Q9+R9</f>
        <v>1390.786977352474</v>
      </c>
      <c r="T9" s="28">
        <f>IF('[1]Calculo ISR '!$M$34&gt;0,0,'[1]Calculo ISR '!$M$34)*-1</f>
        <v>0</v>
      </c>
      <c r="U9" s="36">
        <f t="shared" ref="U9:U15" si="2">K9-S9+T9</f>
        <v>2261.3860349717729</v>
      </c>
      <c r="V9" s="36">
        <f t="shared" si="1"/>
        <v>385.5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v>242.09274535320057</v>
      </c>
      <c r="E10" s="36">
        <v>3631.3911802980087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E10*R4</f>
        <v>206.98929727698652</v>
      </c>
      <c r="K10" s="36">
        <f>E10+F10+I10+J10</f>
        <v>3838.3804775749954</v>
      </c>
      <c r="L10" s="36">
        <f t="shared" si="0"/>
        <v>4223.8804775749959</v>
      </c>
      <c r="M10" s="28">
        <f>IF('[14]Calculo ISR '!$N$34&lt;0,0,'[14]Calculo ISR '!$N$34)</f>
        <v>323.22927641199925</v>
      </c>
      <c r="N10" s="38">
        <f>E10*P4</f>
        <v>381.29607393129089</v>
      </c>
      <c r="O10" s="38">
        <v>650</v>
      </c>
      <c r="P10" s="38">
        <f>'[1]HT-ADMINISTRATIVOS'!Q12</f>
        <v>0</v>
      </c>
      <c r="Q10" s="38">
        <f>'[1]HT-ADMINISTRATIVOS'!R12</f>
        <v>0</v>
      </c>
      <c r="R10" s="38">
        <f>E10*O4</f>
        <v>36.313911802980087</v>
      </c>
      <c r="S10" s="36">
        <f t="shared" ref="S10:S30" si="3">M10+N10+O10+R10+P10+Q10</f>
        <v>1390.8392621462701</v>
      </c>
      <c r="T10" s="28">
        <f>IF('[1]Calculo ISR '!$N$34&gt;0,0,'[1]Calculo ISR '!$N$34)*-1</f>
        <v>0</v>
      </c>
      <c r="U10" s="36">
        <f t="shared" si="2"/>
        <v>2447.5412154287251</v>
      </c>
      <c r="V10" s="36">
        <f t="shared" si="1"/>
        <v>385.5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219.22891544903311</v>
      </c>
      <c r="E11" s="36">
        <v>3288.4337317354966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E11*R4</f>
        <v>187.44072270892332</v>
      </c>
      <c r="K11" s="36">
        <f t="shared" ref="K11:K32" si="4">E11+F11+H11+I11+J11</f>
        <v>3475.8744544444198</v>
      </c>
      <c r="L11" s="36">
        <f t="shared" si="0"/>
        <v>3861.3744544444198</v>
      </c>
      <c r="M11" s="28">
        <f>IF('[14]Calculo ISR '!$O$34&lt;0,0,'[14]Calculo ISR '!$O$34)</f>
        <v>148.99205264355285</v>
      </c>
      <c r="N11" s="38">
        <f>E11*P4</f>
        <v>345.28554183222712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32.884337317354969</v>
      </c>
      <c r="S11" s="36">
        <f t="shared" si="3"/>
        <v>1989.381931793135</v>
      </c>
      <c r="T11" s="28">
        <f>IF('[1]Calculo ISR '!$O$34&gt;0,0,'[1]Calculo ISR '!$O$34)*-1</f>
        <v>0</v>
      </c>
      <c r="U11" s="36">
        <f t="shared" si="2"/>
        <v>1486.4925226512848</v>
      </c>
      <c r="V11" s="36">
        <f t="shared" si="1"/>
        <v>385.5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242.09274535320057</v>
      </c>
      <c r="E12" s="36">
        <v>3631.3911802980087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E12*R4</f>
        <v>206.98929727698652</v>
      </c>
      <c r="K12" s="36">
        <f t="shared" si="4"/>
        <v>3838.3804775749954</v>
      </c>
      <c r="L12" s="36">
        <f t="shared" si="0"/>
        <v>4223.8804775749959</v>
      </c>
      <c r="M12" s="28">
        <f>IF('[14]Calculo ISR '!$P$34&lt;0,0,'[14]Calculo ISR '!$P$34)</f>
        <v>323.22927641199925</v>
      </c>
      <c r="N12" s="38">
        <f>E12*P4</f>
        <v>381.29607393129089</v>
      </c>
      <c r="O12" s="38">
        <v>1211</v>
      </c>
      <c r="P12" s="38">
        <f>'[1]HT-ADMINISTRATIVOS'!Q14</f>
        <v>0</v>
      </c>
      <c r="Q12" s="38">
        <f>'[1]HT-ADMINISTRATIVOS'!R14</f>
        <v>0</v>
      </c>
      <c r="R12" s="38">
        <f>E12*O4</f>
        <v>36.313911802980087</v>
      </c>
      <c r="S12" s="36">
        <f t="shared" si="3"/>
        <v>1951.8392621462701</v>
      </c>
      <c r="T12" s="28">
        <f>IF('[1]Calculo ISR '!$P$34&gt;0,0,'[1]Calculo ISR '!$P$34)*-1</f>
        <v>0</v>
      </c>
      <c r="U12" s="36">
        <f t="shared" si="2"/>
        <v>1886.5412154287253</v>
      </c>
      <c r="V12" s="36">
        <f t="shared" si="1"/>
        <v>385.5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171.33947607512999</v>
      </c>
      <c r="E13" s="36">
        <v>2570.0921411269501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E13*R4</f>
        <v>146.49525204423617</v>
      </c>
      <c r="K13" s="36">
        <f t="shared" si="4"/>
        <v>2716.5873931711862</v>
      </c>
      <c r="L13" s="36">
        <f>K13+G13+T13</f>
        <v>3102.0873931711862</v>
      </c>
      <c r="M13" s="28">
        <f>IF('[14]Calculo ISR '!$Q$34&lt;0,0,'[14]Calculo ISR '!$Q$34)</f>
        <v>46.13162037702503</v>
      </c>
      <c r="N13" s="38">
        <f>E13*P4</f>
        <v>269.85967481832972</v>
      </c>
      <c r="O13" s="38">
        <v>567</v>
      </c>
      <c r="P13" s="38">
        <f>'[1]HT-ADMINISTRATIVOS'!Q15</f>
        <v>0</v>
      </c>
      <c r="Q13" s="38">
        <f>'[1]HT-ADMINISTRATIVOS'!R15</f>
        <v>0</v>
      </c>
      <c r="R13" s="38">
        <f>E13*O4</f>
        <v>25.700921411269501</v>
      </c>
      <c r="S13" s="36">
        <f t="shared" si="3"/>
        <v>908.69221660662424</v>
      </c>
      <c r="T13" s="28">
        <f>IF('[1]Calculo ISR '!$Q$34&gt;0,0,'[1]Calculo ISR '!$Q$34)</f>
        <v>0</v>
      </c>
      <c r="U13" s="36">
        <f t="shared" si="2"/>
        <v>1807.895176564562</v>
      </c>
      <c r="V13" s="36">
        <f t="shared" si="1"/>
        <v>385.5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163.00161009000001</v>
      </c>
      <c r="E14" s="36">
        <v>2445.02415135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E14*R4</f>
        <v>139.36637662695</v>
      </c>
      <c r="K14" s="36">
        <f t="shared" si="4"/>
        <v>2584.3905279769501</v>
      </c>
      <c r="L14" s="36">
        <f>K14+G14+T14</f>
        <v>2969.8905279769501</v>
      </c>
      <c r="M14" s="28">
        <f>IF('[14]Calculo ISR '!$R$34&lt;0,0,'[14]Calculo ISR '!$R$34)</f>
        <v>16.74860144389217</v>
      </c>
      <c r="N14" s="38">
        <f>E14*P4</f>
        <v>256.72753589174999</v>
      </c>
      <c r="O14" s="38">
        <v>816</v>
      </c>
      <c r="P14" s="38">
        <f>'[1]HT-ADMINISTRATIVOS'!Q16</f>
        <v>0</v>
      </c>
      <c r="Q14" s="38">
        <f>'[1]HT-ADMINISTRATIVOS'!R16</f>
        <v>0</v>
      </c>
      <c r="R14" s="38">
        <f>E14*O4</f>
        <v>24.4502415135</v>
      </c>
      <c r="S14" s="36">
        <f t="shared" si="3"/>
        <v>1113.9263788491423</v>
      </c>
      <c r="T14" s="28">
        <f>IF('[1]Calculo ISR '!$R$34&gt;0,0,'[1]Calculo ISR '!$R$34)*-1</f>
        <v>0</v>
      </c>
      <c r="U14" s="36">
        <f t="shared" si="2"/>
        <v>1470.4641491278078</v>
      </c>
      <c r="V14" s="36">
        <f t="shared" si="1"/>
        <v>385.5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534.93837680832996</v>
      </c>
      <c r="E15" s="36">
        <v>8024.0756521249496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E15*L4</f>
        <v>152.45743739037403</v>
      </c>
      <c r="K15" s="36">
        <f t="shared" si="4"/>
        <v>8176.5330895153238</v>
      </c>
      <c r="L15" s="36">
        <f>K15+G15</f>
        <v>8562.0330895153238</v>
      </c>
      <c r="M15" s="28">
        <f>IF('[14]Calculo ISR '!$S$34&lt;0,0,'[14]Calculo ISR '!$S$34)</f>
        <v>1199.3182919204733</v>
      </c>
      <c r="N15" s="38">
        <f>E15*P4</f>
        <v>842.52794347311965</v>
      </c>
      <c r="O15" s="38">
        <v>2675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3"/>
        <v>4716.8462353935929</v>
      </c>
      <c r="T15" s="28">
        <f>IF('[1]Calculo ISR '!$S$34&gt;0,0,'[1]Calculo ISR '!$S$34)*-1</f>
        <v>0</v>
      </c>
      <c r="U15" s="36">
        <f t="shared" si="2"/>
        <v>3459.6868541217309</v>
      </c>
      <c r="V15" s="36">
        <f t="shared" si="1"/>
        <v>385.5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267.35834171124986</v>
      </c>
      <c r="E16" s="36">
        <v>4010.3751256687478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E16*L4</f>
        <v>76.197127387706203</v>
      </c>
      <c r="K16" s="36">
        <f t="shared" si="4"/>
        <v>4086.572253056454</v>
      </c>
      <c r="L16" s="36">
        <f>K16+G16</f>
        <v>4472.0722530564544</v>
      </c>
      <c r="M16" s="28">
        <f>IF('[14]Calculo ISR '!$T$34&lt;0,0,'[14]Calculo ISR '!$T$34)</f>
        <v>362.93996048903261</v>
      </c>
      <c r="N16" s="38">
        <f>E16*P4</f>
        <v>421.08938819521853</v>
      </c>
      <c r="O16" s="38">
        <v>1337</v>
      </c>
      <c r="P16" s="38"/>
      <c r="Q16" s="38"/>
      <c r="R16" s="38">
        <f>E16*O4</f>
        <v>40.103751256687481</v>
      </c>
      <c r="S16" s="36">
        <f>M16+N16+O16+Q16+R16+P16</f>
        <v>2161.1330999409388</v>
      </c>
      <c r="T16" s="28">
        <f>IF('[1]Calculo ISR '!$T$34&gt;0,0,'[1]Calculo ISR '!$T$34)*-1</f>
        <v>0</v>
      </c>
      <c r="U16" s="36">
        <f>K16-S16</f>
        <v>1925.4391531155152</v>
      </c>
      <c r="V16" s="36">
        <f t="shared" si="1"/>
        <v>385.5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230.34834514817072</v>
      </c>
      <c r="E17" s="36">
        <v>3455.2251772225609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7">
        <f>E17*L4</f>
        <v>65.649278367228661</v>
      </c>
      <c r="K17" s="36">
        <f t="shared" si="4"/>
        <v>3966.8744555897897</v>
      </c>
      <c r="L17" s="36">
        <f>K17+G17</f>
        <v>4352.3744555897902</v>
      </c>
      <c r="M17" s="28">
        <f>IF('[14]Calculo ISR '!$U$34&lt;0,0,'[14]Calculo ISR '!$U$34)</f>
        <v>343.7883128943663</v>
      </c>
      <c r="N17" s="38">
        <f>E17*P4</f>
        <v>362.79864360836888</v>
      </c>
      <c r="O17" s="38">
        <v>1152</v>
      </c>
      <c r="P17" s="38">
        <f>'[1]HT-ADMINISTRATIVOS'!Q19</f>
        <v>0</v>
      </c>
      <c r="Q17" s="38">
        <f>'[1]HT-ADMINISTRATIVOS'!R19</f>
        <v>0</v>
      </c>
      <c r="R17" s="38">
        <f>E17*O4</f>
        <v>34.55225177222561</v>
      </c>
      <c r="S17" s="36">
        <f t="shared" si="3"/>
        <v>1893.1392082749608</v>
      </c>
      <c r="T17" s="28">
        <f>IF('[1]Calculo ISR '!$U$34&gt;0,0,'[1]Calculo ISR '!$U$34)*-1</f>
        <v>0</v>
      </c>
      <c r="U17" s="36">
        <f t="shared" ref="U17:U31" si="5">K17-S17+T17</f>
        <v>2073.7352473148289</v>
      </c>
      <c r="V17" s="36">
        <f t="shared" si="1"/>
        <v>385.5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873.012693639492</v>
      </c>
      <c r="E18" s="36">
        <v>13095.19040459238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E18*L4</f>
        <v>248.80861768725521</v>
      </c>
      <c r="K18" s="36">
        <f t="shared" si="4"/>
        <v>13343.999022279635</v>
      </c>
      <c r="L18" s="36">
        <f>K18+G18</f>
        <v>13729.499022279635</v>
      </c>
      <c r="M18" s="28">
        <f>IF('[14]Calculo ISR '!$V$34&lt;0,0,'[14]Calculo ISR '!$V$34)</f>
        <v>2369.8207780401704</v>
      </c>
      <c r="N18" s="38">
        <f>E18*P4</f>
        <v>1374.9949924821999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3"/>
        <v>3744.8157705223703</v>
      </c>
      <c r="T18" s="28">
        <f>IF('[1]Calculo ISR '!$V$34&gt;0,0,'[1]Calculo ISR '!$V$34)*-1</f>
        <v>0</v>
      </c>
      <c r="U18" s="36">
        <f t="shared" si="5"/>
        <v>9599.1832517572657</v>
      </c>
      <c r="V18" s="36">
        <f t="shared" si="1"/>
        <v>385.5</v>
      </c>
      <c r="W18" s="46"/>
      <c r="X18" s="47"/>
    </row>
    <row r="19" spans="1:24" s="48" customFormat="1" ht="45" customHeight="1">
      <c r="A19" s="53" t="s">
        <v>51</v>
      </c>
      <c r="B19" s="53" t="s">
        <v>52</v>
      </c>
      <c r="C19" s="34">
        <v>15</v>
      </c>
      <c r="D19" s="50">
        <v>219.22891544903311</v>
      </c>
      <c r="E19" s="36">
        <v>3288.4337317354966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E19*L4</f>
        <v>62.480240902974437</v>
      </c>
      <c r="K19" s="36">
        <f t="shared" si="4"/>
        <v>3350.913972638471</v>
      </c>
      <c r="L19" s="36">
        <f>K19+G19</f>
        <v>3736.413972638471</v>
      </c>
      <c r="M19" s="28">
        <f>IF('[14]Calculo ISR '!$W$34&lt;0,0,'[14]Calculo ISR '!$W$34)</f>
        <v>135.39635222306563</v>
      </c>
      <c r="N19" s="38">
        <f>E19*P4</f>
        <v>345.28554183222712</v>
      </c>
      <c r="O19" s="38">
        <v>1097</v>
      </c>
      <c r="P19" s="38">
        <f>'[1]HT-ADMINISTRATIVOS'!Q21</f>
        <v>0</v>
      </c>
      <c r="Q19" s="38">
        <f>'[1]HT-ADMINISTRATIVOS'!R21</f>
        <v>0</v>
      </c>
      <c r="R19" s="38">
        <f>E19*O4</f>
        <v>32.884337317354969</v>
      </c>
      <c r="S19" s="36">
        <f t="shared" si="3"/>
        <v>1610.5662313726477</v>
      </c>
      <c r="T19" s="28">
        <f>IF('[1]Calculo ISR '!$W$34&gt;0,0,'[1]Calculo ISR '!$W$34)*-1</f>
        <v>0</v>
      </c>
      <c r="U19" s="36">
        <f t="shared" si="5"/>
        <v>1740.3477412658233</v>
      </c>
      <c r="V19" s="36">
        <f t="shared" si="1"/>
        <v>385.5</v>
      </c>
      <c r="W19" s="46"/>
      <c r="X19" s="47"/>
    </row>
    <row r="20" spans="1:24" s="48" customFormat="1" ht="45" customHeight="1">
      <c r="A20" s="53" t="s">
        <v>53</v>
      </c>
      <c r="B20" s="53" t="s">
        <v>54</v>
      </c>
      <c r="C20" s="34">
        <v>15</v>
      </c>
      <c r="D20" s="50">
        <v>148.1300975275</v>
      </c>
      <c r="E20" s="36">
        <v>2221.9514629125001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E20*L4</f>
        <v>42.217077795337502</v>
      </c>
      <c r="K20" s="36">
        <f t="shared" si="4"/>
        <v>2264.1685407078376</v>
      </c>
      <c r="L20" s="36">
        <f>K20+G20+T20</f>
        <v>2686.7533095429576</v>
      </c>
      <c r="M20" s="28">
        <f>IF('[14]Calculo ISR '!$X$34&lt;0,0,'[14]Calculo ISR '!$X$34)</f>
        <v>0</v>
      </c>
      <c r="N20" s="38">
        <f>E20*P4</f>
        <v>233.30490360581251</v>
      </c>
      <c r="O20" s="38">
        <v>741</v>
      </c>
      <c r="P20" s="38">
        <f>'[1]HT-ADMINISTRATIVOS'!Q22</f>
        <v>0</v>
      </c>
      <c r="Q20" s="38">
        <f>'[1]HT-ADMINISTRATIVOS'!R22</f>
        <v>0</v>
      </c>
      <c r="R20" s="38">
        <f>E20*O4</f>
        <v>22.219514629125001</v>
      </c>
      <c r="S20" s="36">
        <f t="shared" si="3"/>
        <v>996.52441823493757</v>
      </c>
      <c r="T20" s="28">
        <f>IF('[1]Calculo ISR '!$X$34&gt;0,0,('[1]Calculo ISR '!$X$34)*-1)</f>
        <v>37.084768835120002</v>
      </c>
      <c r="U20" s="36">
        <f t="shared" si="5"/>
        <v>1304.7288913080201</v>
      </c>
      <c r="V20" s="36">
        <f t="shared" si="1"/>
        <v>385.5</v>
      </c>
      <c r="W20" s="46"/>
      <c r="X20" s="47"/>
    </row>
    <row r="21" spans="1:24" s="48" customFormat="1" ht="45" customHeight="1">
      <c r="A21" s="53" t="s">
        <v>55</v>
      </c>
      <c r="B21" s="53" t="s">
        <v>56</v>
      </c>
      <c r="C21" s="34">
        <v>15</v>
      </c>
      <c r="D21" s="50">
        <v>148.19297316999999</v>
      </c>
      <c r="E21" s="36">
        <v>2222.8945975499996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E21*L4</f>
        <v>42.234997353449991</v>
      </c>
      <c r="K21" s="36">
        <f t="shared" si="4"/>
        <v>2711.1295949034497</v>
      </c>
      <c r="L21" s="36">
        <f>K21+G21+T21</f>
        <v>3096.6295949034497</v>
      </c>
      <c r="M21" s="28">
        <f>IF('[14]Calculo ISR '!$Y$34&lt;0,0,'[14]Calculo ISR '!$Y$34)</f>
        <v>45.537811925495333</v>
      </c>
      <c r="N21" s="38">
        <f>E21*P4</f>
        <v>233.40393274274996</v>
      </c>
      <c r="O21" s="38">
        <v>597</v>
      </c>
      <c r="P21" s="38">
        <f>'[1]HT-ADMINISTRATIVOS'!Q23</f>
        <v>0</v>
      </c>
      <c r="Q21" s="38">
        <f>'[1]HT-ADMINISTRATIVOS'!R23</f>
        <v>0</v>
      </c>
      <c r="R21" s="38">
        <f>E21*O4</f>
        <v>22.228945975499997</v>
      </c>
      <c r="S21" s="36">
        <f t="shared" si="3"/>
        <v>898.17069064374527</v>
      </c>
      <c r="T21" s="28">
        <f>IF('[1]Calculo ISR '!$Y$34&gt;0,0,'[1]Calculo ISR '!$Y$34)*-1</f>
        <v>0</v>
      </c>
      <c r="U21" s="36">
        <f t="shared" si="5"/>
        <v>1812.9589042597045</v>
      </c>
      <c r="V21" s="36">
        <f t="shared" si="1"/>
        <v>385.5</v>
      </c>
      <c r="W21" s="46"/>
      <c r="X21" s="47"/>
    </row>
    <row r="22" spans="1:24" s="48" customFormat="1" ht="45" customHeight="1">
      <c r="A22" s="53" t="s">
        <v>59</v>
      </c>
      <c r="B22" s="53" t="s">
        <v>60</v>
      </c>
      <c r="C22" s="34">
        <v>15</v>
      </c>
      <c r="D22" s="50">
        <v>198.84487558991</v>
      </c>
      <c r="E22" s="36">
        <v>2982.6731338486502</v>
      </c>
      <c r="F22" s="43"/>
      <c r="G22" s="36">
        <f>'[1]HT-ADMINISTRATIVOS'!G27</f>
        <v>385.5</v>
      </c>
      <c r="H22" s="36">
        <f>'[1]HT-ADMINISTRATIVOS'!H27</f>
        <v>0</v>
      </c>
      <c r="I22" s="36">
        <f>'[1]HT-ADMINISTRATIVOS'!J27</f>
        <v>0</v>
      </c>
      <c r="J22" s="37">
        <f>'[1]HT-ADMINISTRATIVOS'!I27</f>
        <v>0</v>
      </c>
      <c r="K22" s="36">
        <f t="shared" si="4"/>
        <v>2982.6731338486502</v>
      </c>
      <c r="L22" s="36">
        <f>K22+G22</f>
        <v>3368.1731338486502</v>
      </c>
      <c r="M22" s="28">
        <f>IF('[14]Calculo ISR '!$AA$34&lt;0,0,'[14]Calculo ISR '!$AA$34)</f>
        <v>75.081748962733116</v>
      </c>
      <c r="N22" s="38">
        <f>E22*P4</f>
        <v>313.18067905410828</v>
      </c>
      <c r="O22" s="38">
        <f>'[1]HT-ADMINISTRATIVOS'!P27</f>
        <v>0</v>
      </c>
      <c r="P22" s="38">
        <f>'[1]HT-ADMINISTRATIVOS'!Q27</f>
        <v>0</v>
      </c>
      <c r="Q22" s="38">
        <f>'[1]HT-ADMINISTRATIVOS'!R27</f>
        <v>0</v>
      </c>
      <c r="R22" s="38">
        <f>E22*O4</f>
        <v>29.826731338486503</v>
      </c>
      <c r="S22" s="36">
        <f t="shared" si="3"/>
        <v>418.08915935532792</v>
      </c>
      <c r="T22" s="28">
        <f>IF('[1]Calculo ISR '!$AA$34&gt;0,0,'[1]Calculo ISR '!$AA$34)*-1</f>
        <v>0</v>
      </c>
      <c r="U22" s="36">
        <f t="shared" si="5"/>
        <v>2564.5839744933223</v>
      </c>
      <c r="V22" s="36">
        <f t="shared" si="1"/>
        <v>385.5</v>
      </c>
      <c r="W22" s="46"/>
      <c r="X22" s="47"/>
    </row>
    <row r="23" spans="1:24" s="48" customFormat="1" ht="45" customHeight="1">
      <c r="A23" s="54" t="s">
        <v>61</v>
      </c>
      <c r="B23" s="55" t="s">
        <v>62</v>
      </c>
      <c r="C23" s="34">
        <v>15</v>
      </c>
      <c r="D23" s="50">
        <v>198.84487558991</v>
      </c>
      <c r="E23" s="36">
        <v>2982.6731338486502</v>
      </c>
      <c r="F23" s="43"/>
      <c r="G23" s="36">
        <f>'[1]HT-ADMINISTRATIVOS'!G28</f>
        <v>385.5</v>
      </c>
      <c r="H23" s="36">
        <f>'[1]HT-ADMINISTRATIVOS'!H28</f>
        <v>446</v>
      </c>
      <c r="I23" s="36">
        <f>'[1]HT-ADMINISTRATIVOS'!J28</f>
        <v>0</v>
      </c>
      <c r="J23" s="37">
        <f>'[1]HT-ADMINISTRATIVOS'!I28</f>
        <v>0</v>
      </c>
      <c r="K23" s="36">
        <f t="shared" si="4"/>
        <v>3428.6731338486502</v>
      </c>
      <c r="L23" s="36">
        <f>K23+G23</f>
        <v>3814.1731338486502</v>
      </c>
      <c r="M23" s="28">
        <f>IF('[14]Calculo ISR '!$AB$34&lt;0,0,'[14]Calculo ISR '!$AB$34)</f>
        <v>143.85654896273311</v>
      </c>
      <c r="N23" s="38">
        <f>E23*P4</f>
        <v>313.18067905410828</v>
      </c>
      <c r="O23" s="38">
        <v>0</v>
      </c>
      <c r="P23" s="38">
        <f>'[1]HT-ADMINISTRATIVOS'!Q28</f>
        <v>0</v>
      </c>
      <c r="Q23" s="38">
        <f>'[1]HT-ADMINISTRATIVOS'!R28</f>
        <v>0</v>
      </c>
      <c r="R23" s="38">
        <f>E23*O4</f>
        <v>29.826731338486503</v>
      </c>
      <c r="S23" s="36">
        <f t="shared" si="3"/>
        <v>486.86395935532789</v>
      </c>
      <c r="T23" s="28">
        <f>IF('[1]Calculo ISR '!$AB$34&gt;0,0,'[1]Calculo ISR '!$AB$34)*-1</f>
        <v>0</v>
      </c>
      <c r="U23" s="36">
        <f t="shared" si="5"/>
        <v>2941.8091744933222</v>
      </c>
      <c r="V23" s="36">
        <f t="shared" si="1"/>
        <v>385.5</v>
      </c>
      <c r="W23" s="46"/>
      <c r="X23" s="47"/>
    </row>
    <row r="24" spans="1:24" s="48" customFormat="1" ht="45" customHeight="1">
      <c r="A24" s="54" t="s">
        <v>63</v>
      </c>
      <c r="B24" s="55" t="s">
        <v>64</v>
      </c>
      <c r="C24" s="34">
        <v>15</v>
      </c>
      <c r="D24" s="50">
        <v>180.11154727500002</v>
      </c>
      <c r="E24" s="36">
        <v>2701.6732091250005</v>
      </c>
      <c r="F24" s="43"/>
      <c r="G24" s="36">
        <f>'[1]HT-ADMINISTRATIVOS'!G29</f>
        <v>385.5</v>
      </c>
      <c r="H24" s="36">
        <f>'[1]HT-ADMINISTRATIVOS'!H29</f>
        <v>892</v>
      </c>
      <c r="I24" s="36">
        <f>'[1]HT-ADMINISTRATIVOS'!J29</f>
        <v>0</v>
      </c>
      <c r="J24" s="37">
        <f>'[1]HT-ADMINISTRATIVOS'!I29</f>
        <v>0</v>
      </c>
      <c r="K24" s="36">
        <f t="shared" si="4"/>
        <v>3593.6732091250005</v>
      </c>
      <c r="L24" s="36">
        <f>K24+G24</f>
        <v>3979.1732091250005</v>
      </c>
      <c r="M24" s="28">
        <f>IF('[14]Calculo ISR '!$AC$34&lt;0,0,'[14]Calculo ISR '!$AC$34)</f>
        <v>143.85654896273311</v>
      </c>
      <c r="N24" s="38">
        <f>E24*P4</f>
        <v>283.67568695812503</v>
      </c>
      <c r="O24" s="38">
        <v>1081</v>
      </c>
      <c r="P24" s="38">
        <f>'[1]HT-ADMINISTRATIVOS'!Q29</f>
        <v>0</v>
      </c>
      <c r="Q24" s="38">
        <f>'[1]HT-ADMINISTRATIVOS'!R29</f>
        <v>0</v>
      </c>
      <c r="R24" s="38">
        <f>E24*O4</f>
        <v>27.016732091250006</v>
      </c>
      <c r="S24" s="36">
        <f t="shared" si="3"/>
        <v>1535.5489680121082</v>
      </c>
      <c r="T24" s="28">
        <f>IF('[1]Calculo ISR '!$AC$34&gt;0,0,'[1]Calculo ISR '!$AC$34)*-1</f>
        <v>0</v>
      </c>
      <c r="U24" s="36">
        <f t="shared" si="5"/>
        <v>2058.1242411128924</v>
      </c>
      <c r="V24" s="36">
        <f t="shared" si="1"/>
        <v>385.5</v>
      </c>
      <c r="W24" s="46"/>
      <c r="X24" s="47"/>
    </row>
    <row r="25" spans="1:24" s="48" customFormat="1" ht="45" customHeight="1">
      <c r="A25" s="56" t="s">
        <v>65</v>
      </c>
      <c r="B25" s="55" t="s">
        <v>66</v>
      </c>
      <c r="C25" s="34">
        <v>15</v>
      </c>
      <c r="D25" s="50">
        <v>141.57938707</v>
      </c>
      <c r="E25" s="36">
        <v>2123.69080605</v>
      </c>
      <c r="F25" s="43"/>
      <c r="G25" s="36">
        <f>'[1]HT-ADMINISTRATIVOS'!G31</f>
        <v>385.5</v>
      </c>
      <c r="H25" s="36">
        <f>'[1]HT-ADMINISTRATIVOS'!H31</f>
        <v>446</v>
      </c>
      <c r="I25" s="36">
        <f>'[1]HT-ADMINISTRATIVOS'!J31</f>
        <v>0</v>
      </c>
      <c r="J25" s="37">
        <f>'[1]HT-ADMINISTRATIVOS'!I31</f>
        <v>0</v>
      </c>
      <c r="K25" s="36">
        <f t="shared" si="4"/>
        <v>2569.69080605</v>
      </c>
      <c r="L25" s="36">
        <f>K25+G25+T25</f>
        <v>2955.19080605</v>
      </c>
      <c r="M25" s="28">
        <f>IF('[14]Calculo ISR '!$AD$34&lt;0,0,'[14]Calculo ISR '!$AD$34)</f>
        <v>15.149271698239971</v>
      </c>
      <c r="N25" s="38">
        <f>E25*P4</f>
        <v>222.98753463525</v>
      </c>
      <c r="O25" s="38">
        <f>'[1]HT-ADMINISTRATIVOS'!P31</f>
        <v>0</v>
      </c>
      <c r="P25" s="38">
        <f>'[1]HT-ADMINISTRATIVOS'!Q31</f>
        <v>0</v>
      </c>
      <c r="Q25" s="38">
        <f>'[1]HT-ADMINISTRATIVOS'!R31</f>
        <v>0</v>
      </c>
      <c r="R25" s="38">
        <f>E25*O4</f>
        <v>21.236908060499999</v>
      </c>
      <c r="S25" s="36">
        <f t="shared" si="3"/>
        <v>259.37371439398999</v>
      </c>
      <c r="T25" s="28">
        <f>IF('[1]Calculo ISR '!$AD$34&gt;0,0,'[1]Calculo ISR '!$AD$34)*-1</f>
        <v>0</v>
      </c>
      <c r="U25" s="36">
        <f t="shared" si="5"/>
        <v>2310.3170916560102</v>
      </c>
      <c r="V25" s="36">
        <f t="shared" si="1"/>
        <v>385.5</v>
      </c>
      <c r="W25" s="46"/>
      <c r="X25" s="47"/>
    </row>
    <row r="26" spans="1:24" s="48" customFormat="1" ht="45" customHeight="1">
      <c r="A26" s="56" t="s">
        <v>67</v>
      </c>
      <c r="B26" s="57" t="s">
        <v>68</v>
      </c>
      <c r="C26" s="34">
        <v>15</v>
      </c>
      <c r="D26" s="50">
        <v>534.93837680832996</v>
      </c>
      <c r="E26" s="36">
        <v>8024.0756521249496</v>
      </c>
      <c r="F26" s="43"/>
      <c r="G26" s="36">
        <f>'[1]HT-ADMINISTRATIVOS'!G32</f>
        <v>385.5</v>
      </c>
      <c r="H26" s="36">
        <f>'[1]HT-ADMINISTRATIVOS'!H32</f>
        <v>0</v>
      </c>
      <c r="I26" s="36">
        <f>'[1]HT-ADMINISTRATIVOS'!J32</f>
        <v>0</v>
      </c>
      <c r="J26" s="37">
        <f>E26*Q4</f>
        <v>304.91487478074805</v>
      </c>
      <c r="K26" s="36">
        <f t="shared" si="4"/>
        <v>8328.9905269056981</v>
      </c>
      <c r="L26" s="36">
        <f>K26+G26</f>
        <v>8714.4905269056981</v>
      </c>
      <c r="M26" s="28">
        <f>IF('[14]Calculo ISR '!$AE$34&lt;0,0,'[14]Calculo ISR '!$AE$34)</f>
        <v>1231.8832005470572</v>
      </c>
      <c r="N26" s="38">
        <f>E26*P4</f>
        <v>842.52794347311965</v>
      </c>
      <c r="O26" s="38">
        <v>2150.31</v>
      </c>
      <c r="P26" s="38">
        <f>'[1]HT-ADMINISTRATIVOS'!Q32</f>
        <v>0</v>
      </c>
      <c r="Q26" s="38">
        <f>'[1]HT-ADMINISTRATIVOS'!R32</f>
        <v>0</v>
      </c>
      <c r="R26" s="38">
        <f>'[1]HT-ADMINISTRATIVOS'!S32</f>
        <v>0</v>
      </c>
      <c r="S26" s="36">
        <f t="shared" si="3"/>
        <v>4224.7211440201772</v>
      </c>
      <c r="T26" s="28">
        <f>IF('[1]Calculo ISR '!$AE$34&gt;0,0,'[1]Calculo ISR '!$AE$34)*-1</f>
        <v>0</v>
      </c>
      <c r="U26" s="36">
        <f t="shared" si="5"/>
        <v>4104.2693828855208</v>
      </c>
      <c r="V26" s="36">
        <f t="shared" si="1"/>
        <v>385.5</v>
      </c>
      <c r="W26" s="46"/>
      <c r="X26" s="47"/>
    </row>
    <row r="27" spans="1:24" s="48" customFormat="1" ht="45" customHeight="1">
      <c r="A27" s="58" t="s">
        <v>69</v>
      </c>
      <c r="B27" s="59" t="s">
        <v>70</v>
      </c>
      <c r="C27" s="34">
        <v>15</v>
      </c>
      <c r="D27" s="50">
        <v>230.34834514817072</v>
      </c>
      <c r="E27" s="36">
        <v>3455.2251772225609</v>
      </c>
      <c r="F27" s="43"/>
      <c r="G27" s="36">
        <v>385.5</v>
      </c>
      <c r="H27" s="36">
        <f>'[1]HT-ADMINISTRATIVOS'!H33</f>
        <v>0</v>
      </c>
      <c r="I27" s="36">
        <f>'[1]HT-ADMINISTRATIVOS'!J33</f>
        <v>0</v>
      </c>
      <c r="J27" s="37">
        <f>'[1]HT-ADMINISTRATIVOS'!I33</f>
        <v>0</v>
      </c>
      <c r="K27" s="36">
        <f t="shared" si="4"/>
        <v>3455.2251772225609</v>
      </c>
      <c r="L27" s="36">
        <f>K27+G27</f>
        <v>3840.7251772225609</v>
      </c>
      <c r="M27" s="28">
        <f>IF('[14]Calculo ISR '!$AF$34&lt;0,0,'[14]Calculo ISR '!$AF$34)</f>
        <v>146.74541128181463</v>
      </c>
      <c r="N27" s="38">
        <f>E27*P4</f>
        <v>362.79864360836888</v>
      </c>
      <c r="O27" s="38">
        <v>689.44</v>
      </c>
      <c r="P27" s="143"/>
      <c r="Q27" s="38"/>
      <c r="R27" s="38">
        <f>E27*O4</f>
        <v>34.55225177222561</v>
      </c>
      <c r="S27" s="36">
        <f>M27+N27+O27+R27+P27+Q27</f>
        <v>1233.5363066624091</v>
      </c>
      <c r="T27" s="28">
        <f>IF('[1]Calculo ISR '!$AF$34&gt;0,0,'[1]Calculo ISR '!$AF$34)*-1</f>
        <v>0</v>
      </c>
      <c r="U27" s="36">
        <f>K27-S27+T27</f>
        <v>2221.6888705601518</v>
      </c>
      <c r="V27" s="36">
        <v>385.5</v>
      </c>
      <c r="W27" s="46"/>
      <c r="X27" s="47"/>
    </row>
    <row r="28" spans="1:24" s="48" customFormat="1" ht="45" customHeight="1">
      <c r="A28" s="60" t="s">
        <v>71</v>
      </c>
      <c r="B28" s="61" t="s">
        <v>72</v>
      </c>
      <c r="C28" s="66">
        <v>15</v>
      </c>
      <c r="D28" s="50">
        <v>141.57938707</v>
      </c>
      <c r="E28" s="36">
        <v>2123.69080605</v>
      </c>
      <c r="F28" s="43"/>
      <c r="G28" s="36">
        <f>'[1]HT-ADMINISTRATIVOS'!G35</f>
        <v>385.5</v>
      </c>
      <c r="H28" s="36">
        <f>'[1]HT-ADMINISTRATIVOS'!H35</f>
        <v>0</v>
      </c>
      <c r="I28" s="36">
        <f>'[1]HT-ADMINISTRATIVOS'!J35</f>
        <v>0</v>
      </c>
      <c r="J28" s="37">
        <f>'[1]HT-ADMINISTRATIVOS'!I35</f>
        <v>0</v>
      </c>
      <c r="K28" s="36">
        <f t="shared" si="4"/>
        <v>2123.69080605</v>
      </c>
      <c r="L28" s="36">
        <f>K28+G28+T28</f>
        <v>2570.9163343517598</v>
      </c>
      <c r="M28" s="28">
        <f>IF('[14]Calculo ISR '!$AG$34&lt;0,0,'[14]Calculo ISR '!$AG$34)</f>
        <v>0</v>
      </c>
      <c r="N28" s="38">
        <f>E28*P4</f>
        <v>222.98753463525</v>
      </c>
      <c r="O28" s="38">
        <v>300</v>
      </c>
      <c r="P28" s="38">
        <f>'[1]HT-ADMINISTRATIVOS'!Q35</f>
        <v>0</v>
      </c>
      <c r="Q28" s="38">
        <f>'[1]HT-ADMINISTRATIVOS'!R35</f>
        <v>0</v>
      </c>
      <c r="R28" s="38">
        <f>E28*O4</f>
        <v>21.236908060499999</v>
      </c>
      <c r="S28" s="36">
        <f t="shared" si="3"/>
        <v>544.22444269574999</v>
      </c>
      <c r="T28" s="28">
        <f>IF('[1]Calculo ISR '!$AG$34&gt;0,0,'[1]Calculo ISR '!$AG$34)*-1</f>
        <v>61.725528301760008</v>
      </c>
      <c r="U28" s="36">
        <f t="shared" si="5"/>
        <v>1641.1918916560101</v>
      </c>
      <c r="V28" s="36">
        <f>G28</f>
        <v>385.5</v>
      </c>
      <c r="W28" s="67"/>
      <c r="X28" s="47"/>
    </row>
    <row r="29" spans="1:24" s="48" customFormat="1" ht="45" customHeight="1">
      <c r="A29" s="53" t="s">
        <v>73</v>
      </c>
      <c r="B29" s="61" t="s">
        <v>74</v>
      </c>
      <c r="C29" s="66">
        <v>15</v>
      </c>
      <c r="D29" s="50">
        <v>534.93837680832996</v>
      </c>
      <c r="E29" s="36">
        <v>8024.0756521249496</v>
      </c>
      <c r="F29" s="43"/>
      <c r="G29" s="36">
        <f>'[1]HT-ADMINISTRATIVOS'!G36</f>
        <v>385.5</v>
      </c>
      <c r="H29" s="36">
        <f>'[1]HT-ADMINISTRATIVOS'!H36</f>
        <v>0</v>
      </c>
      <c r="I29" s="36">
        <f>'[1]HT-ADMINISTRATIVOS'!J36</f>
        <v>0</v>
      </c>
      <c r="J29" s="37">
        <f>'[1]HT-ADMINISTRATIVOS'!I36</f>
        <v>0</v>
      </c>
      <c r="K29" s="36">
        <f t="shared" si="4"/>
        <v>8024.0756521249496</v>
      </c>
      <c r="L29" s="36">
        <f>K29+G29</f>
        <v>8409.5756521249496</v>
      </c>
      <c r="M29" s="28">
        <f>IF('[14]Calculo ISR '!$AH$34&lt;0,0,'[14]Calculo ISR '!$AH$34)</f>
        <v>1166.7533832938893</v>
      </c>
      <c r="N29" s="38">
        <f>E29*P4</f>
        <v>842.52794347311965</v>
      </c>
      <c r="O29" s="38">
        <f>'[1]HT-ADMINISTRATIVOS'!P36</f>
        <v>0</v>
      </c>
      <c r="P29" s="38">
        <f>'[1]HT-ADMINISTRATIVOS'!Q36</f>
        <v>0</v>
      </c>
      <c r="Q29" s="38">
        <f>'[1]HT-ADMINISTRATIVOS'!R36</f>
        <v>0</v>
      </c>
      <c r="R29" s="38">
        <f>'[1]HT-ADMINISTRATIVOS'!S36</f>
        <v>0</v>
      </c>
      <c r="S29" s="36">
        <f t="shared" si="3"/>
        <v>2009.281326767009</v>
      </c>
      <c r="T29" s="28">
        <f>IF('[1]Calculo ISR '!$AH$34&gt;0,0,'[1]Calculo ISR '!$AH$34)*-1</f>
        <v>0</v>
      </c>
      <c r="U29" s="36">
        <f t="shared" si="5"/>
        <v>6014.7943253579406</v>
      </c>
      <c r="V29" s="36">
        <f>G29</f>
        <v>385.5</v>
      </c>
      <c r="W29" s="67"/>
      <c r="X29" s="47"/>
    </row>
    <row r="30" spans="1:24" s="48" customFormat="1" ht="45" customHeight="1">
      <c r="A30" s="68" t="s">
        <v>75</v>
      </c>
      <c r="B30" s="61" t="s">
        <v>76</v>
      </c>
      <c r="C30" s="66">
        <v>15</v>
      </c>
      <c r="D30" s="50">
        <v>141.57938707</v>
      </c>
      <c r="E30" s="36">
        <v>2123.69080605</v>
      </c>
      <c r="F30" s="43"/>
      <c r="G30" s="36">
        <f>'[1]HT-ADMINISTRATIVOS'!G37</f>
        <v>385.5</v>
      </c>
      <c r="H30" s="36">
        <f>'[1]HT-ADMINISTRATIVOS'!H37</f>
        <v>0</v>
      </c>
      <c r="I30" s="36">
        <f>'[1]HT-ADMINISTRATIVOS'!J37</f>
        <v>0</v>
      </c>
      <c r="J30" s="37">
        <f>'[1]HT-ADMINISTRATIVOS'!I37</f>
        <v>0</v>
      </c>
      <c r="K30" s="36">
        <f t="shared" si="4"/>
        <v>2123.69080605</v>
      </c>
      <c r="L30" s="36">
        <f>K30+G30+T30</f>
        <v>2570.9163343517598</v>
      </c>
      <c r="M30" s="28">
        <f>IF('[14]Calculo ISR '!$AI$34&lt;0,0,'[14]Calculo ISR '!$AI$34)</f>
        <v>0</v>
      </c>
      <c r="N30" s="38">
        <f>E30*P4</f>
        <v>222.98753463525</v>
      </c>
      <c r="O30" s="38">
        <f>'[1]HT-ADMINISTRATIVOS'!P37</f>
        <v>0</v>
      </c>
      <c r="P30" s="38">
        <f>'[1]HT-ADMINISTRATIVOS'!Q37</f>
        <v>0</v>
      </c>
      <c r="Q30" s="38">
        <f>'[1]HT-ADMINISTRATIVOS'!R37</f>
        <v>0</v>
      </c>
      <c r="R30" s="38">
        <f>E30*O4</f>
        <v>21.236908060499999</v>
      </c>
      <c r="S30" s="36">
        <f t="shared" si="3"/>
        <v>244.22444269574999</v>
      </c>
      <c r="T30" s="28">
        <f>IF('[1]Calculo ISR '!$AI$34&gt;0,0,'[1]Calculo ISR '!$AI$34)*-1</f>
        <v>61.725528301760008</v>
      </c>
      <c r="U30" s="36">
        <f t="shared" si="5"/>
        <v>1941.1918916560101</v>
      </c>
      <c r="V30" s="36">
        <f>G30</f>
        <v>385.5</v>
      </c>
      <c r="W30" s="67"/>
      <c r="X30" s="47"/>
    </row>
    <row r="31" spans="1:24" s="81" customFormat="1" ht="45" customHeight="1">
      <c r="A31" s="69" t="s">
        <v>77</v>
      </c>
      <c r="B31" s="70" t="s">
        <v>78</v>
      </c>
      <c r="C31" s="71">
        <v>15</v>
      </c>
      <c r="D31" s="72">
        <v>873.012693639492</v>
      </c>
      <c r="E31" s="73">
        <v>13095.19040459238</v>
      </c>
      <c r="F31" s="73">
        <f>'[1]HT-ADMINISTRATIVOS'!F38</f>
        <v>0</v>
      </c>
      <c r="G31" s="73">
        <v>385.5</v>
      </c>
      <c r="H31" s="73">
        <f>'[1]HT-ADMINISTRATIVOS'!H38</f>
        <v>0</v>
      </c>
      <c r="I31" s="73">
        <f>'[1]HT-ADMINISTRATIVOS'!I38</f>
        <v>0</v>
      </c>
      <c r="J31" s="73">
        <f>'[1]HT-ADMINISTRATIVOS'!J38</f>
        <v>0</v>
      </c>
      <c r="K31" s="73">
        <f t="shared" si="4"/>
        <v>13095.19040459238</v>
      </c>
      <c r="L31" s="73">
        <f>K31+G31</f>
        <v>13480.69040459238</v>
      </c>
      <c r="M31" s="28">
        <f>IF('[14]Calculo ISR '!$AJ$34&lt;0,0,'[14]Calculo ISR '!$AJ$34)</f>
        <v>2311.300991160128</v>
      </c>
      <c r="N31" s="73">
        <f>E31*P4</f>
        <v>1374.9949924821999</v>
      </c>
      <c r="O31" s="73">
        <v>1489.84</v>
      </c>
      <c r="P31" s="73">
        <f>'[1]HT-ADMINISTRATIVOS'!Q38</f>
        <v>0</v>
      </c>
      <c r="Q31" s="73">
        <f>'[1]HT-ADMINISTRATIVOS'!R38</f>
        <v>0</v>
      </c>
      <c r="R31" s="73">
        <f>'[1]HT-ADMINISTRATIVOS'!S38</f>
        <v>0</v>
      </c>
      <c r="S31" s="73">
        <f t="shared" ref="S31:S38" si="6">M31+N31+O31+P31+Q31+R31</f>
        <v>5176.135983642328</v>
      </c>
      <c r="T31" s="28">
        <f>IF('[1]Calculo ISR '!$AJ$34&gt;0,0,'[1]Calculo ISR '!$AJ$34)*-1</f>
        <v>0</v>
      </c>
      <c r="U31" s="73">
        <f t="shared" si="5"/>
        <v>7919.0544209500522</v>
      </c>
      <c r="V31" s="73">
        <v>385.5</v>
      </c>
      <c r="W31" s="74"/>
      <c r="X31" s="47"/>
    </row>
    <row r="32" spans="1:24" s="81" customFormat="1" ht="45" customHeight="1">
      <c r="A32" s="53" t="s">
        <v>79</v>
      </c>
      <c r="B32" s="61" t="s">
        <v>80</v>
      </c>
      <c r="C32" s="66">
        <v>15</v>
      </c>
      <c r="D32" s="76">
        <v>534.93837680832996</v>
      </c>
      <c r="E32" s="50">
        <v>8024.0756521249496</v>
      </c>
      <c r="F32" s="50"/>
      <c r="G32" s="77">
        <f>385.5</f>
        <v>385.5</v>
      </c>
      <c r="H32" s="50"/>
      <c r="I32" s="50"/>
      <c r="J32" s="50"/>
      <c r="K32" s="78">
        <f t="shared" si="4"/>
        <v>8024.0756521249496</v>
      </c>
      <c r="L32" s="78">
        <f>K32+G32</f>
        <v>8409.5756521249496</v>
      </c>
      <c r="M32" s="28">
        <f>IF('[1]Calculo ISR '!$AK$34&lt;0,0,'[1]Calculo ISR '!$AK$34)</f>
        <v>1166.7533832938893</v>
      </c>
      <c r="N32" s="79">
        <f>E32*P4</f>
        <v>842.52794347311965</v>
      </c>
      <c r="O32" s="78"/>
      <c r="P32" s="50"/>
      <c r="Q32" s="78"/>
      <c r="R32" s="50"/>
      <c r="S32" s="50">
        <f t="shared" si="6"/>
        <v>2009.281326767009</v>
      </c>
      <c r="T32" s="28">
        <f>IF('[1]Calculo ISR '!$AK$34&gt;0,0,'[1]Calculo ISR '!$AK$34)*-1</f>
        <v>0</v>
      </c>
      <c r="U32" s="79">
        <f>K32-S32</f>
        <v>6014.7943253579406</v>
      </c>
      <c r="V32" s="73">
        <v>385.5</v>
      </c>
      <c r="W32" s="80"/>
      <c r="X32" s="47"/>
    </row>
    <row r="33" spans="1:26" s="81" customFormat="1" ht="45" customHeight="1">
      <c r="A33" s="91" t="s">
        <v>83</v>
      </c>
      <c r="B33" s="139" t="s">
        <v>84</v>
      </c>
      <c r="C33" s="66">
        <v>15</v>
      </c>
      <c r="D33" s="76">
        <v>180.10895980000001</v>
      </c>
      <c r="E33" s="50">
        <v>2701.6343970000003</v>
      </c>
      <c r="F33" s="50"/>
      <c r="G33" s="77">
        <f>385.5</f>
        <v>385.5</v>
      </c>
      <c r="H33" s="50">
        <v>892</v>
      </c>
      <c r="I33" s="50"/>
      <c r="J33" s="50"/>
      <c r="K33" s="78">
        <f t="shared" ref="K33:K38" si="7">E33+F33+H33+I33+J33</f>
        <v>3593.6343970000003</v>
      </c>
      <c r="L33" s="78">
        <f>K33+G33</f>
        <v>3979.1343970000003</v>
      </c>
      <c r="M33" s="28">
        <f>IF('[14]Calculo ISR '!$AM$34&lt;0,0,'[14]Calculo ISR '!$AM$34)</f>
        <v>179.50433439359998</v>
      </c>
      <c r="N33" s="92">
        <f>E33*P4</f>
        <v>283.67161168500002</v>
      </c>
      <c r="O33" s="78"/>
      <c r="P33" s="50"/>
      <c r="Q33" s="78"/>
      <c r="R33" s="50">
        <f>E33*O4</f>
        <v>27.016343970000005</v>
      </c>
      <c r="S33" s="50">
        <f>M33+N33+O33+P33+Q33+R33</f>
        <v>490.19229004859994</v>
      </c>
      <c r="T33" s="28">
        <f>IF('[1]Calculo ISR '!$AM$34&gt;0,0,'[1]Calculo ISR '!$AM$34)*-1</f>
        <v>0</v>
      </c>
      <c r="U33" s="79">
        <f t="shared" ref="U33:U38" si="8">K33-S33+T33</f>
        <v>3103.4421069514001</v>
      </c>
      <c r="V33" s="73">
        <v>385.5</v>
      </c>
      <c r="W33" s="80"/>
      <c r="X33" s="47"/>
    </row>
    <row r="34" spans="1:26" s="81" customFormat="1" ht="45" customHeight="1">
      <c r="A34" s="91" t="s">
        <v>85</v>
      </c>
      <c r="B34" s="139" t="s">
        <v>86</v>
      </c>
      <c r="C34" s="66">
        <v>15</v>
      </c>
      <c r="D34" s="76">
        <v>219.23158179999999</v>
      </c>
      <c r="E34" s="50">
        <v>3288.4737269999996</v>
      </c>
      <c r="F34" s="50"/>
      <c r="G34" s="77">
        <f>385.5</f>
        <v>385.5</v>
      </c>
      <c r="H34" s="50"/>
      <c r="I34" s="50"/>
      <c r="J34" s="50"/>
      <c r="K34" s="78">
        <f t="shared" si="7"/>
        <v>3288.4737269999996</v>
      </c>
      <c r="L34" s="78">
        <f>K34+G34</f>
        <v>3673.9737269999996</v>
      </c>
      <c r="M34" s="28">
        <f>IF('[14]Calculo ISR '!$AN$34&lt;0,0,'[14]Calculo ISR '!$AN$34)</f>
        <v>128.60285349759991</v>
      </c>
      <c r="N34" s="92">
        <f>E34*P4</f>
        <v>345.28974133499992</v>
      </c>
      <c r="O34" s="78"/>
      <c r="P34" s="50"/>
      <c r="Q34" s="78"/>
      <c r="R34" s="50">
        <v>0</v>
      </c>
      <c r="S34" s="50">
        <f t="shared" si="6"/>
        <v>473.8925948325998</v>
      </c>
      <c r="T34" s="28">
        <f>IF('[1]Calculo ISR '!$AN$34&gt;0,0,'[1]Calculo ISR '!$AN$34)*-1</f>
        <v>0</v>
      </c>
      <c r="U34" s="79">
        <f t="shared" si="8"/>
        <v>2814.5811321674</v>
      </c>
      <c r="V34" s="73">
        <v>385.5</v>
      </c>
      <c r="W34" s="80"/>
      <c r="X34" s="47"/>
    </row>
    <row r="35" spans="1:26" s="81" customFormat="1" ht="45" customHeight="1">
      <c r="A35" s="91" t="s">
        <v>87</v>
      </c>
      <c r="B35" s="91" t="s">
        <v>88</v>
      </c>
      <c r="C35" s="66">
        <v>15</v>
      </c>
      <c r="D35" s="76">
        <v>534.93837680832996</v>
      </c>
      <c r="E35" s="50">
        <f>E32</f>
        <v>8024.0756521249496</v>
      </c>
      <c r="F35" s="50"/>
      <c r="G35" s="77">
        <v>385.5</v>
      </c>
      <c r="H35" s="50"/>
      <c r="I35" s="50"/>
      <c r="J35" s="50"/>
      <c r="K35" s="78">
        <f t="shared" si="7"/>
        <v>8024.0756521249496</v>
      </c>
      <c r="L35" s="78">
        <f>K35+G35+T35</f>
        <v>8409.5756521249496</v>
      </c>
      <c r="M35" s="28">
        <f>IF('[14]Calculo ISR '!$AO$34&lt;0,0,'[14]Calculo ISR '!$AO$34)</f>
        <v>1166.7533832938893</v>
      </c>
      <c r="N35" s="92">
        <f>E35*P4</f>
        <v>842.52794347311965</v>
      </c>
      <c r="O35" s="78">
        <v>1338</v>
      </c>
      <c r="P35" s="50"/>
      <c r="Q35" s="78"/>
      <c r="R35" s="50"/>
      <c r="S35" s="50">
        <f t="shared" si="6"/>
        <v>3347.281326767009</v>
      </c>
      <c r="T35" s="28">
        <f>IF('[1]Calculo ISR '!$AO$34&gt;0,0,'[1]Calculo ISR '!$AO$34)*-1</f>
        <v>0</v>
      </c>
      <c r="U35" s="79">
        <f t="shared" si="8"/>
        <v>4676.7943253579406</v>
      </c>
      <c r="V35" s="73">
        <f t="shared" ref="V35:V43" si="9">G35</f>
        <v>385.5</v>
      </c>
      <c r="W35" s="80"/>
      <c r="X35" s="47"/>
    </row>
    <row r="36" spans="1:26" s="81" customFormat="1" ht="45" customHeight="1">
      <c r="A36" s="91" t="s">
        <v>89</v>
      </c>
      <c r="B36" s="91" t="s">
        <v>90</v>
      </c>
      <c r="C36" s="66">
        <v>15</v>
      </c>
      <c r="D36" s="76">
        <v>171.34</v>
      </c>
      <c r="E36" s="50">
        <f>C36*D36</f>
        <v>2570.1</v>
      </c>
      <c r="F36" s="50"/>
      <c r="G36" s="77">
        <v>385.5</v>
      </c>
      <c r="H36" s="50"/>
      <c r="I36" s="50"/>
      <c r="J36" s="50"/>
      <c r="K36" s="78">
        <f t="shared" si="7"/>
        <v>2570.1</v>
      </c>
      <c r="L36" s="78">
        <f>K36+G36</f>
        <v>2955.6</v>
      </c>
      <c r="M36" s="28">
        <f>IF('[14]Calculo ISR '!$AP$34&lt;0,0,'[14]Calculo ISR '!$AP$34)</f>
        <v>15.193791999999974</v>
      </c>
      <c r="N36" s="92">
        <f>E36*P4</f>
        <v>269.8605</v>
      </c>
      <c r="O36" s="78"/>
      <c r="P36" s="50"/>
      <c r="Q36" s="78"/>
      <c r="R36" s="50"/>
      <c r="S36" s="50">
        <f t="shared" si="6"/>
        <v>285.05429199999998</v>
      </c>
      <c r="T36" s="28">
        <f>IF('[1]Calculo ISR '!$AP$34&gt;0,0,'[1]Calculo ISR '!$AP$34)*-1</f>
        <v>0</v>
      </c>
      <c r="U36" s="79">
        <f t="shared" si="8"/>
        <v>2285.0457080000001</v>
      </c>
      <c r="V36" s="73">
        <f t="shared" si="9"/>
        <v>385.5</v>
      </c>
      <c r="W36" s="80"/>
      <c r="X36" s="47"/>
    </row>
    <row r="37" spans="1:26" s="81" customFormat="1" ht="45" customHeight="1">
      <c r="A37" s="91" t="s">
        <v>91</v>
      </c>
      <c r="B37" s="91" t="s">
        <v>92</v>
      </c>
      <c r="C37" s="66">
        <v>15</v>
      </c>
      <c r="D37" s="76">
        <v>131.36093080000001</v>
      </c>
      <c r="E37" s="50">
        <v>1970.4139620000001</v>
      </c>
      <c r="F37" s="50"/>
      <c r="G37" s="77">
        <v>385.5</v>
      </c>
      <c r="H37" s="50"/>
      <c r="I37" s="50"/>
      <c r="J37" s="50"/>
      <c r="K37" s="78">
        <f t="shared" si="7"/>
        <v>1970.4139620000001</v>
      </c>
      <c r="L37" s="78">
        <f>K37+G37+T37</f>
        <v>2429.5253084320002</v>
      </c>
      <c r="M37" s="28">
        <f>IF('[14]Calculo ISR '!$AQ$34&lt;0,0,'[14]Calculo ISR '!$AQ$34)</f>
        <v>0</v>
      </c>
      <c r="N37" s="92">
        <f>E37*P4</f>
        <v>206.89346601</v>
      </c>
      <c r="O37" s="78">
        <v>493</v>
      </c>
      <c r="P37" s="50"/>
      <c r="Q37" s="78"/>
      <c r="R37" s="50"/>
      <c r="S37" s="50">
        <f t="shared" si="6"/>
        <v>699.89346601</v>
      </c>
      <c r="T37" s="28">
        <f>IF('[1]Calculo ISR '!$AQ$34&gt;0,0,'[1]Calculo ISR '!$AQ$34)*-1</f>
        <v>73.611346431999976</v>
      </c>
      <c r="U37" s="79">
        <f t="shared" si="8"/>
        <v>1344.1318424220001</v>
      </c>
      <c r="V37" s="73">
        <f t="shared" si="9"/>
        <v>385.5</v>
      </c>
      <c r="W37" s="80"/>
      <c r="X37" s="47"/>
    </row>
    <row r="38" spans="1:26" s="81" customFormat="1" ht="45" customHeight="1">
      <c r="A38" s="91" t="s">
        <v>93</v>
      </c>
      <c r="B38" s="91" t="s">
        <v>94</v>
      </c>
      <c r="C38" s="66">
        <v>15</v>
      </c>
      <c r="D38" s="76">
        <v>131.36093080000001</v>
      </c>
      <c r="E38" s="50">
        <v>1970.4139620000001</v>
      </c>
      <c r="F38" s="50"/>
      <c r="G38" s="77">
        <v>385.5</v>
      </c>
      <c r="H38" s="50"/>
      <c r="I38" s="50"/>
      <c r="J38" s="50"/>
      <c r="K38" s="78">
        <f t="shared" si="7"/>
        <v>1970.4139620000001</v>
      </c>
      <c r="L38" s="78">
        <f>K38+G38+T38</f>
        <v>2429.5253084320002</v>
      </c>
      <c r="M38" s="28">
        <f>IF('[14]Calculo ISR '!$AR$34&lt;0,0,'[14]Calculo ISR '!$AR$34)</f>
        <v>0</v>
      </c>
      <c r="N38" s="92">
        <f>E38*P4</f>
        <v>206.89346601</v>
      </c>
      <c r="O38" s="78"/>
      <c r="P38" s="50"/>
      <c r="Q38" s="78"/>
      <c r="R38" s="50"/>
      <c r="S38" s="50">
        <f t="shared" si="6"/>
        <v>206.89346601</v>
      </c>
      <c r="T38" s="28">
        <f>IF('[1]Calculo ISR '!$AR$34&gt;0,0,'[1]Calculo ISR '!$AR$34)*-1</f>
        <v>73.611346431999976</v>
      </c>
      <c r="U38" s="79">
        <f t="shared" si="8"/>
        <v>1837.1318424220001</v>
      </c>
      <c r="V38" s="73">
        <f t="shared" si="9"/>
        <v>385.5</v>
      </c>
      <c r="W38" s="80"/>
      <c r="X38" s="47"/>
    </row>
    <row r="39" spans="1:26" s="81" customFormat="1" ht="45" customHeight="1">
      <c r="A39" s="91" t="s">
        <v>95</v>
      </c>
      <c r="B39" s="91" t="s">
        <v>96</v>
      </c>
      <c r="C39" s="66">
        <v>15</v>
      </c>
      <c r="D39" s="76">
        <v>754.54</v>
      </c>
      <c r="E39" s="50">
        <f>C39*D39</f>
        <v>11318.099999999999</v>
      </c>
      <c r="F39" s="50"/>
      <c r="G39" s="77">
        <v>385.5</v>
      </c>
      <c r="H39" s="50"/>
      <c r="I39" s="50"/>
      <c r="J39" s="50"/>
      <c r="K39" s="78">
        <f>E39+H39+I39+J39</f>
        <v>11318.099999999999</v>
      </c>
      <c r="L39" s="78">
        <f>K39+G39</f>
        <v>11703.599999999999</v>
      </c>
      <c r="M39" s="28">
        <f>IF('[14]Calculo ISR '!$AS$34&lt;0,0,'[14]Calculo ISR '!$AS$34)</f>
        <v>1893.3293279999998</v>
      </c>
      <c r="N39" s="92">
        <f>E39*P4</f>
        <v>1188.4004999999997</v>
      </c>
      <c r="O39" s="78"/>
      <c r="P39" s="50"/>
      <c r="Q39" s="78"/>
      <c r="R39" s="50"/>
      <c r="S39" s="50">
        <f>M39+N39+O39+P39+Q39+R39</f>
        <v>3081.7298279999995</v>
      </c>
      <c r="T39" s="28">
        <f>IF('[1]Calculo ISR '!$AS$34&gt;0,0,'[1]Calculo ISR '!$AS$34)*-1</f>
        <v>0</v>
      </c>
      <c r="U39" s="79">
        <f>K39-S39</f>
        <v>8236.370171999999</v>
      </c>
      <c r="V39" s="73">
        <f t="shared" si="9"/>
        <v>385.5</v>
      </c>
      <c r="W39" s="80"/>
      <c r="X39" s="47"/>
    </row>
    <row r="40" spans="1:26" s="81" customFormat="1" ht="45" customHeight="1">
      <c r="A40" s="91" t="s">
        <v>97</v>
      </c>
      <c r="B40" s="91" t="s">
        <v>98</v>
      </c>
      <c r="C40" s="66">
        <v>15</v>
      </c>
      <c r="D40" s="76">
        <v>754.54</v>
      </c>
      <c r="E40" s="50">
        <f>D40*C40</f>
        <v>11318.099999999999</v>
      </c>
      <c r="F40" s="50"/>
      <c r="G40" s="77">
        <v>385.5</v>
      </c>
      <c r="H40" s="50"/>
      <c r="I40" s="50"/>
      <c r="J40" s="50"/>
      <c r="K40" s="78">
        <f>E40+H40+I40+J40</f>
        <v>11318.099999999999</v>
      </c>
      <c r="L40" s="78">
        <f>K40+G40</f>
        <v>11703.599999999999</v>
      </c>
      <c r="M40" s="28">
        <f>IF('[14]Calculo ISR '!$AT$34&lt;0,0,'[14]Calculo ISR '!$AT$34)</f>
        <v>1893.3293279999998</v>
      </c>
      <c r="N40" s="92">
        <f>E40*P4</f>
        <v>1188.4004999999997</v>
      </c>
      <c r="O40" s="78">
        <v>3773</v>
      </c>
      <c r="P40" s="50"/>
      <c r="Q40" s="78"/>
      <c r="R40" s="50"/>
      <c r="S40" s="50">
        <f>M40+N40+O40+P40+Q40+R40</f>
        <v>6854.7298279999995</v>
      </c>
      <c r="T40" s="28">
        <f>IF('[1]Calculo ISR '!$AT$34&gt;0,0,'[1]Calculo ISR '!$AT$34)*-1</f>
        <v>0</v>
      </c>
      <c r="U40" s="79">
        <f>K40-S40</f>
        <v>4463.370171999999</v>
      </c>
      <c r="V40" s="73">
        <f t="shared" si="9"/>
        <v>385.5</v>
      </c>
      <c r="W40" s="80"/>
      <c r="X40" s="47"/>
    </row>
    <row r="41" spans="1:26" s="81" customFormat="1" ht="45" customHeight="1">
      <c r="A41" s="91" t="s">
        <v>99</v>
      </c>
      <c r="B41" s="91" t="s">
        <v>100</v>
      </c>
      <c r="C41" s="66">
        <v>15</v>
      </c>
      <c r="D41" s="76">
        <v>171.34</v>
      </c>
      <c r="E41" s="50">
        <f>C41*D41</f>
        <v>2570.1</v>
      </c>
      <c r="F41" s="50"/>
      <c r="G41" s="77">
        <v>385.5</v>
      </c>
      <c r="H41" s="50"/>
      <c r="I41" s="50"/>
      <c r="J41" s="50"/>
      <c r="K41" s="78">
        <f>E41+F41+H41+I41+J41</f>
        <v>2570.1</v>
      </c>
      <c r="L41" s="78">
        <f>K41+G41</f>
        <v>2955.6</v>
      </c>
      <c r="M41" s="28">
        <f>IF('[14]Calculo ISR '!$AU$34&lt;0,0,'[14]Calculo ISR '!$AU$34)</f>
        <v>15.193791999999974</v>
      </c>
      <c r="N41" s="92">
        <f>E41*P4</f>
        <v>269.8605</v>
      </c>
      <c r="O41" s="78"/>
      <c r="P41" s="50"/>
      <c r="Q41" s="78"/>
      <c r="R41" s="50"/>
      <c r="S41" s="50">
        <f>M41+N41+O41+P41+Q41+R41</f>
        <v>285.05429199999998</v>
      </c>
      <c r="T41" s="28">
        <f>IF('[1]Calculo ISR '!$AU$34&gt;0,0,'[1]Calculo ISR '!$AU$34)*-1</f>
        <v>0</v>
      </c>
      <c r="U41" s="79">
        <f>K41-S41</f>
        <v>2285.0457080000001</v>
      </c>
      <c r="V41" s="73">
        <f t="shared" si="9"/>
        <v>385.5</v>
      </c>
      <c r="W41" s="80"/>
      <c r="X41" s="47"/>
    </row>
    <row r="42" spans="1:26" s="81" customFormat="1" ht="45" customHeight="1">
      <c r="A42" s="91" t="s">
        <v>101</v>
      </c>
      <c r="B42" s="91" t="s">
        <v>121</v>
      </c>
      <c r="C42" s="66">
        <v>15</v>
      </c>
      <c r="D42" s="76">
        <v>754.54</v>
      </c>
      <c r="E42" s="50">
        <f>C42*D42</f>
        <v>11318.099999999999</v>
      </c>
      <c r="F42" s="50"/>
      <c r="G42" s="77">
        <v>385.5</v>
      </c>
      <c r="H42" s="50"/>
      <c r="I42" s="50"/>
      <c r="J42" s="50"/>
      <c r="K42" s="78">
        <f>E42+F42+H42+I42+J42</f>
        <v>11318.099999999999</v>
      </c>
      <c r="L42" s="78">
        <f>K42+G42</f>
        <v>11703.599999999999</v>
      </c>
      <c r="M42" s="28">
        <f>IF('[14]Calculo ISR '!$AV$34&lt;0,0,'[14]Calculo ISR '!$AV$34)</f>
        <v>1893.3293279999998</v>
      </c>
      <c r="N42" s="92">
        <f>E42*P4</f>
        <v>1188.4004999999997</v>
      </c>
      <c r="O42" s="78">
        <v>1887</v>
      </c>
      <c r="P42" s="50"/>
      <c r="Q42" s="78"/>
      <c r="R42" s="50"/>
      <c r="S42" s="50">
        <f>M42+N42+O42+P42+Q42+R42</f>
        <v>4968.7298279999995</v>
      </c>
      <c r="T42" s="28">
        <f>IF('[1]Calculo ISR '!$AV$34&gt;0,0,'[1]Calculo ISR '!$AV$34)*-1</f>
        <v>0</v>
      </c>
      <c r="U42" s="79">
        <f>K42-S42</f>
        <v>6349.370171999999</v>
      </c>
      <c r="V42" s="73">
        <f t="shared" si="9"/>
        <v>385.5</v>
      </c>
      <c r="W42" s="80"/>
      <c r="X42" s="47"/>
    </row>
    <row r="43" spans="1:26" s="81" customFormat="1" ht="45" customHeight="1">
      <c r="A43" s="91" t="s">
        <v>103</v>
      </c>
      <c r="B43" s="91" t="s">
        <v>122</v>
      </c>
      <c r="C43" s="66">
        <v>15</v>
      </c>
      <c r="D43" s="76">
        <v>171.34</v>
      </c>
      <c r="E43" s="50">
        <f>C43*D43</f>
        <v>2570.1</v>
      </c>
      <c r="F43" s="50"/>
      <c r="G43" s="77">
        <v>385.5</v>
      </c>
      <c r="H43" s="50"/>
      <c r="I43" s="50"/>
      <c r="J43" s="50"/>
      <c r="K43" s="78">
        <f>E43+F43+H43+I43+J43</f>
        <v>2570.1</v>
      </c>
      <c r="L43" s="78">
        <f>K43+G43</f>
        <v>2955.6</v>
      </c>
      <c r="M43" s="28">
        <v>15.19</v>
      </c>
      <c r="N43" s="92">
        <f>E43*P4</f>
        <v>269.8605</v>
      </c>
      <c r="O43" s="78"/>
      <c r="P43" s="50"/>
      <c r="Q43" s="78"/>
      <c r="R43" s="50"/>
      <c r="S43" s="50">
        <f>M43+N43+O43+P43+Q43+R43</f>
        <v>285.0505</v>
      </c>
      <c r="T43" s="28"/>
      <c r="U43" s="79">
        <f>K43-S43</f>
        <v>2285.0495000000001</v>
      </c>
      <c r="V43" s="73">
        <f t="shared" si="9"/>
        <v>385.5</v>
      </c>
      <c r="W43" s="80"/>
      <c r="X43" s="47"/>
    </row>
    <row r="44" spans="1:26" s="99" customFormat="1" ht="21.95" customHeight="1">
      <c r="A44" s="93"/>
      <c r="B44" s="94">
        <v>37</v>
      </c>
      <c r="C44" s="95">
        <f>SUM(C8:C43)</f>
        <v>540</v>
      </c>
      <c r="D44" s="95">
        <f>SUM(D8:D43)</f>
        <v>12129.208749508314</v>
      </c>
      <c r="E44" s="95">
        <f>SUM(E7:E43)</f>
        <v>198874.78124262471</v>
      </c>
      <c r="F44" s="95">
        <f t="shared" ref="F44:V44" si="10">SUM(F7:F43)</f>
        <v>6616.24</v>
      </c>
      <c r="G44" s="95">
        <f t="shared" si="10"/>
        <v>14838</v>
      </c>
      <c r="H44" s="95">
        <f t="shared" si="10"/>
        <v>4014</v>
      </c>
      <c r="I44" s="95">
        <f t="shared" si="10"/>
        <v>688</v>
      </c>
      <c r="J44" s="95">
        <f t="shared" si="10"/>
        <v>2724.3190722443424</v>
      </c>
      <c r="K44" s="95">
        <f t="shared" si="10"/>
        <v>212917.34031486904</v>
      </c>
      <c r="L44" s="95">
        <f t="shared" si="10"/>
        <v>228063.09883317171</v>
      </c>
      <c r="M44" s="96">
        <f t="shared" si="10"/>
        <v>26817.282922743485</v>
      </c>
      <c r="N44" s="95">
        <f>SUM(N7:N43)</f>
        <v>20881.852030475591</v>
      </c>
      <c r="O44" s="95">
        <f t="shared" si="10"/>
        <v>26206.81</v>
      </c>
      <c r="P44" s="95">
        <f t="shared" si="10"/>
        <v>0</v>
      </c>
      <c r="Q44" s="95">
        <f t="shared" si="10"/>
        <v>0</v>
      </c>
      <c r="R44" s="95">
        <f t="shared" si="10"/>
        <v>554.15389126315188</v>
      </c>
      <c r="S44" s="95">
        <f t="shared" si="10"/>
        <v>74460.098844482229</v>
      </c>
      <c r="T44" s="95">
        <f t="shared" si="10"/>
        <v>307.75851830263997</v>
      </c>
      <c r="U44" s="95">
        <f t="shared" si="10"/>
        <v>138764.99998868944</v>
      </c>
      <c r="V44" s="95">
        <f t="shared" si="10"/>
        <v>14838</v>
      </c>
      <c r="W44" s="97"/>
      <c r="X44" s="98"/>
    </row>
    <row r="45" spans="1:26" s="6" customFormat="1" ht="6.75" customHeight="1">
      <c r="A45" s="122"/>
      <c r="B45" s="123"/>
      <c r="C45" s="124"/>
      <c r="D45" s="101"/>
      <c r="E45" s="101">
        <f>E44+'[14]HT-DOCENTE FIRMA'!I39</f>
        <v>315500.53124262474</v>
      </c>
      <c r="F45" s="101"/>
      <c r="G45" s="125">
        <f>G44+'[14]HT-DOCENTE FIRMA'!J39</f>
        <v>21969.67</v>
      </c>
      <c r="H45" s="125">
        <f>H44+'[14]HT-DOCENTE FIRMA'!L39</f>
        <v>5664.2000000000007</v>
      </c>
      <c r="I45" s="101"/>
      <c r="J45" s="101">
        <f>J44+'[14]HT-DOCENTE FIRMA'!M39</f>
        <v>3234.2140722443423</v>
      </c>
      <c r="K45" s="101"/>
      <c r="L45" s="101"/>
      <c r="N45" s="101">
        <f>N44+'[14]HT-DOCENTE FIRMA'!Q39</f>
        <v>33127.555780475595</v>
      </c>
      <c r="O45" s="101">
        <f>O44+'[14]HT-DOCENTE FIRMA'!R39</f>
        <v>35752.81</v>
      </c>
      <c r="P45" s="101"/>
      <c r="Q45" s="101"/>
      <c r="R45" s="101"/>
      <c r="S45" s="101"/>
      <c r="T45" s="101"/>
      <c r="U45" s="101"/>
      <c r="V45" s="101"/>
      <c r="W45" s="126"/>
      <c r="X45" s="5"/>
    </row>
    <row r="46" spans="1:26" s="6" customFormat="1" ht="6.75" customHeight="1">
      <c r="A46" s="122"/>
      <c r="B46" s="123"/>
      <c r="C46" s="124"/>
      <c r="D46" s="101"/>
      <c r="E46" s="101">
        <f>E44+'[14]HT-DOCENTE FIRMA'!I39</f>
        <v>315500.53124262474</v>
      </c>
      <c r="F46" s="101"/>
      <c r="G46" s="125"/>
      <c r="H46" s="125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26"/>
      <c r="X46" s="5"/>
      <c r="Z46" s="5"/>
    </row>
    <row r="47" spans="1:26" s="6" customFormat="1" ht="6.75" customHeight="1">
      <c r="A47" s="127"/>
      <c r="B47" s="123"/>
      <c r="C47" s="122"/>
      <c r="D47" s="128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26"/>
      <c r="X47" s="5"/>
    </row>
    <row r="48" spans="1:26" s="6" customFormat="1" ht="6.75" customHeight="1">
      <c r="A48" s="129"/>
      <c r="B48" s="130"/>
      <c r="C48" s="131"/>
      <c r="D48" s="132"/>
      <c r="E48" s="133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5"/>
      <c r="X48" s="5"/>
    </row>
    <row r="49" spans="1:24" ht="14.25" customHeight="1">
      <c r="A49" s="110" t="s">
        <v>105</v>
      </c>
      <c r="B49" s="110"/>
      <c r="C49" s="110"/>
      <c r="D49" s="111"/>
      <c r="E49" s="109"/>
      <c r="F49" s="113" t="s">
        <v>106</v>
      </c>
      <c r="G49" s="112"/>
      <c r="H49" s="112"/>
      <c r="I49" s="112"/>
      <c r="K49" s="113"/>
      <c r="L49" s="114"/>
      <c r="O49" s="115"/>
      <c r="P49" s="115"/>
      <c r="Q49" s="115"/>
      <c r="R49" s="115"/>
      <c r="S49" s="111" t="s">
        <v>107</v>
      </c>
      <c r="T49" s="111"/>
      <c r="U49" s="111"/>
      <c r="V49" s="111"/>
      <c r="W49" s="111"/>
      <c r="X49" s="100"/>
    </row>
    <row r="50" spans="1:24" ht="0.75" hidden="1" customHeight="1">
      <c r="A50" s="111"/>
      <c r="B50" s="111"/>
      <c r="C50" s="111"/>
      <c r="D50" s="111"/>
      <c r="E50" s="116"/>
      <c r="F50" s="116"/>
      <c r="G50" s="111"/>
      <c r="H50" s="111"/>
      <c r="I50" s="111"/>
      <c r="J50" s="111"/>
      <c r="K50" s="103"/>
      <c r="L50" s="103"/>
      <c r="O50" s="103"/>
      <c r="P50" s="115"/>
      <c r="Q50" s="103"/>
      <c r="R50" s="103"/>
      <c r="S50" s="111"/>
      <c r="T50" s="111"/>
      <c r="U50" s="111"/>
      <c r="V50" s="111"/>
      <c r="W50" s="111"/>
      <c r="X50" s="100"/>
    </row>
    <row r="51" spans="1:24" ht="0.75" hidden="1" customHeight="1">
      <c r="A51" s="111"/>
      <c r="B51" s="111"/>
      <c r="C51" s="111"/>
      <c r="D51" s="111"/>
      <c r="E51" s="109"/>
      <c r="F51" s="109"/>
      <c r="G51" s="111"/>
      <c r="H51" s="111"/>
      <c r="I51" s="111"/>
      <c r="J51" s="111"/>
      <c r="K51" s="109"/>
      <c r="L51" s="109"/>
      <c r="O51" s="109"/>
      <c r="P51" s="109"/>
      <c r="Q51" s="109"/>
      <c r="R51" s="109"/>
      <c r="S51" s="111"/>
      <c r="T51" s="111"/>
      <c r="U51" s="111"/>
      <c r="V51" s="111"/>
      <c r="W51" s="111"/>
      <c r="X51" s="100"/>
    </row>
    <row r="52" spans="1:24" ht="21.75" customHeight="1">
      <c r="A52" s="111"/>
      <c r="B52" s="113" t="s">
        <v>108</v>
      </c>
      <c r="C52" s="111"/>
      <c r="D52" s="111"/>
      <c r="E52" s="116"/>
      <c r="F52" s="118" t="s">
        <v>109</v>
      </c>
      <c r="G52" s="117"/>
      <c r="H52" s="117"/>
      <c r="I52" s="117"/>
      <c r="K52" s="118"/>
      <c r="L52" s="118"/>
      <c r="O52" s="109"/>
      <c r="P52" s="109"/>
      <c r="R52" s="109"/>
      <c r="S52" s="144" t="s">
        <v>110</v>
      </c>
      <c r="T52" s="117"/>
      <c r="U52" s="117"/>
      <c r="V52" s="117"/>
      <c r="W52" s="111"/>
      <c r="X52" s="100"/>
    </row>
    <row r="53" spans="1:24" ht="15" customHeight="1">
      <c r="A53" s="110" t="s">
        <v>111</v>
      </c>
      <c r="B53" s="110"/>
      <c r="C53" s="110"/>
      <c r="D53" s="111"/>
      <c r="E53" s="109"/>
      <c r="F53" s="118" t="s">
        <v>112</v>
      </c>
      <c r="G53" s="117"/>
      <c r="H53" s="117"/>
      <c r="I53" s="117"/>
      <c r="K53" s="118"/>
      <c r="L53" s="118"/>
      <c r="O53" s="109"/>
      <c r="P53" s="109"/>
      <c r="Q53" s="109"/>
      <c r="R53" s="119" t="s">
        <v>113</v>
      </c>
      <c r="S53" s="119"/>
      <c r="T53" s="119"/>
      <c r="U53" s="119"/>
      <c r="V53" s="119"/>
      <c r="W53" s="111"/>
      <c r="X53" s="100"/>
    </row>
    <row r="54" spans="1:24">
      <c r="A54" s="109"/>
      <c r="B54" s="120"/>
      <c r="C54" s="109"/>
      <c r="D54" s="109"/>
      <c r="E54" s="116"/>
      <c r="F54" s="116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0"/>
    </row>
    <row r="55" spans="1:24" s="2" customFormat="1">
      <c r="A55" s="109"/>
      <c r="B55" s="120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16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 s="102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306" spans="99:99">
      <c r="CU306" s="1" t="s">
        <v>114</v>
      </c>
    </row>
  </sheetData>
  <mergeCells count="3">
    <mergeCell ref="A49:C49"/>
    <mergeCell ref="A53:C53"/>
    <mergeCell ref="R53:V53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U307"/>
  <sheetViews>
    <sheetView zoomScale="90" zoomScaleNormal="90" workbookViewId="0">
      <pane xSplit="2" ySplit="6" topLeftCell="C31" activePane="bottomRight" state="frozen"/>
      <selection activeCell="S28" sqref="S28"/>
      <selection pane="topRight" activeCell="S28" sqref="S28"/>
      <selection pane="bottomLeft" activeCell="S28" sqref="S28"/>
      <selection pane="bottomRight" activeCell="B29" sqref="B29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8" width="12.4257812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7.1406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1" spans="1:26">
      <c r="K1" s="3"/>
      <c r="L1" s="3"/>
      <c r="P1" s="3"/>
      <c r="Q1" s="3"/>
      <c r="R1" s="3"/>
    </row>
    <row r="2" spans="1:26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6" ht="22.5">
      <c r="B3" s="2"/>
      <c r="C3" s="3"/>
      <c r="D3" s="3"/>
      <c r="E3" s="3"/>
      <c r="F3" s="3"/>
      <c r="G3" s="3"/>
      <c r="H3" s="3"/>
      <c r="I3" s="3"/>
      <c r="J3" s="6"/>
      <c r="K3" s="5"/>
      <c r="L3" s="5" t="s">
        <v>0</v>
      </c>
      <c r="M3" s="6"/>
      <c r="N3" s="6"/>
      <c r="O3" s="6" t="s">
        <v>137</v>
      </c>
      <c r="P3" s="135" t="s">
        <v>132</v>
      </c>
      <c r="Q3" s="6" t="s">
        <v>1</v>
      </c>
      <c r="R3" s="6" t="s">
        <v>133</v>
      </c>
      <c r="S3" s="6"/>
      <c r="T3" s="6"/>
      <c r="U3" s="6"/>
      <c r="V3" s="6"/>
      <c r="W3" s="6"/>
      <c r="X3" s="3"/>
    </row>
    <row r="4" spans="1:26">
      <c r="B4" s="2"/>
      <c r="C4" s="3"/>
      <c r="D4" s="3"/>
      <c r="E4" s="3"/>
      <c r="F4" s="3"/>
      <c r="G4" s="3"/>
      <c r="H4" s="3"/>
      <c r="I4" s="3"/>
      <c r="J4" s="6"/>
      <c r="K4" s="6"/>
      <c r="L4" s="7">
        <v>1.9E-2</v>
      </c>
      <c r="M4" s="6"/>
      <c r="N4" s="6"/>
      <c r="O4" s="8">
        <v>0.01</v>
      </c>
      <c r="P4" s="121">
        <v>0.105</v>
      </c>
      <c r="Q4" s="9">
        <v>3.7999999999999999E-2</v>
      </c>
      <c r="R4" s="121">
        <v>5.7000000000000002E-2</v>
      </c>
      <c r="S4" s="6"/>
      <c r="T4" s="6"/>
      <c r="U4" s="6"/>
      <c r="V4" s="6"/>
      <c r="W4" s="6"/>
      <c r="X4" s="3"/>
    </row>
    <row r="5" spans="1:26" ht="13.5" thickBot="1">
      <c r="B5" s="10" t="s">
        <v>2</v>
      </c>
      <c r="C5" s="3"/>
      <c r="D5" s="3"/>
      <c r="E5" s="3"/>
      <c r="F5" s="10" t="s">
        <v>138</v>
      </c>
      <c r="G5" s="3"/>
      <c r="H5" s="3"/>
      <c r="I5" s="3"/>
      <c r="J5" s="3"/>
      <c r="K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6" s="25" customFormat="1" ht="105.7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142">
        <v>15</v>
      </c>
      <c r="D7" s="28">
        <v>1129.1099999999999</v>
      </c>
      <c r="E7" s="28">
        <f>C7*D7</f>
        <v>16936.649999999998</v>
      </c>
      <c r="F7" s="28">
        <v>6616.24</v>
      </c>
      <c r="G7" s="28">
        <v>960</v>
      </c>
      <c r="H7" s="28">
        <f>'[1]HT-ADMINISTRATIVOS'!H8</f>
        <v>0</v>
      </c>
      <c r="I7" s="28">
        <v>688</v>
      </c>
      <c r="J7" s="28"/>
      <c r="K7" s="28">
        <f>SUM(E7+F7+I7+J7)</f>
        <v>24240.89</v>
      </c>
      <c r="L7" s="28">
        <f>SUM(K7+G7)</f>
        <v>25200.89</v>
      </c>
      <c r="M7" s="28">
        <f>IF('[15]Calculo ISR '!$K$34&lt;0,0,'[15]Calculo ISR '!$K$34)</f>
        <v>5456.9489999999996</v>
      </c>
      <c r="N7" s="28">
        <f>E7*P4</f>
        <v>1778.3482499999998</v>
      </c>
      <c r="O7" s="28"/>
      <c r="P7" s="28"/>
      <c r="Q7" s="28"/>
      <c r="R7" s="28"/>
      <c r="S7" s="28">
        <f>SUM(M7+N7+O7+P7+Q7+R7)</f>
        <v>7235.2972499999996</v>
      </c>
      <c r="T7" s="28"/>
      <c r="U7" s="36">
        <f>K7-S7</f>
        <v>17005.59275</v>
      </c>
      <c r="V7" s="28">
        <f>G7</f>
        <v>960</v>
      </c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754.53875970000001</v>
      </c>
      <c r="E8" s="36">
        <v>11318.081395499999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E8*R4</f>
        <v>645.13063954350002</v>
      </c>
      <c r="K8" s="36">
        <f>E8+F8+H8+I8+J8</f>
        <v>12409.2120350435</v>
      </c>
      <c r="L8" s="36">
        <f t="shared" ref="L8:L12" si="0">K8+G8</f>
        <v>12794.7120350435</v>
      </c>
      <c r="M8" s="28">
        <f>IF('[15]Calculo ISR '!$L$34&lt;0,0,'[15]Calculo ISR '!$L$34)</f>
        <v>2149.9588786422314</v>
      </c>
      <c r="N8" s="38">
        <f>E8*P4</f>
        <v>1188.3985465275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3338.3574251697314</v>
      </c>
      <c r="T8" s="28">
        <f>IF('[1]Calculo ISR '!$L$34&gt;0,0,'[1]Calculo ISR '!$L$34)*-1</f>
        <v>0</v>
      </c>
      <c r="U8" s="36">
        <f>K8-S8</f>
        <v>9070.8546098737679</v>
      </c>
      <c r="V8" s="36">
        <f t="shared" ref="V8:V26" si="1">G8</f>
        <v>385.5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230.34834514817072</v>
      </c>
      <c r="E9" s="36">
        <v>3455.2251772225609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E9*R4</f>
        <v>196.94783510168597</v>
      </c>
      <c r="K9" s="36">
        <f>E9+F9+H9+I9+J9</f>
        <v>3652.1730123242469</v>
      </c>
      <c r="L9" s="36">
        <f t="shared" si="0"/>
        <v>4037.6730123242469</v>
      </c>
      <c r="M9" s="28">
        <f>IF('[15]Calculo ISR '!$M$34&lt;0,0,'[15]Calculo ISR '!$M$34)</f>
        <v>293.43608197187945</v>
      </c>
      <c r="N9" s="38">
        <f>E9*P4</f>
        <v>362.79864360836888</v>
      </c>
      <c r="O9" s="38">
        <v>700</v>
      </c>
      <c r="P9" s="38">
        <f>'[1]HT-ADMINISTRATIVOS'!Q11</f>
        <v>0</v>
      </c>
      <c r="Q9" s="38">
        <f>'[1]HT-ADMINISTRATIVOS'!R11</f>
        <v>0</v>
      </c>
      <c r="R9" s="38">
        <f>E9*O4</f>
        <v>34.55225177222561</v>
      </c>
      <c r="S9" s="36">
        <f>M9+N9+O9+P9+Q9+R9</f>
        <v>1390.786977352474</v>
      </c>
      <c r="T9" s="28">
        <f>IF('[1]Calculo ISR '!$M$34&gt;0,0,'[1]Calculo ISR '!$M$34)*-1</f>
        <v>0</v>
      </c>
      <c r="U9" s="36">
        <f t="shared" ref="U9:U15" si="2">K9-S9+T9</f>
        <v>2261.3860349717729</v>
      </c>
      <c r="V9" s="36">
        <f t="shared" si="1"/>
        <v>385.5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v>242.09274535320057</v>
      </c>
      <c r="E10" s="36">
        <v>3631.3911802980087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E10*R4</f>
        <v>206.98929727698652</v>
      </c>
      <c r="K10" s="36">
        <f>E10+F10+I10+J10</f>
        <v>3838.3804775749954</v>
      </c>
      <c r="L10" s="36">
        <f t="shared" si="0"/>
        <v>4223.8804775749959</v>
      </c>
      <c r="M10" s="28">
        <f>IF('[15]Calculo ISR '!$N$34&lt;0,0,'[15]Calculo ISR '!$N$34)</f>
        <v>323.22927641199925</v>
      </c>
      <c r="N10" s="38">
        <f>E10*P4</f>
        <v>381.29607393129089</v>
      </c>
      <c r="O10" s="38">
        <v>650</v>
      </c>
      <c r="P10" s="38">
        <f>'[1]HT-ADMINISTRATIVOS'!Q12</f>
        <v>0</v>
      </c>
      <c r="Q10" s="38">
        <f>'[1]HT-ADMINISTRATIVOS'!R12</f>
        <v>0</v>
      </c>
      <c r="R10" s="38">
        <f>E10*O4</f>
        <v>36.313911802980087</v>
      </c>
      <c r="S10" s="36">
        <f t="shared" ref="S10:S30" si="3">M10+N10+O10+R10+P10+Q10</f>
        <v>1390.8392621462701</v>
      </c>
      <c r="T10" s="28">
        <f>IF('[1]Calculo ISR '!$N$34&gt;0,0,'[1]Calculo ISR '!$N$34)*-1</f>
        <v>0</v>
      </c>
      <c r="U10" s="36">
        <f t="shared" si="2"/>
        <v>2447.5412154287251</v>
      </c>
      <c r="V10" s="36">
        <f t="shared" si="1"/>
        <v>385.5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219.22891544903311</v>
      </c>
      <c r="E11" s="36">
        <v>3288.4337317354966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E11*R4</f>
        <v>187.44072270892332</v>
      </c>
      <c r="K11" s="36">
        <f t="shared" ref="K11:K32" si="4">E11+F11+H11+I11+J11</f>
        <v>3475.8744544444198</v>
      </c>
      <c r="L11" s="36">
        <f t="shared" si="0"/>
        <v>3861.3744544444198</v>
      </c>
      <c r="M11" s="28">
        <f>IF('[15]Calculo ISR '!$O$34&lt;0,0,'[15]Calculo ISR '!$O$34)</f>
        <v>148.99205264355285</v>
      </c>
      <c r="N11" s="38">
        <f>E11*P4</f>
        <v>345.28554183222712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32.884337317354969</v>
      </c>
      <c r="S11" s="36">
        <f t="shared" si="3"/>
        <v>1989.381931793135</v>
      </c>
      <c r="T11" s="28">
        <f>IF('[1]Calculo ISR '!$O$34&gt;0,0,'[1]Calculo ISR '!$O$34)*-1</f>
        <v>0</v>
      </c>
      <c r="U11" s="36">
        <f t="shared" si="2"/>
        <v>1486.4925226512848</v>
      </c>
      <c r="V11" s="36">
        <f t="shared" si="1"/>
        <v>385.5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242.09274535320057</v>
      </c>
      <c r="E12" s="36">
        <v>3631.3911802980087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E12*R4</f>
        <v>206.98929727698652</v>
      </c>
      <c r="K12" s="36">
        <f t="shared" si="4"/>
        <v>3838.3804775749954</v>
      </c>
      <c r="L12" s="36">
        <f t="shared" si="0"/>
        <v>4223.8804775749959</v>
      </c>
      <c r="M12" s="28">
        <f>IF('[15]Calculo ISR '!$P$34&lt;0,0,'[15]Calculo ISR '!$P$34)</f>
        <v>323.22927641199925</v>
      </c>
      <c r="N12" s="38">
        <f>E12*P4</f>
        <v>381.29607393129089</v>
      </c>
      <c r="O12" s="38">
        <v>1211</v>
      </c>
      <c r="P12" s="38">
        <f>'[1]HT-ADMINISTRATIVOS'!Q14</f>
        <v>0</v>
      </c>
      <c r="Q12" s="38">
        <f>'[1]HT-ADMINISTRATIVOS'!R14</f>
        <v>0</v>
      </c>
      <c r="R12" s="38">
        <f>E12*O4</f>
        <v>36.313911802980087</v>
      </c>
      <c r="S12" s="36">
        <f t="shared" si="3"/>
        <v>1951.8392621462701</v>
      </c>
      <c r="T12" s="28">
        <f>IF('[1]Calculo ISR '!$P$34&gt;0,0,'[1]Calculo ISR '!$P$34)*-1</f>
        <v>0</v>
      </c>
      <c r="U12" s="36">
        <f t="shared" si="2"/>
        <v>1886.5412154287253</v>
      </c>
      <c r="V12" s="36">
        <f t="shared" si="1"/>
        <v>385.5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171.33947607512999</v>
      </c>
      <c r="E13" s="36">
        <v>2570.0921411269501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E13*R4</f>
        <v>146.49525204423617</v>
      </c>
      <c r="K13" s="36">
        <f t="shared" si="4"/>
        <v>2716.5873931711862</v>
      </c>
      <c r="L13" s="36">
        <f>K13+G13+T13</f>
        <v>3102.0873931711862</v>
      </c>
      <c r="M13" s="28">
        <f>IF('[15]Calculo ISR '!$Q$34&lt;0,0,'[15]Calculo ISR '!$Q$34)</f>
        <v>46.13162037702503</v>
      </c>
      <c r="N13" s="38">
        <f>E13*P4</f>
        <v>269.85967481832972</v>
      </c>
      <c r="O13" s="38">
        <v>567</v>
      </c>
      <c r="P13" s="38">
        <f>'[1]HT-ADMINISTRATIVOS'!Q15</f>
        <v>0</v>
      </c>
      <c r="Q13" s="38">
        <f>'[1]HT-ADMINISTRATIVOS'!R15</f>
        <v>0</v>
      </c>
      <c r="R13" s="38">
        <f>E13*O4</f>
        <v>25.700921411269501</v>
      </c>
      <c r="S13" s="36">
        <f t="shared" si="3"/>
        <v>908.69221660662424</v>
      </c>
      <c r="T13" s="28">
        <f>IF('[1]Calculo ISR '!$Q$34&gt;0,0,'[1]Calculo ISR '!$Q$34)</f>
        <v>0</v>
      </c>
      <c r="U13" s="36">
        <f t="shared" si="2"/>
        <v>1807.895176564562</v>
      </c>
      <c r="V13" s="36">
        <f t="shared" si="1"/>
        <v>385.5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163.00161009000001</v>
      </c>
      <c r="E14" s="36">
        <v>2445.02415135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E14*R4</f>
        <v>139.36637662695</v>
      </c>
      <c r="K14" s="36">
        <f t="shared" si="4"/>
        <v>2584.3905279769501</v>
      </c>
      <c r="L14" s="36">
        <f>K14+G14+T14</f>
        <v>2969.8905279769501</v>
      </c>
      <c r="M14" s="28">
        <f>IF('[15]Calculo ISR '!$R$34&lt;0,0,'[15]Calculo ISR '!$R$34)</f>
        <v>16.74860144389217</v>
      </c>
      <c r="N14" s="38">
        <f>E14*P4</f>
        <v>256.72753589174999</v>
      </c>
      <c r="O14" s="38">
        <v>816</v>
      </c>
      <c r="P14" s="38">
        <f>'[1]HT-ADMINISTRATIVOS'!Q16</f>
        <v>0</v>
      </c>
      <c r="Q14" s="38">
        <f>'[1]HT-ADMINISTRATIVOS'!R16</f>
        <v>0</v>
      </c>
      <c r="R14" s="38">
        <f>E14*O4</f>
        <v>24.4502415135</v>
      </c>
      <c r="S14" s="36">
        <f t="shared" si="3"/>
        <v>1113.9263788491423</v>
      </c>
      <c r="T14" s="28">
        <f>IF('[1]Calculo ISR '!$R$34&gt;0,0,'[1]Calculo ISR '!$R$34)*-1</f>
        <v>0</v>
      </c>
      <c r="U14" s="36">
        <f t="shared" si="2"/>
        <v>1470.4641491278078</v>
      </c>
      <c r="V14" s="36">
        <f t="shared" si="1"/>
        <v>385.5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534.93837680832996</v>
      </c>
      <c r="E15" s="36">
        <v>8024.0756521249496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E15*Q4</f>
        <v>304.91487478074805</v>
      </c>
      <c r="K15" s="36">
        <f t="shared" si="4"/>
        <v>8328.9905269056981</v>
      </c>
      <c r="L15" s="36">
        <f>K15+G15</f>
        <v>8714.4905269056981</v>
      </c>
      <c r="M15" s="28">
        <f>IF('[15]Calculo ISR '!$S$34&lt;0,0,'[15]Calculo ISR '!$S$34)</f>
        <v>1231.8832005470572</v>
      </c>
      <c r="N15" s="38">
        <f>E15*P4</f>
        <v>842.52794347311965</v>
      </c>
      <c r="O15" s="38">
        <v>2675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3"/>
        <v>4749.4111440201768</v>
      </c>
      <c r="T15" s="28">
        <f>IF('[1]Calculo ISR '!$S$34&gt;0,0,'[1]Calculo ISR '!$S$34)*-1</f>
        <v>0</v>
      </c>
      <c r="U15" s="36">
        <f t="shared" si="2"/>
        <v>3579.5793828855212</v>
      </c>
      <c r="V15" s="36">
        <f t="shared" si="1"/>
        <v>385.5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267.35834171124986</v>
      </c>
      <c r="E16" s="36">
        <v>4010.3751256687478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E16*Q4</f>
        <v>152.39425477541241</v>
      </c>
      <c r="K16" s="36">
        <f t="shared" si="4"/>
        <v>4162.7693804441606</v>
      </c>
      <c r="L16" s="36">
        <f>K16+G16</f>
        <v>4548.2693804441606</v>
      </c>
      <c r="M16" s="28">
        <f>IF('[15]Calculo ISR '!$T$34&lt;0,0,'[15]Calculo ISR '!$T$34)</f>
        <v>375.13150087106567</v>
      </c>
      <c r="N16" s="38">
        <f>E16*P4</f>
        <v>421.08938819521853</v>
      </c>
      <c r="O16" s="38">
        <v>1337</v>
      </c>
      <c r="P16" s="38"/>
      <c r="Q16" s="38"/>
      <c r="R16" s="38">
        <f>E16*O4</f>
        <v>40.103751256687481</v>
      </c>
      <c r="S16" s="36">
        <f>M16+N16+O16+Q16+R16+P16</f>
        <v>2173.3246403229718</v>
      </c>
      <c r="T16" s="28">
        <f>IF('[1]Calculo ISR '!$T$34&gt;0,0,'[1]Calculo ISR '!$T$34)*-1</f>
        <v>0</v>
      </c>
      <c r="U16" s="36">
        <f>K16-S16</f>
        <v>1989.4447401211887</v>
      </c>
      <c r="V16" s="36">
        <f t="shared" si="1"/>
        <v>385.5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230.34834514817072</v>
      </c>
      <c r="E17" s="36">
        <v>3455.2251772225609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7">
        <f>E17*Q4</f>
        <v>131.29855673445732</v>
      </c>
      <c r="K17" s="36">
        <f t="shared" si="4"/>
        <v>4032.5237339570181</v>
      </c>
      <c r="L17" s="36">
        <f>K17+G17</f>
        <v>4418.0237339570176</v>
      </c>
      <c r="M17" s="28">
        <f>IF('[15]Calculo ISR '!$U$34&lt;0,0,'[15]Calculo ISR '!$U$34)</f>
        <v>354.29219743312285</v>
      </c>
      <c r="N17" s="38">
        <f>E17*P4</f>
        <v>362.79864360836888</v>
      </c>
      <c r="O17" s="38">
        <v>1152</v>
      </c>
      <c r="P17" s="38">
        <f>'[1]HT-ADMINISTRATIVOS'!Q19</f>
        <v>0</v>
      </c>
      <c r="Q17" s="38">
        <f>'[1]HT-ADMINISTRATIVOS'!R19</f>
        <v>0</v>
      </c>
      <c r="R17" s="38">
        <f>E17*O4</f>
        <v>34.55225177222561</v>
      </c>
      <c r="S17" s="36">
        <f t="shared" si="3"/>
        <v>1903.6430928137174</v>
      </c>
      <c r="T17" s="28">
        <f>IF('[1]Calculo ISR '!$U$34&gt;0,0,'[1]Calculo ISR '!$U$34)*-1</f>
        <v>0</v>
      </c>
      <c r="U17" s="36">
        <f t="shared" ref="U17:U31" si="5">K17-S17+T17</f>
        <v>2128.8806411433006</v>
      </c>
      <c r="V17" s="36">
        <f t="shared" si="1"/>
        <v>385.5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873.012693639492</v>
      </c>
      <c r="E18" s="36">
        <v>13095.19040459238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E18*L4</f>
        <v>248.80861768725521</v>
      </c>
      <c r="K18" s="36">
        <f t="shared" si="4"/>
        <v>13343.999022279635</v>
      </c>
      <c r="L18" s="36">
        <f>K18+G18</f>
        <v>13729.499022279635</v>
      </c>
      <c r="M18" s="28">
        <f>IF('[15]Calculo ISR '!$V$34&lt;0,0,'[15]Calculo ISR '!$V$34)</f>
        <v>2369.8207780401704</v>
      </c>
      <c r="N18" s="38">
        <f>E18*P4</f>
        <v>1374.9949924821999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3"/>
        <v>3744.8157705223703</v>
      </c>
      <c r="T18" s="28">
        <f>IF('[1]Calculo ISR '!$V$34&gt;0,0,'[1]Calculo ISR '!$V$34)*-1</f>
        <v>0</v>
      </c>
      <c r="U18" s="36">
        <f t="shared" si="5"/>
        <v>9599.1832517572657</v>
      </c>
      <c r="V18" s="36">
        <f t="shared" si="1"/>
        <v>385.5</v>
      </c>
      <c r="W18" s="46"/>
      <c r="X18" s="47"/>
    </row>
    <row r="19" spans="1:24" s="48" customFormat="1" ht="45" customHeight="1">
      <c r="A19" s="53" t="s">
        <v>51</v>
      </c>
      <c r="B19" s="53" t="s">
        <v>52</v>
      </c>
      <c r="C19" s="34">
        <v>15</v>
      </c>
      <c r="D19" s="50">
        <v>219.22891544903311</v>
      </c>
      <c r="E19" s="36">
        <v>3288.4337317354966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E19*L4</f>
        <v>62.480240902974437</v>
      </c>
      <c r="K19" s="36">
        <f t="shared" si="4"/>
        <v>3350.913972638471</v>
      </c>
      <c r="L19" s="36">
        <f>K19+G19</f>
        <v>3736.413972638471</v>
      </c>
      <c r="M19" s="28">
        <f>IF('[15]Calculo ISR '!$W$34&lt;0,0,'[15]Calculo ISR '!$W$34)</f>
        <v>135.39635222306563</v>
      </c>
      <c r="N19" s="38">
        <f>E19*P4</f>
        <v>345.28554183222712</v>
      </c>
      <c r="O19" s="38">
        <v>1097</v>
      </c>
      <c r="P19" s="38">
        <f>'[1]HT-ADMINISTRATIVOS'!Q21</f>
        <v>0</v>
      </c>
      <c r="Q19" s="38">
        <f>'[1]HT-ADMINISTRATIVOS'!R21</f>
        <v>0</v>
      </c>
      <c r="R19" s="38">
        <f>E19*O4</f>
        <v>32.884337317354969</v>
      </c>
      <c r="S19" s="36">
        <f t="shared" si="3"/>
        <v>1610.5662313726477</v>
      </c>
      <c r="T19" s="28">
        <f>IF('[1]Calculo ISR '!$W$34&gt;0,0,'[1]Calculo ISR '!$W$34)*-1</f>
        <v>0</v>
      </c>
      <c r="U19" s="36">
        <f t="shared" si="5"/>
        <v>1740.3477412658233</v>
      </c>
      <c r="V19" s="36">
        <f t="shared" si="1"/>
        <v>385.5</v>
      </c>
      <c r="W19" s="46"/>
      <c r="X19" s="47"/>
    </row>
    <row r="20" spans="1:24" s="48" customFormat="1" ht="45" customHeight="1">
      <c r="A20" s="53" t="s">
        <v>53</v>
      </c>
      <c r="B20" s="53" t="s">
        <v>54</v>
      </c>
      <c r="C20" s="34">
        <v>15</v>
      </c>
      <c r="D20" s="50">
        <v>148.1300975275</v>
      </c>
      <c r="E20" s="36">
        <v>2221.9514629125001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E20*L4</f>
        <v>42.217077795337502</v>
      </c>
      <c r="K20" s="36">
        <f t="shared" si="4"/>
        <v>2264.1685407078376</v>
      </c>
      <c r="L20" s="36">
        <f>K20+G20+T20</f>
        <v>2686.7533095429576</v>
      </c>
      <c r="M20" s="28">
        <f>IF('[15]Calculo ISR '!$X$34&lt;0,0,'[15]Calculo ISR '!$X$34)</f>
        <v>0</v>
      </c>
      <c r="N20" s="38">
        <f>E20*P4</f>
        <v>233.30490360581251</v>
      </c>
      <c r="O20" s="38">
        <v>741</v>
      </c>
      <c r="P20" s="38">
        <f>'[1]HT-ADMINISTRATIVOS'!Q22</f>
        <v>0</v>
      </c>
      <c r="Q20" s="38">
        <f>'[1]HT-ADMINISTRATIVOS'!R22</f>
        <v>0</v>
      </c>
      <c r="R20" s="38">
        <f>E20*O4</f>
        <v>22.219514629125001</v>
      </c>
      <c r="S20" s="36">
        <f t="shared" si="3"/>
        <v>996.52441823493757</v>
      </c>
      <c r="T20" s="28">
        <f>IF('[1]Calculo ISR '!$X$34&gt;0,0,('[1]Calculo ISR '!$X$34)*-1)</f>
        <v>37.084768835120002</v>
      </c>
      <c r="U20" s="36">
        <f t="shared" si="5"/>
        <v>1304.7288913080201</v>
      </c>
      <c r="V20" s="36">
        <f t="shared" si="1"/>
        <v>385.5</v>
      </c>
      <c r="W20" s="46"/>
      <c r="X20" s="47"/>
    </row>
    <row r="21" spans="1:24" s="48" customFormat="1" ht="45" customHeight="1">
      <c r="A21" s="53" t="s">
        <v>55</v>
      </c>
      <c r="B21" s="53" t="s">
        <v>56</v>
      </c>
      <c r="C21" s="34">
        <v>15</v>
      </c>
      <c r="D21" s="50">
        <v>148.19297316999999</v>
      </c>
      <c r="E21" s="36">
        <v>2222.8945975499996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E21*L4</f>
        <v>42.234997353449991</v>
      </c>
      <c r="K21" s="36">
        <f t="shared" si="4"/>
        <v>2711.1295949034497</v>
      </c>
      <c r="L21" s="36">
        <f>K21+G21+T21</f>
        <v>3096.6295949034497</v>
      </c>
      <c r="M21" s="28">
        <f>IF('[15]Calculo ISR '!$Y$34&lt;0,0,'[15]Calculo ISR '!$Y$34)</f>
        <v>45.537811925495333</v>
      </c>
      <c r="N21" s="38">
        <f>E21*P4</f>
        <v>233.40393274274996</v>
      </c>
      <c r="O21" s="38">
        <v>597</v>
      </c>
      <c r="P21" s="38">
        <f>'[1]HT-ADMINISTRATIVOS'!Q23</f>
        <v>0</v>
      </c>
      <c r="Q21" s="38">
        <f>'[1]HT-ADMINISTRATIVOS'!R23</f>
        <v>0</v>
      </c>
      <c r="R21" s="38">
        <f>E21*O4</f>
        <v>22.228945975499997</v>
      </c>
      <c r="S21" s="36">
        <f t="shared" si="3"/>
        <v>898.17069064374527</v>
      </c>
      <c r="T21" s="28">
        <f>IF('[1]Calculo ISR '!$Y$34&gt;0,0,'[1]Calculo ISR '!$Y$34)*-1</f>
        <v>0</v>
      </c>
      <c r="U21" s="36">
        <f t="shared" si="5"/>
        <v>1812.9589042597045</v>
      </c>
      <c r="V21" s="36">
        <f t="shared" si="1"/>
        <v>385.5</v>
      </c>
      <c r="W21" s="46"/>
      <c r="X21" s="47"/>
    </row>
    <row r="22" spans="1:24" s="48" customFormat="1" ht="45" customHeight="1">
      <c r="A22" s="53" t="s">
        <v>59</v>
      </c>
      <c r="B22" s="53" t="s">
        <v>60</v>
      </c>
      <c r="C22" s="34">
        <v>15</v>
      </c>
      <c r="D22" s="50">
        <v>198.84487558991</v>
      </c>
      <c r="E22" s="36">
        <v>2982.6731338486502</v>
      </c>
      <c r="F22" s="43"/>
      <c r="G22" s="36">
        <f>'[1]HT-ADMINISTRATIVOS'!G27</f>
        <v>385.5</v>
      </c>
      <c r="H22" s="36">
        <f>'[1]HT-ADMINISTRATIVOS'!H27</f>
        <v>0</v>
      </c>
      <c r="I22" s="36">
        <f>'[1]HT-ADMINISTRATIVOS'!J27</f>
        <v>0</v>
      </c>
      <c r="J22" s="37">
        <f>'[1]HT-ADMINISTRATIVOS'!I27</f>
        <v>0</v>
      </c>
      <c r="K22" s="36">
        <f t="shared" si="4"/>
        <v>2982.6731338486502</v>
      </c>
      <c r="L22" s="36">
        <f>K22+G22</f>
        <v>3368.1731338486502</v>
      </c>
      <c r="M22" s="28">
        <f>IF('[15]Calculo ISR '!$AA$34&lt;0,0,'[15]Calculo ISR '!$AA$34)</f>
        <v>75.081748962733116</v>
      </c>
      <c r="N22" s="38">
        <f>E22*P4</f>
        <v>313.18067905410828</v>
      </c>
      <c r="O22" s="38">
        <f>'[1]HT-ADMINISTRATIVOS'!P27</f>
        <v>0</v>
      </c>
      <c r="P22" s="38">
        <f>'[1]HT-ADMINISTRATIVOS'!Q27</f>
        <v>0</v>
      </c>
      <c r="Q22" s="38">
        <f>'[1]HT-ADMINISTRATIVOS'!R27</f>
        <v>0</v>
      </c>
      <c r="R22" s="38">
        <f>E22*O4</f>
        <v>29.826731338486503</v>
      </c>
      <c r="S22" s="36">
        <f t="shared" si="3"/>
        <v>418.08915935532792</v>
      </c>
      <c r="T22" s="28">
        <f>IF('[1]Calculo ISR '!$AA$34&gt;0,0,'[1]Calculo ISR '!$AA$34)*-1</f>
        <v>0</v>
      </c>
      <c r="U22" s="36">
        <f t="shared" si="5"/>
        <v>2564.5839744933223</v>
      </c>
      <c r="V22" s="36">
        <f t="shared" si="1"/>
        <v>385.5</v>
      </c>
      <c r="W22" s="46"/>
      <c r="X22" s="47"/>
    </row>
    <row r="23" spans="1:24" s="48" customFormat="1" ht="45" customHeight="1">
      <c r="A23" s="54" t="s">
        <v>61</v>
      </c>
      <c r="B23" s="55" t="s">
        <v>62</v>
      </c>
      <c r="C23" s="34">
        <v>15</v>
      </c>
      <c r="D23" s="50">
        <v>198.84487558991</v>
      </c>
      <c r="E23" s="36">
        <v>2982.6731338486502</v>
      </c>
      <c r="F23" s="43"/>
      <c r="G23" s="36">
        <f>'[1]HT-ADMINISTRATIVOS'!G28</f>
        <v>385.5</v>
      </c>
      <c r="H23" s="36">
        <f>'[1]HT-ADMINISTRATIVOS'!H28</f>
        <v>446</v>
      </c>
      <c r="I23" s="36">
        <f>'[1]HT-ADMINISTRATIVOS'!J28</f>
        <v>0</v>
      </c>
      <c r="J23" s="37">
        <f>'[1]HT-ADMINISTRATIVOS'!I28</f>
        <v>0</v>
      </c>
      <c r="K23" s="36">
        <f t="shared" si="4"/>
        <v>3428.6731338486502</v>
      </c>
      <c r="L23" s="36">
        <f>K23+G23</f>
        <v>3814.1731338486502</v>
      </c>
      <c r="M23" s="28">
        <f>IF('[15]Calculo ISR '!$AB$34&lt;0,0,'[15]Calculo ISR '!$AB$34)</f>
        <v>143.85654896273311</v>
      </c>
      <c r="N23" s="38">
        <f>E23*P4</f>
        <v>313.18067905410828</v>
      </c>
      <c r="O23" s="38">
        <v>0</v>
      </c>
      <c r="P23" s="38">
        <f>'[1]HT-ADMINISTRATIVOS'!Q28</f>
        <v>0</v>
      </c>
      <c r="Q23" s="38">
        <f>'[1]HT-ADMINISTRATIVOS'!R28</f>
        <v>0</v>
      </c>
      <c r="R23" s="38">
        <f>E23*O4</f>
        <v>29.826731338486503</v>
      </c>
      <c r="S23" s="36">
        <f t="shared" si="3"/>
        <v>486.86395935532789</v>
      </c>
      <c r="T23" s="28">
        <f>IF('[1]Calculo ISR '!$AB$34&gt;0,0,'[1]Calculo ISR '!$AB$34)*-1</f>
        <v>0</v>
      </c>
      <c r="U23" s="36">
        <f t="shared" si="5"/>
        <v>2941.8091744933222</v>
      </c>
      <c r="V23" s="36">
        <f t="shared" si="1"/>
        <v>385.5</v>
      </c>
      <c r="W23" s="46"/>
      <c r="X23" s="47"/>
    </row>
    <row r="24" spans="1:24" s="48" customFormat="1" ht="45" customHeight="1">
      <c r="A24" s="54" t="s">
        <v>63</v>
      </c>
      <c r="B24" s="55" t="s">
        <v>64</v>
      </c>
      <c r="C24" s="34">
        <v>15</v>
      </c>
      <c r="D24" s="50">
        <v>180.11154727500002</v>
      </c>
      <c r="E24" s="36">
        <v>2701.6732091250005</v>
      </c>
      <c r="F24" s="43"/>
      <c r="G24" s="36">
        <f>'[1]HT-ADMINISTRATIVOS'!G29</f>
        <v>385.5</v>
      </c>
      <c r="H24" s="36">
        <f>'[1]HT-ADMINISTRATIVOS'!H29</f>
        <v>892</v>
      </c>
      <c r="I24" s="36">
        <f>'[1]HT-ADMINISTRATIVOS'!J29</f>
        <v>0</v>
      </c>
      <c r="J24" s="37">
        <f>'[1]HT-ADMINISTRATIVOS'!I29</f>
        <v>0</v>
      </c>
      <c r="K24" s="36">
        <f t="shared" si="4"/>
        <v>3593.6732091250005</v>
      </c>
      <c r="L24" s="36">
        <f>K24+G24</f>
        <v>3979.1732091250005</v>
      </c>
      <c r="M24" s="28">
        <f>IF('[15]Calculo ISR '!$AC$34&lt;0,0,'[15]Calculo ISR '!$AC$34)</f>
        <v>143.85654896273311</v>
      </c>
      <c r="N24" s="38">
        <f>E24*P4</f>
        <v>283.67568695812503</v>
      </c>
      <c r="O24" s="38">
        <v>1081</v>
      </c>
      <c r="P24" s="38">
        <f>'[1]HT-ADMINISTRATIVOS'!Q29</f>
        <v>0</v>
      </c>
      <c r="Q24" s="38">
        <f>'[1]HT-ADMINISTRATIVOS'!R29</f>
        <v>0</v>
      </c>
      <c r="R24" s="38">
        <f>E24*O4</f>
        <v>27.016732091250006</v>
      </c>
      <c r="S24" s="36">
        <f t="shared" si="3"/>
        <v>1535.5489680121082</v>
      </c>
      <c r="T24" s="28">
        <f>IF('[1]Calculo ISR '!$AC$34&gt;0,0,'[1]Calculo ISR '!$AC$34)*-1</f>
        <v>0</v>
      </c>
      <c r="U24" s="36">
        <f t="shared" si="5"/>
        <v>2058.1242411128924</v>
      </c>
      <c r="V24" s="36">
        <f t="shared" si="1"/>
        <v>385.5</v>
      </c>
      <c r="W24" s="46"/>
      <c r="X24" s="47"/>
    </row>
    <row r="25" spans="1:24" s="48" customFormat="1" ht="45" customHeight="1">
      <c r="A25" s="56" t="s">
        <v>65</v>
      </c>
      <c r="B25" s="55" t="s">
        <v>66</v>
      </c>
      <c r="C25" s="34">
        <v>15</v>
      </c>
      <c r="D25" s="50">
        <v>141.57938707</v>
      </c>
      <c r="E25" s="36">
        <v>2123.69080605</v>
      </c>
      <c r="F25" s="43"/>
      <c r="G25" s="36">
        <f>'[1]HT-ADMINISTRATIVOS'!G31</f>
        <v>385.5</v>
      </c>
      <c r="H25" s="36">
        <f>'[1]HT-ADMINISTRATIVOS'!H31</f>
        <v>446</v>
      </c>
      <c r="I25" s="36">
        <f>'[1]HT-ADMINISTRATIVOS'!J31</f>
        <v>0</v>
      </c>
      <c r="J25" s="37">
        <f>'[1]HT-ADMINISTRATIVOS'!I31</f>
        <v>0</v>
      </c>
      <c r="K25" s="36">
        <f t="shared" si="4"/>
        <v>2569.69080605</v>
      </c>
      <c r="L25" s="36">
        <f>K25+G25+T25</f>
        <v>2955.19080605</v>
      </c>
      <c r="M25" s="28">
        <f>IF('[15]Calculo ISR '!$AD$34&lt;0,0,'[15]Calculo ISR '!$AD$34)</f>
        <v>15.149271698239971</v>
      </c>
      <c r="N25" s="38">
        <f>E25*P4</f>
        <v>222.98753463525</v>
      </c>
      <c r="O25" s="38">
        <f>'[1]HT-ADMINISTRATIVOS'!P31</f>
        <v>0</v>
      </c>
      <c r="P25" s="38">
        <f>'[1]HT-ADMINISTRATIVOS'!Q31</f>
        <v>0</v>
      </c>
      <c r="Q25" s="38">
        <f>'[1]HT-ADMINISTRATIVOS'!R31</f>
        <v>0</v>
      </c>
      <c r="R25" s="38">
        <f>E25*O4</f>
        <v>21.236908060499999</v>
      </c>
      <c r="S25" s="36">
        <f t="shared" si="3"/>
        <v>259.37371439398999</v>
      </c>
      <c r="T25" s="28">
        <f>IF('[1]Calculo ISR '!$AD$34&gt;0,0,'[1]Calculo ISR '!$AD$34)*-1</f>
        <v>0</v>
      </c>
      <c r="U25" s="36">
        <f t="shared" si="5"/>
        <v>2310.3170916560102</v>
      </c>
      <c r="V25" s="36">
        <f t="shared" si="1"/>
        <v>385.5</v>
      </c>
      <c r="W25" s="46"/>
      <c r="X25" s="47"/>
    </row>
    <row r="26" spans="1:24" s="48" customFormat="1" ht="45" customHeight="1">
      <c r="A26" s="56" t="s">
        <v>67</v>
      </c>
      <c r="B26" s="57" t="s">
        <v>68</v>
      </c>
      <c r="C26" s="34">
        <v>15</v>
      </c>
      <c r="D26" s="50">
        <v>534.93837680832996</v>
      </c>
      <c r="E26" s="36">
        <v>8024.0756521249496</v>
      </c>
      <c r="F26" s="43"/>
      <c r="G26" s="36">
        <f>'[1]HT-ADMINISTRATIVOS'!G32</f>
        <v>385.5</v>
      </c>
      <c r="H26" s="36">
        <f>'[1]HT-ADMINISTRATIVOS'!H32</f>
        <v>0</v>
      </c>
      <c r="I26" s="36">
        <f>'[1]HT-ADMINISTRATIVOS'!J32</f>
        <v>0</v>
      </c>
      <c r="J26" s="37">
        <f>E26*Q4</f>
        <v>304.91487478074805</v>
      </c>
      <c r="K26" s="36">
        <f t="shared" si="4"/>
        <v>8328.9905269056981</v>
      </c>
      <c r="L26" s="36">
        <f>K26+G26</f>
        <v>8714.4905269056981</v>
      </c>
      <c r="M26" s="28">
        <f>IF('[15]Calculo ISR '!$AE$34&lt;0,0,'[15]Calculo ISR '!$AE$34)</f>
        <v>1231.8832005470572</v>
      </c>
      <c r="N26" s="38">
        <f>E26*P4</f>
        <v>842.52794347311965</v>
      </c>
      <c r="O26" s="38">
        <v>2150.31</v>
      </c>
      <c r="P26" s="38">
        <f>'[1]HT-ADMINISTRATIVOS'!Q32</f>
        <v>0</v>
      </c>
      <c r="Q26" s="38">
        <f>'[1]HT-ADMINISTRATIVOS'!R32</f>
        <v>0</v>
      </c>
      <c r="R26" s="38">
        <f>'[1]HT-ADMINISTRATIVOS'!S32</f>
        <v>0</v>
      </c>
      <c r="S26" s="36">
        <f t="shared" si="3"/>
        <v>4224.7211440201772</v>
      </c>
      <c r="T26" s="28">
        <f>IF('[1]Calculo ISR '!$AE$34&gt;0,0,'[1]Calculo ISR '!$AE$34)*-1</f>
        <v>0</v>
      </c>
      <c r="U26" s="36">
        <f t="shared" si="5"/>
        <v>4104.2693828855208</v>
      </c>
      <c r="V26" s="36">
        <f t="shared" si="1"/>
        <v>385.5</v>
      </c>
      <c r="W26" s="46"/>
      <c r="X26" s="47"/>
    </row>
    <row r="27" spans="1:24" s="48" customFormat="1" ht="45" customHeight="1">
      <c r="A27" s="58" t="s">
        <v>69</v>
      </c>
      <c r="B27" s="59" t="s">
        <v>70</v>
      </c>
      <c r="C27" s="34">
        <v>15</v>
      </c>
      <c r="D27" s="50">
        <v>230.34834514817072</v>
      </c>
      <c r="E27" s="36">
        <v>3455.2251772225609</v>
      </c>
      <c r="F27" s="43"/>
      <c r="G27" s="36">
        <v>385.5</v>
      </c>
      <c r="H27" s="36">
        <f>'[1]HT-ADMINISTRATIVOS'!H33</f>
        <v>0</v>
      </c>
      <c r="I27" s="36">
        <f>'[1]HT-ADMINISTRATIVOS'!J33</f>
        <v>0</v>
      </c>
      <c r="J27" s="37">
        <f>'[1]HT-ADMINISTRATIVOS'!I33</f>
        <v>0</v>
      </c>
      <c r="K27" s="36">
        <f t="shared" si="4"/>
        <v>3455.2251772225609</v>
      </c>
      <c r="L27" s="36">
        <f>K27+G27</f>
        <v>3840.7251772225609</v>
      </c>
      <c r="M27" s="28">
        <f>IF('[15]Calculo ISR '!$AF$34&lt;0,0,'[15]Calculo ISR '!$AF$34)</f>
        <v>146.74541128181463</v>
      </c>
      <c r="N27" s="38">
        <f>E27*P4</f>
        <v>362.79864360836888</v>
      </c>
      <c r="O27" s="38">
        <v>689.44</v>
      </c>
      <c r="P27" s="143"/>
      <c r="Q27" s="38"/>
      <c r="R27" s="38">
        <f>E27*O4</f>
        <v>34.55225177222561</v>
      </c>
      <c r="S27" s="36">
        <f>M27+N27+O27+R27+P27+Q27</f>
        <v>1233.5363066624091</v>
      </c>
      <c r="T27" s="28">
        <f>IF('[1]Calculo ISR '!$AF$34&gt;0,0,'[1]Calculo ISR '!$AF$34)*-1</f>
        <v>0</v>
      </c>
      <c r="U27" s="36">
        <f>K27-S27+T27</f>
        <v>2221.6888705601518</v>
      </c>
      <c r="V27" s="36">
        <v>385.5</v>
      </c>
      <c r="W27" s="46"/>
      <c r="X27" s="47"/>
    </row>
    <row r="28" spans="1:24" s="48" customFormat="1" ht="45" customHeight="1">
      <c r="A28" s="60" t="s">
        <v>71</v>
      </c>
      <c r="B28" s="61" t="s">
        <v>72</v>
      </c>
      <c r="C28" s="66">
        <v>15</v>
      </c>
      <c r="D28" s="50">
        <v>141.57938707</v>
      </c>
      <c r="E28" s="36">
        <v>2123.69080605</v>
      </c>
      <c r="F28" s="43"/>
      <c r="G28" s="36">
        <f>'[1]HT-ADMINISTRATIVOS'!G35</f>
        <v>385.5</v>
      </c>
      <c r="H28" s="36">
        <f>'[1]HT-ADMINISTRATIVOS'!H35</f>
        <v>0</v>
      </c>
      <c r="I28" s="36">
        <f>'[1]HT-ADMINISTRATIVOS'!J35</f>
        <v>0</v>
      </c>
      <c r="J28" s="37">
        <f>'[1]HT-ADMINISTRATIVOS'!I35</f>
        <v>0</v>
      </c>
      <c r="K28" s="36">
        <f t="shared" si="4"/>
        <v>2123.69080605</v>
      </c>
      <c r="L28" s="36">
        <f>K28+G28+T28</f>
        <v>2570.9163343517598</v>
      </c>
      <c r="M28" s="28">
        <f>IF('[15]Calculo ISR '!$AG$34&lt;0,0,'[15]Calculo ISR '!$AG$34)</f>
        <v>0</v>
      </c>
      <c r="N28" s="38">
        <f>E28*P4</f>
        <v>222.98753463525</v>
      </c>
      <c r="O28" s="38">
        <v>300</v>
      </c>
      <c r="P28" s="38">
        <f>'[1]HT-ADMINISTRATIVOS'!Q35</f>
        <v>0</v>
      </c>
      <c r="Q28" s="38">
        <f>'[1]HT-ADMINISTRATIVOS'!R35</f>
        <v>0</v>
      </c>
      <c r="R28" s="38">
        <f>E28*O4</f>
        <v>21.236908060499999</v>
      </c>
      <c r="S28" s="36">
        <f t="shared" si="3"/>
        <v>544.22444269574999</v>
      </c>
      <c r="T28" s="28">
        <f>IF('[1]Calculo ISR '!$AG$34&gt;0,0,'[1]Calculo ISR '!$AG$34)*-1</f>
        <v>61.725528301760008</v>
      </c>
      <c r="U28" s="36">
        <f t="shared" si="5"/>
        <v>1641.1918916560101</v>
      </c>
      <c r="V28" s="36">
        <f>G28</f>
        <v>385.5</v>
      </c>
      <c r="W28" s="67"/>
      <c r="X28" s="47"/>
    </row>
    <row r="29" spans="1:24" s="48" customFormat="1" ht="45" customHeight="1">
      <c r="A29" s="53" t="s">
        <v>73</v>
      </c>
      <c r="B29" s="61" t="s">
        <v>74</v>
      </c>
      <c r="C29" s="66">
        <v>15</v>
      </c>
      <c r="D29" s="50">
        <v>534.93837680832996</v>
      </c>
      <c r="E29" s="36">
        <v>8024.0756521249496</v>
      </c>
      <c r="F29" s="43"/>
      <c r="G29" s="36">
        <f>'[1]HT-ADMINISTRATIVOS'!G36</f>
        <v>385.5</v>
      </c>
      <c r="H29" s="36">
        <f>'[1]HT-ADMINISTRATIVOS'!H36</f>
        <v>0</v>
      </c>
      <c r="I29" s="36">
        <f>'[1]HT-ADMINISTRATIVOS'!J36</f>
        <v>0</v>
      </c>
      <c r="J29" s="37">
        <f>'[1]HT-ADMINISTRATIVOS'!I36</f>
        <v>0</v>
      </c>
      <c r="K29" s="36">
        <f t="shared" si="4"/>
        <v>8024.0756521249496</v>
      </c>
      <c r="L29" s="36">
        <f>K29+G29</f>
        <v>8409.5756521249496</v>
      </c>
      <c r="M29" s="28">
        <f>IF('[15]Calculo ISR '!$AH$34&lt;0,0,'[15]Calculo ISR '!$AH$34)</f>
        <v>1166.7533832938893</v>
      </c>
      <c r="N29" s="38">
        <f>E29*P4</f>
        <v>842.52794347311965</v>
      </c>
      <c r="O29" s="38">
        <f>'[1]HT-ADMINISTRATIVOS'!P36</f>
        <v>0</v>
      </c>
      <c r="P29" s="38">
        <f>'[1]HT-ADMINISTRATIVOS'!Q36</f>
        <v>0</v>
      </c>
      <c r="Q29" s="38">
        <f>'[1]HT-ADMINISTRATIVOS'!R36</f>
        <v>0</v>
      </c>
      <c r="R29" s="38">
        <f>'[1]HT-ADMINISTRATIVOS'!S36</f>
        <v>0</v>
      </c>
      <c r="S29" s="36">
        <f t="shared" si="3"/>
        <v>2009.281326767009</v>
      </c>
      <c r="T29" s="28">
        <f>IF('[1]Calculo ISR '!$AH$34&gt;0,0,'[1]Calculo ISR '!$AH$34)*-1</f>
        <v>0</v>
      </c>
      <c r="U29" s="36">
        <f t="shared" si="5"/>
        <v>6014.7943253579406</v>
      </c>
      <c r="V29" s="36">
        <f>G29</f>
        <v>385.5</v>
      </c>
      <c r="W29" s="67"/>
      <c r="X29" s="47"/>
    </row>
    <row r="30" spans="1:24" s="48" customFormat="1" ht="45" customHeight="1">
      <c r="A30" s="68" t="s">
        <v>75</v>
      </c>
      <c r="B30" s="61" t="s">
        <v>76</v>
      </c>
      <c r="C30" s="66">
        <v>15</v>
      </c>
      <c r="D30" s="50">
        <v>141.57938707</v>
      </c>
      <c r="E30" s="36">
        <v>2123.69080605</v>
      </c>
      <c r="F30" s="43"/>
      <c r="G30" s="36">
        <f>'[1]HT-ADMINISTRATIVOS'!G37</f>
        <v>385.5</v>
      </c>
      <c r="H30" s="36">
        <f>'[1]HT-ADMINISTRATIVOS'!H37</f>
        <v>0</v>
      </c>
      <c r="I30" s="36">
        <f>'[1]HT-ADMINISTRATIVOS'!J37</f>
        <v>0</v>
      </c>
      <c r="J30" s="37">
        <f>'[1]HT-ADMINISTRATIVOS'!I37</f>
        <v>0</v>
      </c>
      <c r="K30" s="36">
        <f t="shared" si="4"/>
        <v>2123.69080605</v>
      </c>
      <c r="L30" s="36">
        <f>K30+G30+T30</f>
        <v>2570.9163343517598</v>
      </c>
      <c r="M30" s="28">
        <f>IF('[15]Calculo ISR '!$AI$34&lt;0,0,'[15]Calculo ISR '!$AI$34)</f>
        <v>0</v>
      </c>
      <c r="N30" s="38">
        <f>E30*P4</f>
        <v>222.98753463525</v>
      </c>
      <c r="O30" s="38">
        <f>'[1]HT-ADMINISTRATIVOS'!P37</f>
        <v>0</v>
      </c>
      <c r="P30" s="38">
        <f>'[1]HT-ADMINISTRATIVOS'!Q37</f>
        <v>0</v>
      </c>
      <c r="Q30" s="38">
        <f>'[1]HT-ADMINISTRATIVOS'!R37</f>
        <v>0</v>
      </c>
      <c r="R30" s="38">
        <f>E30*O4</f>
        <v>21.236908060499999</v>
      </c>
      <c r="S30" s="36">
        <f t="shared" si="3"/>
        <v>244.22444269574999</v>
      </c>
      <c r="T30" s="28">
        <f>IF('[1]Calculo ISR '!$AI$34&gt;0,0,'[1]Calculo ISR '!$AI$34)*-1</f>
        <v>61.725528301760008</v>
      </c>
      <c r="U30" s="36">
        <f t="shared" si="5"/>
        <v>1941.1918916560101</v>
      </c>
      <c r="V30" s="36">
        <f>G30</f>
        <v>385.5</v>
      </c>
      <c r="W30" s="67"/>
      <c r="X30" s="47"/>
    </row>
    <row r="31" spans="1:24" s="81" customFormat="1" ht="45" customHeight="1">
      <c r="A31" s="69" t="s">
        <v>77</v>
      </c>
      <c r="B31" s="70" t="s">
        <v>78</v>
      </c>
      <c r="C31" s="71">
        <v>15</v>
      </c>
      <c r="D31" s="72">
        <v>873.012693639492</v>
      </c>
      <c r="E31" s="73">
        <v>13095.19040459238</v>
      </c>
      <c r="F31" s="73">
        <f>'[1]HT-ADMINISTRATIVOS'!F38</f>
        <v>0</v>
      </c>
      <c r="G31" s="73">
        <v>385.5</v>
      </c>
      <c r="H31" s="73">
        <f>'[1]HT-ADMINISTRATIVOS'!H38</f>
        <v>0</v>
      </c>
      <c r="I31" s="73">
        <f>'[1]HT-ADMINISTRATIVOS'!I38</f>
        <v>0</v>
      </c>
      <c r="J31" s="73">
        <f>'[1]HT-ADMINISTRATIVOS'!J38</f>
        <v>0</v>
      </c>
      <c r="K31" s="73">
        <f t="shared" si="4"/>
        <v>13095.19040459238</v>
      </c>
      <c r="L31" s="73">
        <f>K31+G31</f>
        <v>13480.69040459238</v>
      </c>
      <c r="M31" s="28">
        <f>IF('[15]Calculo ISR '!$AJ$34&lt;0,0,'[15]Calculo ISR '!$AJ$34)</f>
        <v>2311.300991160128</v>
      </c>
      <c r="N31" s="73">
        <f>E31*P4</f>
        <v>1374.9949924821999</v>
      </c>
      <c r="O31" s="73">
        <v>1489.84</v>
      </c>
      <c r="P31" s="73">
        <f>'[1]HT-ADMINISTRATIVOS'!Q38</f>
        <v>0</v>
      </c>
      <c r="Q31" s="73">
        <f>'[1]HT-ADMINISTRATIVOS'!R38</f>
        <v>0</v>
      </c>
      <c r="R31" s="73">
        <f>'[1]HT-ADMINISTRATIVOS'!S38</f>
        <v>0</v>
      </c>
      <c r="S31" s="73">
        <f t="shared" ref="S31:S44" si="6">M31+N31+O31+P31+Q31+R31</f>
        <v>5176.135983642328</v>
      </c>
      <c r="T31" s="28">
        <f>IF('[1]Calculo ISR '!$AJ$34&gt;0,0,'[1]Calculo ISR '!$AJ$34)*-1</f>
        <v>0</v>
      </c>
      <c r="U31" s="73">
        <f t="shared" si="5"/>
        <v>7919.0544209500522</v>
      </c>
      <c r="V31" s="73">
        <v>385.5</v>
      </c>
      <c r="W31" s="74"/>
      <c r="X31" s="47"/>
    </row>
    <row r="32" spans="1:24" s="81" customFormat="1" ht="45" customHeight="1">
      <c r="A32" s="53" t="s">
        <v>79</v>
      </c>
      <c r="B32" s="61" t="s">
        <v>80</v>
      </c>
      <c r="C32" s="66">
        <v>15</v>
      </c>
      <c r="D32" s="76">
        <v>534.93837680832996</v>
      </c>
      <c r="E32" s="50">
        <v>8024.0756521249496</v>
      </c>
      <c r="F32" s="50"/>
      <c r="G32" s="77">
        <f>385.5</f>
        <v>385.5</v>
      </c>
      <c r="H32" s="50"/>
      <c r="I32" s="50"/>
      <c r="J32" s="50"/>
      <c r="K32" s="78">
        <f t="shared" si="4"/>
        <v>8024.0756521249496</v>
      </c>
      <c r="L32" s="78">
        <f>K32+G32</f>
        <v>8409.5756521249496</v>
      </c>
      <c r="M32" s="28">
        <f>IF('[1]Calculo ISR '!$AK$34&lt;0,0,'[1]Calculo ISR '!$AK$34)</f>
        <v>1166.7533832938893</v>
      </c>
      <c r="N32" s="79">
        <f>E32*P4</f>
        <v>842.52794347311965</v>
      </c>
      <c r="O32" s="78"/>
      <c r="P32" s="50"/>
      <c r="Q32" s="78"/>
      <c r="R32" s="50"/>
      <c r="S32" s="50">
        <f t="shared" si="6"/>
        <v>2009.281326767009</v>
      </c>
      <c r="T32" s="28">
        <f>IF('[1]Calculo ISR '!$AK$34&gt;0,0,'[1]Calculo ISR '!$AK$34)*-1</f>
        <v>0</v>
      </c>
      <c r="U32" s="79">
        <f>K32-S32</f>
        <v>6014.7943253579406</v>
      </c>
      <c r="V32" s="73">
        <v>385.5</v>
      </c>
      <c r="W32" s="80"/>
      <c r="X32" s="47"/>
    </row>
    <row r="33" spans="1:26" s="81" customFormat="1" ht="45" customHeight="1">
      <c r="A33" s="91" t="s">
        <v>83</v>
      </c>
      <c r="B33" s="139" t="s">
        <v>84</v>
      </c>
      <c r="C33" s="66">
        <v>15</v>
      </c>
      <c r="D33" s="76">
        <v>180.10895980000001</v>
      </c>
      <c r="E33" s="50">
        <v>2701.6343970000003</v>
      </c>
      <c r="F33" s="50"/>
      <c r="G33" s="77">
        <f>385.5</f>
        <v>385.5</v>
      </c>
      <c r="H33" s="50">
        <v>892</v>
      </c>
      <c r="I33" s="50"/>
      <c r="J33" s="50"/>
      <c r="K33" s="78">
        <f t="shared" ref="K33:K38" si="7">E33+F33+H33+I33+J33</f>
        <v>3593.6343970000003</v>
      </c>
      <c r="L33" s="78">
        <f>K33+G33</f>
        <v>3979.1343970000003</v>
      </c>
      <c r="M33" s="28">
        <f>IF('[15]Calculo ISR '!$AM$34&lt;0,0,'[15]Calculo ISR '!$AM$34)</f>
        <v>179.50433439359998</v>
      </c>
      <c r="N33" s="92">
        <f>E33*P4</f>
        <v>283.67161168500002</v>
      </c>
      <c r="O33" s="78"/>
      <c r="P33" s="50"/>
      <c r="Q33" s="78"/>
      <c r="R33" s="50">
        <f>E33*O4</f>
        <v>27.016343970000005</v>
      </c>
      <c r="S33" s="50">
        <f>M33+N33+O33+P33+Q33+R33</f>
        <v>490.19229004859994</v>
      </c>
      <c r="T33" s="28">
        <f>IF('[1]Calculo ISR '!$AM$34&gt;0,0,'[1]Calculo ISR '!$AM$34)*-1</f>
        <v>0</v>
      </c>
      <c r="U33" s="79">
        <f t="shared" ref="U33:U38" si="8">K33-S33+T33</f>
        <v>3103.4421069514001</v>
      </c>
      <c r="V33" s="73">
        <v>385.5</v>
      </c>
      <c r="W33" s="80"/>
      <c r="X33" s="47"/>
    </row>
    <row r="34" spans="1:26" s="81" customFormat="1" ht="45" customHeight="1">
      <c r="A34" s="91" t="s">
        <v>85</v>
      </c>
      <c r="B34" s="139" t="s">
        <v>86</v>
      </c>
      <c r="C34" s="66">
        <v>15</v>
      </c>
      <c r="D34" s="76">
        <v>219.23158179999999</v>
      </c>
      <c r="E34" s="50">
        <v>3288.4737269999996</v>
      </c>
      <c r="F34" s="50"/>
      <c r="G34" s="77">
        <f>385.5</f>
        <v>385.5</v>
      </c>
      <c r="H34" s="50"/>
      <c r="I34" s="50"/>
      <c r="J34" s="50"/>
      <c r="K34" s="78">
        <f t="shared" si="7"/>
        <v>3288.4737269999996</v>
      </c>
      <c r="L34" s="78">
        <f>K34+G34</f>
        <v>3673.9737269999996</v>
      </c>
      <c r="M34" s="28">
        <f>IF('[15]Calculo ISR '!$AN$34&lt;0,0,'[15]Calculo ISR '!$AN$34)</f>
        <v>128.60285349759991</v>
      </c>
      <c r="N34" s="92">
        <f>E34*P4</f>
        <v>345.28974133499992</v>
      </c>
      <c r="O34" s="78"/>
      <c r="P34" s="50"/>
      <c r="Q34" s="78"/>
      <c r="R34" s="50">
        <v>0</v>
      </c>
      <c r="S34" s="50">
        <f t="shared" si="6"/>
        <v>473.8925948325998</v>
      </c>
      <c r="T34" s="28">
        <f>IF('[1]Calculo ISR '!$AN$34&gt;0,0,'[1]Calculo ISR '!$AN$34)*-1</f>
        <v>0</v>
      </c>
      <c r="U34" s="79">
        <f t="shared" si="8"/>
        <v>2814.5811321674</v>
      </c>
      <c r="V34" s="73">
        <v>385.5</v>
      </c>
      <c r="W34" s="80"/>
      <c r="X34" s="47"/>
    </row>
    <row r="35" spans="1:26" s="81" customFormat="1" ht="45" customHeight="1">
      <c r="A35" s="91" t="s">
        <v>87</v>
      </c>
      <c r="B35" s="91" t="s">
        <v>88</v>
      </c>
      <c r="C35" s="66">
        <v>15</v>
      </c>
      <c r="D35" s="76">
        <v>534.93837680832996</v>
      </c>
      <c r="E35" s="50">
        <f>E32</f>
        <v>8024.0756521249496</v>
      </c>
      <c r="F35" s="50"/>
      <c r="G35" s="77">
        <v>385.5</v>
      </c>
      <c r="H35" s="50"/>
      <c r="I35" s="50"/>
      <c r="J35" s="50"/>
      <c r="K35" s="78">
        <f t="shared" si="7"/>
        <v>8024.0756521249496</v>
      </c>
      <c r="L35" s="78">
        <f>K35+G35+T35</f>
        <v>8409.5756521249496</v>
      </c>
      <c r="M35" s="28">
        <f>IF('[15]Calculo ISR '!$AO$34&lt;0,0,'[15]Calculo ISR '!$AO$34)</f>
        <v>1166.7533832938893</v>
      </c>
      <c r="N35" s="92">
        <f>E35*P4</f>
        <v>842.52794347311965</v>
      </c>
      <c r="O35" s="78">
        <v>1338</v>
      </c>
      <c r="P35" s="50"/>
      <c r="Q35" s="78"/>
      <c r="R35" s="50"/>
      <c r="S35" s="50">
        <f t="shared" si="6"/>
        <v>3347.281326767009</v>
      </c>
      <c r="T35" s="28">
        <f>IF('[1]Calculo ISR '!$AO$34&gt;0,0,'[1]Calculo ISR '!$AO$34)*-1</f>
        <v>0</v>
      </c>
      <c r="U35" s="79">
        <f t="shared" si="8"/>
        <v>4676.7943253579406</v>
      </c>
      <c r="V35" s="73">
        <f t="shared" ref="V35:V44" si="9">G35</f>
        <v>385.5</v>
      </c>
      <c r="W35" s="80"/>
      <c r="X35" s="47"/>
    </row>
    <row r="36" spans="1:26" s="81" customFormat="1" ht="45" customHeight="1">
      <c r="A36" s="91" t="s">
        <v>89</v>
      </c>
      <c r="B36" s="91" t="s">
        <v>90</v>
      </c>
      <c r="C36" s="66">
        <v>15</v>
      </c>
      <c r="D36" s="76">
        <v>171.34</v>
      </c>
      <c r="E36" s="50">
        <f>C36*D36</f>
        <v>2570.1</v>
      </c>
      <c r="F36" s="50"/>
      <c r="G36" s="77">
        <v>385.5</v>
      </c>
      <c r="H36" s="50"/>
      <c r="I36" s="50"/>
      <c r="J36" s="50"/>
      <c r="K36" s="78">
        <f t="shared" si="7"/>
        <v>2570.1</v>
      </c>
      <c r="L36" s="78">
        <f>K36+G36</f>
        <v>2955.6</v>
      </c>
      <c r="M36" s="28">
        <f>IF('[15]Calculo ISR '!$AP$34&lt;0,0,'[15]Calculo ISR '!$AP$34)</f>
        <v>15.193791999999974</v>
      </c>
      <c r="N36" s="92">
        <f>E36*P4</f>
        <v>269.8605</v>
      </c>
      <c r="O36" s="78"/>
      <c r="P36" s="50"/>
      <c r="Q36" s="78"/>
      <c r="R36" s="50"/>
      <c r="S36" s="50">
        <f t="shared" si="6"/>
        <v>285.05429199999998</v>
      </c>
      <c r="T36" s="28">
        <f>IF('[1]Calculo ISR '!$AP$34&gt;0,0,'[1]Calculo ISR '!$AP$34)*-1</f>
        <v>0</v>
      </c>
      <c r="U36" s="79">
        <f t="shared" si="8"/>
        <v>2285.0457080000001</v>
      </c>
      <c r="V36" s="73">
        <f t="shared" si="9"/>
        <v>385.5</v>
      </c>
      <c r="W36" s="80"/>
      <c r="X36" s="47"/>
    </row>
    <row r="37" spans="1:26" s="81" customFormat="1" ht="45" customHeight="1">
      <c r="A37" s="91" t="s">
        <v>91</v>
      </c>
      <c r="B37" s="91" t="s">
        <v>92</v>
      </c>
      <c r="C37" s="66">
        <v>15</v>
      </c>
      <c r="D37" s="76">
        <v>131.36093080000001</v>
      </c>
      <c r="E37" s="50">
        <v>1970.4139620000001</v>
      </c>
      <c r="F37" s="50"/>
      <c r="G37" s="77">
        <v>385.5</v>
      </c>
      <c r="H37" s="50"/>
      <c r="I37" s="50"/>
      <c r="J37" s="50"/>
      <c r="K37" s="78">
        <f t="shared" si="7"/>
        <v>1970.4139620000001</v>
      </c>
      <c r="L37" s="78">
        <f>K37+G37+T37</f>
        <v>2429.5253084320002</v>
      </c>
      <c r="M37" s="28">
        <f>IF('[15]Calculo ISR '!$AQ$34&lt;0,0,'[15]Calculo ISR '!$AQ$34)</f>
        <v>0</v>
      </c>
      <c r="N37" s="92">
        <f>E37*P4</f>
        <v>206.89346601</v>
      </c>
      <c r="O37" s="78">
        <v>493</v>
      </c>
      <c r="P37" s="50"/>
      <c r="Q37" s="78"/>
      <c r="R37" s="50"/>
      <c r="S37" s="50">
        <f t="shared" si="6"/>
        <v>699.89346601</v>
      </c>
      <c r="T37" s="28">
        <f>IF('[1]Calculo ISR '!$AQ$34&gt;0,0,'[1]Calculo ISR '!$AQ$34)*-1</f>
        <v>73.611346431999976</v>
      </c>
      <c r="U37" s="79">
        <f t="shared" si="8"/>
        <v>1344.1318424220001</v>
      </c>
      <c r="V37" s="73">
        <f t="shared" si="9"/>
        <v>385.5</v>
      </c>
      <c r="W37" s="80"/>
      <c r="X37" s="47"/>
    </row>
    <row r="38" spans="1:26" s="81" customFormat="1" ht="45" customHeight="1">
      <c r="A38" s="91" t="s">
        <v>93</v>
      </c>
      <c r="B38" s="91" t="s">
        <v>94</v>
      </c>
      <c r="C38" s="66">
        <v>15</v>
      </c>
      <c r="D38" s="76">
        <v>131.36093080000001</v>
      </c>
      <c r="E38" s="50">
        <v>1970.4139620000001</v>
      </c>
      <c r="F38" s="50"/>
      <c r="G38" s="77">
        <v>385.5</v>
      </c>
      <c r="H38" s="50"/>
      <c r="I38" s="50"/>
      <c r="J38" s="50"/>
      <c r="K38" s="78">
        <f t="shared" si="7"/>
        <v>1970.4139620000001</v>
      </c>
      <c r="L38" s="78">
        <f>K38+G38+T38</f>
        <v>2429.5253084320002</v>
      </c>
      <c r="M38" s="28">
        <f>IF('[15]Calculo ISR '!$AR$34&lt;0,0,'[15]Calculo ISR '!$AR$34)</f>
        <v>0</v>
      </c>
      <c r="N38" s="92">
        <f>E38*P4</f>
        <v>206.89346601</v>
      </c>
      <c r="O38" s="78"/>
      <c r="P38" s="50"/>
      <c r="Q38" s="78"/>
      <c r="R38" s="50"/>
      <c r="S38" s="50">
        <f t="shared" si="6"/>
        <v>206.89346601</v>
      </c>
      <c r="T38" s="28">
        <f>IF('[1]Calculo ISR '!$AR$34&gt;0,0,'[1]Calculo ISR '!$AR$34)*-1</f>
        <v>73.611346431999976</v>
      </c>
      <c r="U38" s="79">
        <f t="shared" si="8"/>
        <v>1837.1318424220001</v>
      </c>
      <c r="V38" s="73">
        <f t="shared" si="9"/>
        <v>385.5</v>
      </c>
      <c r="W38" s="80"/>
      <c r="X38" s="47"/>
    </row>
    <row r="39" spans="1:26" s="81" customFormat="1" ht="45" customHeight="1">
      <c r="A39" s="91" t="s">
        <v>95</v>
      </c>
      <c r="B39" s="91" t="s">
        <v>96</v>
      </c>
      <c r="C39" s="66">
        <v>15</v>
      </c>
      <c r="D39" s="76">
        <v>754.54</v>
      </c>
      <c r="E39" s="50">
        <f>C39*D39</f>
        <v>11318.099999999999</v>
      </c>
      <c r="F39" s="50"/>
      <c r="G39" s="77">
        <v>385.5</v>
      </c>
      <c r="H39" s="50"/>
      <c r="I39" s="50"/>
      <c r="J39" s="50"/>
      <c r="K39" s="78">
        <f>E39+H39+I39+J39</f>
        <v>11318.099999999999</v>
      </c>
      <c r="L39" s="78">
        <f>K39+G39</f>
        <v>11703.599999999999</v>
      </c>
      <c r="M39" s="28">
        <f>IF('[15]Calculo ISR '!$AS$34&lt;0,0,'[15]Calculo ISR '!$AS$34)</f>
        <v>1893.3293279999998</v>
      </c>
      <c r="N39" s="92">
        <f>E39*P4</f>
        <v>1188.4004999999997</v>
      </c>
      <c r="O39" s="78"/>
      <c r="P39" s="50"/>
      <c r="Q39" s="78"/>
      <c r="R39" s="50"/>
      <c r="S39" s="50">
        <f t="shared" si="6"/>
        <v>3081.7298279999995</v>
      </c>
      <c r="T39" s="28">
        <f>IF('[1]Calculo ISR '!$AS$34&gt;0,0,'[1]Calculo ISR '!$AS$34)*-1</f>
        <v>0</v>
      </c>
      <c r="U39" s="79">
        <f t="shared" ref="U39:U44" si="10">K39-S39</f>
        <v>8236.370171999999</v>
      </c>
      <c r="V39" s="73">
        <f t="shared" si="9"/>
        <v>385.5</v>
      </c>
      <c r="W39" s="80"/>
      <c r="X39" s="47"/>
    </row>
    <row r="40" spans="1:26" s="81" customFormat="1" ht="45" customHeight="1">
      <c r="A40" s="91" t="s">
        <v>97</v>
      </c>
      <c r="B40" s="91" t="s">
        <v>98</v>
      </c>
      <c r="C40" s="66">
        <v>15</v>
      </c>
      <c r="D40" s="76">
        <v>754.54</v>
      </c>
      <c r="E40" s="50">
        <f>D40*C40</f>
        <v>11318.099999999999</v>
      </c>
      <c r="F40" s="50"/>
      <c r="G40" s="77">
        <v>385.5</v>
      </c>
      <c r="H40" s="50"/>
      <c r="I40" s="50"/>
      <c r="J40" s="50"/>
      <c r="K40" s="78">
        <f>E40+H40+I40+J40</f>
        <v>11318.099999999999</v>
      </c>
      <c r="L40" s="78">
        <f>K40+G40</f>
        <v>11703.599999999999</v>
      </c>
      <c r="M40" s="28">
        <f>IF('[15]Calculo ISR '!$AT$34&lt;0,0,'[15]Calculo ISR '!$AT$34)</f>
        <v>1893.3293279999998</v>
      </c>
      <c r="N40" s="92">
        <f>E40*P4</f>
        <v>1188.4004999999997</v>
      </c>
      <c r="O40" s="78">
        <v>3773</v>
      </c>
      <c r="P40" s="50"/>
      <c r="Q40" s="78"/>
      <c r="R40" s="50"/>
      <c r="S40" s="50">
        <f t="shared" si="6"/>
        <v>6854.7298279999995</v>
      </c>
      <c r="T40" s="28">
        <f>IF('[1]Calculo ISR '!$AT$34&gt;0,0,'[1]Calculo ISR '!$AT$34)*-1</f>
        <v>0</v>
      </c>
      <c r="U40" s="79">
        <f t="shared" si="10"/>
        <v>4463.370171999999</v>
      </c>
      <c r="V40" s="73">
        <f t="shared" si="9"/>
        <v>385.5</v>
      </c>
      <c r="W40" s="80"/>
      <c r="X40" s="47"/>
    </row>
    <row r="41" spans="1:26" s="81" customFormat="1" ht="45" customHeight="1">
      <c r="A41" s="91" t="s">
        <v>99</v>
      </c>
      <c r="B41" s="91" t="s">
        <v>100</v>
      </c>
      <c r="C41" s="66">
        <v>15</v>
      </c>
      <c r="D41" s="76">
        <v>171.34</v>
      </c>
      <c r="E41" s="50">
        <f>C41*D41</f>
        <v>2570.1</v>
      </c>
      <c r="F41" s="50"/>
      <c r="G41" s="77">
        <v>385.5</v>
      </c>
      <c r="H41" s="50"/>
      <c r="I41" s="50"/>
      <c r="J41" s="50"/>
      <c r="K41" s="78">
        <f>E41+F41+H41+I41+J41</f>
        <v>2570.1</v>
      </c>
      <c r="L41" s="78">
        <f>K41+G41</f>
        <v>2955.6</v>
      </c>
      <c r="M41" s="28">
        <f>IF('[15]Calculo ISR '!$AU$34&lt;0,0,'[15]Calculo ISR '!$AU$34)</f>
        <v>15.193791999999974</v>
      </c>
      <c r="N41" s="92">
        <f>E41*P4</f>
        <v>269.8605</v>
      </c>
      <c r="O41" s="78"/>
      <c r="P41" s="50"/>
      <c r="Q41" s="78"/>
      <c r="R41" s="50"/>
      <c r="S41" s="50">
        <f t="shared" si="6"/>
        <v>285.05429199999998</v>
      </c>
      <c r="T41" s="28">
        <f>IF('[1]Calculo ISR '!$AU$34&gt;0,0,'[1]Calculo ISR '!$AU$34)*-1</f>
        <v>0</v>
      </c>
      <c r="U41" s="79">
        <f t="shared" si="10"/>
        <v>2285.0457080000001</v>
      </c>
      <c r="V41" s="73">
        <f t="shared" si="9"/>
        <v>385.5</v>
      </c>
      <c r="W41" s="80"/>
      <c r="X41" s="47"/>
    </row>
    <row r="42" spans="1:26" s="81" customFormat="1" ht="45" customHeight="1">
      <c r="A42" s="91" t="s">
        <v>101</v>
      </c>
      <c r="B42" s="91" t="s">
        <v>121</v>
      </c>
      <c r="C42" s="66">
        <v>15</v>
      </c>
      <c r="D42" s="76">
        <v>754.54</v>
      </c>
      <c r="E42" s="50">
        <f>C42*D42</f>
        <v>11318.099999999999</v>
      </c>
      <c r="F42" s="50"/>
      <c r="G42" s="77">
        <v>385.5</v>
      </c>
      <c r="H42" s="50"/>
      <c r="I42" s="50"/>
      <c r="J42" s="50"/>
      <c r="K42" s="78">
        <f>E42+F42+H42+I42+J42</f>
        <v>11318.099999999999</v>
      </c>
      <c r="L42" s="78">
        <f>K42+G42</f>
        <v>11703.599999999999</v>
      </c>
      <c r="M42" s="28">
        <f>IF('[15]Calculo ISR '!$AV$34&lt;0,0,'[15]Calculo ISR '!$AV$34)</f>
        <v>1893.3293279999998</v>
      </c>
      <c r="N42" s="92">
        <f>E42*P4</f>
        <v>1188.4004999999997</v>
      </c>
      <c r="O42" s="78">
        <v>1887</v>
      </c>
      <c r="P42" s="50"/>
      <c r="Q42" s="78"/>
      <c r="R42" s="50"/>
      <c r="S42" s="50">
        <f t="shared" si="6"/>
        <v>4968.7298279999995</v>
      </c>
      <c r="T42" s="28">
        <f>IF('[1]Calculo ISR '!$AV$34&gt;0,0,'[1]Calculo ISR '!$AV$34)*-1</f>
        <v>0</v>
      </c>
      <c r="U42" s="79">
        <f t="shared" si="10"/>
        <v>6349.370171999999</v>
      </c>
      <c r="V42" s="73">
        <f t="shared" si="9"/>
        <v>385.5</v>
      </c>
      <c r="W42" s="80"/>
      <c r="X42" s="47"/>
    </row>
    <row r="43" spans="1:26" s="81" customFormat="1" ht="45" customHeight="1">
      <c r="A43" s="91" t="s">
        <v>103</v>
      </c>
      <c r="B43" s="91" t="s">
        <v>122</v>
      </c>
      <c r="C43" s="66">
        <v>15</v>
      </c>
      <c r="D43" s="76">
        <v>171.34</v>
      </c>
      <c r="E43" s="50">
        <f>C43*D43</f>
        <v>2570.1</v>
      </c>
      <c r="F43" s="50"/>
      <c r="G43" s="77">
        <v>385.5</v>
      </c>
      <c r="H43" s="50"/>
      <c r="I43" s="50"/>
      <c r="J43" s="50"/>
      <c r="K43" s="78">
        <f>E43+F43+H43+I43+J43</f>
        <v>2570.1</v>
      </c>
      <c r="L43" s="78">
        <f>K43+G43</f>
        <v>2955.6</v>
      </c>
      <c r="M43" s="28">
        <f>IF('[15]Calculo ISR '!$AW$34&lt;0,0,'[15]Calculo ISR '!$AW$34)</f>
        <v>15.193791999999974</v>
      </c>
      <c r="N43" s="92">
        <f>E43*P4</f>
        <v>269.8605</v>
      </c>
      <c r="O43" s="78"/>
      <c r="P43" s="50"/>
      <c r="Q43" s="78"/>
      <c r="R43" s="50"/>
      <c r="S43" s="50">
        <f t="shared" si="6"/>
        <v>285.05429199999998</v>
      </c>
      <c r="T43" s="28"/>
      <c r="U43" s="79">
        <f t="shared" si="10"/>
        <v>2285.0457080000001</v>
      </c>
      <c r="V43" s="73">
        <f t="shared" si="9"/>
        <v>385.5</v>
      </c>
      <c r="W43" s="80"/>
      <c r="X43" s="47"/>
    </row>
    <row r="44" spans="1:26" s="81" customFormat="1" ht="45" customHeight="1">
      <c r="A44" s="91" t="s">
        <v>139</v>
      </c>
      <c r="B44" s="91" t="s">
        <v>140</v>
      </c>
      <c r="C44" s="66">
        <v>15</v>
      </c>
      <c r="D44" s="76">
        <v>171.4</v>
      </c>
      <c r="E44" s="50">
        <f>C44*D44</f>
        <v>2571</v>
      </c>
      <c r="F44" s="50"/>
      <c r="G44" s="77">
        <v>385.5</v>
      </c>
      <c r="H44" s="50"/>
      <c r="I44" s="50"/>
      <c r="J44" s="50"/>
      <c r="K44" s="78">
        <f>E44+F44+H44+I44+J44</f>
        <v>2571</v>
      </c>
      <c r="L44" s="78">
        <f>E44+F44+G44+H44+I44+J44</f>
        <v>2956.5</v>
      </c>
      <c r="M44" s="28">
        <f>IF('[15]Calculo ISR '!$AX$34&lt;0,0,'[15]Calculo ISR '!$AX$34)</f>
        <v>15.29171199999999</v>
      </c>
      <c r="N44" s="92">
        <f>E44*P4</f>
        <v>269.95499999999998</v>
      </c>
      <c r="O44" s="78"/>
      <c r="P44" s="50"/>
      <c r="Q44" s="78"/>
      <c r="R44" s="50"/>
      <c r="S44" s="50">
        <f t="shared" si="6"/>
        <v>285.246712</v>
      </c>
      <c r="T44" s="28"/>
      <c r="U44" s="79">
        <f t="shared" si="10"/>
        <v>2285.7532879999999</v>
      </c>
      <c r="V44" s="73">
        <f t="shared" si="9"/>
        <v>385.5</v>
      </c>
      <c r="W44" s="80"/>
      <c r="X44" s="47"/>
    </row>
    <row r="45" spans="1:26" s="99" customFormat="1" ht="21.95" customHeight="1">
      <c r="A45" s="93"/>
      <c r="B45" s="94">
        <v>38</v>
      </c>
      <c r="C45" s="95">
        <f>SUM(C8:C44)</f>
        <v>555</v>
      </c>
      <c r="D45" s="95">
        <f>SUM(D8:D44)</f>
        <v>12300.608749508314</v>
      </c>
      <c r="E45" s="95">
        <f t="shared" ref="E45:V45" si="11">SUM(E7:E44)</f>
        <v>201445.78124262471</v>
      </c>
      <c r="F45" s="95">
        <f t="shared" si="11"/>
        <v>6616.24</v>
      </c>
      <c r="G45" s="95">
        <f t="shared" si="11"/>
        <v>15223.5</v>
      </c>
      <c r="H45" s="95">
        <f t="shared" si="11"/>
        <v>4014</v>
      </c>
      <c r="I45" s="95">
        <f t="shared" si="11"/>
        <v>688</v>
      </c>
      <c r="J45" s="95">
        <f t="shared" si="11"/>
        <v>3018.6229153896511</v>
      </c>
      <c r="K45" s="95">
        <f t="shared" si="11"/>
        <v>215782.64415801436</v>
      </c>
      <c r="L45" s="95">
        <f t="shared" si="11"/>
        <v>231313.90267631703</v>
      </c>
      <c r="M45" s="96">
        <f t="shared" si="11"/>
        <v>26887.838760290855</v>
      </c>
      <c r="N45" s="95">
        <f t="shared" si="11"/>
        <v>21151.807030475593</v>
      </c>
      <c r="O45" s="95">
        <f t="shared" si="11"/>
        <v>26206.81</v>
      </c>
      <c r="P45" s="95">
        <f t="shared" si="11"/>
        <v>0</v>
      </c>
      <c r="Q45" s="95">
        <f t="shared" si="11"/>
        <v>0</v>
      </c>
      <c r="R45" s="95">
        <f t="shared" si="11"/>
        <v>554.15389126315188</v>
      </c>
      <c r="S45" s="95">
        <f t="shared" si="11"/>
        <v>74800.609682029593</v>
      </c>
      <c r="T45" s="95">
        <f t="shared" si="11"/>
        <v>307.75851830263997</v>
      </c>
      <c r="U45" s="95">
        <f t="shared" si="11"/>
        <v>141289.79299428739</v>
      </c>
      <c r="V45" s="95">
        <f t="shared" si="11"/>
        <v>15223.5</v>
      </c>
      <c r="W45" s="97"/>
      <c r="X45" s="98"/>
    </row>
    <row r="46" spans="1:26" s="6" customFormat="1" ht="3.75" customHeight="1">
      <c r="A46" s="122"/>
      <c r="B46" s="123"/>
      <c r="C46" s="124"/>
      <c r="D46" s="101"/>
      <c r="E46" s="101">
        <f>E45+'[15]HT-DOCENTE FIRMA'!I38</f>
        <v>315780.28124262474</v>
      </c>
      <c r="F46" s="101"/>
      <c r="G46" s="125">
        <f>G45+'[15]HT-DOCENTE FIRMA'!J38</f>
        <v>22337.82</v>
      </c>
      <c r="H46" s="125">
        <f>H45+'[15]HT-DOCENTE FIRMA'!L38</f>
        <v>5664.2000000000007</v>
      </c>
      <c r="I46" s="101"/>
      <c r="J46" s="101">
        <f>J45+'[15]HT-DOCENTE FIRMA'!M38</f>
        <v>3643.0829153896511</v>
      </c>
      <c r="K46" s="101"/>
      <c r="L46" s="101"/>
      <c r="N46" s="101">
        <f>N45+'[15]HT-DOCENTE FIRMA'!Q38</f>
        <v>33156.929530475594</v>
      </c>
      <c r="O46" s="101">
        <f>O45+'[15]HT-DOCENTE FIRMA'!R38</f>
        <v>35752.81</v>
      </c>
      <c r="P46" s="101"/>
      <c r="Q46" s="101"/>
      <c r="R46" s="101"/>
      <c r="S46" s="101"/>
      <c r="T46" s="101"/>
      <c r="U46" s="101"/>
      <c r="V46" s="101"/>
      <c r="W46" s="126"/>
      <c r="X46" s="5"/>
    </row>
    <row r="47" spans="1:26" s="6" customFormat="1" ht="3.75" customHeight="1">
      <c r="A47" s="122"/>
      <c r="B47" s="123"/>
      <c r="C47" s="124"/>
      <c r="D47" s="101"/>
      <c r="E47" s="101">
        <f>E45+'[15]HT-DOCENTE FIRMA'!I38</f>
        <v>315780.28124262474</v>
      </c>
      <c r="F47" s="101"/>
      <c r="G47" s="125"/>
      <c r="H47" s="125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26"/>
      <c r="X47" s="5"/>
      <c r="Z47" s="5"/>
    </row>
    <row r="48" spans="1:26" s="6" customFormat="1" ht="3.75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26"/>
      <c r="X48" s="5"/>
    </row>
    <row r="49" spans="1:24" s="6" customFormat="1" ht="3.75" customHeight="1">
      <c r="A49" s="129"/>
      <c r="B49" s="130"/>
      <c r="C49" s="131"/>
      <c r="D49" s="132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5"/>
    </row>
    <row r="50" spans="1:24" ht="15" customHeight="1">
      <c r="A50" s="110" t="s">
        <v>105</v>
      </c>
      <c r="B50" s="110"/>
      <c r="C50" s="110"/>
      <c r="D50" s="111"/>
      <c r="E50" s="109"/>
      <c r="F50" s="109"/>
      <c r="G50" s="113" t="s">
        <v>106</v>
      </c>
      <c r="H50" s="112"/>
      <c r="I50" s="112"/>
      <c r="K50" s="113"/>
      <c r="L50" s="114"/>
      <c r="O50" s="115"/>
      <c r="P50" s="115"/>
      <c r="Q50" s="115"/>
      <c r="R50" s="115"/>
      <c r="S50" s="111" t="s">
        <v>107</v>
      </c>
      <c r="T50" s="111"/>
      <c r="U50" s="111"/>
      <c r="V50" s="111"/>
      <c r="W50" s="111"/>
      <c r="X50" s="100"/>
    </row>
    <row r="51" spans="1:24" hidden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03"/>
      <c r="L51" s="103"/>
      <c r="O51" s="103"/>
      <c r="P51" s="115"/>
      <c r="Q51" s="103"/>
      <c r="R51" s="103"/>
      <c r="S51" s="111"/>
      <c r="T51" s="111"/>
      <c r="U51" s="111"/>
      <c r="V51" s="111"/>
      <c r="W51" s="111"/>
      <c r="X51" s="100"/>
    </row>
    <row r="52" spans="1:24" hidden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09"/>
      <c r="L52" s="109"/>
      <c r="O52" s="109"/>
      <c r="P52" s="109"/>
      <c r="Q52" s="109"/>
      <c r="R52" s="109"/>
      <c r="S52" s="111"/>
      <c r="T52" s="111"/>
      <c r="U52" s="111"/>
      <c r="V52" s="111"/>
      <c r="W52" s="111"/>
      <c r="X52" s="100"/>
    </row>
    <row r="53" spans="1:24" ht="21.75" customHeight="1">
      <c r="A53" s="111"/>
      <c r="B53" s="113" t="s">
        <v>108</v>
      </c>
      <c r="C53" s="111"/>
      <c r="D53" s="111"/>
      <c r="E53" s="116"/>
      <c r="F53" s="116"/>
      <c r="G53" s="118" t="s">
        <v>109</v>
      </c>
      <c r="H53" s="117"/>
      <c r="I53" s="117"/>
      <c r="K53" s="118"/>
      <c r="L53" s="118"/>
      <c r="O53" s="109"/>
      <c r="P53" s="109"/>
      <c r="R53" s="109"/>
      <c r="S53" s="145" t="s">
        <v>110</v>
      </c>
      <c r="T53" s="117"/>
      <c r="U53" s="117"/>
      <c r="V53" s="117"/>
      <c r="W53" s="111"/>
      <c r="X53" s="100"/>
    </row>
    <row r="54" spans="1:24" ht="15" customHeight="1">
      <c r="A54" s="110" t="s">
        <v>111</v>
      </c>
      <c r="B54" s="110"/>
      <c r="C54" s="110"/>
      <c r="D54" s="111"/>
      <c r="E54" s="109"/>
      <c r="F54" s="109"/>
      <c r="G54" s="118" t="s">
        <v>112</v>
      </c>
      <c r="H54" s="117"/>
      <c r="I54" s="117"/>
      <c r="K54" s="118"/>
      <c r="L54" s="118"/>
      <c r="O54" s="109"/>
      <c r="P54" s="109"/>
      <c r="Q54" s="109"/>
      <c r="R54" s="119" t="s">
        <v>113</v>
      </c>
      <c r="S54" s="119"/>
      <c r="T54" s="119"/>
      <c r="U54" s="119"/>
      <c r="V54" s="119"/>
      <c r="W54" s="111"/>
      <c r="X54" s="100"/>
    </row>
    <row r="55" spans="1:24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16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307" spans="99:99">
      <c r="CU307" s="1" t="s">
        <v>114</v>
      </c>
    </row>
  </sheetData>
  <mergeCells count="3">
    <mergeCell ref="A50:C50"/>
    <mergeCell ref="A54:C54"/>
    <mergeCell ref="R54:V54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U306"/>
  <sheetViews>
    <sheetView zoomScale="90" zoomScaleNormal="90" workbookViewId="0">
      <pane xSplit="2" ySplit="6" topLeftCell="C40" activePane="bottomRight" state="frozen"/>
      <selection activeCell="S28" sqref="S28"/>
      <selection pane="topRight" activeCell="S28" sqref="S28"/>
      <selection pane="bottomLeft" activeCell="S28" sqref="S28"/>
      <selection pane="bottomRight" activeCell="B45" sqref="B45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8" width="12.4257812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4.425781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1" spans="1:26">
      <c r="K1" s="3"/>
      <c r="L1" s="3"/>
      <c r="P1" s="3"/>
      <c r="Q1" s="3"/>
      <c r="R1" s="3"/>
    </row>
    <row r="2" spans="1:26"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</row>
    <row r="3" spans="1:26" ht="22.5">
      <c r="B3" s="2"/>
      <c r="E3" s="146"/>
      <c r="F3" s="146"/>
      <c r="G3" s="146"/>
      <c r="H3" s="146"/>
      <c r="I3" s="146"/>
      <c r="J3" s="146"/>
      <c r="K3" s="147"/>
      <c r="L3" s="147" t="s">
        <v>0</v>
      </c>
      <c r="M3" s="146"/>
      <c r="N3" s="146"/>
      <c r="O3" s="146" t="s">
        <v>137</v>
      </c>
      <c r="P3" s="148" t="s">
        <v>132</v>
      </c>
      <c r="Q3" s="146" t="s">
        <v>1</v>
      </c>
      <c r="R3" s="146" t="s">
        <v>133</v>
      </c>
      <c r="S3" s="146"/>
      <c r="T3" s="146"/>
      <c r="U3" s="146"/>
      <c r="V3" s="146"/>
      <c r="W3" s="146"/>
      <c r="X3" s="146"/>
    </row>
    <row r="4" spans="1:26">
      <c r="B4" s="2"/>
      <c r="C4" s="3"/>
      <c r="D4" s="3"/>
      <c r="E4" s="146"/>
      <c r="F4" s="146"/>
      <c r="G4" s="146"/>
      <c r="H4" s="146"/>
      <c r="I4" s="146"/>
      <c r="J4" s="146"/>
      <c r="K4" s="146"/>
      <c r="L4" s="149">
        <v>1.9E-2</v>
      </c>
      <c r="M4" s="146"/>
      <c r="N4" s="146"/>
      <c r="O4" s="150">
        <v>0.01</v>
      </c>
      <c r="P4" s="151">
        <v>0.105</v>
      </c>
      <c r="Q4" s="152">
        <v>3.7999999999999999E-2</v>
      </c>
      <c r="R4" s="151">
        <v>5.7000000000000002E-2</v>
      </c>
      <c r="S4" s="146"/>
      <c r="T4" s="146"/>
      <c r="U4" s="146"/>
      <c r="V4" s="146"/>
      <c r="W4" s="146"/>
      <c r="X4" s="146"/>
    </row>
    <row r="5" spans="1:26" ht="13.5" thickBot="1">
      <c r="B5" s="10" t="s">
        <v>2</v>
      </c>
      <c r="C5" s="3"/>
      <c r="D5" s="3"/>
      <c r="E5" s="3"/>
      <c r="F5" s="10" t="s">
        <v>141</v>
      </c>
      <c r="I5" s="3"/>
      <c r="J5" s="3"/>
      <c r="K5" s="3"/>
      <c r="Q5" s="3"/>
      <c r="R5" s="3"/>
      <c r="S5" s="3"/>
    </row>
    <row r="6" spans="1:26" s="25" customFormat="1" ht="105.7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142">
        <v>15</v>
      </c>
      <c r="D7" s="28">
        <v>1129.1099999999999</v>
      </c>
      <c r="E7" s="28">
        <f>C7*D7</f>
        <v>16936.649999999998</v>
      </c>
      <c r="F7" s="28">
        <v>6616.24</v>
      </c>
      <c r="G7" s="28">
        <v>960</v>
      </c>
      <c r="H7" s="28">
        <f>'[1]HT-ADMINISTRATIVOS'!H8</f>
        <v>0</v>
      </c>
      <c r="I7" s="28">
        <v>688</v>
      </c>
      <c r="J7" s="28"/>
      <c r="K7" s="28">
        <f>SUM(E7+F7+I7+J7)</f>
        <v>24240.89</v>
      </c>
      <c r="L7" s="28">
        <f>SUM(K7+G7)</f>
        <v>25200.89</v>
      </c>
      <c r="M7" s="28">
        <f>IF('[16]Calculo ISR '!$K$34&lt;0,0,'[16]Calculo ISR '!$K$34)</f>
        <v>5456.9489999999996</v>
      </c>
      <c r="N7" s="28">
        <f>E7*P4</f>
        <v>1778.3482499999998</v>
      </c>
      <c r="O7" s="28"/>
      <c r="P7" s="28"/>
      <c r="Q7" s="28"/>
      <c r="R7" s="28"/>
      <c r="S7" s="28">
        <f>SUM(M7+N7+O7+P7+Q7+R7)</f>
        <v>7235.2972499999996</v>
      </c>
      <c r="T7" s="28"/>
      <c r="U7" s="36">
        <f>K7-S7</f>
        <v>17005.59275</v>
      </c>
      <c r="V7" s="28">
        <f>G7</f>
        <v>960</v>
      </c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754.53875970000001</v>
      </c>
      <c r="E8" s="36">
        <v>11318.081395499999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E8*R4</f>
        <v>645.13063954350002</v>
      </c>
      <c r="K8" s="36">
        <f>E8+F8+H8+I8+J8</f>
        <v>12409.2120350435</v>
      </c>
      <c r="L8" s="36">
        <f t="shared" ref="L8:L12" si="0">K8+G8</f>
        <v>12794.7120350435</v>
      </c>
      <c r="M8" s="28">
        <f>IF('[16]Calculo ISR '!$L$34&lt;0,0,'[16]Calculo ISR '!$L$34)</f>
        <v>2149.9588786422314</v>
      </c>
      <c r="N8" s="38">
        <f>E8*P4</f>
        <v>1188.3985465275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3338.3574251697314</v>
      </c>
      <c r="T8" s="28">
        <f>IF('[1]Calculo ISR '!$L$34&gt;0,0,'[1]Calculo ISR '!$L$34)*-1</f>
        <v>0</v>
      </c>
      <c r="U8" s="36">
        <f>K8-S8</f>
        <v>9070.8546098737679</v>
      </c>
      <c r="V8" s="36">
        <f t="shared" ref="V8:V26" si="1">G8</f>
        <v>385.5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230.34834514817072</v>
      </c>
      <c r="E9" s="36">
        <v>3455.2251772225609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E9*R4</f>
        <v>196.94783510168597</v>
      </c>
      <c r="K9" s="36">
        <f>E9+F9+H9+I9+J9</f>
        <v>3652.1730123242469</v>
      </c>
      <c r="L9" s="36">
        <f t="shared" si="0"/>
        <v>4037.6730123242469</v>
      </c>
      <c r="M9" s="28">
        <f>IF('[16]Calculo ISR '!$M$34&lt;0,0,'[16]Calculo ISR '!$M$34)</f>
        <v>293.43608197187945</v>
      </c>
      <c r="N9" s="38">
        <f>E9*P4</f>
        <v>362.79864360836888</v>
      </c>
      <c r="O9" s="38">
        <v>800</v>
      </c>
      <c r="P9" s="38">
        <f>'[1]HT-ADMINISTRATIVOS'!Q11</f>
        <v>0</v>
      </c>
      <c r="Q9" s="38">
        <f>'[1]HT-ADMINISTRATIVOS'!R11</f>
        <v>0</v>
      </c>
      <c r="R9" s="38">
        <f>E9*O4</f>
        <v>34.55225177222561</v>
      </c>
      <c r="S9" s="36">
        <f>M9+N9+O9+P9+Q9+R9</f>
        <v>1490.786977352474</v>
      </c>
      <c r="T9" s="28">
        <f>IF('[1]Calculo ISR '!$M$34&gt;0,0,'[1]Calculo ISR '!$M$34)*-1</f>
        <v>0</v>
      </c>
      <c r="U9" s="36">
        <f t="shared" ref="U9:U15" si="2">K9-S9+T9</f>
        <v>2161.3860349717729</v>
      </c>
      <c r="V9" s="36">
        <f t="shared" si="1"/>
        <v>385.5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v>242.09274535320057</v>
      </c>
      <c r="E10" s="36">
        <v>3631.3911802980087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E10*R4</f>
        <v>206.98929727698652</v>
      </c>
      <c r="K10" s="36">
        <f>E10+F10+I10+J10</f>
        <v>3838.3804775749954</v>
      </c>
      <c r="L10" s="36">
        <f t="shared" si="0"/>
        <v>4223.8804775749959</v>
      </c>
      <c r="M10" s="28">
        <f>IF('[16]Calculo ISR '!$N$34&lt;0,0,'[16]Calculo ISR '!$N$34)</f>
        <v>323.22927641199925</v>
      </c>
      <c r="N10" s="38">
        <f>E10*P4</f>
        <v>381.29607393129089</v>
      </c>
      <c r="O10" s="38">
        <v>650</v>
      </c>
      <c r="P10" s="38">
        <f>'[1]HT-ADMINISTRATIVOS'!Q12</f>
        <v>0</v>
      </c>
      <c r="Q10" s="38">
        <f>'[1]HT-ADMINISTRATIVOS'!R12</f>
        <v>0</v>
      </c>
      <c r="R10" s="38">
        <f>E10*O4</f>
        <v>36.313911802980087</v>
      </c>
      <c r="S10" s="36">
        <f t="shared" ref="S10:S30" si="3">M10+N10+O10+R10+P10+Q10</f>
        <v>1390.8392621462701</v>
      </c>
      <c r="T10" s="28">
        <f>IF('[1]Calculo ISR '!$N$34&gt;0,0,'[1]Calculo ISR '!$N$34)*-1</f>
        <v>0</v>
      </c>
      <c r="U10" s="36">
        <f t="shared" si="2"/>
        <v>2447.5412154287251</v>
      </c>
      <c r="V10" s="36">
        <f t="shared" si="1"/>
        <v>385.5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219.22891544903311</v>
      </c>
      <c r="E11" s="36">
        <v>3288.4337317354966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E11*R4</f>
        <v>187.44072270892332</v>
      </c>
      <c r="K11" s="36">
        <f t="shared" ref="K11:K32" si="4">E11+F11+H11+I11+J11</f>
        <v>3475.8744544444198</v>
      </c>
      <c r="L11" s="36">
        <f t="shared" si="0"/>
        <v>3861.3744544444198</v>
      </c>
      <c r="M11" s="28">
        <f>IF('[16]Calculo ISR '!$O$34&lt;0,0,'[16]Calculo ISR '!$O$34)</f>
        <v>148.99205264355285</v>
      </c>
      <c r="N11" s="38">
        <f>E11*P4</f>
        <v>345.28554183222712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32.884337317354969</v>
      </c>
      <c r="S11" s="36">
        <f t="shared" si="3"/>
        <v>1989.381931793135</v>
      </c>
      <c r="T11" s="28">
        <f>IF('[1]Calculo ISR '!$O$34&gt;0,0,'[1]Calculo ISR '!$O$34)*-1</f>
        <v>0</v>
      </c>
      <c r="U11" s="36">
        <f t="shared" si="2"/>
        <v>1486.4925226512848</v>
      </c>
      <c r="V11" s="36">
        <f t="shared" si="1"/>
        <v>385.5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242.09274535320057</v>
      </c>
      <c r="E12" s="36">
        <v>3631.3911802980087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E12*R4</f>
        <v>206.98929727698652</v>
      </c>
      <c r="K12" s="36">
        <f t="shared" si="4"/>
        <v>3838.3804775749954</v>
      </c>
      <c r="L12" s="36">
        <f t="shared" si="0"/>
        <v>4223.8804775749959</v>
      </c>
      <c r="M12" s="28">
        <f>IF('[16]Calculo ISR '!$P$34&lt;0,0,'[16]Calculo ISR '!$P$34)</f>
        <v>323.22927641199925</v>
      </c>
      <c r="N12" s="38">
        <f>E12*P4</f>
        <v>381.29607393129089</v>
      </c>
      <c r="O12" s="38">
        <v>1211</v>
      </c>
      <c r="P12" s="38">
        <f>'[1]HT-ADMINISTRATIVOS'!Q14</f>
        <v>0</v>
      </c>
      <c r="Q12" s="38">
        <f>'[1]HT-ADMINISTRATIVOS'!R14</f>
        <v>0</v>
      </c>
      <c r="R12" s="38">
        <f>E12*O4</f>
        <v>36.313911802980087</v>
      </c>
      <c r="S12" s="36">
        <f t="shared" si="3"/>
        <v>1951.8392621462701</v>
      </c>
      <c r="T12" s="28">
        <f>IF('[1]Calculo ISR '!$P$34&gt;0,0,'[1]Calculo ISR '!$P$34)*-1</f>
        <v>0</v>
      </c>
      <c r="U12" s="36">
        <f t="shared" si="2"/>
        <v>1886.5412154287253</v>
      </c>
      <c r="V12" s="36">
        <f t="shared" si="1"/>
        <v>385.5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171.33947607512999</v>
      </c>
      <c r="E13" s="36">
        <v>2570.0921411269501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E13*R4</f>
        <v>146.49525204423617</v>
      </c>
      <c r="K13" s="36">
        <f t="shared" si="4"/>
        <v>2716.5873931711862</v>
      </c>
      <c r="L13" s="36">
        <f>K13+G13+T13</f>
        <v>3102.0873931711862</v>
      </c>
      <c r="M13" s="28">
        <f>IF('[16]Calculo ISR '!$Q$34&lt;0,0,'[16]Calculo ISR '!$Q$34)</f>
        <v>46.13162037702503</v>
      </c>
      <c r="N13" s="38">
        <f>E13*P4</f>
        <v>269.85967481832972</v>
      </c>
      <c r="O13" s="38">
        <v>567</v>
      </c>
      <c r="P13" s="38">
        <f>'[1]HT-ADMINISTRATIVOS'!Q15</f>
        <v>0</v>
      </c>
      <c r="Q13" s="38">
        <f>'[1]HT-ADMINISTRATIVOS'!R15</f>
        <v>0</v>
      </c>
      <c r="R13" s="38">
        <f>E13*O4</f>
        <v>25.700921411269501</v>
      </c>
      <c r="S13" s="36">
        <f t="shared" si="3"/>
        <v>908.69221660662424</v>
      </c>
      <c r="T13" s="28">
        <f>IF('[1]Calculo ISR '!$Q$34&gt;0,0,'[1]Calculo ISR '!$Q$34)</f>
        <v>0</v>
      </c>
      <c r="U13" s="36">
        <f t="shared" si="2"/>
        <v>1807.895176564562</v>
      </c>
      <c r="V13" s="36">
        <f t="shared" si="1"/>
        <v>385.5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163.00161009000001</v>
      </c>
      <c r="E14" s="36">
        <v>2445.02415135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E14*R4</f>
        <v>139.36637662695</v>
      </c>
      <c r="K14" s="36">
        <f t="shared" si="4"/>
        <v>2584.3905279769501</v>
      </c>
      <c r="L14" s="36">
        <f>K14+G14+T14</f>
        <v>2969.8905279769501</v>
      </c>
      <c r="M14" s="28">
        <f>IF('[16]Calculo ISR '!$R$34&lt;0,0,'[16]Calculo ISR '!$R$34)</f>
        <v>16.74860144389217</v>
      </c>
      <c r="N14" s="38">
        <f>E14*P4</f>
        <v>256.72753589174999</v>
      </c>
      <c r="O14" s="38">
        <v>816</v>
      </c>
      <c r="P14" s="38">
        <f>'[1]HT-ADMINISTRATIVOS'!Q16</f>
        <v>0</v>
      </c>
      <c r="Q14" s="38">
        <f>'[1]HT-ADMINISTRATIVOS'!R16</f>
        <v>0</v>
      </c>
      <c r="R14" s="38">
        <f>E14*O4</f>
        <v>24.4502415135</v>
      </c>
      <c r="S14" s="36">
        <f t="shared" si="3"/>
        <v>1113.9263788491423</v>
      </c>
      <c r="T14" s="28">
        <f>IF('[1]Calculo ISR '!$R$34&gt;0,0,'[1]Calculo ISR '!$R$34)*-1</f>
        <v>0</v>
      </c>
      <c r="U14" s="36">
        <f t="shared" si="2"/>
        <v>1470.4641491278078</v>
      </c>
      <c r="V14" s="36">
        <f t="shared" si="1"/>
        <v>385.5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534.93837680832996</v>
      </c>
      <c r="E15" s="36">
        <v>8024.0756521249496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E15*Q4</f>
        <v>304.91487478074805</v>
      </c>
      <c r="K15" s="36">
        <f t="shared" si="4"/>
        <v>8328.9905269056981</v>
      </c>
      <c r="L15" s="36">
        <f>K15+G15</f>
        <v>8714.4905269056981</v>
      </c>
      <c r="M15" s="28">
        <f>IF('[16]Calculo ISR '!$S$34&lt;0,0,'[16]Calculo ISR '!$S$34)</f>
        <v>1231.8832005470572</v>
      </c>
      <c r="N15" s="38">
        <f>E15*P4</f>
        <v>842.52794347311965</v>
      </c>
      <c r="O15" s="38">
        <v>2675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3"/>
        <v>4749.4111440201768</v>
      </c>
      <c r="T15" s="28">
        <f>IF('[1]Calculo ISR '!$S$34&gt;0,0,'[1]Calculo ISR '!$S$34)*-1</f>
        <v>0</v>
      </c>
      <c r="U15" s="36">
        <f t="shared" si="2"/>
        <v>3579.5793828855212</v>
      </c>
      <c r="V15" s="36">
        <f t="shared" si="1"/>
        <v>385.5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267.35834171124986</v>
      </c>
      <c r="E16" s="36">
        <v>4010.3751256687478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E16*Q4</f>
        <v>152.39425477541241</v>
      </c>
      <c r="K16" s="36">
        <f t="shared" si="4"/>
        <v>4162.7693804441606</v>
      </c>
      <c r="L16" s="36">
        <f>K16+G16</f>
        <v>4548.2693804441606</v>
      </c>
      <c r="M16" s="28">
        <f>IF('[16]Calculo ISR '!$T$34&lt;0,0,'[16]Calculo ISR '!$T$34)</f>
        <v>375.13150087106567</v>
      </c>
      <c r="N16" s="38">
        <f>E16*P4</f>
        <v>421.08938819521853</v>
      </c>
      <c r="O16" s="38">
        <v>1337</v>
      </c>
      <c r="P16" s="38"/>
      <c r="Q16" s="38"/>
      <c r="R16" s="38">
        <f>E16*O4</f>
        <v>40.103751256687481</v>
      </c>
      <c r="S16" s="36">
        <f>M16+N16+O16+Q16+R16+P16</f>
        <v>2173.3246403229718</v>
      </c>
      <c r="T16" s="28">
        <f>IF('[1]Calculo ISR '!$T$34&gt;0,0,'[1]Calculo ISR '!$T$34)*-1</f>
        <v>0</v>
      </c>
      <c r="U16" s="36">
        <f>K16-S16</f>
        <v>1989.4447401211887</v>
      </c>
      <c r="V16" s="36">
        <f t="shared" si="1"/>
        <v>385.5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230.34834514817072</v>
      </c>
      <c r="E17" s="36">
        <v>3455.2251772225609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7">
        <f>E17*Q4</f>
        <v>131.29855673445732</v>
      </c>
      <c r="K17" s="36">
        <f t="shared" si="4"/>
        <v>4032.5237339570181</v>
      </c>
      <c r="L17" s="36">
        <f>K17+G17</f>
        <v>4418.0237339570176</v>
      </c>
      <c r="M17" s="28">
        <f>IF('[16]Calculo ISR '!$U$34&lt;0,0,'[16]Calculo ISR '!$U$34)</f>
        <v>354.29219743312285</v>
      </c>
      <c r="N17" s="38">
        <f>E17*P4</f>
        <v>362.79864360836888</v>
      </c>
      <c r="O17" s="38">
        <v>1152</v>
      </c>
      <c r="P17" s="38">
        <f>'[1]HT-ADMINISTRATIVOS'!Q19</f>
        <v>0</v>
      </c>
      <c r="Q17" s="38">
        <f>'[1]HT-ADMINISTRATIVOS'!R19</f>
        <v>0</v>
      </c>
      <c r="R17" s="38">
        <f>E17*O4</f>
        <v>34.55225177222561</v>
      </c>
      <c r="S17" s="36">
        <f t="shared" si="3"/>
        <v>1903.6430928137174</v>
      </c>
      <c r="T17" s="28">
        <f>IF('[1]Calculo ISR '!$U$34&gt;0,0,'[1]Calculo ISR '!$U$34)*-1</f>
        <v>0</v>
      </c>
      <c r="U17" s="36">
        <f t="shared" ref="U17:U26" si="5">K17-S17+T17</f>
        <v>2128.8806411433006</v>
      </c>
      <c r="V17" s="36">
        <f t="shared" si="1"/>
        <v>385.5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873.012693639492</v>
      </c>
      <c r="E18" s="36">
        <v>13095.19040459238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E18*L4</f>
        <v>248.80861768725521</v>
      </c>
      <c r="K18" s="36">
        <f t="shared" si="4"/>
        <v>13343.999022279635</v>
      </c>
      <c r="L18" s="36">
        <f>K18+G18</f>
        <v>13729.499022279635</v>
      </c>
      <c r="M18" s="28">
        <f>IF('[16]Calculo ISR '!$V$34&lt;0,0,'[16]Calculo ISR '!$V$34)</f>
        <v>2369.8207780401704</v>
      </c>
      <c r="N18" s="38">
        <f>E18*P4</f>
        <v>1374.9949924821999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3"/>
        <v>3744.8157705223703</v>
      </c>
      <c r="T18" s="28">
        <f>IF('[1]Calculo ISR '!$V$34&gt;0,0,'[1]Calculo ISR '!$V$34)*-1</f>
        <v>0</v>
      </c>
      <c r="U18" s="36">
        <f t="shared" si="5"/>
        <v>9599.1832517572657</v>
      </c>
      <c r="V18" s="36">
        <f t="shared" si="1"/>
        <v>385.5</v>
      </c>
      <c r="W18" s="46"/>
      <c r="X18" s="47"/>
    </row>
    <row r="19" spans="1:24" s="48" customFormat="1" ht="45" customHeight="1">
      <c r="A19" s="53" t="s">
        <v>51</v>
      </c>
      <c r="B19" s="53" t="s">
        <v>52</v>
      </c>
      <c r="C19" s="34">
        <v>15</v>
      </c>
      <c r="D19" s="50">
        <v>219.22891544903311</v>
      </c>
      <c r="E19" s="36">
        <v>3288.4337317354966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E19*L4</f>
        <v>62.480240902974437</v>
      </c>
      <c r="K19" s="36">
        <f t="shared" si="4"/>
        <v>3350.913972638471</v>
      </c>
      <c r="L19" s="36">
        <f>K19+G19</f>
        <v>3736.413972638471</v>
      </c>
      <c r="M19" s="28">
        <f>IF('[16]Calculo ISR '!$W$34&lt;0,0,'[16]Calculo ISR '!$W$34)</f>
        <v>135.39635222306563</v>
      </c>
      <c r="N19" s="38">
        <f>E19*P4</f>
        <v>345.28554183222712</v>
      </c>
      <c r="O19" s="38">
        <v>1097</v>
      </c>
      <c r="P19" s="38">
        <f>'[1]HT-ADMINISTRATIVOS'!Q21</f>
        <v>0</v>
      </c>
      <c r="Q19" s="38">
        <f>'[1]HT-ADMINISTRATIVOS'!R21</f>
        <v>0</v>
      </c>
      <c r="R19" s="38">
        <f>E19*O4</f>
        <v>32.884337317354969</v>
      </c>
      <c r="S19" s="36">
        <f t="shared" si="3"/>
        <v>1610.5662313726477</v>
      </c>
      <c r="T19" s="28">
        <f>IF('[1]Calculo ISR '!$W$34&gt;0,0,'[1]Calculo ISR '!$W$34)*-1</f>
        <v>0</v>
      </c>
      <c r="U19" s="36">
        <f t="shared" si="5"/>
        <v>1740.3477412658233</v>
      </c>
      <c r="V19" s="36">
        <f t="shared" si="1"/>
        <v>385.5</v>
      </c>
      <c r="W19" s="46"/>
      <c r="X19" s="47"/>
    </row>
    <row r="20" spans="1:24" s="48" customFormat="1" ht="45" customHeight="1">
      <c r="A20" s="53" t="s">
        <v>53</v>
      </c>
      <c r="B20" s="53" t="s">
        <v>54</v>
      </c>
      <c r="C20" s="34">
        <v>15</v>
      </c>
      <c r="D20" s="50">
        <v>148.1300975275</v>
      </c>
      <c r="E20" s="36">
        <v>2221.9514629125001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E20*L4</f>
        <v>42.217077795337502</v>
      </c>
      <c r="K20" s="36">
        <f t="shared" si="4"/>
        <v>2264.1685407078376</v>
      </c>
      <c r="L20" s="36">
        <f>K20+G20+T20</f>
        <v>2686.7533095429576</v>
      </c>
      <c r="M20" s="28">
        <f>IF('[16]Calculo ISR '!$X$34&lt;0,0,'[16]Calculo ISR '!$X$34)</f>
        <v>0</v>
      </c>
      <c r="N20" s="38">
        <f>E20*P4</f>
        <v>233.30490360581251</v>
      </c>
      <c r="O20" s="38">
        <v>741</v>
      </c>
      <c r="P20" s="38">
        <f>'[1]HT-ADMINISTRATIVOS'!Q22</f>
        <v>0</v>
      </c>
      <c r="Q20" s="38">
        <f>'[1]HT-ADMINISTRATIVOS'!R22</f>
        <v>0</v>
      </c>
      <c r="R20" s="38">
        <f>E20*O4</f>
        <v>22.219514629125001</v>
      </c>
      <c r="S20" s="36">
        <f t="shared" si="3"/>
        <v>996.52441823493757</v>
      </c>
      <c r="T20" s="28">
        <f>IF('[1]Calculo ISR '!$X$34&gt;0,0,('[1]Calculo ISR '!$X$34)*-1)</f>
        <v>37.084768835120002</v>
      </c>
      <c r="U20" s="36">
        <f t="shared" si="5"/>
        <v>1304.7288913080201</v>
      </c>
      <c r="V20" s="36">
        <f t="shared" si="1"/>
        <v>385.5</v>
      </c>
      <c r="W20" s="46"/>
      <c r="X20" s="47"/>
    </row>
    <row r="21" spans="1:24" s="48" customFormat="1" ht="45" customHeight="1">
      <c r="A21" s="53" t="s">
        <v>55</v>
      </c>
      <c r="B21" s="53" t="s">
        <v>56</v>
      </c>
      <c r="C21" s="34">
        <v>15</v>
      </c>
      <c r="D21" s="50">
        <v>148.19297316999999</v>
      </c>
      <c r="E21" s="36">
        <v>2222.8945975499996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E21*L4</f>
        <v>42.234997353449991</v>
      </c>
      <c r="K21" s="36">
        <f t="shared" si="4"/>
        <v>2711.1295949034497</v>
      </c>
      <c r="L21" s="36">
        <f>K21+G21+T21</f>
        <v>3096.6295949034497</v>
      </c>
      <c r="M21" s="28">
        <f>IF('[16]Calculo ISR '!$Y$34&lt;0,0,'[16]Calculo ISR '!$Y$34)</f>
        <v>45.537811925495333</v>
      </c>
      <c r="N21" s="38">
        <f>E21*P4</f>
        <v>233.40393274274996</v>
      </c>
      <c r="O21" s="38">
        <v>597</v>
      </c>
      <c r="P21" s="38">
        <f>'[1]HT-ADMINISTRATIVOS'!Q23</f>
        <v>0</v>
      </c>
      <c r="Q21" s="38">
        <f>'[1]HT-ADMINISTRATIVOS'!R23</f>
        <v>0</v>
      </c>
      <c r="R21" s="38">
        <f>E21*O4</f>
        <v>22.228945975499997</v>
      </c>
      <c r="S21" s="36">
        <f t="shared" si="3"/>
        <v>898.17069064374527</v>
      </c>
      <c r="T21" s="28">
        <f>IF('[1]Calculo ISR '!$Y$34&gt;0,0,'[1]Calculo ISR '!$Y$34)*-1</f>
        <v>0</v>
      </c>
      <c r="U21" s="36">
        <f t="shared" si="5"/>
        <v>1812.9589042597045</v>
      </c>
      <c r="V21" s="36">
        <f t="shared" si="1"/>
        <v>385.5</v>
      </c>
      <c r="W21" s="46"/>
      <c r="X21" s="47"/>
    </row>
    <row r="22" spans="1:24" s="48" customFormat="1" ht="45" customHeight="1">
      <c r="A22" s="53" t="s">
        <v>59</v>
      </c>
      <c r="B22" s="53" t="s">
        <v>60</v>
      </c>
      <c r="C22" s="34">
        <v>15</v>
      </c>
      <c r="D22" s="50">
        <v>198.84487558991</v>
      </c>
      <c r="E22" s="36">
        <v>2982.6731338486502</v>
      </c>
      <c r="F22" s="43"/>
      <c r="G22" s="36">
        <f>'[1]HT-ADMINISTRATIVOS'!G27</f>
        <v>385.5</v>
      </c>
      <c r="H22" s="36">
        <f>'[1]HT-ADMINISTRATIVOS'!H27</f>
        <v>0</v>
      </c>
      <c r="I22" s="36">
        <f>'[1]HT-ADMINISTRATIVOS'!J27</f>
        <v>0</v>
      </c>
      <c r="J22" s="37">
        <f>'[1]HT-ADMINISTRATIVOS'!I27</f>
        <v>0</v>
      </c>
      <c r="K22" s="36">
        <f t="shared" si="4"/>
        <v>2982.6731338486502</v>
      </c>
      <c r="L22" s="36">
        <f>K22+G22</f>
        <v>3368.1731338486502</v>
      </c>
      <c r="M22" s="28">
        <f>IF('[16]Calculo ISR '!$AA$34&lt;0,0,'[16]Calculo ISR '!$AA$34)</f>
        <v>75.081748962733116</v>
      </c>
      <c r="N22" s="38">
        <f>E22*P4</f>
        <v>313.18067905410828</v>
      </c>
      <c r="O22" s="38">
        <f>'[1]HT-ADMINISTRATIVOS'!P27</f>
        <v>0</v>
      </c>
      <c r="P22" s="38">
        <f>'[1]HT-ADMINISTRATIVOS'!Q27</f>
        <v>0</v>
      </c>
      <c r="Q22" s="38">
        <f>'[1]HT-ADMINISTRATIVOS'!R27</f>
        <v>0</v>
      </c>
      <c r="R22" s="38">
        <f>E22*O4</f>
        <v>29.826731338486503</v>
      </c>
      <c r="S22" s="36">
        <f t="shared" si="3"/>
        <v>418.08915935532792</v>
      </c>
      <c r="T22" s="28">
        <f>IF('[1]Calculo ISR '!$AA$34&gt;0,0,'[1]Calculo ISR '!$AA$34)*-1</f>
        <v>0</v>
      </c>
      <c r="U22" s="36">
        <f t="shared" si="5"/>
        <v>2564.5839744933223</v>
      </c>
      <c r="V22" s="36">
        <f t="shared" si="1"/>
        <v>385.5</v>
      </c>
      <c r="W22" s="46"/>
      <c r="X22" s="47"/>
    </row>
    <row r="23" spans="1:24" s="48" customFormat="1" ht="45" customHeight="1">
      <c r="A23" s="54" t="s">
        <v>61</v>
      </c>
      <c r="B23" s="55" t="s">
        <v>62</v>
      </c>
      <c r="C23" s="34">
        <v>15</v>
      </c>
      <c r="D23" s="50">
        <v>198.84487558991</v>
      </c>
      <c r="E23" s="36">
        <v>2982.6731338486502</v>
      </c>
      <c r="F23" s="43"/>
      <c r="G23" s="36">
        <f>'[1]HT-ADMINISTRATIVOS'!G28</f>
        <v>385.5</v>
      </c>
      <c r="H23" s="36">
        <f>'[1]HT-ADMINISTRATIVOS'!H28</f>
        <v>446</v>
      </c>
      <c r="I23" s="36">
        <f>'[1]HT-ADMINISTRATIVOS'!J28</f>
        <v>0</v>
      </c>
      <c r="J23" s="37">
        <f>'[1]HT-ADMINISTRATIVOS'!I28</f>
        <v>0</v>
      </c>
      <c r="K23" s="36">
        <f t="shared" si="4"/>
        <v>3428.6731338486502</v>
      </c>
      <c r="L23" s="36">
        <f>K23+G23</f>
        <v>3814.1731338486502</v>
      </c>
      <c r="M23" s="28">
        <f>IF('[16]Calculo ISR '!$AB$34&lt;0,0,'[16]Calculo ISR '!$AB$34)</f>
        <v>143.85654896273311</v>
      </c>
      <c r="N23" s="38">
        <f>E23*P4</f>
        <v>313.18067905410828</v>
      </c>
      <c r="O23" s="38">
        <v>0</v>
      </c>
      <c r="P23" s="38">
        <f>'[1]HT-ADMINISTRATIVOS'!Q28</f>
        <v>0</v>
      </c>
      <c r="Q23" s="38">
        <f>'[1]HT-ADMINISTRATIVOS'!R28</f>
        <v>0</v>
      </c>
      <c r="R23" s="38">
        <f>E23*O4</f>
        <v>29.826731338486503</v>
      </c>
      <c r="S23" s="36">
        <f t="shared" si="3"/>
        <v>486.86395935532789</v>
      </c>
      <c r="T23" s="28">
        <f>IF('[1]Calculo ISR '!$AB$34&gt;0,0,'[1]Calculo ISR '!$AB$34)*-1</f>
        <v>0</v>
      </c>
      <c r="U23" s="36">
        <f t="shared" si="5"/>
        <v>2941.8091744933222</v>
      </c>
      <c r="V23" s="36">
        <f t="shared" si="1"/>
        <v>385.5</v>
      </c>
      <c r="W23" s="46"/>
      <c r="X23" s="47"/>
    </row>
    <row r="24" spans="1:24" s="48" customFormat="1" ht="45" customHeight="1">
      <c r="A24" s="54" t="s">
        <v>63</v>
      </c>
      <c r="B24" s="55" t="s">
        <v>64</v>
      </c>
      <c r="C24" s="34">
        <v>15</v>
      </c>
      <c r="D24" s="50">
        <v>180.11154727500002</v>
      </c>
      <c r="E24" s="36">
        <v>2701.6732091250005</v>
      </c>
      <c r="F24" s="43"/>
      <c r="G24" s="36">
        <f>'[1]HT-ADMINISTRATIVOS'!G29</f>
        <v>385.5</v>
      </c>
      <c r="H24" s="36">
        <f>'[1]HT-ADMINISTRATIVOS'!H29</f>
        <v>892</v>
      </c>
      <c r="I24" s="36">
        <f>'[1]HT-ADMINISTRATIVOS'!J29</f>
        <v>0</v>
      </c>
      <c r="J24" s="37">
        <f>'[1]HT-ADMINISTRATIVOS'!I29</f>
        <v>0</v>
      </c>
      <c r="K24" s="36">
        <f t="shared" si="4"/>
        <v>3593.6732091250005</v>
      </c>
      <c r="L24" s="36">
        <f>K24+G24</f>
        <v>3979.1732091250005</v>
      </c>
      <c r="M24" s="28">
        <f>IF('[16]Calculo ISR '!$AC$34&lt;0,0,'[16]Calculo ISR '!$AC$34)</f>
        <v>143.85654896273311</v>
      </c>
      <c r="N24" s="38">
        <f>E24*P4</f>
        <v>283.67568695812503</v>
      </c>
      <c r="O24" s="38">
        <v>1081</v>
      </c>
      <c r="P24" s="38">
        <f>'[1]HT-ADMINISTRATIVOS'!Q29</f>
        <v>0</v>
      </c>
      <c r="Q24" s="38">
        <f>'[1]HT-ADMINISTRATIVOS'!R29</f>
        <v>0</v>
      </c>
      <c r="R24" s="38">
        <f>E24*O4</f>
        <v>27.016732091250006</v>
      </c>
      <c r="S24" s="36">
        <f t="shared" si="3"/>
        <v>1535.5489680121082</v>
      </c>
      <c r="T24" s="28">
        <f>IF('[1]Calculo ISR '!$AC$34&gt;0,0,'[1]Calculo ISR '!$AC$34)*-1</f>
        <v>0</v>
      </c>
      <c r="U24" s="36">
        <f t="shared" si="5"/>
        <v>2058.1242411128924</v>
      </c>
      <c r="V24" s="36">
        <f t="shared" si="1"/>
        <v>385.5</v>
      </c>
      <c r="W24" s="46"/>
      <c r="X24" s="47"/>
    </row>
    <row r="25" spans="1:24" s="48" customFormat="1" ht="45" customHeight="1">
      <c r="A25" s="56" t="s">
        <v>65</v>
      </c>
      <c r="B25" s="55" t="s">
        <v>66</v>
      </c>
      <c r="C25" s="34">
        <v>15</v>
      </c>
      <c r="D25" s="50">
        <v>141.57938707</v>
      </c>
      <c r="E25" s="36">
        <v>2123.69080605</v>
      </c>
      <c r="F25" s="43"/>
      <c r="G25" s="36">
        <f>'[1]HT-ADMINISTRATIVOS'!G31</f>
        <v>385.5</v>
      </c>
      <c r="H25" s="36">
        <f>'[1]HT-ADMINISTRATIVOS'!H31</f>
        <v>446</v>
      </c>
      <c r="I25" s="36">
        <f>'[1]HT-ADMINISTRATIVOS'!J31</f>
        <v>0</v>
      </c>
      <c r="J25" s="37">
        <f>'[1]HT-ADMINISTRATIVOS'!I31</f>
        <v>0</v>
      </c>
      <c r="K25" s="36">
        <f t="shared" si="4"/>
        <v>2569.69080605</v>
      </c>
      <c r="L25" s="36">
        <f>K25+G25+T25</f>
        <v>2955.19080605</v>
      </c>
      <c r="M25" s="28">
        <f>IF('[16]Calculo ISR '!$AD$34&lt;0,0,'[16]Calculo ISR '!$AD$34)</f>
        <v>15.149271698239971</v>
      </c>
      <c r="N25" s="38">
        <f>E25*P4</f>
        <v>222.98753463525</v>
      </c>
      <c r="O25" s="38">
        <f>'[1]HT-ADMINISTRATIVOS'!P31</f>
        <v>0</v>
      </c>
      <c r="P25" s="38">
        <f>'[1]HT-ADMINISTRATIVOS'!Q31</f>
        <v>0</v>
      </c>
      <c r="Q25" s="38">
        <f>'[1]HT-ADMINISTRATIVOS'!R31</f>
        <v>0</v>
      </c>
      <c r="R25" s="38">
        <f>E25*O4</f>
        <v>21.236908060499999</v>
      </c>
      <c r="S25" s="36">
        <f t="shared" si="3"/>
        <v>259.37371439398999</v>
      </c>
      <c r="T25" s="28">
        <f>IF('[1]Calculo ISR '!$AD$34&gt;0,0,'[1]Calculo ISR '!$AD$34)*-1</f>
        <v>0</v>
      </c>
      <c r="U25" s="36">
        <f t="shared" si="5"/>
        <v>2310.3170916560102</v>
      </c>
      <c r="V25" s="36">
        <f t="shared" si="1"/>
        <v>385.5</v>
      </c>
      <c r="W25" s="46"/>
      <c r="X25" s="47"/>
    </row>
    <row r="26" spans="1:24" s="48" customFormat="1" ht="45" customHeight="1">
      <c r="A26" s="56" t="s">
        <v>67</v>
      </c>
      <c r="B26" s="57" t="s">
        <v>68</v>
      </c>
      <c r="C26" s="34">
        <v>15</v>
      </c>
      <c r="D26" s="50">
        <v>534.93837680832996</v>
      </c>
      <c r="E26" s="36">
        <v>8024.0756521249496</v>
      </c>
      <c r="F26" s="43"/>
      <c r="G26" s="36">
        <f>'[1]HT-ADMINISTRATIVOS'!G32</f>
        <v>385.5</v>
      </c>
      <c r="H26" s="36">
        <f>'[1]HT-ADMINISTRATIVOS'!H32</f>
        <v>0</v>
      </c>
      <c r="I26" s="36">
        <f>'[1]HT-ADMINISTRATIVOS'!J32</f>
        <v>0</v>
      </c>
      <c r="J26" s="37">
        <f>E26*Q4</f>
        <v>304.91487478074805</v>
      </c>
      <c r="K26" s="36">
        <f t="shared" si="4"/>
        <v>8328.9905269056981</v>
      </c>
      <c r="L26" s="36">
        <f>K26+G26</f>
        <v>8714.4905269056981</v>
      </c>
      <c r="M26" s="28">
        <f>IF('[16]Calculo ISR '!$AE$34&lt;0,0,'[16]Calculo ISR '!$AE$34)</f>
        <v>1231.8832005470572</v>
      </c>
      <c r="N26" s="38">
        <f>E26*P4</f>
        <v>842.52794347311965</v>
      </c>
      <c r="O26" s="38">
        <v>2150.31</v>
      </c>
      <c r="P26" s="38">
        <f>'[1]HT-ADMINISTRATIVOS'!Q32</f>
        <v>0</v>
      </c>
      <c r="Q26" s="38">
        <f>'[1]HT-ADMINISTRATIVOS'!R32</f>
        <v>0</v>
      </c>
      <c r="R26" s="38">
        <f>'[1]HT-ADMINISTRATIVOS'!S32</f>
        <v>0</v>
      </c>
      <c r="S26" s="36">
        <f t="shared" si="3"/>
        <v>4224.7211440201772</v>
      </c>
      <c r="T26" s="28">
        <f>IF('[1]Calculo ISR '!$AE$34&gt;0,0,'[1]Calculo ISR '!$AE$34)*-1</f>
        <v>0</v>
      </c>
      <c r="U26" s="36">
        <f t="shared" si="5"/>
        <v>4104.2693828855208</v>
      </c>
      <c r="V26" s="36">
        <f t="shared" si="1"/>
        <v>385.5</v>
      </c>
      <c r="W26" s="46"/>
      <c r="X26" s="47"/>
    </row>
    <row r="27" spans="1:24" s="48" customFormat="1" ht="45" customHeight="1">
      <c r="A27" s="58" t="s">
        <v>69</v>
      </c>
      <c r="B27" s="59" t="s">
        <v>70</v>
      </c>
      <c r="C27" s="34">
        <v>15</v>
      </c>
      <c r="D27" s="50">
        <v>230.34834514817072</v>
      </c>
      <c r="E27" s="36">
        <v>3455.2251772225609</v>
      </c>
      <c r="F27" s="43"/>
      <c r="G27" s="36">
        <v>385.5</v>
      </c>
      <c r="H27" s="36">
        <f>'[1]HT-ADMINISTRATIVOS'!H33</f>
        <v>0</v>
      </c>
      <c r="I27" s="36">
        <f>'[1]HT-ADMINISTRATIVOS'!J33</f>
        <v>0</v>
      </c>
      <c r="J27" s="37">
        <f>'[1]HT-ADMINISTRATIVOS'!I33</f>
        <v>0</v>
      </c>
      <c r="K27" s="36">
        <f t="shared" si="4"/>
        <v>3455.2251772225609</v>
      </c>
      <c r="L27" s="36">
        <f>K27+G27</f>
        <v>3840.7251772225609</v>
      </c>
      <c r="M27" s="28">
        <f>IF('[16]Calculo ISR '!$AF$34&lt;0,0,'[16]Calculo ISR '!$AF$34)</f>
        <v>146.74541128181463</v>
      </c>
      <c r="N27" s="38">
        <f>E27*P4</f>
        <v>362.79864360836888</v>
      </c>
      <c r="O27" s="38">
        <v>689.44</v>
      </c>
      <c r="P27" s="143"/>
      <c r="Q27" s="38"/>
      <c r="R27" s="38">
        <f>E27*O4</f>
        <v>34.55225177222561</v>
      </c>
      <c r="S27" s="36">
        <f>M27+N27+O27+R27+P27+Q27</f>
        <v>1233.5363066624091</v>
      </c>
      <c r="T27" s="28">
        <f>IF('[1]Calculo ISR '!$AF$34&gt;0,0,'[1]Calculo ISR '!$AF$34)*-1</f>
        <v>0</v>
      </c>
      <c r="U27" s="36">
        <f>K27-S27+T27</f>
        <v>2221.6888705601518</v>
      </c>
      <c r="V27" s="36">
        <v>385.5</v>
      </c>
      <c r="W27" s="46"/>
      <c r="X27" s="47"/>
    </row>
    <row r="28" spans="1:24" s="48" customFormat="1" ht="45" customHeight="1">
      <c r="A28" s="60" t="s">
        <v>71</v>
      </c>
      <c r="B28" s="61" t="s">
        <v>72</v>
      </c>
      <c r="C28" s="66">
        <v>15</v>
      </c>
      <c r="D28" s="50">
        <v>141.57938707</v>
      </c>
      <c r="E28" s="36">
        <v>2123.69080605</v>
      </c>
      <c r="F28" s="43"/>
      <c r="G28" s="36">
        <f>'[1]HT-ADMINISTRATIVOS'!G35</f>
        <v>385.5</v>
      </c>
      <c r="H28" s="36">
        <f>'[1]HT-ADMINISTRATIVOS'!H35</f>
        <v>0</v>
      </c>
      <c r="I28" s="36">
        <f>'[1]HT-ADMINISTRATIVOS'!J35</f>
        <v>0</v>
      </c>
      <c r="J28" s="37">
        <f>'[1]HT-ADMINISTRATIVOS'!I35</f>
        <v>0</v>
      </c>
      <c r="K28" s="36">
        <f t="shared" si="4"/>
        <v>2123.69080605</v>
      </c>
      <c r="L28" s="36">
        <f>K28+G28+T28</f>
        <v>2570.9163343517598</v>
      </c>
      <c r="M28" s="28">
        <f>IF('[16]Calculo ISR '!$AG$34&lt;0,0,'[16]Calculo ISR '!$AG$34)</f>
        <v>0</v>
      </c>
      <c r="N28" s="38">
        <f>E28*P4</f>
        <v>222.98753463525</v>
      </c>
      <c r="O28" s="38">
        <v>300</v>
      </c>
      <c r="P28" s="38">
        <f>'[1]HT-ADMINISTRATIVOS'!Q35</f>
        <v>0</v>
      </c>
      <c r="Q28" s="38">
        <f>'[1]HT-ADMINISTRATIVOS'!R35</f>
        <v>0</v>
      </c>
      <c r="R28" s="38">
        <f>E28*O4</f>
        <v>21.236908060499999</v>
      </c>
      <c r="S28" s="36">
        <f t="shared" si="3"/>
        <v>544.22444269574999</v>
      </c>
      <c r="T28" s="28">
        <f>IF('[1]Calculo ISR '!$AG$34&gt;0,0,'[1]Calculo ISR '!$AG$34)*-1</f>
        <v>61.725528301760008</v>
      </c>
      <c r="U28" s="36">
        <f>K28-S28+T28</f>
        <v>1641.1918916560101</v>
      </c>
      <c r="V28" s="36">
        <f>G28</f>
        <v>385.5</v>
      </c>
      <c r="W28" s="67"/>
      <c r="X28" s="47"/>
    </row>
    <row r="29" spans="1:24" s="48" customFormat="1" ht="45" customHeight="1">
      <c r="A29" s="53" t="s">
        <v>73</v>
      </c>
      <c r="B29" s="61" t="s">
        <v>74</v>
      </c>
      <c r="C29" s="66">
        <v>15</v>
      </c>
      <c r="D29" s="50">
        <v>534.93837680832996</v>
      </c>
      <c r="E29" s="36">
        <v>8024.0756521249496</v>
      </c>
      <c r="F29" s="43"/>
      <c r="G29" s="36">
        <f>'[1]HT-ADMINISTRATIVOS'!G36</f>
        <v>385.5</v>
      </c>
      <c r="H29" s="36">
        <f>'[1]HT-ADMINISTRATIVOS'!H36</f>
        <v>0</v>
      </c>
      <c r="I29" s="36">
        <f>'[1]HT-ADMINISTRATIVOS'!J36</f>
        <v>0</v>
      </c>
      <c r="J29" s="37">
        <f>'[1]HT-ADMINISTRATIVOS'!I36</f>
        <v>0</v>
      </c>
      <c r="K29" s="36">
        <f t="shared" si="4"/>
        <v>8024.0756521249496</v>
      </c>
      <c r="L29" s="36">
        <f>K29+G29</f>
        <v>8409.5756521249496</v>
      </c>
      <c r="M29" s="28">
        <f>IF('[16]Calculo ISR '!$AH$34&lt;0,0,'[16]Calculo ISR '!$AH$34)</f>
        <v>1166.7533832938893</v>
      </c>
      <c r="N29" s="38">
        <f>E29*P4</f>
        <v>842.52794347311965</v>
      </c>
      <c r="O29" s="38">
        <f>'[1]HT-ADMINISTRATIVOS'!P36</f>
        <v>0</v>
      </c>
      <c r="P29" s="38">
        <f>'[1]HT-ADMINISTRATIVOS'!Q36</f>
        <v>0</v>
      </c>
      <c r="Q29" s="38">
        <f>'[1]HT-ADMINISTRATIVOS'!R36</f>
        <v>0</v>
      </c>
      <c r="R29" s="38">
        <f>'[1]HT-ADMINISTRATIVOS'!S36</f>
        <v>0</v>
      </c>
      <c r="S29" s="36">
        <f t="shared" si="3"/>
        <v>2009.281326767009</v>
      </c>
      <c r="T29" s="28">
        <f>IF('[1]Calculo ISR '!$AH$34&gt;0,0,'[1]Calculo ISR '!$AH$34)*-1</f>
        <v>0</v>
      </c>
      <c r="U29" s="36">
        <f>K29-S29+T29</f>
        <v>6014.7943253579406</v>
      </c>
      <c r="V29" s="36">
        <f>G29</f>
        <v>385.5</v>
      </c>
      <c r="W29" s="67"/>
      <c r="X29" s="47"/>
    </row>
    <row r="30" spans="1:24" s="48" customFormat="1" ht="45" customHeight="1">
      <c r="A30" s="68" t="s">
        <v>75</v>
      </c>
      <c r="B30" s="61" t="s">
        <v>76</v>
      </c>
      <c r="C30" s="66">
        <v>15</v>
      </c>
      <c r="D30" s="50">
        <v>141.57938707</v>
      </c>
      <c r="E30" s="36">
        <v>2123.69080605</v>
      </c>
      <c r="F30" s="43"/>
      <c r="G30" s="36">
        <f>'[1]HT-ADMINISTRATIVOS'!G37</f>
        <v>385.5</v>
      </c>
      <c r="H30" s="36">
        <f>'[1]HT-ADMINISTRATIVOS'!H37</f>
        <v>0</v>
      </c>
      <c r="I30" s="36">
        <f>'[1]HT-ADMINISTRATIVOS'!J37</f>
        <v>0</v>
      </c>
      <c r="J30" s="37">
        <f>'[1]HT-ADMINISTRATIVOS'!I37</f>
        <v>0</v>
      </c>
      <c r="K30" s="36">
        <f t="shared" si="4"/>
        <v>2123.69080605</v>
      </c>
      <c r="L30" s="36">
        <f>K30+G30+T30</f>
        <v>2570.9163343517598</v>
      </c>
      <c r="M30" s="28">
        <f>IF('[16]Calculo ISR '!$AI$34&lt;0,0,'[16]Calculo ISR '!$AI$34)</f>
        <v>0</v>
      </c>
      <c r="N30" s="38">
        <f>E30*P4</f>
        <v>222.98753463525</v>
      </c>
      <c r="O30" s="38">
        <f>'[1]HT-ADMINISTRATIVOS'!P37</f>
        <v>0</v>
      </c>
      <c r="P30" s="38">
        <f>'[1]HT-ADMINISTRATIVOS'!Q37</f>
        <v>0</v>
      </c>
      <c r="Q30" s="38">
        <f>'[1]HT-ADMINISTRATIVOS'!R37</f>
        <v>0</v>
      </c>
      <c r="R30" s="38">
        <f>E30*O4</f>
        <v>21.236908060499999</v>
      </c>
      <c r="S30" s="36">
        <f t="shared" si="3"/>
        <v>244.22444269574999</v>
      </c>
      <c r="T30" s="28">
        <f>IF('[1]Calculo ISR '!$AI$34&gt;0,0,'[1]Calculo ISR '!$AI$34)*-1</f>
        <v>61.725528301760008</v>
      </c>
      <c r="U30" s="36">
        <f>K30-S30+T30</f>
        <v>1941.1918916560101</v>
      </c>
      <c r="V30" s="36">
        <f>G30</f>
        <v>385.5</v>
      </c>
      <c r="W30" s="67"/>
      <c r="X30" s="47"/>
    </row>
    <row r="31" spans="1:24" s="81" customFormat="1" ht="45" customHeight="1">
      <c r="A31" s="69" t="s">
        <v>77</v>
      </c>
      <c r="B31" s="70" t="s">
        <v>78</v>
      </c>
      <c r="C31" s="71">
        <v>15</v>
      </c>
      <c r="D31" s="72">
        <v>873.012693639492</v>
      </c>
      <c r="E31" s="73">
        <v>13095.19040459238</v>
      </c>
      <c r="F31" s="73">
        <f>'[1]HT-ADMINISTRATIVOS'!F38</f>
        <v>0</v>
      </c>
      <c r="G31" s="73">
        <v>385.5</v>
      </c>
      <c r="H31" s="73">
        <f>'[1]HT-ADMINISTRATIVOS'!H38</f>
        <v>0</v>
      </c>
      <c r="I31" s="73">
        <f>'[1]HT-ADMINISTRATIVOS'!I38</f>
        <v>0</v>
      </c>
      <c r="J31" s="73">
        <f>'[1]HT-ADMINISTRATIVOS'!J38</f>
        <v>0</v>
      </c>
      <c r="K31" s="73">
        <f t="shared" si="4"/>
        <v>13095.19040459238</v>
      </c>
      <c r="L31" s="73">
        <f>K31+G31</f>
        <v>13480.69040459238</v>
      </c>
      <c r="M31" s="28">
        <f>IF('[16]Calculo ISR '!$AJ$34&lt;0,0,'[16]Calculo ISR '!$AJ$34)</f>
        <v>2311.300991160128</v>
      </c>
      <c r="N31" s="73">
        <f>E31*P4</f>
        <v>1374.9949924821999</v>
      </c>
      <c r="O31" s="73">
        <v>1489.84</v>
      </c>
      <c r="P31" s="73">
        <f>'[1]HT-ADMINISTRATIVOS'!Q38</f>
        <v>0</v>
      </c>
      <c r="Q31" s="73">
        <f>'[1]HT-ADMINISTRATIVOS'!R38</f>
        <v>0</v>
      </c>
      <c r="R31" s="73">
        <f>'[1]HT-ADMINISTRATIVOS'!S38</f>
        <v>0</v>
      </c>
      <c r="S31" s="73">
        <f t="shared" ref="S31:S43" si="6">M31+N31+O31+P31+Q31+R31</f>
        <v>5176.135983642328</v>
      </c>
      <c r="T31" s="28">
        <f>IF('[1]Calculo ISR '!$AJ$34&gt;0,0,'[1]Calculo ISR '!$AJ$34)*-1</f>
        <v>0</v>
      </c>
      <c r="U31" s="73">
        <f>K31-S31+T31</f>
        <v>7919.0544209500522</v>
      </c>
      <c r="V31" s="73">
        <v>385.5</v>
      </c>
      <c r="W31" s="74"/>
      <c r="X31" s="47"/>
    </row>
    <row r="32" spans="1:24" s="81" customFormat="1" ht="45" customHeight="1">
      <c r="A32" s="53" t="s">
        <v>79</v>
      </c>
      <c r="B32" s="61" t="s">
        <v>80</v>
      </c>
      <c r="C32" s="66">
        <v>15</v>
      </c>
      <c r="D32" s="76">
        <v>534.93837680832996</v>
      </c>
      <c r="E32" s="50">
        <v>8024.0756521249496</v>
      </c>
      <c r="F32" s="50"/>
      <c r="G32" s="77">
        <f>385.5</f>
        <v>385.5</v>
      </c>
      <c r="H32" s="50"/>
      <c r="I32" s="50"/>
      <c r="J32" s="50"/>
      <c r="K32" s="78">
        <f t="shared" si="4"/>
        <v>8024.0756521249496</v>
      </c>
      <c r="L32" s="78">
        <f>K32+G32</f>
        <v>8409.5756521249496</v>
      </c>
      <c r="M32" s="28">
        <f>IF('[1]Calculo ISR '!$AK$34&lt;0,0,'[1]Calculo ISR '!$AK$34)</f>
        <v>1166.7533832938893</v>
      </c>
      <c r="N32" s="79">
        <f>E32*P4</f>
        <v>842.52794347311965</v>
      </c>
      <c r="O32" s="78"/>
      <c r="P32" s="50"/>
      <c r="Q32" s="78"/>
      <c r="R32" s="50"/>
      <c r="S32" s="50">
        <f t="shared" si="6"/>
        <v>2009.281326767009</v>
      </c>
      <c r="T32" s="28">
        <f>IF('[1]Calculo ISR '!$AK$34&gt;0,0,'[1]Calculo ISR '!$AK$34)*-1</f>
        <v>0</v>
      </c>
      <c r="U32" s="79">
        <f>K32-S32</f>
        <v>6014.7943253579406</v>
      </c>
      <c r="V32" s="73">
        <v>385.5</v>
      </c>
      <c r="W32" s="80"/>
      <c r="X32" s="47"/>
    </row>
    <row r="33" spans="1:26" s="81" customFormat="1" ht="45" customHeight="1">
      <c r="A33" s="91" t="s">
        <v>83</v>
      </c>
      <c r="B33" s="139" t="s">
        <v>84</v>
      </c>
      <c r="C33" s="66">
        <v>15</v>
      </c>
      <c r="D33" s="76">
        <v>180.10895980000001</v>
      </c>
      <c r="E33" s="50">
        <v>2701.6343970000003</v>
      </c>
      <c r="F33" s="50"/>
      <c r="G33" s="77">
        <f>385.5</f>
        <v>385.5</v>
      </c>
      <c r="H33" s="50">
        <v>892</v>
      </c>
      <c r="I33" s="50"/>
      <c r="J33" s="50"/>
      <c r="K33" s="78">
        <f t="shared" ref="K33:K38" si="7">E33+F33+H33+I33+J33</f>
        <v>3593.6343970000003</v>
      </c>
      <c r="L33" s="78">
        <f>K33+G33</f>
        <v>3979.1343970000003</v>
      </c>
      <c r="M33" s="28">
        <f>IF('[16]Calculo ISR '!$AM$34&lt;0,0,'[16]Calculo ISR '!$AM$34)</f>
        <v>179.50433439359998</v>
      </c>
      <c r="N33" s="92">
        <f>E33*P4</f>
        <v>283.67161168500002</v>
      </c>
      <c r="O33" s="78"/>
      <c r="P33" s="50"/>
      <c r="Q33" s="78"/>
      <c r="R33" s="50">
        <f>E33*O4</f>
        <v>27.016343970000005</v>
      </c>
      <c r="S33" s="50">
        <f>M33+N33+O33+P33+Q33+R33</f>
        <v>490.19229004859994</v>
      </c>
      <c r="T33" s="28">
        <f>IF('[1]Calculo ISR '!$AM$34&gt;0,0,'[1]Calculo ISR '!$AM$34)*-1</f>
        <v>0</v>
      </c>
      <c r="U33" s="79">
        <f t="shared" ref="U33:U38" si="8">K33-S33+T33</f>
        <v>3103.4421069514001</v>
      </c>
      <c r="V33" s="73">
        <v>385.5</v>
      </c>
      <c r="W33" s="80"/>
      <c r="X33" s="47"/>
    </row>
    <row r="34" spans="1:26" s="81" customFormat="1" ht="45" customHeight="1">
      <c r="A34" s="91" t="s">
        <v>85</v>
      </c>
      <c r="B34" s="139" t="s">
        <v>86</v>
      </c>
      <c r="C34" s="66">
        <v>15</v>
      </c>
      <c r="D34" s="76">
        <v>219.23158179999999</v>
      </c>
      <c r="E34" s="50">
        <v>3288.4737269999996</v>
      </c>
      <c r="F34" s="50"/>
      <c r="G34" s="77">
        <f>385.5</f>
        <v>385.5</v>
      </c>
      <c r="H34" s="50"/>
      <c r="I34" s="50"/>
      <c r="J34" s="50"/>
      <c r="K34" s="78">
        <f t="shared" si="7"/>
        <v>3288.4737269999996</v>
      </c>
      <c r="L34" s="78">
        <f>K34+G34</f>
        <v>3673.9737269999996</v>
      </c>
      <c r="M34" s="28">
        <f>IF('[16]Calculo ISR '!$AN$34&lt;0,0,'[16]Calculo ISR '!$AN$34)</f>
        <v>128.60285349759991</v>
      </c>
      <c r="N34" s="92">
        <f>E34*P4</f>
        <v>345.28974133499992</v>
      </c>
      <c r="O34" s="78"/>
      <c r="P34" s="50"/>
      <c r="Q34" s="78"/>
      <c r="R34" s="50">
        <v>0</v>
      </c>
      <c r="S34" s="50">
        <f t="shared" si="6"/>
        <v>473.8925948325998</v>
      </c>
      <c r="T34" s="28">
        <f>IF('[1]Calculo ISR '!$AN$34&gt;0,0,'[1]Calculo ISR '!$AN$34)*-1</f>
        <v>0</v>
      </c>
      <c r="U34" s="79">
        <f t="shared" si="8"/>
        <v>2814.5811321674</v>
      </c>
      <c r="V34" s="73">
        <v>385.5</v>
      </c>
      <c r="W34" s="80"/>
      <c r="X34" s="47"/>
    </row>
    <row r="35" spans="1:26" s="81" customFormat="1" ht="45" customHeight="1">
      <c r="A35" s="91" t="s">
        <v>87</v>
      </c>
      <c r="B35" s="91" t="s">
        <v>88</v>
      </c>
      <c r="C35" s="66">
        <v>15</v>
      </c>
      <c r="D35" s="76">
        <v>534.93837680832996</v>
      </c>
      <c r="E35" s="50">
        <f>E32</f>
        <v>8024.0756521249496</v>
      </c>
      <c r="F35" s="50"/>
      <c r="G35" s="77">
        <v>385.5</v>
      </c>
      <c r="H35" s="50"/>
      <c r="I35" s="50"/>
      <c r="J35" s="50"/>
      <c r="K35" s="78">
        <f t="shared" si="7"/>
        <v>8024.0756521249496</v>
      </c>
      <c r="L35" s="78">
        <f>K35+G35+T35</f>
        <v>8409.5756521249496</v>
      </c>
      <c r="M35" s="28">
        <f>IF('[16]Calculo ISR '!$AO$34&lt;0,0,'[16]Calculo ISR '!$AO$34)</f>
        <v>1166.7533832938893</v>
      </c>
      <c r="N35" s="92">
        <f>E35*P4</f>
        <v>842.52794347311965</v>
      </c>
      <c r="O35" s="78">
        <v>1338</v>
      </c>
      <c r="P35" s="50"/>
      <c r="Q35" s="78"/>
      <c r="R35" s="50"/>
      <c r="S35" s="50">
        <f t="shared" si="6"/>
        <v>3347.281326767009</v>
      </c>
      <c r="T35" s="28">
        <f>IF('[1]Calculo ISR '!$AO$34&gt;0,0,'[1]Calculo ISR '!$AO$34)*-1</f>
        <v>0</v>
      </c>
      <c r="U35" s="79">
        <f t="shared" si="8"/>
        <v>4676.7943253579406</v>
      </c>
      <c r="V35" s="73">
        <f t="shared" ref="V35:V43" si="9">G35</f>
        <v>385.5</v>
      </c>
      <c r="W35" s="80"/>
      <c r="X35" s="47"/>
    </row>
    <row r="36" spans="1:26" s="81" customFormat="1" ht="45" customHeight="1">
      <c r="A36" s="91" t="s">
        <v>89</v>
      </c>
      <c r="B36" s="91" t="s">
        <v>90</v>
      </c>
      <c r="C36" s="66">
        <v>15</v>
      </c>
      <c r="D36" s="76">
        <v>171.34</v>
      </c>
      <c r="E36" s="50">
        <f>C36*D36</f>
        <v>2570.1</v>
      </c>
      <c r="F36" s="50"/>
      <c r="G36" s="77">
        <v>385.5</v>
      </c>
      <c r="H36" s="50"/>
      <c r="I36" s="50"/>
      <c r="J36" s="50"/>
      <c r="K36" s="78">
        <f t="shared" si="7"/>
        <v>2570.1</v>
      </c>
      <c r="L36" s="78">
        <f>K36+G36</f>
        <v>2955.6</v>
      </c>
      <c r="M36" s="28">
        <f>IF('[16]Calculo ISR '!$AP$34&lt;0,0,'[16]Calculo ISR '!$AP$34)</f>
        <v>15.193791999999974</v>
      </c>
      <c r="N36" s="92">
        <f>E36*P4</f>
        <v>269.8605</v>
      </c>
      <c r="O36" s="78"/>
      <c r="P36" s="50"/>
      <c r="Q36" s="78"/>
      <c r="R36" s="50"/>
      <c r="S36" s="50">
        <f t="shared" si="6"/>
        <v>285.05429199999998</v>
      </c>
      <c r="T36" s="28">
        <f>IF('[1]Calculo ISR '!$AP$34&gt;0,0,'[1]Calculo ISR '!$AP$34)*-1</f>
        <v>0</v>
      </c>
      <c r="U36" s="79">
        <f t="shared" si="8"/>
        <v>2285.0457080000001</v>
      </c>
      <c r="V36" s="73">
        <f t="shared" si="9"/>
        <v>385.5</v>
      </c>
      <c r="W36" s="80"/>
      <c r="X36" s="47"/>
    </row>
    <row r="37" spans="1:26" s="81" customFormat="1" ht="45" customHeight="1">
      <c r="A37" s="91" t="s">
        <v>91</v>
      </c>
      <c r="B37" s="91" t="s">
        <v>92</v>
      </c>
      <c r="C37" s="66">
        <v>15</v>
      </c>
      <c r="D37" s="76">
        <v>131.36093080000001</v>
      </c>
      <c r="E37" s="50">
        <v>1970.4139620000001</v>
      </c>
      <c r="F37" s="50"/>
      <c r="G37" s="77">
        <v>385.5</v>
      </c>
      <c r="H37" s="50"/>
      <c r="I37" s="50"/>
      <c r="J37" s="50"/>
      <c r="K37" s="78">
        <f t="shared" si="7"/>
        <v>1970.4139620000001</v>
      </c>
      <c r="L37" s="78">
        <f>K37+G37+T37</f>
        <v>2429.5253084320002</v>
      </c>
      <c r="M37" s="28">
        <f>IF('[16]Calculo ISR '!$AQ$34&lt;0,0,'[16]Calculo ISR '!$AQ$34)</f>
        <v>0</v>
      </c>
      <c r="N37" s="92">
        <f>E37*P4</f>
        <v>206.89346601</v>
      </c>
      <c r="O37" s="78">
        <v>493</v>
      </c>
      <c r="P37" s="50"/>
      <c r="Q37" s="78"/>
      <c r="R37" s="50"/>
      <c r="S37" s="50">
        <f t="shared" si="6"/>
        <v>699.89346601</v>
      </c>
      <c r="T37" s="28">
        <f>IF('[1]Calculo ISR '!$AQ$34&gt;0,0,'[1]Calculo ISR '!$AQ$34)*-1</f>
        <v>73.611346431999976</v>
      </c>
      <c r="U37" s="79">
        <f t="shared" si="8"/>
        <v>1344.1318424220001</v>
      </c>
      <c r="V37" s="73">
        <f t="shared" si="9"/>
        <v>385.5</v>
      </c>
      <c r="W37" s="80"/>
      <c r="X37" s="47"/>
    </row>
    <row r="38" spans="1:26" s="81" customFormat="1" ht="45" customHeight="1">
      <c r="A38" s="91" t="s">
        <v>93</v>
      </c>
      <c r="B38" s="91" t="s">
        <v>94</v>
      </c>
      <c r="C38" s="66">
        <v>15</v>
      </c>
      <c r="D38" s="76">
        <v>131.36093080000001</v>
      </c>
      <c r="E38" s="50">
        <v>1970.4139620000001</v>
      </c>
      <c r="F38" s="50"/>
      <c r="G38" s="77">
        <v>385.5</v>
      </c>
      <c r="H38" s="50"/>
      <c r="I38" s="50"/>
      <c r="J38" s="50"/>
      <c r="K38" s="78">
        <f t="shared" si="7"/>
        <v>1970.4139620000001</v>
      </c>
      <c r="L38" s="78">
        <f>K38+G38+T38</f>
        <v>2429.5253084320002</v>
      </c>
      <c r="M38" s="28">
        <f>IF('[16]Calculo ISR '!$AR$34&lt;0,0,'[16]Calculo ISR '!$AR$34)</f>
        <v>0</v>
      </c>
      <c r="N38" s="92">
        <f>E38*P4</f>
        <v>206.89346601</v>
      </c>
      <c r="O38" s="78"/>
      <c r="P38" s="50"/>
      <c r="Q38" s="78"/>
      <c r="R38" s="50"/>
      <c r="S38" s="50">
        <f t="shared" si="6"/>
        <v>206.89346601</v>
      </c>
      <c r="T38" s="28">
        <f>IF('[1]Calculo ISR '!$AR$34&gt;0,0,'[1]Calculo ISR '!$AR$34)*-1</f>
        <v>73.611346431999976</v>
      </c>
      <c r="U38" s="79">
        <f t="shared" si="8"/>
        <v>1837.1318424220001</v>
      </c>
      <c r="V38" s="73">
        <f t="shared" si="9"/>
        <v>385.5</v>
      </c>
      <c r="W38" s="80"/>
      <c r="X38" s="47"/>
    </row>
    <row r="39" spans="1:26" s="81" customFormat="1" ht="45" customHeight="1">
      <c r="A39" s="91" t="s">
        <v>95</v>
      </c>
      <c r="B39" s="91" t="s">
        <v>96</v>
      </c>
      <c r="C39" s="66">
        <v>15</v>
      </c>
      <c r="D39" s="76">
        <v>754.54</v>
      </c>
      <c r="E39" s="50">
        <f>C39*D39</f>
        <v>11318.099999999999</v>
      </c>
      <c r="F39" s="50"/>
      <c r="G39" s="77">
        <v>385.5</v>
      </c>
      <c r="H39" s="50"/>
      <c r="I39" s="50"/>
      <c r="J39" s="50"/>
      <c r="K39" s="78">
        <f>E39+H39+I39+J39</f>
        <v>11318.099999999999</v>
      </c>
      <c r="L39" s="78">
        <f>K39+G39</f>
        <v>11703.599999999999</v>
      </c>
      <c r="M39" s="28">
        <f>IF('[16]Calculo ISR '!$AS$34&lt;0,0,'[16]Calculo ISR '!$AS$34)</f>
        <v>1893.3293279999998</v>
      </c>
      <c r="N39" s="92">
        <f>E39*P4</f>
        <v>1188.4004999999997</v>
      </c>
      <c r="O39" s="78"/>
      <c r="P39" s="50"/>
      <c r="Q39" s="78"/>
      <c r="R39" s="50"/>
      <c r="S39" s="50">
        <f t="shared" si="6"/>
        <v>3081.7298279999995</v>
      </c>
      <c r="T39" s="28">
        <f>IF('[1]Calculo ISR '!$AS$34&gt;0,0,'[1]Calculo ISR '!$AS$34)*-1</f>
        <v>0</v>
      </c>
      <c r="U39" s="79">
        <f>K39-S39</f>
        <v>8236.370171999999</v>
      </c>
      <c r="V39" s="73">
        <f t="shared" si="9"/>
        <v>385.5</v>
      </c>
      <c r="W39" s="80"/>
      <c r="X39" s="47"/>
    </row>
    <row r="40" spans="1:26" s="81" customFormat="1" ht="45" customHeight="1">
      <c r="A40" s="91" t="s">
        <v>99</v>
      </c>
      <c r="B40" s="91" t="s">
        <v>100</v>
      </c>
      <c r="C40" s="66">
        <v>15</v>
      </c>
      <c r="D40" s="76">
        <v>171.34</v>
      </c>
      <c r="E40" s="50">
        <f>C40*D40</f>
        <v>2570.1</v>
      </c>
      <c r="F40" s="50"/>
      <c r="G40" s="77">
        <v>385.5</v>
      </c>
      <c r="H40" s="50"/>
      <c r="I40" s="50"/>
      <c r="J40" s="50"/>
      <c r="K40" s="78">
        <f>E40+F40+H40+I40+J40</f>
        <v>2570.1</v>
      </c>
      <c r="L40" s="78">
        <f>K40+G40</f>
        <v>2955.6</v>
      </c>
      <c r="M40" s="28">
        <f>IF('[16]Calculo ISR '!$AU$34&lt;0,0,'[16]Calculo ISR '!$AU$34)</f>
        <v>15.193791999999974</v>
      </c>
      <c r="N40" s="92">
        <f>E40*P4</f>
        <v>269.8605</v>
      </c>
      <c r="O40" s="78"/>
      <c r="P40" s="50"/>
      <c r="Q40" s="78"/>
      <c r="R40" s="50"/>
      <c r="S40" s="50">
        <f t="shared" si="6"/>
        <v>285.05429199999998</v>
      </c>
      <c r="T40" s="28">
        <f>IF('[1]Calculo ISR '!$AU$34&gt;0,0,'[1]Calculo ISR '!$AU$34)*-1</f>
        <v>0</v>
      </c>
      <c r="U40" s="79">
        <f>K40-S40</f>
        <v>2285.0457080000001</v>
      </c>
      <c r="V40" s="73">
        <f t="shared" si="9"/>
        <v>385.5</v>
      </c>
      <c r="W40" s="80"/>
      <c r="X40" s="47"/>
    </row>
    <row r="41" spans="1:26" s="81" customFormat="1" ht="45" customHeight="1">
      <c r="A41" s="91" t="s">
        <v>101</v>
      </c>
      <c r="B41" s="91" t="s">
        <v>121</v>
      </c>
      <c r="C41" s="66">
        <v>15</v>
      </c>
      <c r="D41" s="76">
        <v>754.54</v>
      </c>
      <c r="E41" s="50">
        <f>C41*D41</f>
        <v>11318.099999999999</v>
      </c>
      <c r="F41" s="50"/>
      <c r="G41" s="77">
        <v>385.5</v>
      </c>
      <c r="H41" s="50"/>
      <c r="I41" s="50"/>
      <c r="J41" s="50"/>
      <c r="K41" s="78">
        <f>E41+F41+H41+I41+J41</f>
        <v>11318.099999999999</v>
      </c>
      <c r="L41" s="78">
        <f>K41+G41</f>
        <v>11703.599999999999</v>
      </c>
      <c r="M41" s="28">
        <f>IF('[16]Calculo ISR '!$AV$34&lt;0,0,'[16]Calculo ISR '!$AV$34)</f>
        <v>1893.3293279999998</v>
      </c>
      <c r="N41" s="92">
        <f>E41*P4</f>
        <v>1188.4004999999997</v>
      </c>
      <c r="O41" s="78">
        <v>1887</v>
      </c>
      <c r="P41" s="50"/>
      <c r="Q41" s="78"/>
      <c r="R41" s="50"/>
      <c r="S41" s="50">
        <f t="shared" si="6"/>
        <v>4968.7298279999995</v>
      </c>
      <c r="T41" s="28">
        <f>IF('[1]Calculo ISR '!$AV$34&gt;0,0,'[1]Calculo ISR '!$AV$34)*-1</f>
        <v>0</v>
      </c>
      <c r="U41" s="79">
        <f>K41-S41</f>
        <v>6349.370171999999</v>
      </c>
      <c r="V41" s="73">
        <f t="shared" si="9"/>
        <v>385.5</v>
      </c>
      <c r="W41" s="80"/>
      <c r="X41" s="47"/>
    </row>
    <row r="42" spans="1:26" s="81" customFormat="1" ht="45" customHeight="1">
      <c r="A42" s="91" t="s">
        <v>103</v>
      </c>
      <c r="B42" s="91" t="s">
        <v>122</v>
      </c>
      <c r="C42" s="66">
        <v>15</v>
      </c>
      <c r="D42" s="76">
        <v>171.34</v>
      </c>
      <c r="E42" s="50">
        <f>C42*D42</f>
        <v>2570.1</v>
      </c>
      <c r="F42" s="50"/>
      <c r="G42" s="77">
        <v>385.5</v>
      </c>
      <c r="H42" s="50"/>
      <c r="I42" s="50"/>
      <c r="J42" s="50"/>
      <c r="K42" s="78">
        <f>E42+F42+H42+I42+J42</f>
        <v>2570.1</v>
      </c>
      <c r="L42" s="78">
        <f>K42+G42</f>
        <v>2955.6</v>
      </c>
      <c r="M42" s="28">
        <f>IF('[16]Calculo ISR '!$AW$34&lt;0,0,'[16]Calculo ISR '!$AW$34)</f>
        <v>15.193791999999974</v>
      </c>
      <c r="N42" s="92">
        <f>E42*P4</f>
        <v>269.8605</v>
      </c>
      <c r="O42" s="78"/>
      <c r="P42" s="50"/>
      <c r="Q42" s="78"/>
      <c r="R42" s="50"/>
      <c r="S42" s="50">
        <f t="shared" si="6"/>
        <v>285.05429199999998</v>
      </c>
      <c r="T42" s="28"/>
      <c r="U42" s="79">
        <f>K42-S42</f>
        <v>2285.0457080000001</v>
      </c>
      <c r="V42" s="73">
        <f t="shared" si="9"/>
        <v>385.5</v>
      </c>
      <c r="W42" s="80"/>
      <c r="X42" s="47"/>
    </row>
    <row r="43" spans="1:26" s="81" customFormat="1" ht="45" customHeight="1">
      <c r="A43" s="91" t="s">
        <v>139</v>
      </c>
      <c r="B43" s="91" t="s">
        <v>140</v>
      </c>
      <c r="C43" s="66">
        <v>15</v>
      </c>
      <c r="D43" s="76">
        <v>171.4</v>
      </c>
      <c r="E43" s="50">
        <f>C43*D43</f>
        <v>2571</v>
      </c>
      <c r="F43" s="50"/>
      <c r="G43" s="77">
        <v>385.5</v>
      </c>
      <c r="H43" s="50"/>
      <c r="I43" s="50"/>
      <c r="J43" s="50"/>
      <c r="K43" s="78">
        <f>E43+F43+H43+I43+J43</f>
        <v>2571</v>
      </c>
      <c r="L43" s="78">
        <f>E43+F43+G43+H43+I43+J43</f>
        <v>2956.5</v>
      </c>
      <c r="M43" s="28">
        <f>IF('[16]Calculo ISR '!$AX$34&lt;0,0,'[16]Calculo ISR '!$AX$34)</f>
        <v>15.29171199999999</v>
      </c>
      <c r="N43" s="92">
        <f>E43*P4</f>
        <v>269.95499999999998</v>
      </c>
      <c r="O43" s="78"/>
      <c r="P43" s="50"/>
      <c r="Q43" s="78"/>
      <c r="R43" s="50"/>
      <c r="S43" s="50">
        <f t="shared" si="6"/>
        <v>285.246712</v>
      </c>
      <c r="T43" s="28"/>
      <c r="U43" s="79">
        <f>K43-S43</f>
        <v>2285.7532879999999</v>
      </c>
      <c r="V43" s="73">
        <f t="shared" si="9"/>
        <v>385.5</v>
      </c>
      <c r="W43" s="80"/>
      <c r="X43" s="47"/>
    </row>
    <row r="44" spans="1:26" s="99" customFormat="1" ht="21.95" customHeight="1">
      <c r="A44" s="93"/>
      <c r="B44" s="94">
        <v>37</v>
      </c>
      <c r="C44" s="95">
        <f>SUM(C8:C43)</f>
        <v>540</v>
      </c>
      <c r="D44" s="95">
        <f>SUM(D8:D43)</f>
        <v>11546.068749508313</v>
      </c>
      <c r="E44" s="95">
        <f t="shared" ref="E44:V44" si="10">SUM(E7:E43)</f>
        <v>190127.68124262471</v>
      </c>
      <c r="F44" s="95">
        <f t="shared" si="10"/>
        <v>6616.24</v>
      </c>
      <c r="G44" s="95">
        <f t="shared" si="10"/>
        <v>14838</v>
      </c>
      <c r="H44" s="95">
        <f t="shared" si="10"/>
        <v>4014</v>
      </c>
      <c r="I44" s="95">
        <f t="shared" si="10"/>
        <v>688</v>
      </c>
      <c r="J44" s="95">
        <f t="shared" si="10"/>
        <v>3018.6229153896511</v>
      </c>
      <c r="K44" s="95">
        <f t="shared" si="10"/>
        <v>204464.54415801435</v>
      </c>
      <c r="L44" s="95">
        <f t="shared" si="10"/>
        <v>219610.30267631702</v>
      </c>
      <c r="M44" s="96">
        <f t="shared" si="10"/>
        <v>24994.509432290855</v>
      </c>
      <c r="N44" s="95">
        <f t="shared" si="10"/>
        <v>19963.406530475593</v>
      </c>
      <c r="O44" s="95">
        <f t="shared" si="10"/>
        <v>22533.81</v>
      </c>
      <c r="P44" s="95">
        <f t="shared" si="10"/>
        <v>0</v>
      </c>
      <c r="Q44" s="95">
        <f t="shared" si="10"/>
        <v>0</v>
      </c>
      <c r="R44" s="95">
        <f t="shared" si="10"/>
        <v>554.15389126315188</v>
      </c>
      <c r="S44" s="95">
        <f t="shared" si="10"/>
        <v>68045.879854029597</v>
      </c>
      <c r="T44" s="95">
        <f t="shared" si="10"/>
        <v>307.75851830263997</v>
      </c>
      <c r="U44" s="95">
        <f t="shared" si="10"/>
        <v>136726.42282228739</v>
      </c>
      <c r="V44" s="95">
        <f t="shared" si="10"/>
        <v>14838</v>
      </c>
      <c r="W44" s="97"/>
      <c r="X44" s="98"/>
    </row>
    <row r="45" spans="1:26" s="6" customFormat="1" ht="9" customHeight="1">
      <c r="A45" s="122"/>
      <c r="B45" s="123"/>
      <c r="C45" s="124"/>
      <c r="D45" s="101"/>
      <c r="E45" s="101">
        <f>E44+'[16]HT-DOCENTE FIRMA'!I32+'[16]HT-PTC FIRMAS'!D12</f>
        <v>301069.68124262471</v>
      </c>
      <c r="F45" s="101"/>
      <c r="G45" s="125">
        <f>G44+'[16]HT-DOCENTE FIRMA'!J32+'[16]HT-PTC FIRMAS'!E12</f>
        <v>21662.92</v>
      </c>
      <c r="H45" s="125">
        <f>H44+'[16]HT-DOCENTE FIRMA'!L32+'[16]HT-PTC FIRMAS'!G12</f>
        <v>5675.35</v>
      </c>
      <c r="I45" s="101"/>
      <c r="J45" s="101">
        <f>J44+'[16]HT-DOCENTE FIRMA'!M32+'[16]HT-PTC FIRMAS'!H12</f>
        <v>3639.7979153896508</v>
      </c>
      <c r="K45" s="101"/>
      <c r="L45" s="101"/>
      <c r="N45" s="101">
        <f>N44+'[16]HT-DOCENTE FIRMA'!Q32+'[16]HT-PTC FIRMAS'!L12</f>
        <v>31612.316530475593</v>
      </c>
      <c r="O45" s="101">
        <f>O44+'[16]HT-DOCENTE FIRMA'!R32+'[16]HT-PTC FIRMAS'!M12</f>
        <v>30499.81</v>
      </c>
      <c r="P45" s="101"/>
      <c r="Q45" s="101"/>
      <c r="R45" s="101"/>
      <c r="S45" s="101"/>
      <c r="T45" s="101"/>
      <c r="U45" s="101"/>
      <c r="V45" s="101"/>
      <c r="W45" s="126"/>
      <c r="X45" s="5"/>
    </row>
    <row r="46" spans="1:26" s="6" customFormat="1" ht="9" customHeight="1">
      <c r="A46" s="122"/>
      <c r="B46" s="123"/>
      <c r="C46" s="124"/>
      <c r="D46" s="101"/>
      <c r="E46" s="101">
        <f>E44+'[16]HT-DOCENTE FIRMA'!I32</f>
        <v>288622.68124262471</v>
      </c>
      <c r="F46" s="101"/>
      <c r="G46" s="125"/>
      <c r="H46" s="125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26"/>
      <c r="X46" s="5"/>
      <c r="Z46" s="5"/>
    </row>
    <row r="47" spans="1:26" s="6" customFormat="1" ht="9" customHeight="1">
      <c r="A47" s="127"/>
      <c r="B47" s="123"/>
      <c r="C47" s="122"/>
      <c r="D47" s="128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26"/>
      <c r="X47" s="5"/>
    </row>
    <row r="48" spans="1:26" s="6" customFormat="1" ht="9" customHeight="1">
      <c r="A48" s="129"/>
      <c r="B48" s="130"/>
      <c r="C48" s="131"/>
      <c r="D48" s="132"/>
      <c r="E48" s="133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5"/>
      <c r="X48" s="5"/>
    </row>
    <row r="49" spans="1:24" ht="15" customHeight="1">
      <c r="A49" s="110" t="s">
        <v>105</v>
      </c>
      <c r="B49" s="110"/>
      <c r="C49" s="110"/>
      <c r="D49" s="111"/>
      <c r="E49" s="109"/>
      <c r="F49" s="113" t="s">
        <v>106</v>
      </c>
      <c r="G49" s="112"/>
      <c r="H49" s="112"/>
      <c r="I49" s="112"/>
      <c r="K49" s="113"/>
      <c r="L49" s="114"/>
      <c r="O49" s="115"/>
      <c r="P49" s="115"/>
      <c r="Q49" s="115"/>
      <c r="R49" s="115"/>
      <c r="S49" s="111" t="s">
        <v>107</v>
      </c>
      <c r="T49" s="111"/>
      <c r="U49" s="111"/>
      <c r="V49" s="111"/>
      <c r="W49" s="111"/>
      <c r="X49" s="100"/>
    </row>
    <row r="50" spans="1:24" hidden="1">
      <c r="A50" s="111"/>
      <c r="B50" s="111"/>
      <c r="C50" s="111"/>
      <c r="D50" s="111"/>
      <c r="E50" s="116"/>
      <c r="F50" s="116"/>
      <c r="G50" s="111"/>
      <c r="H50" s="111"/>
      <c r="I50" s="111"/>
      <c r="J50" s="111"/>
      <c r="K50" s="103"/>
      <c r="L50" s="103"/>
      <c r="O50" s="103"/>
      <c r="P50" s="115"/>
      <c r="Q50" s="103"/>
      <c r="R50" s="103"/>
      <c r="S50" s="111"/>
      <c r="T50" s="111"/>
      <c r="U50" s="111"/>
      <c r="V50" s="111"/>
      <c r="W50" s="111"/>
      <c r="X50" s="100"/>
    </row>
    <row r="51" spans="1:24" hidden="1">
      <c r="A51" s="111"/>
      <c r="B51" s="111"/>
      <c r="C51" s="111"/>
      <c r="D51" s="111"/>
      <c r="E51" s="109"/>
      <c r="F51" s="109"/>
      <c r="G51" s="111"/>
      <c r="H51" s="111"/>
      <c r="I51" s="111"/>
      <c r="J51" s="111"/>
      <c r="K51" s="109"/>
      <c r="L51" s="109"/>
      <c r="O51" s="109"/>
      <c r="P51" s="109"/>
      <c r="Q51" s="109"/>
      <c r="R51" s="109"/>
      <c r="S51" s="111"/>
      <c r="T51" s="111"/>
      <c r="U51" s="111"/>
      <c r="V51" s="111"/>
      <c r="W51" s="111"/>
      <c r="X51" s="100"/>
    </row>
    <row r="52" spans="1:24" ht="21.75" customHeight="1">
      <c r="A52" s="111"/>
      <c r="B52" s="113" t="s">
        <v>108</v>
      </c>
      <c r="C52" s="111"/>
      <c r="D52" s="111"/>
      <c r="E52" s="116"/>
      <c r="F52" s="118" t="s">
        <v>109</v>
      </c>
      <c r="G52" s="117"/>
      <c r="H52" s="117"/>
      <c r="I52" s="117"/>
      <c r="K52" s="118"/>
      <c r="L52" s="118"/>
      <c r="O52" s="109"/>
      <c r="P52" s="109"/>
      <c r="R52" s="109"/>
      <c r="S52" s="144" t="s">
        <v>110</v>
      </c>
      <c r="T52" s="117"/>
      <c r="U52" s="117"/>
      <c r="V52" s="117"/>
      <c r="W52" s="111"/>
      <c r="X52" s="100"/>
    </row>
    <row r="53" spans="1:24" ht="15" customHeight="1">
      <c r="A53" s="110" t="s">
        <v>111</v>
      </c>
      <c r="B53" s="110"/>
      <c r="C53" s="110"/>
      <c r="D53" s="111"/>
      <c r="E53" s="109"/>
      <c r="F53" s="118" t="s">
        <v>112</v>
      </c>
      <c r="G53" s="117"/>
      <c r="H53" s="117"/>
      <c r="I53" s="117"/>
      <c r="K53" s="118"/>
      <c r="L53" s="118"/>
      <c r="O53" s="109"/>
      <c r="P53" s="109"/>
      <c r="Q53" s="109"/>
      <c r="R53" s="119" t="s">
        <v>113</v>
      </c>
      <c r="S53" s="119"/>
      <c r="T53" s="119"/>
      <c r="U53" s="119"/>
      <c r="V53" s="119"/>
      <c r="W53" s="111"/>
      <c r="X53" s="100"/>
    </row>
    <row r="54" spans="1:24">
      <c r="A54" s="109"/>
      <c r="B54" s="120"/>
      <c r="C54" s="109"/>
      <c r="D54" s="109"/>
      <c r="E54" s="116"/>
      <c r="F54" s="116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0"/>
    </row>
    <row r="55" spans="1:24" s="2" customFormat="1">
      <c r="A55" s="109"/>
      <c r="B55" s="120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16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 s="102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306" spans="99:99">
      <c r="CU306" s="1" t="s">
        <v>114</v>
      </c>
    </row>
  </sheetData>
  <mergeCells count="3">
    <mergeCell ref="A49:C49"/>
    <mergeCell ref="A53:C53"/>
    <mergeCell ref="R53:V53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X306"/>
  <sheetViews>
    <sheetView zoomScale="80" zoomScaleNormal="80" workbookViewId="0">
      <pane xSplit="2" ySplit="6" topLeftCell="C39" activePane="bottomRight" state="frozen"/>
      <selection activeCell="S28" sqref="S28"/>
      <selection pane="topRight" activeCell="S28" sqref="S28"/>
      <selection pane="bottomLeft" activeCell="S28" sqref="S28"/>
      <selection pane="bottomRight" activeCell="B47" sqref="B47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8.28515625" style="1" customWidth="1"/>
    <col min="4" max="4" width="10.7109375" style="1" customWidth="1"/>
    <col min="5" max="5" width="13.42578125" style="1" customWidth="1"/>
    <col min="6" max="6" width="10.28515625" style="1" customWidth="1"/>
    <col min="7" max="7" width="10.5703125" style="1" customWidth="1"/>
    <col min="8" max="8" width="10.7109375" style="1" customWidth="1"/>
    <col min="9" max="9" width="9.28515625" style="1" customWidth="1"/>
    <col min="10" max="10" width="9.140625" style="1" customWidth="1"/>
    <col min="11" max="11" width="9.7109375" style="1" customWidth="1"/>
    <col min="12" max="12" width="11.140625" style="1" customWidth="1"/>
    <col min="13" max="13" width="11" style="1" customWidth="1"/>
    <col min="14" max="14" width="11.5703125" style="1" customWidth="1"/>
    <col min="15" max="15" width="12.140625" style="1" customWidth="1"/>
    <col min="16" max="16" width="11.140625" style="1" hidden="1" customWidth="1"/>
    <col min="17" max="17" width="10.5703125" style="153" hidden="1" customWidth="1"/>
    <col min="18" max="18" width="10.85546875" style="153" hidden="1" customWidth="1"/>
    <col min="19" max="19" width="5.42578125" style="153" hidden="1" customWidth="1"/>
    <col min="20" max="20" width="5.85546875" style="1" hidden="1" customWidth="1"/>
    <col min="21" max="21" width="8.28515625" style="1" hidden="1" customWidth="1"/>
    <col min="22" max="22" width="11.140625" style="1" customWidth="1"/>
    <col min="23" max="23" width="8.42578125" style="1" customWidth="1"/>
    <col min="24" max="24" width="12.28515625" style="1" customWidth="1"/>
    <col min="25" max="25" width="10.85546875" style="1" hidden="1" customWidth="1"/>
    <col min="26" max="26" width="35.42578125" style="1" hidden="1" customWidth="1"/>
    <col min="27" max="16384" width="11.42578125" style="1"/>
  </cols>
  <sheetData>
    <row r="1" spans="1:29">
      <c r="I1" s="3"/>
      <c r="J1" s="3"/>
      <c r="K1" s="3"/>
      <c r="L1" s="3"/>
      <c r="M1" s="3"/>
      <c r="N1" s="3"/>
      <c r="O1" s="3"/>
      <c r="S1" s="163"/>
      <c r="T1" s="3"/>
      <c r="U1" s="3"/>
    </row>
    <row r="2" spans="1:29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46"/>
      <c r="Q2" s="164"/>
      <c r="R2" s="163"/>
      <c r="S2" s="163"/>
      <c r="T2" s="3"/>
      <c r="U2" s="3"/>
      <c r="V2" s="3"/>
      <c r="W2" s="3"/>
      <c r="X2" s="3"/>
      <c r="Y2" s="3"/>
      <c r="Z2" s="3"/>
      <c r="AA2" s="146"/>
    </row>
    <row r="3" spans="1:29" s="6" customFormat="1" ht="25.5">
      <c r="N3" s="5"/>
      <c r="O3" s="5" t="s">
        <v>0</v>
      </c>
      <c r="Q3" s="161"/>
      <c r="R3" s="161" t="s">
        <v>137</v>
      </c>
      <c r="S3" s="162" t="s">
        <v>132</v>
      </c>
      <c r="T3" s="6" t="s">
        <v>1</v>
      </c>
      <c r="U3" s="6" t="s">
        <v>133</v>
      </c>
    </row>
    <row r="4" spans="1:29" s="6" customFormat="1">
      <c r="F4" s="10" t="s">
        <v>148</v>
      </c>
      <c r="O4" s="7">
        <v>1.9E-2</v>
      </c>
      <c r="Q4" s="161"/>
      <c r="R4" s="160">
        <v>0.01</v>
      </c>
      <c r="S4" s="159">
        <v>0.105</v>
      </c>
      <c r="T4" s="9">
        <v>3.7999999999999999E-2</v>
      </c>
      <c r="U4" s="121">
        <v>5.7000000000000002E-2</v>
      </c>
    </row>
    <row r="5" spans="1:29" ht="13.5" thickBot="1">
      <c r="B5" s="10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T5" s="3"/>
      <c r="U5" s="3"/>
      <c r="V5" s="3"/>
      <c r="W5" s="3"/>
      <c r="X5" s="3"/>
      <c r="Y5" s="3"/>
      <c r="Z5" s="3"/>
    </row>
    <row r="6" spans="1:29" s="25" customFormat="1" ht="114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147</v>
      </c>
      <c r="L6" s="18" t="s">
        <v>146</v>
      </c>
      <c r="M6" s="18" t="s">
        <v>145</v>
      </c>
      <c r="N6" s="18" t="s">
        <v>14</v>
      </c>
      <c r="O6" s="19" t="s">
        <v>15</v>
      </c>
      <c r="P6" s="20" t="s">
        <v>16</v>
      </c>
      <c r="Q6" s="20" t="s">
        <v>17</v>
      </c>
      <c r="R6" s="20" t="s">
        <v>18</v>
      </c>
      <c r="S6" s="20" t="s">
        <v>19</v>
      </c>
      <c r="T6" s="20" t="s">
        <v>20</v>
      </c>
      <c r="U6" s="20" t="s">
        <v>21</v>
      </c>
      <c r="V6" s="20" t="s">
        <v>22</v>
      </c>
      <c r="W6" s="21" t="s">
        <v>23</v>
      </c>
      <c r="X6" s="22" t="s">
        <v>24</v>
      </c>
      <c r="Y6" s="23" t="s">
        <v>25</v>
      </c>
      <c r="Z6" s="24" t="s">
        <v>26</v>
      </c>
    </row>
    <row r="7" spans="1:29" s="30" customFormat="1" ht="56.25" customHeight="1">
      <c r="A7" s="26" t="s">
        <v>27</v>
      </c>
      <c r="B7" s="27" t="s">
        <v>28</v>
      </c>
      <c r="C7" s="142">
        <v>15</v>
      </c>
      <c r="D7" s="28">
        <v>1129.1099999999999</v>
      </c>
      <c r="E7" s="28">
        <v>17512.57</v>
      </c>
      <c r="F7" s="28">
        <v>6040.32</v>
      </c>
      <c r="G7" s="28">
        <v>960</v>
      </c>
      <c r="H7" s="28">
        <f>'[1]HT-ADMINISTRATIVOS'!H8</f>
        <v>0</v>
      </c>
      <c r="I7" s="28">
        <v>688</v>
      </c>
      <c r="J7" s="28"/>
      <c r="K7" s="28"/>
      <c r="L7" s="28">
        <v>1085</v>
      </c>
      <c r="M7" s="28"/>
      <c r="N7" s="28">
        <f>SUM(E7+F7+H7+I7+J7+K7+L7+M7)</f>
        <v>25325.89</v>
      </c>
      <c r="O7" s="28">
        <f>SUM(N7+G7)</f>
        <v>26285.89</v>
      </c>
      <c r="P7" s="28">
        <f>IF('[17]Calculo ISR '!$K$34&lt;0,0,'[17]Calculo ISR '!$K$34)</f>
        <v>5782.4489999999996</v>
      </c>
      <c r="Q7" s="28">
        <f>E7*S4</f>
        <v>1838.8198499999999</v>
      </c>
      <c r="R7" s="28"/>
      <c r="S7" s="28"/>
      <c r="T7" s="28"/>
      <c r="U7" s="28"/>
      <c r="V7" s="28">
        <f>SUM(P7+Q7+R7+S7+T7+U7)</f>
        <v>7621.2688499999995</v>
      </c>
      <c r="W7" s="28"/>
      <c r="X7" s="36">
        <f>N7-V7</f>
        <v>17704.621149999999</v>
      </c>
      <c r="Y7" s="28">
        <f>G7</f>
        <v>960</v>
      </c>
      <c r="Z7" s="29"/>
      <c r="AC7" s="31"/>
    </row>
    <row r="8" spans="1:29" s="136" customFormat="1" ht="45" customHeight="1">
      <c r="A8" s="32" t="s">
        <v>29</v>
      </c>
      <c r="B8" s="33" t="s">
        <v>30</v>
      </c>
      <c r="C8" s="34">
        <v>15</v>
      </c>
      <c r="D8" s="35">
        <f>E8/C8</f>
        <v>780.2</v>
      </c>
      <c r="E8" s="36">
        <v>11703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E8*U4</f>
        <v>667.07100000000003</v>
      </c>
      <c r="K8" s="37">
        <v>302.00578578379714</v>
      </c>
      <c r="L8" s="37">
        <v>1085</v>
      </c>
      <c r="M8" s="37">
        <v>5746.5671938752002</v>
      </c>
      <c r="N8" s="36">
        <f>SUM(E8+F8+H8+I8+J8+K8+L8+M8)</f>
        <v>19949.643979658998</v>
      </c>
      <c r="O8" s="36">
        <f>N8+G8</f>
        <v>20335.143979658998</v>
      </c>
      <c r="P8" s="28">
        <f>IF('[17]Calculo ISR '!$L$34&lt;0,0,'[17]Calculo ISR '!$L$34)</f>
        <v>4169.5751938976991</v>
      </c>
      <c r="Q8" s="38">
        <f>E8*S4</f>
        <v>1228.8150000000001</v>
      </c>
      <c r="R8" s="38"/>
      <c r="S8" s="38">
        <f>'[1]HT-ADMINISTRATIVOS'!Q10</f>
        <v>0</v>
      </c>
      <c r="T8" s="38"/>
      <c r="U8" s="38">
        <f>'[1]HT-ADMINISTRATIVOS'!S10</f>
        <v>0</v>
      </c>
      <c r="V8" s="36">
        <f>P8+Q8+R8+S8+T8+U8</f>
        <v>5398.3901938976996</v>
      </c>
      <c r="W8" s="28">
        <f>IF('[1]Calculo ISR '!$L$34&gt;0,0,'[1]Calculo ISR '!$L$34)*-1</f>
        <v>0</v>
      </c>
      <c r="X8" s="36">
        <f>N8-V8</f>
        <v>14551.253785761299</v>
      </c>
      <c r="Y8" s="36">
        <f>G8</f>
        <v>385.5</v>
      </c>
      <c r="Z8" s="46"/>
      <c r="AA8" s="47"/>
    </row>
    <row r="9" spans="1:29" s="48" customFormat="1" ht="45" customHeight="1">
      <c r="A9" s="32" t="s">
        <v>31</v>
      </c>
      <c r="B9" s="43" t="s">
        <v>32</v>
      </c>
      <c r="C9" s="34">
        <v>15</v>
      </c>
      <c r="D9" s="35">
        <f>E9/C9</f>
        <v>238.18133333333333</v>
      </c>
      <c r="E9" s="36">
        <v>3572.72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E9*U4</f>
        <v>203.64503999999999</v>
      </c>
      <c r="K9" s="37">
        <v>64.709261119718235</v>
      </c>
      <c r="L9" s="37"/>
      <c r="M9" s="37">
        <v>1754.3329966484685</v>
      </c>
      <c r="N9" s="36">
        <f>SUM(E9+F9+H9+I9+J9+K9+L9+M9)</f>
        <v>5595.4072977681863</v>
      </c>
      <c r="O9" s="36">
        <f>N9+G9</f>
        <v>5980.9072977681863</v>
      </c>
      <c r="P9" s="28">
        <f>IF('[17]Calculo ISR '!$M$34&lt;0,0,'[17]Calculo ISR '!$M$34)</f>
        <v>647.98982280328471</v>
      </c>
      <c r="Q9" s="38">
        <f>E9*S4</f>
        <v>375.13559999999995</v>
      </c>
      <c r="R9" s="38">
        <v>800</v>
      </c>
      <c r="S9" s="38">
        <f>'[1]HT-ADMINISTRATIVOS'!Q11</f>
        <v>0</v>
      </c>
      <c r="T9" s="38">
        <f>'[1]HT-ADMINISTRATIVOS'!R11</f>
        <v>0</v>
      </c>
      <c r="U9" s="38">
        <f>E9*R4</f>
        <v>35.727199999999996</v>
      </c>
      <c r="V9" s="36">
        <f>P9+Q9+R9+S9+T9+U9</f>
        <v>1858.8526228032847</v>
      </c>
      <c r="W9" s="28">
        <f>IF('[1]Calculo ISR '!$M$34&gt;0,0,'[1]Calculo ISR '!$M$34)*-1</f>
        <v>0</v>
      </c>
      <c r="X9" s="36">
        <f>N9-V9+W9</f>
        <v>3736.5546749649016</v>
      </c>
      <c r="Y9" s="36">
        <f>G9</f>
        <v>385.5</v>
      </c>
      <c r="Z9" s="46"/>
      <c r="AA9" s="47"/>
    </row>
    <row r="10" spans="1:29" s="48" customFormat="1" ht="45" customHeight="1">
      <c r="A10" s="32" t="s">
        <v>33</v>
      </c>
      <c r="B10" s="45" t="s">
        <v>34</v>
      </c>
      <c r="C10" s="34">
        <v>15</v>
      </c>
      <c r="D10" s="35">
        <f>E10/C10</f>
        <v>250.32666666666668</v>
      </c>
      <c r="E10" s="36">
        <v>3754.9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E10*U4</f>
        <v>214.02930000000001</v>
      </c>
      <c r="K10" s="37">
        <v>68.057022715905305</v>
      </c>
      <c r="L10" s="37">
        <v>1085</v>
      </c>
      <c r="M10" s="37">
        <v>1843.7783486099756</v>
      </c>
      <c r="N10" s="36">
        <f>SUM(E10+F10+H10+I10+J10+K10+L10+M10)</f>
        <v>6965.7646713258819</v>
      </c>
      <c r="O10" s="36">
        <f>N10+G10</f>
        <v>7351.2646713258819</v>
      </c>
      <c r="P10" s="28">
        <f>IF('[17]Calculo ISR '!$N$34&lt;0,0,'[17]Calculo ISR '!$N$34)</f>
        <v>940.69815779520854</v>
      </c>
      <c r="Q10" s="38">
        <f>E10*S4</f>
        <v>394.2645</v>
      </c>
      <c r="R10" s="38">
        <v>650</v>
      </c>
      <c r="S10" s="38">
        <f>'[1]HT-ADMINISTRATIVOS'!Q12</f>
        <v>0</v>
      </c>
      <c r="T10" s="38">
        <f>'[1]HT-ADMINISTRATIVOS'!R12</f>
        <v>0</v>
      </c>
      <c r="U10" s="38">
        <f>E10*R4</f>
        <v>37.548999999999999</v>
      </c>
      <c r="V10" s="36">
        <f>P10+Q10+R10+U10+S10+T10</f>
        <v>2022.5116577952085</v>
      </c>
      <c r="W10" s="28">
        <f>IF('[1]Calculo ISR '!$N$34&gt;0,0,'[1]Calculo ISR '!$N$34)*-1</f>
        <v>0</v>
      </c>
      <c r="X10" s="36">
        <f>N10-V10+W10</f>
        <v>4943.2530135306733</v>
      </c>
      <c r="Y10" s="36">
        <f>G10</f>
        <v>385.5</v>
      </c>
      <c r="Z10" s="46"/>
      <c r="AA10" s="47"/>
    </row>
    <row r="11" spans="1:29" s="48" customFormat="1" ht="45" customHeight="1">
      <c r="A11" s="32" t="s">
        <v>35</v>
      </c>
      <c r="B11" s="43" t="s">
        <v>36</v>
      </c>
      <c r="C11" s="34">
        <v>15</v>
      </c>
      <c r="D11" s="35">
        <f>E11/C11</f>
        <v>226.68333333333334</v>
      </c>
      <c r="E11" s="36">
        <v>3400.25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E11*U4</f>
        <v>193.81425000000002</v>
      </c>
      <c r="K11" s="37">
        <v>61.612503716591846</v>
      </c>
      <c r="L11" s="37">
        <v>1085</v>
      </c>
      <c r="M11" s="37">
        <v>1669.6474200598361</v>
      </c>
      <c r="N11" s="36">
        <f>SUM(E11+F11+H11+I11+J11+K11+L11+M11)</f>
        <v>6410.3241737764274</v>
      </c>
      <c r="O11" s="36">
        <f>N11+G11</f>
        <v>6795.8241737764274</v>
      </c>
      <c r="P11" s="28">
        <f>IF('[17]Calculo ISR '!$O$34&lt;0,0,'[17]Calculo ISR '!$O$34)</f>
        <v>822.05606751864502</v>
      </c>
      <c r="Q11" s="38">
        <f>E11*S4</f>
        <v>357.02625</v>
      </c>
      <c r="R11" s="38">
        <v>1462.22</v>
      </c>
      <c r="S11" s="38">
        <f>'[1]HT-ADMINISTRATIVOS'!Q13</f>
        <v>0</v>
      </c>
      <c r="T11" s="38">
        <f>'[1]HT-ADMINISTRATIVOS'!R13</f>
        <v>0</v>
      </c>
      <c r="U11" s="38">
        <f>E11*R4</f>
        <v>34.002499999999998</v>
      </c>
      <c r="V11" s="36">
        <f>P11+Q11+R11+U11+S11+T11</f>
        <v>2675.3048175186455</v>
      </c>
      <c r="W11" s="28">
        <f>IF('[1]Calculo ISR '!$O$34&gt;0,0,'[1]Calculo ISR '!$O$34)*-1</f>
        <v>0</v>
      </c>
      <c r="X11" s="36">
        <f>N11-V11+W11</f>
        <v>3735.019356257782</v>
      </c>
      <c r="Y11" s="36">
        <f>G11</f>
        <v>385.5</v>
      </c>
      <c r="Z11" s="46"/>
      <c r="AA11" s="47"/>
    </row>
    <row r="12" spans="1:29" s="48" customFormat="1" ht="45" customHeight="1">
      <c r="A12" s="32" t="s">
        <v>37</v>
      </c>
      <c r="B12" s="43" t="s">
        <v>38</v>
      </c>
      <c r="C12" s="34">
        <v>15</v>
      </c>
      <c r="D12" s="35">
        <f>E12/C12</f>
        <v>250.32666666666668</v>
      </c>
      <c r="E12" s="36">
        <v>3754.9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E12*U4</f>
        <v>214.02930000000001</v>
      </c>
      <c r="K12" s="37">
        <v>68.057022715905305</v>
      </c>
      <c r="L12" s="37">
        <v>1085</v>
      </c>
      <c r="M12" s="37">
        <v>1843.7783486099756</v>
      </c>
      <c r="N12" s="36">
        <f>SUM(E12+F12+H12+I12+J12+K12+L12+M12)</f>
        <v>6965.7646713258819</v>
      </c>
      <c r="O12" s="36">
        <f>N12+G12</f>
        <v>7351.2646713258819</v>
      </c>
      <c r="P12" s="28">
        <f>IF('[17]Calculo ISR '!$P$34&lt;0,0,'[17]Calculo ISR '!$P$34)</f>
        <v>940.69815779520854</v>
      </c>
      <c r="Q12" s="38">
        <f>E12*S4</f>
        <v>394.2645</v>
      </c>
      <c r="R12" s="38">
        <v>1211</v>
      </c>
      <c r="S12" s="38">
        <f>'[1]HT-ADMINISTRATIVOS'!Q14</f>
        <v>0</v>
      </c>
      <c r="T12" s="38">
        <f>'[1]HT-ADMINISTRATIVOS'!R14</f>
        <v>0</v>
      </c>
      <c r="U12" s="38">
        <f>E12*R4</f>
        <v>37.548999999999999</v>
      </c>
      <c r="V12" s="36">
        <f>P12+Q12+R12+U12+S12+T12</f>
        <v>2583.5116577952085</v>
      </c>
      <c r="W12" s="28">
        <f>IF('[1]Calculo ISR '!$P$34&gt;0,0,'[1]Calculo ISR '!$P$34)*-1</f>
        <v>0</v>
      </c>
      <c r="X12" s="36">
        <f>N12-V12+W12</f>
        <v>4382.2530135306733</v>
      </c>
      <c r="Y12" s="36">
        <f>G12</f>
        <v>385.5</v>
      </c>
      <c r="Z12" s="46"/>
      <c r="AA12" s="47"/>
    </row>
    <row r="13" spans="1:29" s="48" customFormat="1" ht="45" customHeight="1">
      <c r="A13" s="32" t="s">
        <v>39</v>
      </c>
      <c r="B13" s="43" t="s">
        <v>40</v>
      </c>
      <c r="C13" s="34">
        <v>15</v>
      </c>
      <c r="D13" s="35">
        <f>E13/C13</f>
        <v>177.16466666666665</v>
      </c>
      <c r="E13" s="36">
        <v>2657.47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E13*U4</f>
        <v>151.47578999999999</v>
      </c>
      <c r="K13" s="37">
        <v>48.16887593282172</v>
      </c>
      <c r="L13" s="37">
        <v>1085</v>
      </c>
      <c r="M13" s="37">
        <v>1304.9214497881901</v>
      </c>
      <c r="N13" s="36">
        <f>SUM(E13+F13+H13+I13+J13+K13+L13+M13)</f>
        <v>5247.0361157210118</v>
      </c>
      <c r="O13" s="36">
        <f>N13+G13</f>
        <v>5632.5361157210118</v>
      </c>
      <c r="P13" s="28">
        <f>IF('[17]Calculo ISR '!$Q$34&lt;0,0,'[17]Calculo ISR '!$Q$34)</f>
        <v>573.57773831800819</v>
      </c>
      <c r="Q13" s="38">
        <f>E13*S4</f>
        <v>279.03434999999996</v>
      </c>
      <c r="R13" s="38">
        <v>567</v>
      </c>
      <c r="S13" s="38">
        <f>'[1]HT-ADMINISTRATIVOS'!Q15</f>
        <v>0</v>
      </c>
      <c r="T13" s="38">
        <f>'[1]HT-ADMINISTRATIVOS'!R15</f>
        <v>0</v>
      </c>
      <c r="U13" s="38">
        <f>E13*R4</f>
        <v>26.5747</v>
      </c>
      <c r="V13" s="36">
        <f>P13+Q13+R13+U13+S13+T13</f>
        <v>1446.186788318008</v>
      </c>
      <c r="W13" s="28">
        <f>IF('[1]Calculo ISR '!$Q$34&gt;0,0,'[1]Calculo ISR '!$Q$34)</f>
        <v>0</v>
      </c>
      <c r="X13" s="36">
        <f>N13-V13+W13</f>
        <v>3800.8493274030038</v>
      </c>
      <c r="Y13" s="36">
        <f>G13</f>
        <v>385.5</v>
      </c>
      <c r="Z13" s="46"/>
      <c r="AA13" s="47"/>
    </row>
    <row r="14" spans="1:29" s="48" customFormat="1" ht="45" customHeight="1">
      <c r="A14" s="32" t="s">
        <v>41</v>
      </c>
      <c r="B14" s="43" t="s">
        <v>42</v>
      </c>
      <c r="C14" s="34">
        <v>15</v>
      </c>
      <c r="D14" s="35">
        <f>E14/C14</f>
        <v>168.65333333333334</v>
      </c>
      <c r="E14" s="36">
        <v>2529.8000000000002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E14*U4</f>
        <v>144.19860000000003</v>
      </c>
      <c r="K14" s="37">
        <v>45.803389845240872</v>
      </c>
      <c r="L14" s="37">
        <v>1085</v>
      </c>
      <c r="M14" s="37">
        <v>1241.4202624454401</v>
      </c>
      <c r="N14" s="36">
        <f>SUM(E14+F14+H14+I14+J14+K14+L14+M14)</f>
        <v>5046.2222522906814</v>
      </c>
      <c r="O14" s="36">
        <f>N14+G14</f>
        <v>5431.7222522906814</v>
      </c>
      <c r="P14" s="28">
        <f>IF('[17]Calculo ISR '!$R$34&lt;0,0,'[17]Calculo ISR '!$R$34)</f>
        <v>531.78851561049021</v>
      </c>
      <c r="Q14" s="38">
        <f>E14*S4</f>
        <v>265.62900000000002</v>
      </c>
      <c r="R14" s="38">
        <v>816</v>
      </c>
      <c r="S14" s="38">
        <f>'[1]HT-ADMINISTRATIVOS'!Q16</f>
        <v>0</v>
      </c>
      <c r="T14" s="38">
        <f>'[1]HT-ADMINISTRATIVOS'!R16</f>
        <v>0</v>
      </c>
      <c r="U14" s="38">
        <f>E14*R4</f>
        <v>25.298000000000002</v>
      </c>
      <c r="V14" s="36">
        <f>P14+Q14+R14+U14+S14+T14</f>
        <v>1638.7155156104902</v>
      </c>
      <c r="W14" s="28">
        <f>IF('[1]Calculo ISR '!$R$34&gt;0,0,'[1]Calculo ISR '!$R$34)*-1</f>
        <v>0</v>
      </c>
      <c r="X14" s="36">
        <f>N14-V14+W14</f>
        <v>3407.5067366801914</v>
      </c>
      <c r="Y14" s="36">
        <f>G14</f>
        <v>385.5</v>
      </c>
      <c r="Z14" s="46"/>
      <c r="AA14" s="47"/>
    </row>
    <row r="15" spans="1:29" s="48" customFormat="1" ht="45" customHeight="1">
      <c r="A15" s="33" t="s">
        <v>43</v>
      </c>
      <c r="B15" s="43" t="s">
        <v>44</v>
      </c>
      <c r="C15" s="34">
        <v>15</v>
      </c>
      <c r="D15" s="35">
        <f>E15/C15</f>
        <v>553.13133333333326</v>
      </c>
      <c r="E15" s="36">
        <v>8296.9699999999993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E15*T4</f>
        <v>315.28485999999998</v>
      </c>
      <c r="K15" s="37">
        <v>88.116834447994506</v>
      </c>
      <c r="L15" s="37"/>
      <c r="M15" s="37">
        <v>4074.0906777722416</v>
      </c>
      <c r="N15" s="36">
        <f>SUM(E15+F15+H15+I15+J15+K15+L15+M15)</f>
        <v>12774.462372220234</v>
      </c>
      <c r="O15" s="36">
        <f>N15+G15</f>
        <v>13159.962372220234</v>
      </c>
      <c r="P15" s="28">
        <f>IF('[17]Calculo ISR '!$S$34&lt;0,0,'[17]Calculo ISR '!$S$34)</f>
        <v>2235.8657579461992</v>
      </c>
      <c r="Q15" s="38">
        <f>E15*S4</f>
        <v>871.18184999999994</v>
      </c>
      <c r="R15" s="38">
        <v>2675</v>
      </c>
      <c r="S15" s="38">
        <f>'[1]HT-ADMINISTRATIVOS'!Q17</f>
        <v>0</v>
      </c>
      <c r="T15" s="38">
        <f>'[1]HT-ADMINISTRATIVOS'!R17</f>
        <v>0</v>
      </c>
      <c r="U15" s="38">
        <f>'[1]HT-ADMINISTRATIVOS'!S17</f>
        <v>0</v>
      </c>
      <c r="V15" s="36">
        <f>P15+Q15+R15+U15+S15+T15</f>
        <v>5782.0476079461987</v>
      </c>
      <c r="W15" s="28">
        <f>IF('[1]Calculo ISR '!$S$34&gt;0,0,'[1]Calculo ISR '!$S$34)*-1</f>
        <v>0</v>
      </c>
      <c r="X15" s="36">
        <f>N15-V15+W15</f>
        <v>6992.4147642740354</v>
      </c>
      <c r="Y15" s="36">
        <f>G15</f>
        <v>385.5</v>
      </c>
      <c r="Z15" s="51"/>
      <c r="AA15" s="52"/>
    </row>
    <row r="16" spans="1:29" s="48" customFormat="1" ht="45" customHeight="1">
      <c r="A16" s="33" t="s">
        <v>45</v>
      </c>
      <c r="B16" s="43" t="s">
        <v>46</v>
      </c>
      <c r="C16" s="34">
        <v>15</v>
      </c>
      <c r="D16" s="35">
        <f>E16/C16</f>
        <v>276.45133333333337</v>
      </c>
      <c r="E16" s="36">
        <v>4146.7700000000004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E16*T4</f>
        <v>157.57726000000002</v>
      </c>
      <c r="K16" s="37">
        <v>41.435275502211539</v>
      </c>
      <c r="L16" s="37">
        <v>1085</v>
      </c>
      <c r="M16" s="37">
        <v>2036.2011304728792</v>
      </c>
      <c r="N16" s="36">
        <f>SUM(E16+F16+H16+I16+J16+K16+L16+M16)</f>
        <v>7466.9836659750918</v>
      </c>
      <c r="O16" s="36">
        <f>N16+G16</f>
        <v>7852.4836659750918</v>
      </c>
      <c r="P16" s="28">
        <f>IF('[17]Calculo ISR '!$T$34&lt;0,0,'[17]Calculo ISR '!$T$34)</f>
        <v>1047.7585350522797</v>
      </c>
      <c r="Q16" s="38">
        <f>E16*S4</f>
        <v>435.41085000000004</v>
      </c>
      <c r="R16" s="38">
        <v>1337</v>
      </c>
      <c r="S16" s="38"/>
      <c r="T16" s="38"/>
      <c r="U16" s="38">
        <f>E16*R4</f>
        <v>41.467700000000008</v>
      </c>
      <c r="V16" s="36">
        <f>P16+Q16+R16+T16+U16+S16</f>
        <v>2861.6370850522799</v>
      </c>
      <c r="W16" s="28">
        <f>IF('[1]Calculo ISR '!$T$34&gt;0,0,'[1]Calculo ISR '!$T$34)*-1</f>
        <v>0</v>
      </c>
      <c r="X16" s="36">
        <f>N16-V16</f>
        <v>4605.3465809228119</v>
      </c>
      <c r="Y16" s="36">
        <f>G16</f>
        <v>385.5</v>
      </c>
      <c r="Z16" s="51"/>
      <c r="AA16" s="52"/>
    </row>
    <row r="17" spans="1:27" s="48" customFormat="1" ht="45" customHeight="1">
      <c r="A17" s="43" t="s">
        <v>47</v>
      </c>
      <c r="B17" s="43" t="s">
        <v>48</v>
      </c>
      <c r="C17" s="158">
        <v>15</v>
      </c>
      <c r="D17" s="35">
        <f>E17/C17</f>
        <v>238.18133333333333</v>
      </c>
      <c r="E17" s="37">
        <v>3572.72</v>
      </c>
      <c r="F17" s="37"/>
      <c r="G17" s="37">
        <f>'[1]HT-ADMINISTRATIVOS'!G19</f>
        <v>385.5</v>
      </c>
      <c r="H17" s="37">
        <f>'[1]HT-ADMINISTRATIVOS'!H19</f>
        <v>446</v>
      </c>
      <c r="I17" s="37">
        <f>'[1]HT-ADMINISTRATIVOS'!J19</f>
        <v>0</v>
      </c>
      <c r="J17" s="37">
        <f>E17*T4</f>
        <v>135.76335999999998</v>
      </c>
      <c r="K17" s="37">
        <v>32.701661307430754</v>
      </c>
      <c r="L17" s="37">
        <v>1085</v>
      </c>
      <c r="M17" s="37">
        <v>1754.3329966484685</v>
      </c>
      <c r="N17" s="36">
        <f>SUM(E17+F17+H17+I17+J17+K17+L17+M17)</f>
        <v>7026.5180179558993</v>
      </c>
      <c r="O17" s="36">
        <f>N17+G17</f>
        <v>7412.0180179558993</v>
      </c>
      <c r="P17" s="28">
        <f>IF('[17]Calculo ISR '!$U$34&lt;0,0,'[17]Calculo ISR '!$U$34)</f>
        <v>953.67507263538016</v>
      </c>
      <c r="Q17" s="157">
        <f>E17*S4</f>
        <v>375.13559999999995</v>
      </c>
      <c r="R17" s="157">
        <v>1152</v>
      </c>
      <c r="S17" s="157">
        <f>'[1]HT-ADMINISTRATIVOS'!Q19</f>
        <v>0</v>
      </c>
      <c r="T17" s="157">
        <f>'[1]HT-ADMINISTRATIVOS'!R19</f>
        <v>0</v>
      </c>
      <c r="U17" s="157">
        <f>E17*R4</f>
        <v>35.727199999999996</v>
      </c>
      <c r="V17" s="37">
        <f>P17+Q17+R17+U17+S17+T17</f>
        <v>2516.5378726353797</v>
      </c>
      <c r="W17" s="28">
        <f>IF('[1]Calculo ISR '!$U$34&gt;0,0,'[1]Calculo ISR '!$U$34)*-1</f>
        <v>0</v>
      </c>
      <c r="X17" s="37">
        <f>N17-V17+W17</f>
        <v>4509.98014532052</v>
      </c>
      <c r="Y17" s="37">
        <f>G17</f>
        <v>385.5</v>
      </c>
      <c r="Z17" s="51"/>
      <c r="AA17" s="52"/>
    </row>
    <row r="18" spans="1:27" s="48" customFormat="1" ht="45" customHeight="1">
      <c r="A18" s="33" t="s">
        <v>49</v>
      </c>
      <c r="B18" s="43" t="s">
        <v>50</v>
      </c>
      <c r="C18" s="34">
        <v>15</v>
      </c>
      <c r="D18" s="35">
        <f>E18/C18</f>
        <v>902.70333333333326</v>
      </c>
      <c r="E18" s="36">
        <v>13540.55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E18*O4</f>
        <v>257.27044999999998</v>
      </c>
      <c r="K18" s="37">
        <v>89.955438952084478</v>
      </c>
      <c r="L18" s="37"/>
      <c r="M18" s="37">
        <v>6648.8646747583716</v>
      </c>
      <c r="N18" s="36">
        <f>SUM(E18+F18+H18+I18+J18+K18+L18+M18)</f>
        <v>20536.640563710454</v>
      </c>
      <c r="O18" s="36">
        <f>N18+G18</f>
        <v>20922.140563710454</v>
      </c>
      <c r="P18" s="28">
        <f>IF('[17]Calculo ISR '!$V$34&lt;0,0,'[17]Calculo ISR '!$V$34)</f>
        <v>4345.6741691131365</v>
      </c>
      <c r="Q18" s="38">
        <f>E18*S4</f>
        <v>1421.7577499999998</v>
      </c>
      <c r="R18" s="38">
        <f>'[1]HT-ADMINISTRATIVOS'!P20</f>
        <v>0</v>
      </c>
      <c r="S18" s="38">
        <f>'[1]HT-ADMINISTRATIVOS'!Q20</f>
        <v>0</v>
      </c>
      <c r="T18" s="38">
        <f>'[1]HT-ADMINISTRATIVOS'!R20</f>
        <v>0</v>
      </c>
      <c r="U18" s="38">
        <f>'[1]HT-ADMINISTRATIVOS'!S20</f>
        <v>0</v>
      </c>
      <c r="V18" s="36">
        <f>P18+Q18+R18+U18+S18+T18</f>
        <v>5767.4319191131362</v>
      </c>
      <c r="W18" s="28">
        <f>IF('[1]Calculo ISR '!$V$34&gt;0,0,'[1]Calculo ISR '!$V$34)*-1</f>
        <v>0</v>
      </c>
      <c r="X18" s="36">
        <f>N18-V18+W18</f>
        <v>14769.208644597318</v>
      </c>
      <c r="Y18" s="36">
        <f>G18</f>
        <v>385.5</v>
      </c>
      <c r="Z18" s="46"/>
      <c r="AA18" s="47"/>
    </row>
    <row r="19" spans="1:27" s="48" customFormat="1" ht="45" customHeight="1">
      <c r="A19" s="53" t="s">
        <v>51</v>
      </c>
      <c r="B19" s="53" t="s">
        <v>52</v>
      </c>
      <c r="C19" s="34">
        <v>15</v>
      </c>
      <c r="D19" s="35">
        <f>E19/C19</f>
        <v>226.68333333333334</v>
      </c>
      <c r="E19" s="36">
        <v>3400.25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E19*O4</f>
        <v>64.604749999999996</v>
      </c>
      <c r="K19" s="37">
        <v>10.622845468377932</v>
      </c>
      <c r="L19" s="37">
        <v>1085</v>
      </c>
      <c r="M19" s="37">
        <v>1669.6474200598361</v>
      </c>
      <c r="N19" s="36">
        <f>SUM(E19+F19+H19+I19+J19+K19+L19+M19)</f>
        <v>6230.1250155282132</v>
      </c>
      <c r="O19" s="36">
        <f>N19+G19</f>
        <v>6615.6250155282132</v>
      </c>
      <c r="P19" s="28">
        <f>IF('[17]Calculo ISR '!$W$34&lt;0,0,'[17]Calculo ISR '!$W$34)</f>
        <v>783.56552731682643</v>
      </c>
      <c r="Q19" s="38">
        <f>E19*S4</f>
        <v>357.02625</v>
      </c>
      <c r="R19" s="38">
        <v>1097</v>
      </c>
      <c r="S19" s="38">
        <f>'[1]HT-ADMINISTRATIVOS'!Q21</f>
        <v>0</v>
      </c>
      <c r="T19" s="38">
        <f>'[1]HT-ADMINISTRATIVOS'!R21</f>
        <v>0</v>
      </c>
      <c r="U19" s="38">
        <f>E19*R4</f>
        <v>34.002499999999998</v>
      </c>
      <c r="V19" s="36">
        <f>P19+Q19+R19+U19+S19+T19</f>
        <v>2271.5942773168267</v>
      </c>
      <c r="W19" s="28">
        <f>IF('[1]Calculo ISR '!$W$34&gt;0,0,'[1]Calculo ISR '!$W$34)*-1</f>
        <v>0</v>
      </c>
      <c r="X19" s="36">
        <f>N19-V19+W19</f>
        <v>3958.5307382113865</v>
      </c>
      <c r="Y19" s="36">
        <f>G19</f>
        <v>385.5</v>
      </c>
      <c r="Z19" s="46"/>
      <c r="AA19" s="47"/>
    </row>
    <row r="20" spans="1:27" s="48" customFormat="1" ht="45" customHeight="1">
      <c r="A20" s="53" t="s">
        <v>53</v>
      </c>
      <c r="B20" s="53" t="s">
        <v>54</v>
      </c>
      <c r="C20" s="34">
        <v>15</v>
      </c>
      <c r="D20" s="35">
        <f>E20/C20</f>
        <v>153.16133333333335</v>
      </c>
      <c r="E20" s="36">
        <v>2297.42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E20*O4</f>
        <v>43.650979999999997</v>
      </c>
      <c r="K20" s="37">
        <v>7.1622922018948714</v>
      </c>
      <c r="L20" s="37"/>
      <c r="M20" s="37">
        <v>1128.1588227694399</v>
      </c>
      <c r="N20" s="36">
        <f>SUM(E20+F20+H20+I20+J20+K20+L20+M20)</f>
        <v>3476.3920949713347</v>
      </c>
      <c r="O20" s="36">
        <f>N20+G20</f>
        <v>3861.8920949713347</v>
      </c>
      <c r="P20" s="28">
        <f>IF('[17]Calculo ISR '!$X$34&lt;0,0,'[17]Calculo ISR '!$X$34)</f>
        <v>149.04837193288117</v>
      </c>
      <c r="Q20" s="38">
        <f>E20*S4</f>
        <v>241.22909999999999</v>
      </c>
      <c r="R20" s="38">
        <v>741</v>
      </c>
      <c r="S20" s="38">
        <f>'[1]HT-ADMINISTRATIVOS'!Q22</f>
        <v>0</v>
      </c>
      <c r="T20" s="38">
        <f>'[1]HT-ADMINISTRATIVOS'!R22</f>
        <v>0</v>
      </c>
      <c r="U20" s="38">
        <f>E20*R4</f>
        <v>22.9742</v>
      </c>
      <c r="V20" s="36">
        <f>P20+Q20+R20+U20+S20+T20</f>
        <v>1154.2516719328812</v>
      </c>
      <c r="W20" s="28">
        <f>IF('[1]Calculo ISR '!$X$34&gt;0,0,('[1]Calculo ISR '!$X$34)*-1)</f>
        <v>37.084768835120002</v>
      </c>
      <c r="X20" s="36">
        <f>N20-V20+W20</f>
        <v>2359.2251918735733</v>
      </c>
      <c r="Y20" s="36">
        <f>G20</f>
        <v>385.5</v>
      </c>
      <c r="Z20" s="46"/>
      <c r="AA20" s="47"/>
    </row>
    <row r="21" spans="1:27" s="48" customFormat="1" ht="45" customHeight="1">
      <c r="A21" s="53" t="s">
        <v>55</v>
      </c>
      <c r="B21" s="53" t="s">
        <v>56</v>
      </c>
      <c r="C21" s="34">
        <v>15</v>
      </c>
      <c r="D21" s="35">
        <f>E21/C21</f>
        <v>153.16133333333335</v>
      </c>
      <c r="E21" s="36">
        <v>2297.42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E21*O4</f>
        <v>43.650979999999997</v>
      </c>
      <c r="K21" s="37">
        <v>7.204936317336518</v>
      </c>
      <c r="L21" s="37">
        <v>1085</v>
      </c>
      <c r="M21" s="37">
        <v>1128.6376836627198</v>
      </c>
      <c r="N21" s="36">
        <f>SUM(E21+F21+H21+I21+J21+K21+L21+M21)</f>
        <v>5007.9135999800565</v>
      </c>
      <c r="O21" s="36">
        <f>N21+G21</f>
        <v>5393.4135999800565</v>
      </c>
      <c r="P21" s="28">
        <f>IF('[17]Calculo ISR '!$Y$34&lt;0,0,'[17]Calculo ISR '!$Y$34)</f>
        <v>524.92360511642619</v>
      </c>
      <c r="Q21" s="38">
        <f>E21*S4</f>
        <v>241.22909999999999</v>
      </c>
      <c r="R21" s="38">
        <v>597</v>
      </c>
      <c r="S21" s="38">
        <f>'[1]HT-ADMINISTRATIVOS'!Q23</f>
        <v>0</v>
      </c>
      <c r="T21" s="38">
        <f>'[1]HT-ADMINISTRATIVOS'!R23</f>
        <v>0</v>
      </c>
      <c r="U21" s="38">
        <f>E21*R4</f>
        <v>22.9742</v>
      </c>
      <c r="V21" s="36">
        <f>P21+Q21+R21+U21+S21+T21</f>
        <v>1386.1269051164263</v>
      </c>
      <c r="W21" s="28">
        <f>IF('[1]Calculo ISR '!$Y$34&gt;0,0,'[1]Calculo ISR '!$Y$34)*-1</f>
        <v>0</v>
      </c>
      <c r="X21" s="36">
        <f>N21-V21+W21</f>
        <v>3621.7866948636301</v>
      </c>
      <c r="Y21" s="36">
        <f>G21</f>
        <v>385.5</v>
      </c>
      <c r="Z21" s="46"/>
      <c r="AA21" s="47"/>
    </row>
    <row r="22" spans="1:27" s="48" customFormat="1" ht="45" customHeight="1">
      <c r="A22" s="54" t="s">
        <v>61</v>
      </c>
      <c r="B22" s="55" t="s">
        <v>62</v>
      </c>
      <c r="C22" s="34">
        <v>15</v>
      </c>
      <c r="D22" s="35">
        <f>E22/C22</f>
        <v>205.61</v>
      </c>
      <c r="E22" s="36">
        <v>3084.15</v>
      </c>
      <c r="F22" s="43"/>
      <c r="G22" s="36">
        <f>'[1]HT-ADMINISTRATIVOS'!G28</f>
        <v>385.5</v>
      </c>
      <c r="H22" s="36">
        <f>'[1]HT-ADMINISTRATIVOS'!H28</f>
        <v>446</v>
      </c>
      <c r="I22" s="36">
        <f>'[1]HT-ADMINISTRATIVOS'!J28</f>
        <v>0</v>
      </c>
      <c r="J22" s="37">
        <f>'[1]HT-ADMINISTRATIVOS'!I28</f>
        <v>0</v>
      </c>
      <c r="K22" s="37">
        <v>0</v>
      </c>
      <c r="L22" s="37"/>
      <c r="M22" s="37">
        <v>1514.4025724927546</v>
      </c>
      <c r="N22" s="36">
        <f>SUM(E22+F22+H22+I22+J22+K22+L22+M22)</f>
        <v>5044.5525724927547</v>
      </c>
      <c r="O22" s="36">
        <f>N22+G22</f>
        <v>5430.0525724927547</v>
      </c>
      <c r="P22" s="28">
        <f>IF('[17]Calculo ISR '!$AB$34&lt;0,0,'[17]Calculo ISR '!$AB$34)</f>
        <v>531.48930899070172</v>
      </c>
      <c r="Q22" s="38">
        <f>E22*S4</f>
        <v>323.83575000000002</v>
      </c>
      <c r="R22" s="38">
        <v>0</v>
      </c>
      <c r="S22" s="38">
        <f>'[1]HT-ADMINISTRATIVOS'!Q28</f>
        <v>0</v>
      </c>
      <c r="T22" s="38">
        <f>'[1]HT-ADMINISTRATIVOS'!R28</f>
        <v>0</v>
      </c>
      <c r="U22" s="38">
        <f>E22*R4</f>
        <v>30.8415</v>
      </c>
      <c r="V22" s="36">
        <f>P22+Q22+R22+U22+S22+T22</f>
        <v>886.16655899070179</v>
      </c>
      <c r="W22" s="28">
        <f>IF('[1]Calculo ISR '!$AB$34&gt;0,0,'[1]Calculo ISR '!$AB$34)*-1</f>
        <v>0</v>
      </c>
      <c r="X22" s="36">
        <f>N22-V22+W22</f>
        <v>4158.3860135020532</v>
      </c>
      <c r="Y22" s="36">
        <f>G22</f>
        <v>385.5</v>
      </c>
      <c r="Z22" s="46"/>
      <c r="AA22" s="47"/>
    </row>
    <row r="23" spans="1:27" s="48" customFormat="1" ht="45" customHeight="1">
      <c r="A23" s="54" t="s">
        <v>63</v>
      </c>
      <c r="B23" s="55" t="s">
        <v>64</v>
      </c>
      <c r="C23" s="34">
        <v>15</v>
      </c>
      <c r="D23" s="35">
        <f>E23/C23</f>
        <v>186.24333333333334</v>
      </c>
      <c r="E23" s="36">
        <v>2793.65</v>
      </c>
      <c r="F23" s="43"/>
      <c r="G23" s="36">
        <f>'[1]HT-ADMINISTRATIVOS'!G29</f>
        <v>385.5</v>
      </c>
      <c r="H23" s="36">
        <f>'[1]HT-ADMINISTRATIVOS'!H29</f>
        <v>892</v>
      </c>
      <c r="I23" s="36">
        <f>'[1]HT-ADMINISTRATIVOS'!J29</f>
        <v>0</v>
      </c>
      <c r="J23" s="37">
        <f>'[1]HT-ADMINISTRATIVOS'!I29</f>
        <v>0</v>
      </c>
      <c r="K23" s="37">
        <v>0</v>
      </c>
      <c r="L23" s="37">
        <v>1085</v>
      </c>
      <c r="M23" s="37">
        <v>1371.7295440464004</v>
      </c>
      <c r="N23" s="36">
        <f>SUM(E23+F23+H23+I23+J23+K23+L23+M23)</f>
        <v>6142.3795440464</v>
      </c>
      <c r="O23" s="36">
        <f>N23+G23</f>
        <v>6527.8795440464</v>
      </c>
      <c r="P23" s="28">
        <f>IF('[17]Calculo ISR '!$AC$34&lt;0,0,'[17]Calculo ISR '!$AC$34)</f>
        <v>764.82309460831118</v>
      </c>
      <c r="Q23" s="38">
        <f>E23*S4</f>
        <v>293.33325000000002</v>
      </c>
      <c r="R23" s="38">
        <v>1081</v>
      </c>
      <c r="S23" s="38">
        <f>'[1]HT-ADMINISTRATIVOS'!Q29</f>
        <v>0</v>
      </c>
      <c r="T23" s="38">
        <f>'[1]HT-ADMINISTRATIVOS'!R29</f>
        <v>0</v>
      </c>
      <c r="U23" s="38">
        <f>E23*R4</f>
        <v>27.936500000000002</v>
      </c>
      <c r="V23" s="36">
        <f>P23+Q23+R23+U23+S23+T23</f>
        <v>2167.0928446083108</v>
      </c>
      <c r="W23" s="28">
        <f>IF('[1]Calculo ISR '!$AC$34&gt;0,0,'[1]Calculo ISR '!$AC$34)*-1</f>
        <v>0</v>
      </c>
      <c r="X23" s="36">
        <f>N23-V23+W23</f>
        <v>3975.2866994380893</v>
      </c>
      <c r="Y23" s="36">
        <f>G23</f>
        <v>385.5</v>
      </c>
      <c r="Z23" s="46"/>
      <c r="AA23" s="47"/>
    </row>
    <row r="24" spans="1:27" s="48" customFormat="1" ht="45" customHeight="1">
      <c r="A24" s="56" t="s">
        <v>65</v>
      </c>
      <c r="B24" s="55" t="s">
        <v>66</v>
      </c>
      <c r="C24" s="34">
        <v>15</v>
      </c>
      <c r="D24" s="35">
        <f>E24/C24</f>
        <v>146.39466666666667</v>
      </c>
      <c r="E24" s="36">
        <v>2195.92</v>
      </c>
      <c r="F24" s="43"/>
      <c r="G24" s="36">
        <f>'[1]HT-ADMINISTRATIVOS'!G31</f>
        <v>385.5</v>
      </c>
      <c r="H24" s="36">
        <f>'[1]HT-ADMINISTRATIVOS'!H31</f>
        <v>446</v>
      </c>
      <c r="I24" s="36">
        <f>'[1]HT-ADMINISTRATIVOS'!J31</f>
        <v>0</v>
      </c>
      <c r="J24" s="37">
        <f>'[1]HT-ADMINISTRATIVOS'!I31</f>
        <v>0</v>
      </c>
      <c r="K24" s="37">
        <v>0</v>
      </c>
      <c r="L24" s="37">
        <v>1085</v>
      </c>
      <c r="M24" s="37">
        <v>1078.2686119251202</v>
      </c>
      <c r="N24" s="36">
        <f>SUM(E24+F24+H24+I24+J24+K24+L24+M24)</f>
        <v>4805.1886119251203</v>
      </c>
      <c r="O24" s="36">
        <f>N24+G24</f>
        <v>5190.6886119251203</v>
      </c>
      <c r="P24" s="28">
        <f>IF('[17]Calculo ISR '!$AD$34&lt;0,0,'[17]Calculo ISR '!$AD$34)</f>
        <v>488.59528725698163</v>
      </c>
      <c r="Q24" s="38">
        <f>E24*S4</f>
        <v>230.57159999999999</v>
      </c>
      <c r="R24" s="38">
        <f>'[1]HT-ADMINISTRATIVOS'!P31</f>
        <v>0</v>
      </c>
      <c r="S24" s="38">
        <f>'[1]HT-ADMINISTRATIVOS'!Q31</f>
        <v>0</v>
      </c>
      <c r="T24" s="38">
        <f>'[1]HT-ADMINISTRATIVOS'!R31</f>
        <v>0</v>
      </c>
      <c r="U24" s="38">
        <f>E24*R4</f>
        <v>21.959200000000003</v>
      </c>
      <c r="V24" s="36">
        <f>P24+Q24+R24+U24+S24+T24</f>
        <v>741.12608725698169</v>
      </c>
      <c r="W24" s="28">
        <f>IF('[1]Calculo ISR '!$AD$34&gt;0,0,'[1]Calculo ISR '!$AD$34)*-1</f>
        <v>0</v>
      </c>
      <c r="X24" s="36">
        <f>N24-V24+W24</f>
        <v>4064.0625246681384</v>
      </c>
      <c r="Y24" s="36">
        <f>G24</f>
        <v>385.5</v>
      </c>
      <c r="Z24" s="46"/>
      <c r="AA24" s="47"/>
    </row>
    <row r="25" spans="1:27" s="48" customFormat="1" ht="45" customHeight="1">
      <c r="A25" s="56" t="s">
        <v>67</v>
      </c>
      <c r="B25" s="57" t="s">
        <v>68</v>
      </c>
      <c r="C25" s="34">
        <v>15</v>
      </c>
      <c r="D25" s="35">
        <f>E25/C25</f>
        <v>553.13133333333326</v>
      </c>
      <c r="E25" s="36">
        <v>8296.9699999999993</v>
      </c>
      <c r="F25" s="43"/>
      <c r="G25" s="36">
        <f>'[1]HT-ADMINISTRATIVOS'!G32</f>
        <v>385.5</v>
      </c>
      <c r="H25" s="36">
        <f>'[1]HT-ADMINISTRATIVOS'!H32</f>
        <v>0</v>
      </c>
      <c r="I25" s="36">
        <f>'[1]HT-ADMINISTRATIVOS'!J32</f>
        <v>0</v>
      </c>
      <c r="J25" s="37">
        <f>E25*T4</f>
        <v>315.28485999999998</v>
      </c>
      <c r="K25" s="37">
        <v>93.307824709641409</v>
      </c>
      <c r="L25" s="37">
        <v>1085</v>
      </c>
      <c r="M25" s="37">
        <v>4074.0906777722416</v>
      </c>
      <c r="N25" s="36">
        <f>SUM(E25+F25+H25+I25+J25+K25+L25+M25)</f>
        <v>13864.653362481882</v>
      </c>
      <c r="O25" s="36">
        <f>N25+G25</f>
        <v>14250.153362481882</v>
      </c>
      <c r="P25" s="28">
        <f>IF('[17]Calculo ISR '!$AE$34&lt;0,0,'[17]Calculo ISR '!$AE$34)</f>
        <v>2492.2786788557387</v>
      </c>
      <c r="Q25" s="38">
        <f>E25*S4</f>
        <v>871.18184999999994</v>
      </c>
      <c r="R25" s="38">
        <v>2150.31</v>
      </c>
      <c r="S25" s="38">
        <f>'[1]HT-ADMINISTRATIVOS'!Q32</f>
        <v>0</v>
      </c>
      <c r="T25" s="38">
        <f>'[1]HT-ADMINISTRATIVOS'!R32</f>
        <v>0</v>
      </c>
      <c r="U25" s="38">
        <f>'[1]HT-ADMINISTRATIVOS'!S32</f>
        <v>0</v>
      </c>
      <c r="V25" s="36">
        <f>P25+Q25+R25+U25+S25+T25</f>
        <v>5513.770528855739</v>
      </c>
      <c r="W25" s="28">
        <f>IF('[1]Calculo ISR '!$AE$34&gt;0,0,'[1]Calculo ISR '!$AE$34)*-1</f>
        <v>0</v>
      </c>
      <c r="X25" s="36">
        <f>N25-V25+W25</f>
        <v>8350.8828336261431</v>
      </c>
      <c r="Y25" s="36">
        <f>G25</f>
        <v>385.5</v>
      </c>
      <c r="Z25" s="46"/>
      <c r="AA25" s="47"/>
    </row>
    <row r="26" spans="1:27" s="48" customFormat="1" ht="45" customHeight="1">
      <c r="A26" s="58" t="s">
        <v>69</v>
      </c>
      <c r="B26" s="59" t="s">
        <v>70</v>
      </c>
      <c r="C26" s="34">
        <v>15</v>
      </c>
      <c r="D26" s="35">
        <f>E26/C26</f>
        <v>238.18133333333333</v>
      </c>
      <c r="E26" s="36">
        <v>3572.72</v>
      </c>
      <c r="F26" s="43"/>
      <c r="G26" s="36">
        <v>385.5</v>
      </c>
      <c r="H26" s="36">
        <f>'[1]HT-ADMINISTRATIVOS'!H33</f>
        <v>0</v>
      </c>
      <c r="I26" s="36">
        <f>'[1]HT-ADMINISTRATIVOS'!J33</f>
        <v>0</v>
      </c>
      <c r="J26" s="37">
        <f>'[1]HT-ADMINISTRATIVOS'!I33</f>
        <v>0</v>
      </c>
      <c r="K26" s="37">
        <v>0</v>
      </c>
      <c r="L26" s="37"/>
      <c r="M26" s="37">
        <v>1754.3329966484685</v>
      </c>
      <c r="N26" s="36">
        <f>SUM(E26+F26+H26+I26+J26+K26+L26+M26)</f>
        <v>5327.0529966484683</v>
      </c>
      <c r="O26" s="36">
        <f>N26+G26</f>
        <v>5712.5529966484683</v>
      </c>
      <c r="P26" s="28">
        <f>IF('[17]Calculo ISR '!$AF$34&lt;0,0,'[17]Calculo ISR '!$AF$34)</f>
        <v>590.66934408411294</v>
      </c>
      <c r="Q26" s="38">
        <f>E26*S4</f>
        <v>375.13559999999995</v>
      </c>
      <c r="R26" s="38">
        <v>689.44</v>
      </c>
      <c r="S26" s="143"/>
      <c r="T26" s="38"/>
      <c r="U26" s="38">
        <f>E26*R4</f>
        <v>35.727199999999996</v>
      </c>
      <c r="V26" s="36">
        <f>P26+Q26+R26+U26+S26+T26</f>
        <v>1690.9721440841129</v>
      </c>
      <c r="W26" s="28">
        <f>IF('[1]Calculo ISR '!$AF$34&gt;0,0,'[1]Calculo ISR '!$AF$34)*-1</f>
        <v>0</v>
      </c>
      <c r="X26" s="36">
        <f>N26-V26+W26</f>
        <v>3636.0808525643552</v>
      </c>
      <c r="Y26" s="36">
        <v>385.5</v>
      </c>
      <c r="Z26" s="46"/>
      <c r="AA26" s="47"/>
    </row>
    <row r="27" spans="1:27" s="48" customFormat="1" ht="45" customHeight="1">
      <c r="A27" s="60" t="s">
        <v>71</v>
      </c>
      <c r="B27" s="61" t="s">
        <v>72</v>
      </c>
      <c r="C27" s="66">
        <v>15</v>
      </c>
      <c r="D27" s="35">
        <f>E27/C27</f>
        <v>146.39466666666667</v>
      </c>
      <c r="E27" s="36">
        <v>2195.92</v>
      </c>
      <c r="F27" s="43"/>
      <c r="G27" s="36">
        <f>'[1]HT-ADMINISTRATIVOS'!G35</f>
        <v>385.5</v>
      </c>
      <c r="H27" s="36">
        <f>'[1]HT-ADMINISTRATIVOS'!H35</f>
        <v>0</v>
      </c>
      <c r="I27" s="36">
        <f>'[1]HT-ADMINISTRATIVOS'!J35</f>
        <v>0</v>
      </c>
      <c r="J27" s="37">
        <f>'[1]HT-ADMINISTRATIVOS'!I35</f>
        <v>0</v>
      </c>
      <c r="K27" s="37">
        <v>0</v>
      </c>
      <c r="L27" s="37">
        <v>1085</v>
      </c>
      <c r="M27" s="37">
        <v>1078.2686119251202</v>
      </c>
      <c r="N27" s="36">
        <f>SUM(E27+F27+H27+I27+J27+K27+L27+M27)</f>
        <v>4359.1886119251203</v>
      </c>
      <c r="O27" s="36">
        <f>N27+G27</f>
        <v>4744.6886119251203</v>
      </c>
      <c r="P27" s="28">
        <f>IF('[17]Calculo ISR '!$AG$34&lt;0,0,'[17]Calculo ISR '!$AG$34)</f>
        <v>408.67208725698163</v>
      </c>
      <c r="Q27" s="38">
        <f>E27*S4</f>
        <v>230.57159999999999</v>
      </c>
      <c r="R27" s="38">
        <v>300</v>
      </c>
      <c r="S27" s="38">
        <f>'[1]HT-ADMINISTRATIVOS'!Q35</f>
        <v>0</v>
      </c>
      <c r="T27" s="38">
        <f>'[1]HT-ADMINISTRATIVOS'!R35</f>
        <v>0</v>
      </c>
      <c r="U27" s="38">
        <f>E27*R4</f>
        <v>21.959200000000003</v>
      </c>
      <c r="V27" s="36">
        <f>P27+Q27+R27+U27+S27+T27</f>
        <v>961.20288725698163</v>
      </c>
      <c r="W27" s="28">
        <f>IF('[1]Calculo ISR '!$AG$34&gt;0,0,'[1]Calculo ISR '!$AG$34)*-1</f>
        <v>61.725528301760008</v>
      </c>
      <c r="X27" s="36">
        <f>N27-V27+W27</f>
        <v>3459.7112529698984</v>
      </c>
      <c r="Y27" s="36">
        <f>G27</f>
        <v>385.5</v>
      </c>
      <c r="Z27" s="67"/>
      <c r="AA27" s="47"/>
    </row>
    <row r="28" spans="1:27" s="48" customFormat="1" ht="45" customHeight="1">
      <c r="A28" s="53" t="s">
        <v>73</v>
      </c>
      <c r="B28" s="61" t="s">
        <v>74</v>
      </c>
      <c r="C28" s="66">
        <v>15</v>
      </c>
      <c r="D28" s="35">
        <f>E28/C28</f>
        <v>553.13133333333326</v>
      </c>
      <c r="E28" s="36">
        <v>8296.9699999999993</v>
      </c>
      <c r="F28" s="43"/>
      <c r="G28" s="36">
        <f>'[1]HT-ADMINISTRATIVOS'!G36</f>
        <v>385.5</v>
      </c>
      <c r="H28" s="36">
        <f>'[1]HT-ADMINISTRATIVOS'!H36</f>
        <v>0</v>
      </c>
      <c r="I28" s="36">
        <f>'[1]HT-ADMINISTRATIVOS'!J36</f>
        <v>0</v>
      </c>
      <c r="J28" s="37">
        <f>'[1]HT-ADMINISTRATIVOS'!I36</f>
        <v>0</v>
      </c>
      <c r="K28" s="37">
        <v>0</v>
      </c>
      <c r="L28" s="37">
        <v>1085</v>
      </c>
      <c r="M28" s="37">
        <v>4074.0906777722416</v>
      </c>
      <c r="N28" s="36">
        <f>SUM(E28+F28+H28+I28+J28+K28+L28+M28)</f>
        <v>13456.060677772241</v>
      </c>
      <c r="O28" s="36">
        <f>N28+G28</f>
        <v>13841.560677772241</v>
      </c>
      <c r="P28" s="28">
        <f>IF('[17]Calculo ISR '!$AH$34&lt;0,0,'[17]Calculo ISR '!$AH$34)</f>
        <v>2396.177679412031</v>
      </c>
      <c r="Q28" s="38">
        <f>E28*S4</f>
        <v>871.18184999999994</v>
      </c>
      <c r="R28" s="38">
        <f>'[1]HT-ADMINISTRATIVOS'!P36</f>
        <v>0</v>
      </c>
      <c r="S28" s="38">
        <f>'[1]HT-ADMINISTRATIVOS'!Q36</f>
        <v>0</v>
      </c>
      <c r="T28" s="38">
        <f>'[1]HT-ADMINISTRATIVOS'!R36</f>
        <v>0</v>
      </c>
      <c r="U28" s="38">
        <f>'[1]HT-ADMINISTRATIVOS'!S36</f>
        <v>0</v>
      </c>
      <c r="V28" s="36">
        <f>P28+Q28+R28+U28+S28+T28</f>
        <v>3267.359529412031</v>
      </c>
      <c r="W28" s="28">
        <f>IF('[1]Calculo ISR '!$AH$34&gt;0,0,'[1]Calculo ISR '!$AH$34)*-1</f>
        <v>0</v>
      </c>
      <c r="X28" s="36">
        <f>N28-V28+W28</f>
        <v>10188.701148360209</v>
      </c>
      <c r="Y28" s="36">
        <f>G28</f>
        <v>385.5</v>
      </c>
      <c r="Z28" s="67"/>
      <c r="AA28" s="47"/>
    </row>
    <row r="29" spans="1:27" s="48" customFormat="1" ht="45" customHeight="1">
      <c r="A29" s="68" t="s">
        <v>75</v>
      </c>
      <c r="B29" s="61" t="s">
        <v>76</v>
      </c>
      <c r="C29" s="66">
        <v>15</v>
      </c>
      <c r="D29" s="35">
        <f>E29/C29</f>
        <v>146.39466666666667</v>
      </c>
      <c r="E29" s="36">
        <v>2195.92</v>
      </c>
      <c r="F29" s="43"/>
      <c r="G29" s="36">
        <f>'[1]HT-ADMINISTRATIVOS'!G37</f>
        <v>385.5</v>
      </c>
      <c r="H29" s="36">
        <f>'[1]HT-ADMINISTRATIVOS'!H37</f>
        <v>0</v>
      </c>
      <c r="I29" s="36">
        <f>'[1]HT-ADMINISTRATIVOS'!J37</f>
        <v>0</v>
      </c>
      <c r="J29" s="37">
        <f>'[1]HT-ADMINISTRATIVOS'!I37</f>
        <v>0</v>
      </c>
      <c r="K29" s="37">
        <v>0</v>
      </c>
      <c r="L29" s="37">
        <v>1085</v>
      </c>
      <c r="M29" s="37">
        <v>1078.2686119251202</v>
      </c>
      <c r="N29" s="36">
        <f>SUM(E29+F29+H29+I29+J29+K29+L29+M29)</f>
        <v>4359.1886119251203</v>
      </c>
      <c r="O29" s="36">
        <f>N29+G29</f>
        <v>4744.6886119251203</v>
      </c>
      <c r="P29" s="28">
        <f>IF('[17]Calculo ISR '!$AI$34&lt;0,0,'[17]Calculo ISR '!$AI$34)</f>
        <v>408.67208725698163</v>
      </c>
      <c r="Q29" s="38">
        <f>E29*S4</f>
        <v>230.57159999999999</v>
      </c>
      <c r="R29" s="38">
        <f>'[1]HT-ADMINISTRATIVOS'!P37</f>
        <v>0</v>
      </c>
      <c r="S29" s="38">
        <f>'[1]HT-ADMINISTRATIVOS'!Q37</f>
        <v>0</v>
      </c>
      <c r="T29" s="38">
        <f>'[1]HT-ADMINISTRATIVOS'!R37</f>
        <v>0</v>
      </c>
      <c r="U29" s="38">
        <f>E29*R4</f>
        <v>21.959200000000003</v>
      </c>
      <c r="V29" s="36">
        <f>P29+Q29+R29+U29+S29+T29</f>
        <v>661.20288725698163</v>
      </c>
      <c r="W29" s="28">
        <f>IF('[1]Calculo ISR '!$AI$34&gt;0,0,'[1]Calculo ISR '!$AI$34)*-1</f>
        <v>61.725528301760008</v>
      </c>
      <c r="X29" s="36">
        <f>N29-V29+W29</f>
        <v>3759.7112529698984</v>
      </c>
      <c r="Y29" s="36">
        <f>G29</f>
        <v>385.5</v>
      </c>
      <c r="Z29" s="67"/>
      <c r="AA29" s="47"/>
    </row>
    <row r="30" spans="1:27" s="81" customFormat="1" ht="45" customHeight="1">
      <c r="A30" s="69" t="s">
        <v>77</v>
      </c>
      <c r="B30" s="70" t="s">
        <v>78</v>
      </c>
      <c r="C30" s="71">
        <v>15</v>
      </c>
      <c r="D30" s="35">
        <f>E30/C30</f>
        <v>902.70333333333326</v>
      </c>
      <c r="E30" s="73">
        <v>13540.55</v>
      </c>
      <c r="F30" s="73">
        <f>'[1]HT-ADMINISTRATIVOS'!F38</f>
        <v>0</v>
      </c>
      <c r="G30" s="73">
        <v>385.5</v>
      </c>
      <c r="H30" s="73">
        <f>'[1]HT-ADMINISTRATIVOS'!H38</f>
        <v>0</v>
      </c>
      <c r="I30" s="73">
        <f>'[1]HT-ADMINISTRATIVOS'!I38</f>
        <v>0</v>
      </c>
      <c r="J30" s="73">
        <f>'[1]HT-ADMINISTRATIVOS'!J38</f>
        <v>0</v>
      </c>
      <c r="K30" s="73">
        <v>0</v>
      </c>
      <c r="L30" s="73">
        <v>1085</v>
      </c>
      <c r="M30" s="73">
        <v>6648.8646747583716</v>
      </c>
      <c r="N30" s="36">
        <f>SUM(E30+F30+H30+I30+J30+K30+L30+M30)</f>
        <v>21274.414674758373</v>
      </c>
      <c r="O30" s="36">
        <f>N30+G30</f>
        <v>21659.914674758373</v>
      </c>
      <c r="P30" s="28">
        <f>IF('[17]Calculo ISR '!$AJ$34&lt;0,0,'[17]Calculo ISR '!$AJ$34)</f>
        <v>4567.0064024275116</v>
      </c>
      <c r="Q30" s="73">
        <f>E30*S4</f>
        <v>1421.7577499999998</v>
      </c>
      <c r="R30" s="73">
        <v>1489.84</v>
      </c>
      <c r="S30" s="73">
        <f>'[1]HT-ADMINISTRATIVOS'!Q38</f>
        <v>0</v>
      </c>
      <c r="T30" s="73">
        <f>'[1]HT-ADMINISTRATIVOS'!R38</f>
        <v>0</v>
      </c>
      <c r="U30" s="73">
        <f>'[1]HT-ADMINISTRATIVOS'!S38</f>
        <v>0</v>
      </c>
      <c r="V30" s="73">
        <f>P30+Q30+R30+S30+T30+U30</f>
        <v>7478.6041524275115</v>
      </c>
      <c r="W30" s="28">
        <f>IF('[1]Calculo ISR '!$AJ$34&gt;0,0,'[1]Calculo ISR '!$AJ$34)*-1</f>
        <v>0</v>
      </c>
      <c r="X30" s="73">
        <f>N30-V30+W30</f>
        <v>13795.810522330861</v>
      </c>
      <c r="Y30" s="73">
        <v>385.5</v>
      </c>
      <c r="Z30" s="74"/>
      <c r="AA30" s="47"/>
    </row>
    <row r="31" spans="1:27" s="81" customFormat="1" ht="45" customHeight="1">
      <c r="A31" s="53" t="s">
        <v>79</v>
      </c>
      <c r="B31" s="61" t="s">
        <v>80</v>
      </c>
      <c r="C31" s="66">
        <v>15</v>
      </c>
      <c r="D31" s="35">
        <f>E31/C31</f>
        <v>553.13133333333326</v>
      </c>
      <c r="E31" s="50">
        <v>8296.9699999999993</v>
      </c>
      <c r="F31" s="50"/>
      <c r="G31" s="77">
        <f>385.5</f>
        <v>385.5</v>
      </c>
      <c r="H31" s="50"/>
      <c r="I31" s="50"/>
      <c r="J31" s="50"/>
      <c r="K31" s="50">
        <v>0</v>
      </c>
      <c r="L31" s="50">
        <v>1085</v>
      </c>
      <c r="M31" s="50">
        <v>4074.0906777722416</v>
      </c>
      <c r="N31" s="36">
        <f>SUM(E31+F31+H31+I31+J31+K31+L31+M31)</f>
        <v>13456.060677772241</v>
      </c>
      <c r="O31" s="36">
        <f>N31+G31</f>
        <v>13841.560677772241</v>
      </c>
      <c r="P31" s="28">
        <f>IF('[1]Calculo ISR '!$AK$34&lt;0,0,'[1]Calculo ISR '!$AK$34)</f>
        <v>1166.7533832938893</v>
      </c>
      <c r="Q31" s="79">
        <f>E31*S4</f>
        <v>871.18184999999994</v>
      </c>
      <c r="R31" s="78"/>
      <c r="S31" s="50"/>
      <c r="T31" s="78"/>
      <c r="U31" s="50"/>
      <c r="V31" s="50">
        <f>P31+Q31+R31+S31+T31+U31</f>
        <v>2037.9352332938893</v>
      </c>
      <c r="W31" s="28">
        <f>IF('[1]Calculo ISR '!$AK$34&gt;0,0,'[1]Calculo ISR '!$AK$34)*-1</f>
        <v>0</v>
      </c>
      <c r="X31" s="79">
        <f>N31-V31+W31</f>
        <v>11418.125444478352</v>
      </c>
      <c r="Y31" s="73">
        <v>385.5</v>
      </c>
      <c r="Z31" s="80"/>
      <c r="AA31" s="47"/>
    </row>
    <row r="32" spans="1:27" s="81" customFormat="1" ht="45" customHeight="1">
      <c r="A32" s="91" t="s">
        <v>83</v>
      </c>
      <c r="B32" s="139" t="s">
        <v>84</v>
      </c>
      <c r="C32" s="66">
        <v>15</v>
      </c>
      <c r="D32" s="35">
        <f>E32/C32</f>
        <v>186.24333333333334</v>
      </c>
      <c r="E32" s="50">
        <v>2793.65</v>
      </c>
      <c r="F32" s="50"/>
      <c r="G32" s="77">
        <f>385.5</f>
        <v>385.5</v>
      </c>
      <c r="H32" s="50">
        <v>892</v>
      </c>
      <c r="I32" s="50"/>
      <c r="J32" s="50"/>
      <c r="K32" s="50">
        <v>0</v>
      </c>
      <c r="L32" s="50">
        <v>1085</v>
      </c>
      <c r="M32" s="50">
        <v>1371.7098378368003</v>
      </c>
      <c r="N32" s="36">
        <f>SUM(E32+F32+H32+I32+J32+K32+L32+M32)</f>
        <v>6142.3598378367997</v>
      </c>
      <c r="O32" s="36">
        <f>N32+G32</f>
        <v>6527.8598378367997</v>
      </c>
      <c r="P32" s="28">
        <f>IF('[17]Calculo ISR '!$AM$34&lt;0,0,'[17]Calculo ISR '!$AM$34)</f>
        <v>764.81888536194049</v>
      </c>
      <c r="Q32" s="92">
        <f>E32*S4</f>
        <v>293.33325000000002</v>
      </c>
      <c r="R32" s="78"/>
      <c r="S32" s="50"/>
      <c r="T32" s="78"/>
      <c r="U32" s="50">
        <f>E32*R4</f>
        <v>27.936500000000002</v>
      </c>
      <c r="V32" s="50">
        <f>P32+Q32+R32+S32+T32+U32</f>
        <v>1086.0886353619405</v>
      </c>
      <c r="W32" s="28">
        <f>IF('[1]Calculo ISR '!$AM$34&gt;0,0,'[1]Calculo ISR '!$AM$34)*-1</f>
        <v>0</v>
      </c>
      <c r="X32" s="79">
        <f>N32-V32+W32</f>
        <v>5056.2712024748589</v>
      </c>
      <c r="Y32" s="73">
        <v>385.5</v>
      </c>
      <c r="Z32" s="80"/>
      <c r="AA32" s="47"/>
    </row>
    <row r="33" spans="1:29" s="81" customFormat="1" ht="45" customHeight="1">
      <c r="A33" s="91" t="s">
        <v>85</v>
      </c>
      <c r="B33" s="139" t="s">
        <v>86</v>
      </c>
      <c r="C33" s="66">
        <v>15</v>
      </c>
      <c r="D33" s="35">
        <f>E33/C33</f>
        <v>226.68333333333334</v>
      </c>
      <c r="E33" s="50">
        <v>3400.25</v>
      </c>
      <c r="F33" s="50"/>
      <c r="G33" s="77">
        <f>385.5</f>
        <v>385.5</v>
      </c>
      <c r="H33" s="50"/>
      <c r="I33" s="50"/>
      <c r="J33" s="50"/>
      <c r="K33" s="50">
        <v>0</v>
      </c>
      <c r="L33" s="50">
        <v>1085</v>
      </c>
      <c r="M33" s="50">
        <v>1669.6677269888</v>
      </c>
      <c r="N33" s="36">
        <f>SUM(E33+F33+H33+I33+J33+K33+L33+M33)</f>
        <v>6154.9177269888005</v>
      </c>
      <c r="O33" s="36">
        <f>N33+G33</f>
        <v>6540.4177269888005</v>
      </c>
      <c r="P33" s="28">
        <f>IF('[17]Calculo ISR '!$AN$34&lt;0,0,'[17]Calculo ISR '!$AN$34)</f>
        <v>767.50125048480788</v>
      </c>
      <c r="Q33" s="92">
        <f>E33*S4</f>
        <v>357.02625</v>
      </c>
      <c r="R33" s="78"/>
      <c r="S33" s="50"/>
      <c r="T33" s="78"/>
      <c r="U33" s="50">
        <v>0</v>
      </c>
      <c r="V33" s="50">
        <f>P33+Q33+R33+S33+T33+U33</f>
        <v>1124.5275004848079</v>
      </c>
      <c r="W33" s="28">
        <f>IF('[1]Calculo ISR '!$AN$34&gt;0,0,'[1]Calculo ISR '!$AN$34)*-1</f>
        <v>0</v>
      </c>
      <c r="X33" s="79">
        <f>N33-V33+W33</f>
        <v>5030.3902265039924</v>
      </c>
      <c r="Y33" s="73">
        <v>385.5</v>
      </c>
      <c r="Z33" s="80"/>
      <c r="AA33" s="47"/>
    </row>
    <row r="34" spans="1:29" s="81" customFormat="1" ht="45" customHeight="1">
      <c r="A34" s="91" t="s">
        <v>144</v>
      </c>
      <c r="B34" s="91" t="s">
        <v>88</v>
      </c>
      <c r="C34" s="66">
        <v>15</v>
      </c>
      <c r="D34" s="35">
        <f>E34/C34</f>
        <v>553.13133333333326</v>
      </c>
      <c r="E34" s="50">
        <v>8296.9699999999993</v>
      </c>
      <c r="F34" s="50"/>
      <c r="G34" s="77">
        <v>385.5</v>
      </c>
      <c r="H34" s="50"/>
      <c r="I34" s="50"/>
      <c r="J34" s="50"/>
      <c r="K34" s="50">
        <v>0</v>
      </c>
      <c r="L34" s="50"/>
      <c r="M34" s="50">
        <v>4074.0906777722416</v>
      </c>
      <c r="N34" s="36">
        <f>SUM(E34+F34+H34+I34+J34+K34+L34+M34)</f>
        <v>12371.060677772241</v>
      </c>
      <c r="O34" s="36">
        <f>N34+G34</f>
        <v>12756.560677772241</v>
      </c>
      <c r="P34" s="28">
        <f>IF('[17]Calculo ISR '!$AO$34&lt;0,0,'[17]Calculo ISR '!$AO$34)</f>
        <v>2140.985679412031</v>
      </c>
      <c r="Q34" s="92">
        <f>E34*S4</f>
        <v>871.18184999999994</v>
      </c>
      <c r="R34" s="78">
        <v>1338</v>
      </c>
      <c r="S34" s="50"/>
      <c r="T34" s="78"/>
      <c r="U34" s="50"/>
      <c r="V34" s="50">
        <f>P34+Q34+R34+S34+T34+U34</f>
        <v>4350.1675294120305</v>
      </c>
      <c r="W34" s="28">
        <f>IF('[1]Calculo ISR '!$AO$34&gt;0,0,'[1]Calculo ISR '!$AO$34)*-1</f>
        <v>0</v>
      </c>
      <c r="X34" s="79">
        <f>N34-V34+W34</f>
        <v>8020.89314836021</v>
      </c>
      <c r="Y34" s="73">
        <f>G34</f>
        <v>385.5</v>
      </c>
      <c r="Z34" s="80"/>
      <c r="AA34" s="47"/>
    </row>
    <row r="35" spans="1:29" s="81" customFormat="1" ht="45" customHeight="1">
      <c r="A35" s="91" t="s">
        <v>89</v>
      </c>
      <c r="B35" s="91" t="s">
        <v>90</v>
      </c>
      <c r="C35" s="66">
        <v>15</v>
      </c>
      <c r="D35" s="35">
        <f>E35/C35</f>
        <v>177.16466666666665</v>
      </c>
      <c r="E35" s="50">
        <v>2657.47</v>
      </c>
      <c r="F35" s="50"/>
      <c r="G35" s="77">
        <v>385.5</v>
      </c>
      <c r="H35" s="50"/>
      <c r="I35" s="50"/>
      <c r="J35" s="50"/>
      <c r="K35" s="50">
        <v>0</v>
      </c>
      <c r="L35" s="50"/>
      <c r="M35" s="50">
        <v>1304.92544</v>
      </c>
      <c r="N35" s="36">
        <f>SUM(E35+F35+H35+I35+J35+K35+L35+M35)</f>
        <v>3962.3954399999998</v>
      </c>
      <c r="O35" s="36">
        <f>N35+G35</f>
        <v>4347.8954400000002</v>
      </c>
      <c r="P35" s="28">
        <f>IF('[17]Calculo ISR '!$AP$34&lt;0,0,'[17]Calculo ISR '!$AP$34)</f>
        <v>343.0716703999999</v>
      </c>
      <c r="Q35" s="92">
        <f>E35*S4</f>
        <v>279.03434999999996</v>
      </c>
      <c r="R35" s="78"/>
      <c r="S35" s="50"/>
      <c r="T35" s="78"/>
      <c r="U35" s="50"/>
      <c r="V35" s="50">
        <f>P35+Q35+R35+S35+T35+U35</f>
        <v>622.10602039999981</v>
      </c>
      <c r="W35" s="28">
        <f>IF('[1]Calculo ISR '!$AP$34&gt;0,0,'[1]Calculo ISR '!$AP$34)*-1</f>
        <v>0</v>
      </c>
      <c r="X35" s="79">
        <f>N35-V35+W35</f>
        <v>3340.2894195999997</v>
      </c>
      <c r="Y35" s="73">
        <f>G35</f>
        <v>385.5</v>
      </c>
      <c r="Z35" s="80"/>
      <c r="AA35" s="47"/>
    </row>
    <row r="36" spans="1:29" s="81" customFormat="1" ht="45" customHeight="1">
      <c r="A36" s="91" t="s">
        <v>91</v>
      </c>
      <c r="B36" s="91" t="s">
        <v>92</v>
      </c>
      <c r="C36" s="66">
        <v>15</v>
      </c>
      <c r="D36" s="35">
        <f>E36/C36</f>
        <v>135.83466666666666</v>
      </c>
      <c r="E36" s="50">
        <v>2037.52</v>
      </c>
      <c r="F36" s="50"/>
      <c r="G36" s="77">
        <v>385.5</v>
      </c>
      <c r="H36" s="50"/>
      <c r="I36" s="50"/>
      <c r="J36" s="50"/>
      <c r="K36" s="50">
        <v>0</v>
      </c>
      <c r="L36" s="50"/>
      <c r="M36" s="50">
        <v>1000.4448489728001</v>
      </c>
      <c r="N36" s="36">
        <f>SUM(E36+F36+H36+I36+J36+K36+L36+M36)</f>
        <v>3037.9648489728002</v>
      </c>
      <c r="O36" s="36">
        <f>N36+G36</f>
        <v>3423.4648489728002</v>
      </c>
      <c r="P36" s="28">
        <f>IF('[17]Calculo ISR '!$AQ$34&lt;0,0,'[17]Calculo ISR '!$AQ$34)</f>
        <v>81.097487568240638</v>
      </c>
      <c r="Q36" s="92">
        <f>E36*S4</f>
        <v>213.93959999999998</v>
      </c>
      <c r="R36" s="78">
        <v>493</v>
      </c>
      <c r="S36" s="50"/>
      <c r="T36" s="78"/>
      <c r="U36" s="50">
        <f>E36*R4</f>
        <v>20.3752</v>
      </c>
      <c r="V36" s="50">
        <f>P36+Q36+R36+S36+T36+U36</f>
        <v>808.41228756824057</v>
      </c>
      <c r="W36" s="28">
        <f>IF('[1]Calculo ISR '!$AQ$34&gt;0,0,'[1]Calculo ISR '!$AQ$34)*-1</f>
        <v>73.611346431999976</v>
      </c>
      <c r="X36" s="79">
        <f>N36-V36+W36</f>
        <v>2303.1639078365597</v>
      </c>
      <c r="Y36" s="73">
        <f>G36</f>
        <v>385.5</v>
      </c>
      <c r="Z36" s="80"/>
      <c r="AA36" s="47"/>
    </row>
    <row r="37" spans="1:29" s="81" customFormat="1" ht="45" customHeight="1">
      <c r="A37" s="91" t="s">
        <v>93</v>
      </c>
      <c r="B37" s="91" t="s">
        <v>94</v>
      </c>
      <c r="C37" s="66">
        <v>15</v>
      </c>
      <c r="D37" s="35">
        <f>E37/C37</f>
        <v>135.83466666666666</v>
      </c>
      <c r="E37" s="50">
        <v>2037.52</v>
      </c>
      <c r="F37" s="50"/>
      <c r="G37" s="77">
        <v>385.5</v>
      </c>
      <c r="H37" s="50"/>
      <c r="I37" s="50"/>
      <c r="J37" s="50"/>
      <c r="K37" s="50">
        <v>0</v>
      </c>
      <c r="L37" s="50"/>
      <c r="M37" s="50">
        <v>1000.4448489728001</v>
      </c>
      <c r="N37" s="36">
        <f>SUM(E37+F37+H37+I37+J37+K37+L37+M37)</f>
        <v>3037.9648489728002</v>
      </c>
      <c r="O37" s="36">
        <f>N37+G37</f>
        <v>3423.4648489728002</v>
      </c>
      <c r="P37" s="28">
        <f>IF('[17]Calculo ISR '!$AR$34&lt;0,0,'[17]Calculo ISR '!$AR$34)</f>
        <v>81.097487568240638</v>
      </c>
      <c r="Q37" s="92">
        <f>E37*S4</f>
        <v>213.93959999999998</v>
      </c>
      <c r="R37" s="78"/>
      <c r="S37" s="50"/>
      <c r="T37" s="78"/>
      <c r="U37" s="50">
        <f>E37*R4</f>
        <v>20.3752</v>
      </c>
      <c r="V37" s="50">
        <f>P37+Q37+R37+S37+T37+U37</f>
        <v>315.41228756824063</v>
      </c>
      <c r="W37" s="28">
        <f>IF('[1]Calculo ISR '!$AR$34&gt;0,0,'[1]Calculo ISR '!$AR$34)*-1</f>
        <v>73.611346431999976</v>
      </c>
      <c r="X37" s="79">
        <f>N37-V37+W37</f>
        <v>2796.1639078365597</v>
      </c>
      <c r="Y37" s="73">
        <f>G37</f>
        <v>385.5</v>
      </c>
      <c r="Z37" s="80"/>
      <c r="AA37" s="47"/>
    </row>
    <row r="38" spans="1:29" s="81" customFormat="1" ht="45" customHeight="1">
      <c r="A38" s="91" t="s">
        <v>95</v>
      </c>
      <c r="B38" s="91" t="s">
        <v>96</v>
      </c>
      <c r="C38" s="66">
        <v>15</v>
      </c>
      <c r="D38" s="35">
        <f>E38/C38</f>
        <v>780.2</v>
      </c>
      <c r="E38" s="50">
        <v>11703</v>
      </c>
      <c r="F38" s="50"/>
      <c r="G38" s="77">
        <v>385.5</v>
      </c>
      <c r="H38" s="50"/>
      <c r="I38" s="50"/>
      <c r="J38" s="50"/>
      <c r="K38" s="50">
        <v>0</v>
      </c>
      <c r="L38" s="50"/>
      <c r="M38" s="50">
        <v>5746.5766400000002</v>
      </c>
      <c r="N38" s="36">
        <f>SUM(E38+F38+H38+I38+J38+K38+L38+M38)</f>
        <v>17449.576639999999</v>
      </c>
      <c r="O38" s="36">
        <f>N38+G38</f>
        <v>17835.076639999999</v>
      </c>
      <c r="P38" s="28">
        <f>IF('[17]Calculo ISR '!$AS$34&lt;0,0,'[17]Calculo ISR '!$AS$34)</f>
        <v>3419.5549919999999</v>
      </c>
      <c r="Q38" s="92">
        <f>E38*S4</f>
        <v>1228.8150000000001</v>
      </c>
      <c r="R38" s="78"/>
      <c r="S38" s="50"/>
      <c r="T38" s="78"/>
      <c r="U38" s="50"/>
      <c r="V38" s="50">
        <f>P38+Q38+R38+S38+T38+U38</f>
        <v>4648.3699919999999</v>
      </c>
      <c r="W38" s="28">
        <f>IF('[1]Calculo ISR '!$AS$34&gt;0,0,'[1]Calculo ISR '!$AS$34)*-1</f>
        <v>0</v>
      </c>
      <c r="X38" s="79">
        <f>N38-V38+W38</f>
        <v>12801.206647999999</v>
      </c>
      <c r="Y38" s="73">
        <f>G38</f>
        <v>385.5</v>
      </c>
      <c r="Z38" s="80"/>
      <c r="AA38" s="47"/>
    </row>
    <row r="39" spans="1:29" s="81" customFormat="1" ht="45" customHeight="1">
      <c r="A39" s="91" t="s">
        <v>99</v>
      </c>
      <c r="B39" s="91" t="s">
        <v>100</v>
      </c>
      <c r="C39" s="66">
        <v>15</v>
      </c>
      <c r="D39" s="35">
        <f>E39/C39</f>
        <v>177.16466666666665</v>
      </c>
      <c r="E39" s="50">
        <v>2657.47</v>
      </c>
      <c r="F39" s="50"/>
      <c r="G39" s="77">
        <v>385.5</v>
      </c>
      <c r="H39" s="50"/>
      <c r="I39" s="50"/>
      <c r="J39" s="50"/>
      <c r="K39" s="50">
        <v>0</v>
      </c>
      <c r="L39" s="50"/>
      <c r="M39" s="50">
        <v>1304.92544</v>
      </c>
      <c r="N39" s="36">
        <f>SUM(E39+F39+H39+I39+J39+K39+L39+M39)</f>
        <v>3962.3954399999998</v>
      </c>
      <c r="O39" s="36">
        <f>N39+G39</f>
        <v>4347.8954400000002</v>
      </c>
      <c r="P39" s="28">
        <f>IF('[17]Calculo ISR '!$AU$34&lt;0,0,'[17]Calculo ISR '!$AU$34)</f>
        <v>343.0716703999999</v>
      </c>
      <c r="Q39" s="92">
        <f>E39*S4</f>
        <v>279.03434999999996</v>
      </c>
      <c r="R39" s="78"/>
      <c r="S39" s="50"/>
      <c r="T39" s="78"/>
      <c r="U39" s="50"/>
      <c r="V39" s="50">
        <f>P39+Q39+R39+S39+T39+U39</f>
        <v>622.10602039999981</v>
      </c>
      <c r="W39" s="28">
        <f>IF('[1]Calculo ISR '!$AU$34&gt;0,0,'[1]Calculo ISR '!$AU$34)*-1</f>
        <v>0</v>
      </c>
      <c r="X39" s="79">
        <f>N39-V39+W39</f>
        <v>3340.2894195999997</v>
      </c>
      <c r="Y39" s="73">
        <f>G39</f>
        <v>385.5</v>
      </c>
      <c r="Z39" s="80"/>
      <c r="AA39" s="47"/>
    </row>
    <row r="40" spans="1:29" s="81" customFormat="1" ht="45" customHeight="1">
      <c r="A40" s="91" t="s">
        <v>101</v>
      </c>
      <c r="B40" s="91" t="s">
        <v>121</v>
      </c>
      <c r="C40" s="66">
        <v>15</v>
      </c>
      <c r="D40" s="35">
        <f>E40/C40</f>
        <v>780.2</v>
      </c>
      <c r="E40" s="50">
        <v>11703</v>
      </c>
      <c r="F40" s="50"/>
      <c r="G40" s="77">
        <v>385.5</v>
      </c>
      <c r="H40" s="50"/>
      <c r="I40" s="50"/>
      <c r="J40" s="50"/>
      <c r="K40" s="50">
        <v>0</v>
      </c>
      <c r="L40" s="50"/>
      <c r="M40" s="50">
        <v>5746.5766400000002</v>
      </c>
      <c r="N40" s="36">
        <f>SUM(E40+F40+H40+I40+J40+K40+L40+M40)</f>
        <v>17449.576639999999</v>
      </c>
      <c r="O40" s="36">
        <f>N40+G40</f>
        <v>17835.076639999999</v>
      </c>
      <c r="P40" s="28">
        <f>IF('[17]Calculo ISR '!$AV$34&lt;0,0,'[17]Calculo ISR '!$AV$34)</f>
        <v>3419.5549919999999</v>
      </c>
      <c r="Q40" s="92">
        <f>E40*S4</f>
        <v>1228.8150000000001</v>
      </c>
      <c r="R40" s="78">
        <v>1887</v>
      </c>
      <c r="S40" s="50"/>
      <c r="T40" s="78"/>
      <c r="U40" s="50"/>
      <c r="V40" s="50">
        <f>P40+Q40+R40+S40+T40+U40</f>
        <v>6535.3699919999999</v>
      </c>
      <c r="W40" s="28">
        <f>IF('[1]Calculo ISR '!$AV$34&gt;0,0,'[1]Calculo ISR '!$AV$34)*-1</f>
        <v>0</v>
      </c>
      <c r="X40" s="79">
        <f>N40-V40+W40</f>
        <v>10914.206647999999</v>
      </c>
      <c r="Y40" s="73">
        <f>G40</f>
        <v>385.5</v>
      </c>
      <c r="Z40" s="80"/>
      <c r="AA40" s="47"/>
    </row>
    <row r="41" spans="1:29" s="81" customFormat="1" ht="45" customHeight="1">
      <c r="A41" s="91" t="s">
        <v>103</v>
      </c>
      <c r="B41" s="91" t="s">
        <v>122</v>
      </c>
      <c r="C41" s="66">
        <v>15</v>
      </c>
      <c r="D41" s="35">
        <f>E41/C41</f>
        <v>177.16466666666665</v>
      </c>
      <c r="E41" s="50">
        <v>2657.47</v>
      </c>
      <c r="F41" s="50"/>
      <c r="G41" s="77">
        <v>385.5</v>
      </c>
      <c r="H41" s="50"/>
      <c r="I41" s="50"/>
      <c r="J41" s="50"/>
      <c r="K41" s="50"/>
      <c r="L41" s="50"/>
      <c r="M41" s="50">
        <v>1304.92544</v>
      </c>
      <c r="N41" s="36">
        <f>SUM(E41+F41+H41+I41+J41+K41+L41+M41)</f>
        <v>3962.3954399999998</v>
      </c>
      <c r="O41" s="36">
        <f>N41+G41</f>
        <v>4347.8954400000002</v>
      </c>
      <c r="P41" s="28">
        <f>IF('[17]Calculo ISR '!$AW$34&lt;0,0,'[17]Calculo ISR '!$AW$34)</f>
        <v>343.0716703999999</v>
      </c>
      <c r="Q41" s="92">
        <f>E41*S4</f>
        <v>279.03434999999996</v>
      </c>
      <c r="R41" s="78"/>
      <c r="S41" s="50"/>
      <c r="T41" s="78"/>
      <c r="U41" s="50"/>
      <c r="V41" s="50">
        <f>P41+Q41+R41+S41+T41+U41</f>
        <v>622.10602039999981</v>
      </c>
      <c r="W41" s="28">
        <f>IF('[17]Calculo ISR '!$AW$34&gt;0,0,'[17]Calculo ISR '!$AW$34)*-1</f>
        <v>0</v>
      </c>
      <c r="X41" s="79">
        <f>N41-V41+W41</f>
        <v>3340.2894195999997</v>
      </c>
      <c r="Y41" s="73">
        <f>G41</f>
        <v>385.5</v>
      </c>
      <c r="Z41" s="80"/>
      <c r="AA41" s="47"/>
    </row>
    <row r="42" spans="1:29" s="81" customFormat="1" ht="45" customHeight="1">
      <c r="A42" s="91" t="s">
        <v>139</v>
      </c>
      <c r="B42" s="91" t="s">
        <v>140</v>
      </c>
      <c r="C42" s="66">
        <v>15</v>
      </c>
      <c r="D42" s="35">
        <f>E42/C42</f>
        <v>177.16466666666665</v>
      </c>
      <c r="E42" s="50">
        <v>2657.47</v>
      </c>
      <c r="F42" s="50"/>
      <c r="G42" s="77">
        <v>385.5</v>
      </c>
      <c r="H42" s="50"/>
      <c r="I42" s="50"/>
      <c r="J42" s="50"/>
      <c r="K42" s="50"/>
      <c r="L42" s="50"/>
      <c r="M42" s="50">
        <v>268.06960000000004</v>
      </c>
      <c r="N42" s="36">
        <f>SUM(E42+F42+H42+I42+J42+K42+L42+M42)</f>
        <v>2925.5396000000001</v>
      </c>
      <c r="O42" s="36">
        <f>N42+G42</f>
        <v>3311.0396000000001</v>
      </c>
      <c r="P42" s="28">
        <f>IF('[17]Calculo ISR '!$AX$34&lt;0,0,'[17]Calculo ISR '!$AX$34)</f>
        <v>68.86562047999999</v>
      </c>
      <c r="Q42" s="92">
        <f>E42*S4</f>
        <v>279.03434999999996</v>
      </c>
      <c r="R42" s="78"/>
      <c r="S42" s="50"/>
      <c r="T42" s="78"/>
      <c r="U42" s="50"/>
      <c r="V42" s="50">
        <f>P42+Q42+R42+S42+T42+U42</f>
        <v>347.89997047999998</v>
      </c>
      <c r="W42" s="28">
        <f>IF('[17]Calculo ISR '!$AX$34&gt;0,0,'[17]Calculo ISR '!$AX$34)*-1</f>
        <v>0</v>
      </c>
      <c r="X42" s="79">
        <f>N42-V42+W42</f>
        <v>2577.6396295200002</v>
      </c>
      <c r="Y42" s="73">
        <f>G42</f>
        <v>385.5</v>
      </c>
      <c r="Z42" s="80"/>
      <c r="AA42" s="47"/>
    </row>
    <row r="43" spans="1:29" s="81" customFormat="1" ht="45" customHeight="1">
      <c r="A43" s="91" t="s">
        <v>143</v>
      </c>
      <c r="B43" s="91" t="s">
        <v>142</v>
      </c>
      <c r="C43" s="66">
        <v>15</v>
      </c>
      <c r="D43" s="35">
        <f>E43/C43</f>
        <v>205.61</v>
      </c>
      <c r="E43" s="50">
        <v>3084.15</v>
      </c>
      <c r="F43" s="50"/>
      <c r="G43" s="77">
        <v>385.5</v>
      </c>
      <c r="H43" s="50">
        <v>446</v>
      </c>
      <c r="I43" s="50"/>
      <c r="J43" s="50"/>
      <c r="K43" s="50"/>
      <c r="L43" s="50"/>
      <c r="M43" s="50"/>
      <c r="N43" s="36">
        <f>SUM(E43+F43+H43+I43+J43+K43+L43+M43)</f>
        <v>3530.15</v>
      </c>
      <c r="O43" s="36">
        <f>N43+G43</f>
        <v>3915.65</v>
      </c>
      <c r="P43" s="28">
        <f>IF('[17]Calculo ISR '!$AY$34&lt;0,0,'[17]Calculo ISR '!$AY$34)</f>
        <v>172.59723199999999</v>
      </c>
      <c r="Q43" s="92">
        <f>E43*S4</f>
        <v>323.83575000000002</v>
      </c>
      <c r="R43" s="78"/>
      <c r="S43" s="50"/>
      <c r="T43" s="78"/>
      <c r="U43" s="50"/>
      <c r="V43" s="50">
        <f>P43+Q43+R43+S43+T43+U43</f>
        <v>496.43298200000004</v>
      </c>
      <c r="W43" s="28">
        <f>IF('[17]Calculo ISR '!$AY$34&gt;0,0,'[17]Calculo ISR '!$AY$34)*-1</f>
        <v>0</v>
      </c>
      <c r="X43" s="79">
        <f>N43-V43+W43</f>
        <v>3033.7170180000003</v>
      </c>
      <c r="Y43" s="73">
        <f>G43</f>
        <v>385.5</v>
      </c>
      <c r="Z43" s="80"/>
      <c r="AA43" s="47"/>
    </row>
    <row r="44" spans="1:29" s="99" customFormat="1" ht="21.95" customHeight="1">
      <c r="A44" s="93"/>
      <c r="B44" s="94">
        <v>37</v>
      </c>
      <c r="C44" s="95">
        <f>SUM(C8:C43)</f>
        <v>540</v>
      </c>
      <c r="D44" s="95">
        <f>D7+D8+D9+D10+D11+D12+D13+D14+D15+D16+D17+D18+D19+D20+D21+D22+D23+D24+D25+D26+D27+D28+D29+D30+D31+D32+D33+D34+D35+D36+D37+D38+D39+D40+D41+D42+D43</f>
        <v>13067.831333333339</v>
      </c>
      <c r="E44" s="95">
        <f>SUM(E7:E43)</f>
        <v>196593.38999999996</v>
      </c>
      <c r="F44" s="95">
        <f>SUM(F7:F43)</f>
        <v>6040.32</v>
      </c>
      <c r="G44" s="95">
        <f>SUM(G7:G43)</f>
        <v>14838</v>
      </c>
      <c r="H44" s="95">
        <f>SUM(H7:H43)</f>
        <v>4460</v>
      </c>
      <c r="I44" s="95">
        <f>SUM(I7:I43)</f>
        <v>688</v>
      </c>
      <c r="J44" s="95">
        <f>SUM(J7:J43)</f>
        <v>3121.3507799999998</v>
      </c>
      <c r="K44" s="95">
        <f>SUM(K7:K43)</f>
        <v>1028.9209707369523</v>
      </c>
      <c r="L44" s="95">
        <f>SUM(L7:L43)</f>
        <v>22785</v>
      </c>
      <c r="M44" s="95">
        <f>SUM(M7:M43)</f>
        <v>85383.144223762589</v>
      </c>
      <c r="N44" s="95">
        <f>SUM(N7:N43)</f>
        <v>320100.12597449945</v>
      </c>
      <c r="O44" s="95">
        <f>SUM(O7:O43)</f>
        <v>334938.12597449939</v>
      </c>
      <c r="P44" s="96">
        <f>SUM(P7:P43)</f>
        <v>50209.769684370163</v>
      </c>
      <c r="Q44" s="156">
        <f>SUM(Q7:Q43)</f>
        <v>20642.305950000005</v>
      </c>
      <c r="R44" s="156">
        <f>SUM(R7:R43)</f>
        <v>22533.81</v>
      </c>
      <c r="S44" s="156">
        <f>SUM(S7:S43)</f>
        <v>0</v>
      </c>
      <c r="T44" s="95">
        <f>SUM(T7:T43)</f>
        <v>0</v>
      </c>
      <c r="U44" s="95">
        <f>SUM(U7:U43)</f>
        <v>582.91589999999997</v>
      </c>
      <c r="V44" s="95">
        <f>SUM(V7:V43)</f>
        <v>93968.801534370141</v>
      </c>
      <c r="W44" s="95">
        <f>SUM(W7:W43)</f>
        <v>307.75851830263997</v>
      </c>
      <c r="X44" s="95">
        <f>SUM(X7:X43)</f>
        <v>226439.082958432</v>
      </c>
      <c r="Y44" s="95">
        <f>SUM(Y7:Y43)</f>
        <v>14838</v>
      </c>
      <c r="Z44" s="97"/>
      <c r="AA44" s="98"/>
    </row>
    <row r="45" spans="1:29" s="6" customFormat="1" ht="8.25" customHeight="1">
      <c r="A45" s="122"/>
      <c r="B45" s="123"/>
      <c r="C45" s="124"/>
      <c r="D45" s="101"/>
      <c r="E45" s="101">
        <f>E44+'[17]HT-DOCENTE FIRMA'!J39+'[17]HT-PTC FIRMAS'!D15</f>
        <v>356169.75</v>
      </c>
      <c r="F45" s="101"/>
      <c r="G45" s="125">
        <f>G44+'[17]HT-DOCENTE FIRMA'!K39+'[17]HT-PTC FIRMAS'!E15</f>
        <v>23928.019999999997</v>
      </c>
      <c r="H45" s="125">
        <f>H44+'[17]HT-DOCENTE FIRMA'!M39+'[17]HT-PTC FIRMAS'!G15</f>
        <v>6143.65</v>
      </c>
      <c r="I45" s="101"/>
      <c r="J45" s="101">
        <f>J44+'[17]HT-DOCENTE FIRMA'!N39+'[17]HT-PTC FIRMAS'!H15</f>
        <v>3750.9592799999996</v>
      </c>
      <c r="K45" s="101"/>
      <c r="L45" s="101"/>
      <c r="M45" s="101"/>
      <c r="N45" s="101"/>
      <c r="O45" s="101"/>
      <c r="Q45" s="155">
        <f>Q44+'[17]HT-DOCENTE FIRMA'!T39+'[17]HT-PTC FIRMAS'!N15</f>
        <v>37397.823749999996</v>
      </c>
      <c r="R45" s="155">
        <f>R44+'[17]HT-DOCENTE FIRMA'!U39+'[17]HT-PTC FIRMAS'!O15</f>
        <v>34272.81</v>
      </c>
      <c r="S45" s="155"/>
      <c r="T45" s="101"/>
      <c r="U45" s="101"/>
      <c r="V45" s="101"/>
      <c r="W45" s="101"/>
      <c r="X45" s="101"/>
      <c r="Y45" s="101"/>
      <c r="Z45" s="126"/>
      <c r="AA45" s="5"/>
    </row>
    <row r="46" spans="1:29" s="6" customFormat="1" ht="8.25" customHeight="1">
      <c r="A46" s="122"/>
      <c r="B46" s="123"/>
      <c r="C46" s="124"/>
      <c r="D46" s="101"/>
      <c r="E46" s="101">
        <f>E44+'[17]HT-DOCENTE FIRMA'!J39</f>
        <v>316605.24</v>
      </c>
      <c r="F46" s="101"/>
      <c r="G46" s="125"/>
      <c r="H46" s="125"/>
      <c r="I46" s="101"/>
      <c r="J46" s="101"/>
      <c r="K46" s="101"/>
      <c r="L46" s="101"/>
      <c r="M46" s="101"/>
      <c r="N46" s="101"/>
      <c r="O46" s="101"/>
      <c r="P46" s="101"/>
      <c r="Q46" s="155"/>
      <c r="R46" s="155"/>
      <c r="S46" s="155"/>
      <c r="T46" s="101"/>
      <c r="U46" s="101"/>
      <c r="V46" s="101"/>
      <c r="W46" s="101"/>
      <c r="X46" s="101"/>
      <c r="Y46" s="101"/>
      <c r="Z46" s="126"/>
      <c r="AA46" s="5"/>
      <c r="AC46" s="5"/>
    </row>
    <row r="47" spans="1:29" s="6" customFormat="1" ht="8.25" customHeight="1">
      <c r="A47" s="127"/>
      <c r="B47" s="123"/>
      <c r="C47" s="122"/>
      <c r="D47" s="128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55"/>
      <c r="R47" s="155"/>
      <c r="S47" s="155"/>
      <c r="T47" s="101"/>
      <c r="U47" s="101"/>
      <c r="V47" s="101"/>
      <c r="W47" s="101"/>
      <c r="X47" s="101"/>
      <c r="Y47" s="101"/>
      <c r="Z47" s="126"/>
      <c r="AA47" s="5"/>
    </row>
    <row r="48" spans="1:29" s="6" customFormat="1" ht="8.25" customHeight="1">
      <c r="A48" s="129"/>
      <c r="B48" s="130"/>
      <c r="C48" s="131"/>
      <c r="D48" s="132"/>
      <c r="E48" s="133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65"/>
      <c r="R48" s="165"/>
      <c r="S48" s="165"/>
      <c r="T48" s="134"/>
      <c r="U48" s="134"/>
      <c r="V48" s="134"/>
      <c r="W48" s="134"/>
      <c r="X48" s="134"/>
      <c r="Y48" s="134"/>
      <c r="Z48" s="135"/>
      <c r="AA48" s="5"/>
    </row>
    <row r="49" spans="1:27" ht="15" customHeight="1">
      <c r="A49" s="110" t="s">
        <v>105</v>
      </c>
      <c r="B49" s="110"/>
      <c r="C49" s="110"/>
      <c r="D49" s="111"/>
      <c r="E49" s="109"/>
      <c r="F49" s="109"/>
      <c r="G49" s="112"/>
      <c r="H49" s="112"/>
      <c r="I49" s="112"/>
      <c r="J49" s="113" t="s">
        <v>106</v>
      </c>
      <c r="K49" s="113"/>
      <c r="L49" s="113"/>
      <c r="M49" s="113"/>
      <c r="N49" s="113"/>
      <c r="O49" s="114"/>
      <c r="R49" s="154"/>
      <c r="S49" s="154"/>
      <c r="T49" s="115"/>
      <c r="U49" s="115"/>
      <c r="V49" s="111" t="s">
        <v>107</v>
      </c>
      <c r="W49" s="111"/>
      <c r="X49" s="111"/>
      <c r="Y49" s="111"/>
      <c r="Z49" s="111"/>
      <c r="AA49" s="100"/>
    </row>
    <row r="50" spans="1:27" hidden="1">
      <c r="A50" s="111"/>
      <c r="B50" s="111"/>
      <c r="C50" s="111"/>
      <c r="D50" s="111"/>
      <c r="E50" s="116"/>
      <c r="F50" s="116"/>
      <c r="G50" s="111"/>
      <c r="H50" s="111"/>
      <c r="I50" s="111"/>
      <c r="J50" s="111"/>
      <c r="K50" s="111"/>
      <c r="L50" s="111"/>
      <c r="M50" s="111"/>
      <c r="N50" s="103"/>
      <c r="O50" s="103"/>
      <c r="R50" s="104"/>
      <c r="S50" s="154"/>
      <c r="T50" s="103"/>
      <c r="U50" s="103"/>
      <c r="V50" s="111"/>
      <c r="W50" s="111"/>
      <c r="X50" s="111"/>
      <c r="Y50" s="111"/>
      <c r="Z50" s="111"/>
      <c r="AA50" s="100"/>
    </row>
    <row r="51" spans="1:27" hidden="1">
      <c r="A51" s="111"/>
      <c r="B51" s="111"/>
      <c r="C51" s="111"/>
      <c r="D51" s="111"/>
      <c r="E51" s="109"/>
      <c r="F51" s="109"/>
      <c r="G51" s="111"/>
      <c r="H51" s="111"/>
      <c r="I51" s="111"/>
      <c r="J51" s="111"/>
      <c r="K51" s="111"/>
      <c r="L51" s="111"/>
      <c r="M51" s="111"/>
      <c r="N51" s="109"/>
      <c r="O51" s="109"/>
      <c r="R51" s="120"/>
      <c r="S51" s="120"/>
      <c r="T51" s="109"/>
      <c r="U51" s="109"/>
      <c r="V51" s="111"/>
      <c r="W51" s="111"/>
      <c r="X51" s="111"/>
      <c r="Y51" s="111"/>
      <c r="Z51" s="111"/>
      <c r="AA51" s="100"/>
    </row>
    <row r="52" spans="1:27" ht="21.75" customHeight="1">
      <c r="A52" s="111"/>
      <c r="B52" s="113" t="s">
        <v>108</v>
      </c>
      <c r="C52" s="111"/>
      <c r="D52" s="111"/>
      <c r="E52" s="116"/>
      <c r="F52" s="116"/>
      <c r="G52" s="117"/>
      <c r="H52" s="117"/>
      <c r="I52" s="117"/>
      <c r="J52" s="118" t="s">
        <v>109</v>
      </c>
      <c r="K52" s="118"/>
      <c r="L52" s="118"/>
      <c r="M52" s="118"/>
      <c r="N52" s="118"/>
      <c r="O52" s="118"/>
      <c r="R52" s="120"/>
      <c r="S52" s="120"/>
      <c r="U52" s="109"/>
      <c r="V52" s="144" t="s">
        <v>110</v>
      </c>
      <c r="W52" s="117"/>
      <c r="X52" s="117"/>
      <c r="Y52" s="117"/>
      <c r="Z52" s="111"/>
      <c r="AA52" s="100"/>
    </row>
    <row r="53" spans="1:27" ht="15" customHeight="1">
      <c r="A53" s="110" t="s">
        <v>111</v>
      </c>
      <c r="B53" s="110"/>
      <c r="C53" s="110"/>
      <c r="D53" s="111"/>
      <c r="E53" s="109"/>
      <c r="F53" s="109"/>
      <c r="G53" s="117"/>
      <c r="H53" s="117"/>
      <c r="I53" s="117"/>
      <c r="J53" s="118" t="s">
        <v>112</v>
      </c>
      <c r="K53" s="118"/>
      <c r="L53" s="118"/>
      <c r="M53" s="118"/>
      <c r="N53" s="118"/>
      <c r="O53" s="118"/>
      <c r="R53" s="120"/>
      <c r="S53" s="120"/>
      <c r="T53" s="109"/>
      <c r="U53" s="119" t="s">
        <v>113</v>
      </c>
      <c r="V53" s="119"/>
      <c r="W53" s="119"/>
      <c r="X53" s="119"/>
      <c r="Y53" s="119"/>
      <c r="Z53" s="111"/>
      <c r="AA53" s="100"/>
    </row>
    <row r="54" spans="1:27">
      <c r="A54" s="109"/>
      <c r="B54" s="120"/>
      <c r="C54" s="109"/>
      <c r="D54" s="109"/>
      <c r="E54" s="116"/>
      <c r="F54" s="116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20"/>
      <c r="R54" s="120"/>
      <c r="S54" s="120"/>
      <c r="T54" s="109"/>
      <c r="U54" s="109"/>
      <c r="V54" s="109"/>
      <c r="W54" s="109"/>
      <c r="X54" s="109"/>
      <c r="Y54" s="109"/>
      <c r="Z54" s="109"/>
      <c r="AA54" s="100"/>
    </row>
    <row r="55" spans="1:27" s="2" customFormat="1">
      <c r="A55" s="109"/>
      <c r="B55" s="120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20"/>
      <c r="R55" s="120"/>
      <c r="S55" s="120"/>
      <c r="T55" s="109"/>
      <c r="U55" s="109"/>
      <c r="V55" s="109"/>
      <c r="W55" s="109"/>
      <c r="X55" s="109"/>
      <c r="Y55" s="109"/>
      <c r="Z55" s="109"/>
      <c r="AA55" s="100"/>
    </row>
    <row r="56" spans="1:27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16"/>
      <c r="P56" s="109"/>
      <c r="Q56" s="120"/>
      <c r="R56" s="120"/>
      <c r="S56" s="120"/>
      <c r="T56" s="109"/>
      <c r="U56" s="109"/>
      <c r="V56" s="109"/>
      <c r="W56" s="109"/>
      <c r="X56" s="109"/>
      <c r="Y56" s="109"/>
      <c r="Z56" s="109"/>
      <c r="AA56" s="100"/>
    </row>
    <row r="57" spans="1:27" s="2" customFormat="1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20"/>
      <c r="R57" s="120"/>
      <c r="S57" s="120"/>
      <c r="T57" s="109"/>
      <c r="U57" s="109"/>
      <c r="V57" s="109"/>
      <c r="W57" s="109"/>
      <c r="X57" s="109"/>
      <c r="Y57" s="109"/>
      <c r="Z57" s="109"/>
      <c r="AA57" s="100"/>
    </row>
    <row r="58" spans="1:27" s="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53"/>
      <c r="R58" s="153"/>
      <c r="S58" s="153"/>
      <c r="T58" s="1"/>
      <c r="U58" s="1"/>
      <c r="V58" s="1"/>
      <c r="W58" s="1"/>
      <c r="X58" s="1"/>
      <c r="Y58" s="1"/>
      <c r="Z58" s="1"/>
      <c r="AA58" s="100"/>
    </row>
    <row r="59" spans="1:27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53"/>
      <c r="R59" s="153"/>
      <c r="S59" s="153"/>
      <c r="T59" s="1"/>
      <c r="U59" s="1"/>
      <c r="V59" s="1"/>
      <c r="W59" s="1"/>
      <c r="X59" s="1"/>
      <c r="Y59" s="1"/>
      <c r="Z59" s="1"/>
      <c r="AA59" s="100"/>
    </row>
    <row r="60" spans="1:27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53"/>
      <c r="R60" s="153"/>
      <c r="S60" s="153"/>
      <c r="T60" s="1"/>
      <c r="U60" s="1"/>
      <c r="V60" s="1"/>
      <c r="W60" s="1"/>
      <c r="X60" s="1"/>
      <c r="Y60" s="1"/>
      <c r="Z60" s="1"/>
      <c r="AA60" s="100"/>
    </row>
    <row r="61" spans="1:27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53"/>
      <c r="R61" s="153"/>
      <c r="S61" s="153"/>
      <c r="T61" s="1"/>
      <c r="U61" s="1"/>
      <c r="V61" s="1"/>
      <c r="W61" s="1"/>
      <c r="X61" s="1"/>
      <c r="Y61" s="1"/>
      <c r="Z61" s="1"/>
      <c r="AA61" s="100"/>
    </row>
    <row r="62" spans="1:27">
      <c r="AA62" s="100"/>
    </row>
    <row r="63" spans="1:27">
      <c r="AA63" s="100"/>
    </row>
    <row r="64" spans="1:27">
      <c r="AA64" s="100"/>
    </row>
    <row r="65" spans="1:27">
      <c r="AA65" s="100"/>
    </row>
    <row r="66" spans="1:27">
      <c r="AA66" s="100"/>
    </row>
    <row r="67" spans="1:27">
      <c r="AA67" s="100"/>
    </row>
    <row r="68" spans="1:27" s="102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53"/>
      <c r="R68" s="153"/>
      <c r="S68" s="153"/>
      <c r="T68" s="1"/>
      <c r="U68" s="1"/>
      <c r="V68" s="1"/>
      <c r="W68" s="1"/>
      <c r="X68" s="1"/>
      <c r="Y68" s="1"/>
      <c r="Z68" s="1"/>
    </row>
    <row r="69" spans="1:27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53"/>
      <c r="R69" s="153"/>
      <c r="S69" s="153"/>
      <c r="T69" s="1"/>
      <c r="U69" s="1"/>
      <c r="V69" s="1"/>
      <c r="W69" s="1"/>
      <c r="X69" s="1"/>
      <c r="Y69" s="1"/>
      <c r="Z69" s="1"/>
    </row>
    <row r="70" spans="1:27" s="10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53"/>
      <c r="R70" s="153"/>
      <c r="S70" s="153"/>
      <c r="T70" s="1"/>
      <c r="U70" s="1"/>
      <c r="V70" s="1"/>
      <c r="W70" s="1"/>
      <c r="X70" s="1"/>
      <c r="Y70" s="1"/>
      <c r="Z70" s="1"/>
    </row>
    <row r="71" spans="1:27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53"/>
      <c r="R71" s="153"/>
      <c r="S71" s="153"/>
      <c r="T71" s="1"/>
      <c r="U71" s="1"/>
      <c r="V71" s="1"/>
      <c r="W71" s="1"/>
      <c r="X71" s="1"/>
      <c r="Y71" s="1"/>
      <c r="Z71" s="1"/>
    </row>
    <row r="72" spans="1:27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53"/>
      <c r="R72" s="153"/>
      <c r="S72" s="153"/>
      <c r="T72" s="1"/>
      <c r="U72" s="1"/>
      <c r="V72" s="1"/>
      <c r="W72" s="1"/>
      <c r="X72" s="1"/>
      <c r="Y72" s="1"/>
      <c r="Z72" s="1"/>
    </row>
    <row r="73" spans="1:27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53"/>
      <c r="R73" s="153"/>
      <c r="S73" s="153"/>
      <c r="T73" s="1"/>
      <c r="U73" s="1"/>
      <c r="V73" s="1"/>
      <c r="W73" s="1"/>
      <c r="X73" s="1"/>
      <c r="Y73" s="1"/>
      <c r="Z73" s="1"/>
    </row>
    <row r="74" spans="1:27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53"/>
      <c r="R74" s="153"/>
      <c r="S74" s="153"/>
      <c r="T74" s="1"/>
      <c r="U74" s="1"/>
      <c r="V74" s="1"/>
      <c r="W74" s="1"/>
      <c r="X74" s="1"/>
      <c r="Y74" s="1"/>
      <c r="Z74" s="1"/>
    </row>
    <row r="75" spans="1:27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53"/>
      <c r="R75" s="153"/>
      <c r="S75" s="153"/>
      <c r="T75" s="1"/>
      <c r="U75" s="1"/>
      <c r="V75" s="1"/>
      <c r="W75" s="1"/>
      <c r="X75" s="1"/>
      <c r="Y75" s="1"/>
      <c r="Z75" s="1"/>
    </row>
    <row r="76" spans="1:27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53"/>
      <c r="R76" s="153"/>
      <c r="S76" s="153"/>
      <c r="T76" s="1"/>
      <c r="U76" s="1"/>
      <c r="V76" s="1"/>
      <c r="W76" s="1"/>
      <c r="X76" s="1"/>
      <c r="Y76" s="1"/>
      <c r="Z76" s="1"/>
    </row>
    <row r="77" spans="1:27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53"/>
      <c r="R77" s="153"/>
      <c r="S77" s="153"/>
      <c r="T77" s="1"/>
      <c r="U77" s="1"/>
      <c r="V77" s="1"/>
      <c r="W77" s="1"/>
      <c r="X77" s="1"/>
      <c r="Y77" s="1"/>
      <c r="Z77" s="1"/>
    </row>
    <row r="78" spans="1:27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53"/>
      <c r="R78" s="153"/>
      <c r="S78" s="153"/>
      <c r="T78" s="1"/>
      <c r="U78" s="1"/>
      <c r="V78" s="1"/>
      <c r="W78" s="1"/>
      <c r="X78" s="1"/>
      <c r="Y78" s="1"/>
      <c r="Z78" s="1"/>
    </row>
    <row r="79" spans="1:27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53"/>
      <c r="R79" s="153"/>
      <c r="S79" s="153"/>
      <c r="T79" s="1"/>
      <c r="U79" s="1"/>
      <c r="V79" s="1"/>
      <c r="W79" s="1"/>
      <c r="X79" s="1"/>
      <c r="Y79" s="1"/>
      <c r="Z79" s="1"/>
    </row>
    <row r="306" spans="17:102">
      <c r="Q306" s="1"/>
      <c r="R306" s="1"/>
      <c r="S306" s="1"/>
      <c r="CX306" s="1" t="s">
        <v>114</v>
      </c>
    </row>
  </sheetData>
  <mergeCells count="3">
    <mergeCell ref="A49:C49"/>
    <mergeCell ref="A53:C53"/>
    <mergeCell ref="U53:Y53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U307"/>
  <sheetViews>
    <sheetView zoomScale="90" zoomScaleNormal="90" workbookViewId="0">
      <pane xSplit="2" ySplit="6" topLeftCell="C41" activePane="bottomRight" state="frozen"/>
      <selection activeCell="S28" sqref="S28"/>
      <selection pane="topRight" activeCell="S28" sqref="S28"/>
      <selection pane="bottomLeft" activeCell="S28" sqref="S28"/>
      <selection pane="bottomRight" activeCell="B46" sqref="B46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8" width="12.4257812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4.425781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1" spans="1:26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6" ht="22.5">
      <c r="A3" s="3"/>
      <c r="B3" s="3"/>
      <c r="C3" s="3"/>
      <c r="D3" s="3"/>
      <c r="E3" s="3"/>
      <c r="F3" s="3"/>
      <c r="G3" s="3"/>
      <c r="H3" s="3"/>
      <c r="I3" s="3"/>
      <c r="J3" s="3"/>
      <c r="K3" s="5"/>
      <c r="L3" s="5" t="s">
        <v>0</v>
      </c>
      <c r="M3" s="6"/>
      <c r="N3" s="6"/>
      <c r="O3" s="6" t="s">
        <v>137</v>
      </c>
      <c r="P3" s="135" t="s">
        <v>132</v>
      </c>
      <c r="Q3" s="6" t="s">
        <v>1</v>
      </c>
      <c r="R3" s="6" t="s">
        <v>133</v>
      </c>
      <c r="S3" s="3"/>
      <c r="T3" s="3"/>
      <c r="U3" s="3"/>
      <c r="V3" s="3"/>
      <c r="W3" s="3"/>
      <c r="X3" s="3"/>
    </row>
    <row r="4" spans="1:26">
      <c r="A4" s="3"/>
      <c r="B4" s="3"/>
      <c r="C4" s="3"/>
      <c r="D4" s="3"/>
      <c r="E4" s="3"/>
      <c r="F4" s="10" t="s">
        <v>149</v>
      </c>
      <c r="G4" s="3"/>
      <c r="H4" s="3"/>
      <c r="I4" s="3"/>
      <c r="J4" s="3"/>
      <c r="K4" s="6"/>
      <c r="L4" s="7">
        <v>1.9E-2</v>
      </c>
      <c r="M4" s="6"/>
      <c r="N4" s="6"/>
      <c r="O4" s="8">
        <v>0.01</v>
      </c>
      <c r="P4" s="121">
        <v>0.105</v>
      </c>
      <c r="Q4" s="9">
        <v>3.7999999999999999E-2</v>
      </c>
      <c r="R4" s="121">
        <v>5.7000000000000002E-2</v>
      </c>
      <c r="S4" s="3"/>
      <c r="T4" s="3"/>
      <c r="U4" s="3"/>
      <c r="V4" s="3"/>
      <c r="W4" s="3"/>
      <c r="X4" s="3"/>
    </row>
    <row r="5" spans="1:26" ht="13.5" thickBot="1">
      <c r="B5" s="10" t="s">
        <v>2</v>
      </c>
      <c r="C5" s="3"/>
      <c r="D5" s="3"/>
      <c r="E5" s="3"/>
      <c r="F5" s="3"/>
      <c r="G5" s="3"/>
      <c r="H5" s="3"/>
      <c r="I5" s="3"/>
      <c r="J5" s="3"/>
      <c r="K5" s="3"/>
      <c r="Q5" s="3"/>
      <c r="R5" s="3"/>
      <c r="S5" s="3"/>
      <c r="T5" s="3"/>
      <c r="U5" s="3"/>
      <c r="V5" s="3"/>
      <c r="W5" s="3"/>
      <c r="X5" s="3"/>
    </row>
    <row r="6" spans="1:26" s="25" customFormat="1" ht="105.7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142">
        <v>15</v>
      </c>
      <c r="D7" s="28">
        <v>1129.1099999999999</v>
      </c>
      <c r="E7" s="28">
        <v>17515.27</v>
      </c>
      <c r="F7" s="28">
        <v>6040.32</v>
      </c>
      <c r="G7" s="28">
        <v>960</v>
      </c>
      <c r="H7" s="28">
        <f>'[1]HT-ADMINISTRATIVOS'!H8</f>
        <v>0</v>
      </c>
      <c r="I7" s="28">
        <v>688</v>
      </c>
      <c r="J7" s="28"/>
      <c r="K7" s="28">
        <f>SUM(E7+F7+I7+J7)</f>
        <v>24243.59</v>
      </c>
      <c r="L7" s="28">
        <f>SUM(K7+G7)</f>
        <v>25203.59</v>
      </c>
      <c r="M7" s="28">
        <f>IF('[18]Calculo ISR '!$K$34&lt;0,0,'[18]Calculo ISR '!$K$34)</f>
        <v>5457.759</v>
      </c>
      <c r="N7" s="28">
        <f>E7*P4</f>
        <v>1839.1033500000001</v>
      </c>
      <c r="O7" s="28"/>
      <c r="P7" s="28"/>
      <c r="Q7" s="28"/>
      <c r="R7" s="28"/>
      <c r="S7" s="28">
        <f>SUM(M7+N7+O7+P7+Q7+R7)</f>
        <v>7296.8623500000003</v>
      </c>
      <c r="T7" s="28"/>
      <c r="U7" s="36">
        <f>K7-S7</f>
        <v>16946.727650000001</v>
      </c>
      <c r="V7" s="28">
        <f>G7</f>
        <v>960</v>
      </c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780.2</v>
      </c>
      <c r="E8" s="36">
        <f>C8*D8</f>
        <v>11703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E8*R4</f>
        <v>667.07100000000003</v>
      </c>
      <c r="K8" s="36">
        <f>E8+F8+H8+I8+J8</f>
        <v>12816.071</v>
      </c>
      <c r="L8" s="36">
        <f t="shared" ref="L8:L12" si="0">K8+G8</f>
        <v>13201.571</v>
      </c>
      <c r="M8" s="28">
        <f>IF('[18]Calculo ISR '!$L$34&lt;0,0,'[18]Calculo ISR '!$L$34)</f>
        <v>2245.6521072</v>
      </c>
      <c r="N8" s="38">
        <f>E8*P4</f>
        <v>1228.8150000000001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3474.4671072000001</v>
      </c>
      <c r="T8" s="28">
        <f>IF('[1]Calculo ISR '!$L$34&gt;0,0,'[1]Calculo ISR '!$L$34)*-1</f>
        <v>0</v>
      </c>
      <c r="U8" s="36">
        <f>K8-S8</f>
        <v>9341.6038927999998</v>
      </c>
      <c r="V8" s="36">
        <f t="shared" ref="V8:V25" si="1">G8</f>
        <v>385.5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238.18</v>
      </c>
      <c r="E9" s="36">
        <v>3572.72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E9*R4</f>
        <v>203.64503999999999</v>
      </c>
      <c r="K9" s="36">
        <f>E9+F9+H9+I9+J9</f>
        <v>3776.3650399999997</v>
      </c>
      <c r="L9" s="36">
        <f t="shared" si="0"/>
        <v>4161.8650399999997</v>
      </c>
      <c r="M9" s="28">
        <f>IF('[18]Calculo ISR '!$M$34&lt;0,0,'[18]Calculo ISR '!$M$34)</f>
        <v>313.30680639999991</v>
      </c>
      <c r="N9" s="38">
        <f>E9*P4</f>
        <v>375.13559999999995</v>
      </c>
      <c r="O9" s="38">
        <v>800</v>
      </c>
      <c r="P9" s="38">
        <f>'[1]HT-ADMINISTRATIVOS'!Q11</f>
        <v>0</v>
      </c>
      <c r="Q9" s="38">
        <f>'[1]HT-ADMINISTRATIVOS'!R11</f>
        <v>0</v>
      </c>
      <c r="R9" s="38">
        <f>E9*O4</f>
        <v>35.727199999999996</v>
      </c>
      <c r="S9" s="36">
        <f>M9+N9+O9+P9+Q9+R9</f>
        <v>1524.1696064</v>
      </c>
      <c r="T9" s="28">
        <f>IF('[1]Calculo ISR '!$M$34&gt;0,0,'[1]Calculo ISR '!$M$34)*-1</f>
        <v>0</v>
      </c>
      <c r="U9" s="36">
        <f t="shared" ref="U9:U15" si="2">K9-S9+T9</f>
        <v>2252.1954335999999</v>
      </c>
      <c r="V9" s="36">
        <f t="shared" si="1"/>
        <v>385.5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f>E10/C10</f>
        <v>250.32666666666668</v>
      </c>
      <c r="E10" s="36">
        <v>3754.9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E10*R4</f>
        <v>214.02930000000001</v>
      </c>
      <c r="K10" s="36">
        <f>E10+F10+I10+J10</f>
        <v>3968.9293000000002</v>
      </c>
      <c r="L10" s="36">
        <f t="shared" si="0"/>
        <v>4354.4292999999998</v>
      </c>
      <c r="M10" s="28">
        <f>IF('[18]Calculo ISR '!$N$34&lt;0,0,'[18]Calculo ISR '!$N$34)</f>
        <v>344.11708800000002</v>
      </c>
      <c r="N10" s="38">
        <f>E10*P4</f>
        <v>394.2645</v>
      </c>
      <c r="O10" s="38">
        <v>650</v>
      </c>
      <c r="P10" s="38">
        <f>'[1]HT-ADMINISTRATIVOS'!Q12</f>
        <v>0</v>
      </c>
      <c r="Q10" s="38">
        <f>'[1]HT-ADMINISTRATIVOS'!R12</f>
        <v>0</v>
      </c>
      <c r="R10" s="38">
        <f>E10*O4</f>
        <v>37.548999999999999</v>
      </c>
      <c r="S10" s="36">
        <f t="shared" ref="S10:S29" si="3">M10+N10+O10+R10+P10+Q10</f>
        <v>1425.9305879999999</v>
      </c>
      <c r="T10" s="28">
        <f>IF('[1]Calculo ISR '!$N$34&gt;0,0,'[1]Calculo ISR '!$N$34)*-1</f>
        <v>0</v>
      </c>
      <c r="U10" s="36">
        <f t="shared" si="2"/>
        <v>2542.9987120000005</v>
      </c>
      <c r="V10" s="36">
        <f t="shared" si="1"/>
        <v>385.5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226.68</v>
      </c>
      <c r="E11" s="36">
        <v>3400.25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E11*R4</f>
        <v>193.81425000000002</v>
      </c>
      <c r="K11" s="36">
        <f t="shared" ref="K11:K30" si="4">E11+F11+H11+I11+J11</f>
        <v>3594.0642499999999</v>
      </c>
      <c r="L11" s="36">
        <f t="shared" si="0"/>
        <v>3979.5642499999999</v>
      </c>
      <c r="M11" s="28">
        <f>IF('[18]Calculo ISR '!$O$34&lt;0,0,'[18]Calculo ISR '!$O$34)</f>
        <v>179.55110239999996</v>
      </c>
      <c r="N11" s="38">
        <f>E11*P4</f>
        <v>357.02625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34.002499999999998</v>
      </c>
      <c r="S11" s="36">
        <f t="shared" si="3"/>
        <v>2032.7998524</v>
      </c>
      <c r="T11" s="28">
        <f>IF('[1]Calculo ISR '!$O$34&gt;0,0,'[1]Calculo ISR '!$O$34)*-1</f>
        <v>0</v>
      </c>
      <c r="U11" s="36">
        <f t="shared" si="2"/>
        <v>1561.2643975999999</v>
      </c>
      <c r="V11" s="36">
        <f t="shared" si="1"/>
        <v>385.5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250.33</v>
      </c>
      <c r="E12" s="36">
        <v>3754.9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E12*R4</f>
        <v>214.02930000000001</v>
      </c>
      <c r="K12" s="36">
        <f t="shared" si="4"/>
        <v>3968.9293000000002</v>
      </c>
      <c r="L12" s="36">
        <f t="shared" si="0"/>
        <v>4354.4292999999998</v>
      </c>
      <c r="M12" s="28">
        <f>IF('[18]Calculo ISR '!$P$34&lt;0,0,'[18]Calculo ISR '!$P$34)</f>
        <v>344.11708800000002</v>
      </c>
      <c r="N12" s="38">
        <f>E12*P4</f>
        <v>394.2645</v>
      </c>
      <c r="O12" s="38">
        <v>1211</v>
      </c>
      <c r="P12" s="38">
        <f>'[1]HT-ADMINISTRATIVOS'!Q14</f>
        <v>0</v>
      </c>
      <c r="Q12" s="38">
        <f>'[1]HT-ADMINISTRATIVOS'!R14</f>
        <v>0</v>
      </c>
      <c r="R12" s="38">
        <f>E12*O4</f>
        <v>37.548999999999999</v>
      </c>
      <c r="S12" s="36">
        <f t="shared" si="3"/>
        <v>1986.9305879999999</v>
      </c>
      <c r="T12" s="28">
        <f>IF('[1]Calculo ISR '!$P$34&gt;0,0,'[1]Calculo ISR '!$P$34)*-1</f>
        <v>0</v>
      </c>
      <c r="U12" s="36">
        <f t="shared" si="2"/>
        <v>1981.9987120000003</v>
      </c>
      <c r="V12" s="36">
        <f t="shared" si="1"/>
        <v>385.5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177.16</v>
      </c>
      <c r="E13" s="36">
        <v>2657.47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E13*R4</f>
        <v>151.47578999999999</v>
      </c>
      <c r="K13" s="36">
        <f t="shared" si="4"/>
        <v>2808.9457899999998</v>
      </c>
      <c r="L13" s="36">
        <f>K13+G13+T13</f>
        <v>3194.4457899999998</v>
      </c>
      <c r="M13" s="28">
        <f>IF('[18]Calculo ISR '!$Q$34&lt;0,0,'[18]Calculo ISR '!$Q$34)</f>
        <v>56.180213951999946</v>
      </c>
      <c r="N13" s="38">
        <f>E13*P4</f>
        <v>279.03434999999996</v>
      </c>
      <c r="O13" s="38">
        <v>567</v>
      </c>
      <c r="P13" s="38">
        <f>'[1]HT-ADMINISTRATIVOS'!Q15</f>
        <v>0</v>
      </c>
      <c r="Q13" s="38">
        <f>'[1]HT-ADMINISTRATIVOS'!R15</f>
        <v>0</v>
      </c>
      <c r="R13" s="38">
        <f>E13*O4</f>
        <v>26.5747</v>
      </c>
      <c r="S13" s="36">
        <f t="shared" si="3"/>
        <v>928.78926395199994</v>
      </c>
      <c r="T13" s="28">
        <f>IF('[1]Calculo ISR '!$Q$34&gt;0,0,'[1]Calculo ISR '!$Q$34)</f>
        <v>0</v>
      </c>
      <c r="U13" s="36">
        <f t="shared" si="2"/>
        <v>1880.1565260479997</v>
      </c>
      <c r="V13" s="36">
        <f t="shared" si="1"/>
        <v>385.5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168.65</v>
      </c>
      <c r="E14" s="36">
        <v>2529.8000000000002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E14*R4</f>
        <v>144.19860000000003</v>
      </c>
      <c r="K14" s="36">
        <f t="shared" si="4"/>
        <v>2673.9986000000004</v>
      </c>
      <c r="L14" s="36">
        <f>K14+G14+T14</f>
        <v>3059.4986000000004</v>
      </c>
      <c r="M14" s="28">
        <f>IF('[18]Calculo ISR '!$R$34&lt;0,0,'[18]Calculo ISR '!$R$34)</f>
        <v>41.497959680000037</v>
      </c>
      <c r="N14" s="38">
        <f>E14*P4</f>
        <v>265.62900000000002</v>
      </c>
      <c r="O14" s="38">
        <v>816</v>
      </c>
      <c r="P14" s="38">
        <f>'[1]HT-ADMINISTRATIVOS'!Q16</f>
        <v>0</v>
      </c>
      <c r="Q14" s="38">
        <f>'[1]HT-ADMINISTRATIVOS'!R16</f>
        <v>0</v>
      </c>
      <c r="R14" s="38">
        <f>E14*O4</f>
        <v>25.298000000000002</v>
      </c>
      <c r="S14" s="36">
        <f t="shared" si="3"/>
        <v>1148.42495968</v>
      </c>
      <c r="T14" s="28">
        <f>IF('[1]Calculo ISR '!$R$34&gt;0,0,'[1]Calculo ISR '!$R$34)*-1</f>
        <v>0</v>
      </c>
      <c r="U14" s="36">
        <f t="shared" si="2"/>
        <v>1525.5736403200003</v>
      </c>
      <c r="V14" s="36">
        <f t="shared" si="1"/>
        <v>385.5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553.13</v>
      </c>
      <c r="E15" s="36">
        <v>8296.9699999999993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E15*Q4</f>
        <v>315.28485999999998</v>
      </c>
      <c r="K15" s="36">
        <f t="shared" si="4"/>
        <v>8612.2548599999991</v>
      </c>
      <c r="L15" s="36">
        <f>K15+G15</f>
        <v>8997.7548599999991</v>
      </c>
      <c r="M15" s="28">
        <f>IF('[18]Calculo ISR '!$S$34&lt;0,0,'[18]Calculo ISR '!$S$34)</f>
        <v>1292.3884620959998</v>
      </c>
      <c r="N15" s="38">
        <f>E15*P4</f>
        <v>871.18184999999994</v>
      </c>
      <c r="O15" s="38">
        <v>2675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3"/>
        <v>4838.5703120959997</v>
      </c>
      <c r="T15" s="28">
        <f>IF('[1]Calculo ISR '!$S$34&gt;0,0,'[1]Calculo ISR '!$S$34)*-1</f>
        <v>0</v>
      </c>
      <c r="U15" s="36">
        <f t="shared" si="2"/>
        <v>3773.6845479039994</v>
      </c>
      <c r="V15" s="36">
        <f t="shared" si="1"/>
        <v>385.5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276.45</v>
      </c>
      <c r="E16" s="36">
        <v>4146.7700000000004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E16*Q4</f>
        <v>157.57726000000002</v>
      </c>
      <c r="K16" s="36">
        <f t="shared" si="4"/>
        <v>4304.3472600000005</v>
      </c>
      <c r="L16" s="36">
        <f>K16+G16</f>
        <v>4689.8472600000005</v>
      </c>
      <c r="M16" s="28">
        <f>IF('[18]Calculo ISR '!$T$34&lt;0,0,'[18]Calculo ISR '!$T$34)</f>
        <v>398.84451699200014</v>
      </c>
      <c r="N16" s="38">
        <f>E16*P4</f>
        <v>435.41085000000004</v>
      </c>
      <c r="O16" s="38">
        <v>1337</v>
      </c>
      <c r="P16" s="38"/>
      <c r="Q16" s="38"/>
      <c r="R16" s="38">
        <f>E16*O4</f>
        <v>41.467700000000008</v>
      </c>
      <c r="S16" s="36">
        <f>M16+N16+O16+Q16+R16+P16</f>
        <v>2212.7230669920004</v>
      </c>
      <c r="T16" s="28">
        <f>IF('[1]Calculo ISR '!$T$34&gt;0,0,'[1]Calculo ISR '!$T$34)*-1</f>
        <v>0</v>
      </c>
      <c r="U16" s="36">
        <f>K16-S16</f>
        <v>2091.624193008</v>
      </c>
      <c r="V16" s="36">
        <f t="shared" si="1"/>
        <v>385.5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238.18</v>
      </c>
      <c r="E17" s="36">
        <v>3572.72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7">
        <f>E17*Q4</f>
        <v>135.76335999999998</v>
      </c>
      <c r="K17" s="36">
        <f t="shared" si="4"/>
        <v>4154.4833600000002</v>
      </c>
      <c r="L17" s="36">
        <f>K17+G17</f>
        <v>4539.9833600000002</v>
      </c>
      <c r="M17" s="28">
        <f>IF('[18]Calculo ISR '!$U$34&lt;0,0,'[18]Calculo ISR '!$U$34)</f>
        <v>373.80573759999999</v>
      </c>
      <c r="N17" s="38">
        <f>E17*P4</f>
        <v>375.13559999999995</v>
      </c>
      <c r="O17" s="38">
        <v>1152</v>
      </c>
      <c r="P17" s="38">
        <f>'[1]HT-ADMINISTRATIVOS'!Q19</f>
        <v>0</v>
      </c>
      <c r="Q17" s="38">
        <f>'[1]HT-ADMINISTRATIVOS'!R19</f>
        <v>0</v>
      </c>
      <c r="R17" s="38">
        <f>E17*O4</f>
        <v>35.727199999999996</v>
      </c>
      <c r="S17" s="36">
        <f t="shared" si="3"/>
        <v>1936.6685376</v>
      </c>
      <c r="T17" s="28">
        <f>IF('[1]Calculo ISR '!$U$34&gt;0,0,'[1]Calculo ISR '!$U$34)*-1</f>
        <v>0</v>
      </c>
      <c r="U17" s="36">
        <f t="shared" ref="U17:U25" si="5">K17-S17+T17</f>
        <v>2217.8148224000001</v>
      </c>
      <c r="V17" s="36">
        <f t="shared" si="1"/>
        <v>385.5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902.7</v>
      </c>
      <c r="E18" s="36">
        <v>13540.55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E18*L4</f>
        <v>257.27044999999998</v>
      </c>
      <c r="K18" s="36">
        <f t="shared" si="4"/>
        <v>13797.820449999999</v>
      </c>
      <c r="L18" s="36">
        <f>K18+G18</f>
        <v>14183.320449999999</v>
      </c>
      <c r="M18" s="28">
        <f>IF('[18]Calculo ISR '!$V$34&lt;0,0,'[18]Calculo ISR '!$V$34)</f>
        <v>2476.5595778400002</v>
      </c>
      <c r="N18" s="38">
        <f>E18*P4</f>
        <v>1421.7577499999998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3"/>
        <v>3898.31732784</v>
      </c>
      <c r="T18" s="28">
        <f>IF('[1]Calculo ISR '!$V$34&gt;0,0,'[1]Calculo ISR '!$V$34)*-1</f>
        <v>0</v>
      </c>
      <c r="U18" s="36">
        <f t="shared" si="5"/>
        <v>9899.5031221600002</v>
      </c>
      <c r="V18" s="36">
        <f t="shared" si="1"/>
        <v>385.5</v>
      </c>
      <c r="W18" s="46"/>
      <c r="X18" s="47"/>
    </row>
    <row r="19" spans="1:24" s="48" customFormat="1" ht="45" customHeight="1">
      <c r="A19" s="53" t="s">
        <v>51</v>
      </c>
      <c r="B19" s="53" t="s">
        <v>52</v>
      </c>
      <c r="C19" s="34">
        <v>15</v>
      </c>
      <c r="D19" s="50">
        <v>226.68</v>
      </c>
      <c r="E19" s="36">
        <v>3400.25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E19*L4</f>
        <v>64.604749999999996</v>
      </c>
      <c r="K19" s="36">
        <f t="shared" si="4"/>
        <v>3464.85475</v>
      </c>
      <c r="L19" s="36">
        <f>K19+G19</f>
        <v>3850.35475</v>
      </c>
      <c r="M19" s="28">
        <f>IF('[18]Calculo ISR '!$W$34&lt;0,0,'[18]Calculo ISR '!$W$34)</f>
        <v>147.7931088</v>
      </c>
      <c r="N19" s="38">
        <f>E19*P4</f>
        <v>357.02625</v>
      </c>
      <c r="O19" s="38">
        <v>1097</v>
      </c>
      <c r="P19" s="38">
        <f>'[1]HT-ADMINISTRATIVOS'!Q21</f>
        <v>0</v>
      </c>
      <c r="Q19" s="38">
        <f>'[1]HT-ADMINISTRATIVOS'!R21</f>
        <v>0</v>
      </c>
      <c r="R19" s="38">
        <f>E19*O4</f>
        <v>34.002499999999998</v>
      </c>
      <c r="S19" s="36">
        <f t="shared" si="3"/>
        <v>1635.8218588</v>
      </c>
      <c r="T19" s="28">
        <f>IF('[1]Calculo ISR '!$W$34&gt;0,0,'[1]Calculo ISR '!$W$34)*-1</f>
        <v>0</v>
      </c>
      <c r="U19" s="36">
        <f t="shared" si="5"/>
        <v>1829.0328912</v>
      </c>
      <c r="V19" s="36">
        <f t="shared" si="1"/>
        <v>385.5</v>
      </c>
      <c r="W19" s="46"/>
      <c r="X19" s="47"/>
    </row>
    <row r="20" spans="1:24" s="48" customFormat="1" ht="45" customHeight="1">
      <c r="A20" s="53" t="s">
        <v>53</v>
      </c>
      <c r="B20" s="53" t="s">
        <v>54</v>
      </c>
      <c r="C20" s="34">
        <v>15</v>
      </c>
      <c r="D20" s="50">
        <v>153.16</v>
      </c>
      <c r="E20" s="36">
        <v>2297.42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E20*L4</f>
        <v>43.650979999999997</v>
      </c>
      <c r="K20" s="36">
        <f t="shared" si="4"/>
        <v>2341.07098</v>
      </c>
      <c r="L20" s="36">
        <f>K20+G20+T20</f>
        <v>2763.65574883512</v>
      </c>
      <c r="M20" s="28">
        <f>IF('[18]Calculo ISR '!$X$34&lt;0,0,'[18]Calculo ISR '!$X$34)</f>
        <v>0</v>
      </c>
      <c r="N20" s="38">
        <f>E20*P4</f>
        <v>241.22909999999999</v>
      </c>
      <c r="O20" s="38">
        <v>741</v>
      </c>
      <c r="P20" s="38">
        <f>'[1]HT-ADMINISTRATIVOS'!Q22</f>
        <v>0</v>
      </c>
      <c r="Q20" s="38">
        <f>'[1]HT-ADMINISTRATIVOS'!R22</f>
        <v>0</v>
      </c>
      <c r="R20" s="38">
        <f>E20*O4</f>
        <v>22.9742</v>
      </c>
      <c r="S20" s="36">
        <f t="shared" si="3"/>
        <v>1005.2033</v>
      </c>
      <c r="T20" s="28">
        <f>IF('[1]Calculo ISR '!$X$34&gt;0,0,('[1]Calculo ISR '!$X$34)*-1)</f>
        <v>37.084768835120002</v>
      </c>
      <c r="U20" s="36">
        <f t="shared" si="5"/>
        <v>1372.9524488351199</v>
      </c>
      <c r="V20" s="36">
        <f t="shared" si="1"/>
        <v>385.5</v>
      </c>
      <c r="W20" s="46"/>
      <c r="X20" s="47"/>
    </row>
    <row r="21" spans="1:24" s="48" customFormat="1" ht="45" customHeight="1">
      <c r="A21" s="53" t="s">
        <v>55</v>
      </c>
      <c r="B21" s="53" t="s">
        <v>56</v>
      </c>
      <c r="C21" s="34">
        <v>15</v>
      </c>
      <c r="D21" s="50">
        <v>153.16</v>
      </c>
      <c r="E21" s="36">
        <v>2297.42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E21*L4</f>
        <v>43.650979999999997</v>
      </c>
      <c r="K21" s="36">
        <f t="shared" si="4"/>
        <v>2787.07098</v>
      </c>
      <c r="L21" s="36">
        <f>K21+G21+T21</f>
        <v>3172.57098</v>
      </c>
      <c r="M21" s="28">
        <f>IF('[18]Calculo ISR '!$Y$34&lt;0,0,'[18]Calculo ISR '!$Y$34)</f>
        <v>53.800234623999955</v>
      </c>
      <c r="N21" s="38">
        <f>E21*P4</f>
        <v>241.22909999999999</v>
      </c>
      <c r="O21" s="38">
        <v>597</v>
      </c>
      <c r="P21" s="38">
        <f>'[1]HT-ADMINISTRATIVOS'!Q23</f>
        <v>0</v>
      </c>
      <c r="Q21" s="38">
        <f>'[1]HT-ADMINISTRATIVOS'!R23</f>
        <v>0</v>
      </c>
      <c r="R21" s="38">
        <f>E21*O4</f>
        <v>22.9742</v>
      </c>
      <c r="S21" s="36">
        <f t="shared" si="3"/>
        <v>915.00353462399994</v>
      </c>
      <c r="T21" s="28">
        <f>IF('[1]Calculo ISR '!$Y$34&gt;0,0,'[1]Calculo ISR '!$Y$34)*-1</f>
        <v>0</v>
      </c>
      <c r="U21" s="36">
        <f t="shared" si="5"/>
        <v>1872.067445376</v>
      </c>
      <c r="V21" s="36">
        <f t="shared" si="1"/>
        <v>385.5</v>
      </c>
      <c r="W21" s="46"/>
      <c r="X21" s="47"/>
    </row>
    <row r="22" spans="1:24" s="48" customFormat="1" ht="45" customHeight="1">
      <c r="A22" s="54" t="s">
        <v>61</v>
      </c>
      <c r="B22" s="55" t="s">
        <v>62</v>
      </c>
      <c r="C22" s="34">
        <v>15</v>
      </c>
      <c r="D22" s="50">
        <v>205.61</v>
      </c>
      <c r="E22" s="36">
        <f t="shared" ref="E22:E43" si="6">C22*D22</f>
        <v>3084.15</v>
      </c>
      <c r="F22" s="43"/>
      <c r="G22" s="36">
        <f>'[1]HT-ADMINISTRATIVOS'!G28</f>
        <v>385.5</v>
      </c>
      <c r="H22" s="36">
        <f>'[1]HT-ADMINISTRATIVOS'!H28</f>
        <v>446</v>
      </c>
      <c r="I22" s="36">
        <f>'[1]HT-ADMINISTRATIVOS'!J28</f>
        <v>0</v>
      </c>
      <c r="J22" s="37">
        <f>'[1]HT-ADMINISTRATIVOS'!I28</f>
        <v>0</v>
      </c>
      <c r="K22" s="36">
        <f t="shared" si="4"/>
        <v>3530.15</v>
      </c>
      <c r="L22" s="36">
        <f>K22+G22</f>
        <v>3915.65</v>
      </c>
      <c r="M22" s="28">
        <f>IF('[18]Calculo ISR '!$AB$34&lt;0,0,'[18]Calculo ISR '!$AB$34)</f>
        <v>172.59723199999999</v>
      </c>
      <c r="N22" s="38">
        <f>E22*P4</f>
        <v>323.83575000000002</v>
      </c>
      <c r="O22" s="38">
        <v>0</v>
      </c>
      <c r="P22" s="38">
        <f>'[1]HT-ADMINISTRATIVOS'!Q28</f>
        <v>0</v>
      </c>
      <c r="Q22" s="38">
        <f>'[1]HT-ADMINISTRATIVOS'!R28</f>
        <v>0</v>
      </c>
      <c r="R22" s="38">
        <f>E22*O4</f>
        <v>30.8415</v>
      </c>
      <c r="S22" s="36">
        <f t="shared" si="3"/>
        <v>527.27448200000003</v>
      </c>
      <c r="T22" s="28">
        <f>IF('[1]Calculo ISR '!$AB$34&gt;0,0,'[1]Calculo ISR '!$AB$34)*-1</f>
        <v>0</v>
      </c>
      <c r="U22" s="36">
        <f t="shared" si="5"/>
        <v>3002.8755179999998</v>
      </c>
      <c r="V22" s="36">
        <f t="shared" si="1"/>
        <v>385.5</v>
      </c>
      <c r="W22" s="46"/>
      <c r="X22" s="47"/>
    </row>
    <row r="23" spans="1:24" s="48" customFormat="1" ht="45" customHeight="1">
      <c r="A23" s="54" t="s">
        <v>63</v>
      </c>
      <c r="B23" s="55" t="s">
        <v>64</v>
      </c>
      <c r="C23" s="34">
        <v>15</v>
      </c>
      <c r="D23" s="50">
        <v>186.24</v>
      </c>
      <c r="E23" s="36">
        <v>2793.65</v>
      </c>
      <c r="F23" s="43"/>
      <c r="G23" s="36">
        <f>'[1]HT-ADMINISTRATIVOS'!G29</f>
        <v>385.5</v>
      </c>
      <c r="H23" s="36">
        <f>'[1]HT-ADMINISTRATIVOS'!H29</f>
        <v>892</v>
      </c>
      <c r="I23" s="36">
        <f>'[1]HT-ADMINISTRATIVOS'!J29</f>
        <v>0</v>
      </c>
      <c r="J23" s="37">
        <f>'[1]HT-ADMINISTRATIVOS'!I29</f>
        <v>0</v>
      </c>
      <c r="K23" s="36">
        <f t="shared" si="4"/>
        <v>3685.65</v>
      </c>
      <c r="L23" s="36">
        <f>K23+G23</f>
        <v>4071.15</v>
      </c>
      <c r="M23" s="28">
        <f>IF('[18]Calculo ISR '!$AC$34&lt;0,0,'[18]Calculo ISR '!$AC$34)</f>
        <v>172.59723199999999</v>
      </c>
      <c r="N23" s="38">
        <f>E23*P4</f>
        <v>293.33325000000002</v>
      </c>
      <c r="O23" s="38">
        <v>1081</v>
      </c>
      <c r="P23" s="38">
        <f>'[1]HT-ADMINISTRATIVOS'!Q29</f>
        <v>0</v>
      </c>
      <c r="Q23" s="38">
        <f>'[1]HT-ADMINISTRATIVOS'!R29</f>
        <v>0</v>
      </c>
      <c r="R23" s="38">
        <f>E23*O4</f>
        <v>27.936500000000002</v>
      </c>
      <c r="S23" s="36">
        <f t="shared" si="3"/>
        <v>1574.866982</v>
      </c>
      <c r="T23" s="28">
        <f>IF('[1]Calculo ISR '!$AC$34&gt;0,0,'[1]Calculo ISR '!$AC$34)*-1</f>
        <v>0</v>
      </c>
      <c r="U23" s="36">
        <f t="shared" si="5"/>
        <v>2110.7830180000001</v>
      </c>
      <c r="V23" s="36">
        <f t="shared" si="1"/>
        <v>385.5</v>
      </c>
      <c r="W23" s="46"/>
      <c r="X23" s="47"/>
    </row>
    <row r="24" spans="1:24" s="48" customFormat="1" ht="45" customHeight="1">
      <c r="A24" s="56" t="s">
        <v>65</v>
      </c>
      <c r="B24" s="55" t="s">
        <v>66</v>
      </c>
      <c r="C24" s="34">
        <v>15</v>
      </c>
      <c r="D24" s="50">
        <v>146.38999999999999</v>
      </c>
      <c r="E24" s="36">
        <v>2195.92</v>
      </c>
      <c r="F24" s="43"/>
      <c r="G24" s="36">
        <f>'[1]HT-ADMINISTRATIVOS'!G31</f>
        <v>385.5</v>
      </c>
      <c r="H24" s="36">
        <f>'[1]HT-ADMINISTRATIVOS'!H31</f>
        <v>446</v>
      </c>
      <c r="I24" s="36">
        <f>'[1]HT-ADMINISTRATIVOS'!J31</f>
        <v>0</v>
      </c>
      <c r="J24" s="37">
        <f>'[1]HT-ADMINISTRATIVOS'!I31</f>
        <v>0</v>
      </c>
      <c r="K24" s="36">
        <f t="shared" si="4"/>
        <v>2641.92</v>
      </c>
      <c r="L24" s="36">
        <f>K24+G24+T24</f>
        <v>3027.42</v>
      </c>
      <c r="M24" s="28">
        <f>IF('[18]Calculo ISR '!$AD$34&lt;0,0,'[18]Calculo ISR '!$AD$34)</f>
        <v>38.007807999999983</v>
      </c>
      <c r="N24" s="38">
        <f>E24*P4</f>
        <v>230.57159999999999</v>
      </c>
      <c r="O24" s="38">
        <f>'[1]HT-ADMINISTRATIVOS'!P31</f>
        <v>0</v>
      </c>
      <c r="P24" s="38">
        <f>'[1]HT-ADMINISTRATIVOS'!Q31</f>
        <v>0</v>
      </c>
      <c r="Q24" s="38">
        <f>'[1]HT-ADMINISTRATIVOS'!R31</f>
        <v>0</v>
      </c>
      <c r="R24" s="38">
        <f>E24*O4</f>
        <v>21.959200000000003</v>
      </c>
      <c r="S24" s="36">
        <f t="shared" si="3"/>
        <v>290.53860799999995</v>
      </c>
      <c r="T24" s="28">
        <f>IF('[1]Calculo ISR '!$AD$34&gt;0,0,'[1]Calculo ISR '!$AD$34)*-1</f>
        <v>0</v>
      </c>
      <c r="U24" s="36">
        <f t="shared" si="5"/>
        <v>2351.3813920000002</v>
      </c>
      <c r="V24" s="36">
        <f t="shared" si="1"/>
        <v>385.5</v>
      </c>
      <c r="W24" s="46"/>
      <c r="X24" s="47"/>
    </row>
    <row r="25" spans="1:24" s="48" customFormat="1" ht="45" customHeight="1">
      <c r="A25" s="56" t="s">
        <v>67</v>
      </c>
      <c r="B25" s="57" t="s">
        <v>68</v>
      </c>
      <c r="C25" s="34">
        <v>15</v>
      </c>
      <c r="D25" s="50">
        <v>553.13</v>
      </c>
      <c r="E25" s="36">
        <v>8296.9699999999993</v>
      </c>
      <c r="F25" s="43"/>
      <c r="G25" s="36">
        <f>'[1]HT-ADMINISTRATIVOS'!G32</f>
        <v>385.5</v>
      </c>
      <c r="H25" s="36">
        <f>'[1]HT-ADMINISTRATIVOS'!H32</f>
        <v>0</v>
      </c>
      <c r="I25" s="36">
        <f>'[1]HT-ADMINISTRATIVOS'!J32</f>
        <v>0</v>
      </c>
      <c r="J25" s="37">
        <f>E25*Q4</f>
        <v>315.28485999999998</v>
      </c>
      <c r="K25" s="36">
        <f t="shared" si="4"/>
        <v>8612.2548599999991</v>
      </c>
      <c r="L25" s="36">
        <f>K25+G25</f>
        <v>8997.7548599999991</v>
      </c>
      <c r="M25" s="28">
        <f>IF('[18]Calculo ISR '!$AE$34&lt;0,0,'[18]Calculo ISR '!$AE$34)</f>
        <v>1292.3884620959998</v>
      </c>
      <c r="N25" s="38">
        <f>E25*P4</f>
        <v>871.18184999999994</v>
      </c>
      <c r="O25" s="38">
        <v>2150.31</v>
      </c>
      <c r="P25" s="38">
        <f>'[1]HT-ADMINISTRATIVOS'!Q32</f>
        <v>0</v>
      </c>
      <c r="Q25" s="38">
        <f>'[1]HT-ADMINISTRATIVOS'!R32</f>
        <v>0</v>
      </c>
      <c r="R25" s="38">
        <f>'[1]HT-ADMINISTRATIVOS'!S32</f>
        <v>0</v>
      </c>
      <c r="S25" s="36">
        <f t="shared" si="3"/>
        <v>4313.8803120960001</v>
      </c>
      <c r="T25" s="28">
        <f>IF('[1]Calculo ISR '!$AE$34&gt;0,0,'[1]Calculo ISR '!$AE$34)*-1</f>
        <v>0</v>
      </c>
      <c r="U25" s="36">
        <f t="shared" si="5"/>
        <v>4298.374547903999</v>
      </c>
      <c r="V25" s="36">
        <f t="shared" si="1"/>
        <v>385.5</v>
      </c>
      <c r="W25" s="46"/>
      <c r="X25" s="47"/>
    </row>
    <row r="26" spans="1:24" s="48" customFormat="1" ht="45" customHeight="1">
      <c r="A26" s="58" t="s">
        <v>69</v>
      </c>
      <c r="B26" s="59" t="s">
        <v>70</v>
      </c>
      <c r="C26" s="34">
        <v>15</v>
      </c>
      <c r="D26" s="50">
        <v>238.18</v>
      </c>
      <c r="E26" s="36">
        <v>3572.72</v>
      </c>
      <c r="F26" s="43"/>
      <c r="G26" s="36">
        <v>385.5</v>
      </c>
      <c r="H26" s="36">
        <f>'[1]HT-ADMINISTRATIVOS'!H33</f>
        <v>0</v>
      </c>
      <c r="I26" s="36">
        <f>'[1]HT-ADMINISTRATIVOS'!J33</f>
        <v>0</v>
      </c>
      <c r="J26" s="37">
        <f>'[1]HT-ADMINISTRATIVOS'!I33</f>
        <v>0</v>
      </c>
      <c r="K26" s="36">
        <f t="shared" si="4"/>
        <v>3572.72</v>
      </c>
      <c r="L26" s="36">
        <f>K26+G26</f>
        <v>3958.22</v>
      </c>
      <c r="M26" s="28">
        <f>IF('[18]Calculo ISR '!$AF$34&lt;0,0,'[18]Calculo ISR '!$AF$34)</f>
        <v>177.22884799999994</v>
      </c>
      <c r="N26" s="38">
        <f>E26*P4</f>
        <v>375.13559999999995</v>
      </c>
      <c r="O26" s="38">
        <v>689.44</v>
      </c>
      <c r="P26" s="143"/>
      <c r="Q26" s="38"/>
      <c r="R26" s="38">
        <f>E26*O4</f>
        <v>35.727199999999996</v>
      </c>
      <c r="S26" s="36">
        <f>M26+N26+O26+R26+P26+Q26</f>
        <v>1277.5316479999999</v>
      </c>
      <c r="T26" s="28">
        <f>IF('[1]Calculo ISR '!$AF$34&gt;0,0,'[1]Calculo ISR '!$AF$34)*-1</f>
        <v>0</v>
      </c>
      <c r="U26" s="36">
        <f>K26-S26+T26</f>
        <v>2295.1883520000001</v>
      </c>
      <c r="V26" s="36">
        <v>385.5</v>
      </c>
      <c r="W26" s="46"/>
      <c r="X26" s="47"/>
    </row>
    <row r="27" spans="1:24" s="48" customFormat="1" ht="45" customHeight="1">
      <c r="A27" s="60" t="s">
        <v>71</v>
      </c>
      <c r="B27" s="61" t="s">
        <v>72</v>
      </c>
      <c r="C27" s="66">
        <v>15</v>
      </c>
      <c r="D27" s="50">
        <v>146.38999999999999</v>
      </c>
      <c r="E27" s="36">
        <v>2195.92</v>
      </c>
      <c r="F27" s="43"/>
      <c r="G27" s="36">
        <f>'[1]HT-ADMINISTRATIVOS'!G35</f>
        <v>385.5</v>
      </c>
      <c r="H27" s="36">
        <f>'[1]HT-ADMINISTRATIVOS'!H35</f>
        <v>0</v>
      </c>
      <c r="I27" s="36">
        <f>'[1]HT-ADMINISTRATIVOS'!J35</f>
        <v>0</v>
      </c>
      <c r="J27" s="37">
        <f>'[1]HT-ADMINISTRATIVOS'!I35</f>
        <v>0</v>
      </c>
      <c r="K27" s="36">
        <f t="shared" si="4"/>
        <v>2195.92</v>
      </c>
      <c r="L27" s="36">
        <f>K27+G27+T27</f>
        <v>2643.1455283017599</v>
      </c>
      <c r="M27" s="28">
        <f>IF('[18]Calculo ISR '!$AG$34&lt;0,0,'[18]Calculo ISR '!$AG$34)</f>
        <v>0</v>
      </c>
      <c r="N27" s="38">
        <f>E27*P4</f>
        <v>230.57159999999999</v>
      </c>
      <c r="O27" s="38">
        <v>300</v>
      </c>
      <c r="P27" s="38">
        <f>'[1]HT-ADMINISTRATIVOS'!Q35</f>
        <v>0</v>
      </c>
      <c r="Q27" s="38">
        <f>'[1]HT-ADMINISTRATIVOS'!R35</f>
        <v>0</v>
      </c>
      <c r="R27" s="38">
        <f>E27*O4</f>
        <v>21.959200000000003</v>
      </c>
      <c r="S27" s="36">
        <f t="shared" si="3"/>
        <v>552.5308</v>
      </c>
      <c r="T27" s="28">
        <f>IF('[1]Calculo ISR '!$AG$34&gt;0,0,'[1]Calculo ISR '!$AG$34)*-1</f>
        <v>61.725528301760008</v>
      </c>
      <c r="U27" s="36">
        <f>K27-S27+T27</f>
        <v>1705.1147283017601</v>
      </c>
      <c r="V27" s="36">
        <f>G27</f>
        <v>385.5</v>
      </c>
      <c r="W27" s="67"/>
      <c r="X27" s="47"/>
    </row>
    <row r="28" spans="1:24" s="48" customFormat="1" ht="45" customHeight="1">
      <c r="A28" s="53" t="s">
        <v>73</v>
      </c>
      <c r="B28" s="61" t="s">
        <v>74</v>
      </c>
      <c r="C28" s="66">
        <v>15</v>
      </c>
      <c r="D28" s="50">
        <v>553.13</v>
      </c>
      <c r="E28" s="36">
        <v>8296.9699999999993</v>
      </c>
      <c r="F28" s="43"/>
      <c r="G28" s="36">
        <f>'[1]HT-ADMINISTRATIVOS'!G36</f>
        <v>385.5</v>
      </c>
      <c r="H28" s="36">
        <f>'[1]HT-ADMINISTRATIVOS'!H36</f>
        <v>0</v>
      </c>
      <c r="I28" s="36">
        <f>'[1]HT-ADMINISTRATIVOS'!J36</f>
        <v>0</v>
      </c>
      <c r="J28" s="37">
        <f>'[1]HT-ADMINISTRATIVOS'!I36</f>
        <v>0</v>
      </c>
      <c r="K28" s="36">
        <f t="shared" si="4"/>
        <v>8296.9699999999993</v>
      </c>
      <c r="L28" s="36">
        <f>K28+G28</f>
        <v>8682.4699999999993</v>
      </c>
      <c r="M28" s="28">
        <f>IF('[18]Calculo ISR '!$AH$34&lt;0,0,'[18]Calculo ISR '!$AH$34)</f>
        <v>1225.0436159999999</v>
      </c>
      <c r="N28" s="38">
        <f>E28*P4</f>
        <v>871.18184999999994</v>
      </c>
      <c r="O28" s="38">
        <f>'[1]HT-ADMINISTRATIVOS'!P36</f>
        <v>0</v>
      </c>
      <c r="P28" s="38">
        <f>'[1]HT-ADMINISTRATIVOS'!Q36</f>
        <v>0</v>
      </c>
      <c r="Q28" s="38">
        <f>'[1]HT-ADMINISTRATIVOS'!R36</f>
        <v>0</v>
      </c>
      <c r="R28" s="38">
        <f>'[1]HT-ADMINISTRATIVOS'!S36</f>
        <v>0</v>
      </c>
      <c r="S28" s="36">
        <f t="shared" si="3"/>
        <v>2096.2254659999999</v>
      </c>
      <c r="T28" s="28">
        <f>IF('[1]Calculo ISR '!$AH$34&gt;0,0,'[1]Calculo ISR '!$AH$34)*-1</f>
        <v>0</v>
      </c>
      <c r="U28" s="36">
        <f>K28-S28+T28</f>
        <v>6200.7445339999995</v>
      </c>
      <c r="V28" s="36">
        <f>G28</f>
        <v>385.5</v>
      </c>
      <c r="W28" s="67"/>
      <c r="X28" s="47"/>
    </row>
    <row r="29" spans="1:24" s="48" customFormat="1" ht="45" customHeight="1">
      <c r="A29" s="68" t="s">
        <v>75</v>
      </c>
      <c r="B29" s="61" t="s">
        <v>76</v>
      </c>
      <c r="C29" s="66">
        <v>15</v>
      </c>
      <c r="D29" s="50">
        <v>146.38999999999999</v>
      </c>
      <c r="E29" s="36">
        <v>2195.92</v>
      </c>
      <c r="F29" s="43"/>
      <c r="G29" s="36">
        <f>'[1]HT-ADMINISTRATIVOS'!G37</f>
        <v>385.5</v>
      </c>
      <c r="H29" s="36">
        <f>'[1]HT-ADMINISTRATIVOS'!H37</f>
        <v>0</v>
      </c>
      <c r="I29" s="36">
        <f>'[1]HT-ADMINISTRATIVOS'!J37</f>
        <v>0</v>
      </c>
      <c r="J29" s="37">
        <f>'[1]HT-ADMINISTRATIVOS'!I37</f>
        <v>0</v>
      </c>
      <c r="K29" s="36">
        <f t="shared" si="4"/>
        <v>2195.92</v>
      </c>
      <c r="L29" s="36">
        <f>K29+G29+T29</f>
        <v>2643.1455283017599</v>
      </c>
      <c r="M29" s="28">
        <f>IF('[18]Calculo ISR '!$AI$34&lt;0,0,'[18]Calculo ISR '!$AI$34)</f>
        <v>0</v>
      </c>
      <c r="N29" s="38">
        <f>E29*P4</f>
        <v>230.57159999999999</v>
      </c>
      <c r="O29" s="38">
        <f>'[1]HT-ADMINISTRATIVOS'!P37</f>
        <v>0</v>
      </c>
      <c r="P29" s="38">
        <f>'[1]HT-ADMINISTRATIVOS'!Q37</f>
        <v>0</v>
      </c>
      <c r="Q29" s="38">
        <f>'[1]HT-ADMINISTRATIVOS'!R37</f>
        <v>0</v>
      </c>
      <c r="R29" s="38">
        <f>E29*O4</f>
        <v>21.959200000000003</v>
      </c>
      <c r="S29" s="36">
        <f t="shared" si="3"/>
        <v>252.5308</v>
      </c>
      <c r="T29" s="28">
        <f>IF('[1]Calculo ISR '!$AI$34&gt;0,0,'[1]Calculo ISR '!$AI$34)*-1</f>
        <v>61.725528301760008</v>
      </c>
      <c r="U29" s="36">
        <f>K29-S29+T29</f>
        <v>2005.1147283017601</v>
      </c>
      <c r="V29" s="36">
        <f>G29</f>
        <v>385.5</v>
      </c>
      <c r="W29" s="67"/>
      <c r="X29" s="47"/>
    </row>
    <row r="30" spans="1:24" s="81" customFormat="1" ht="45" customHeight="1">
      <c r="A30" s="53" t="s">
        <v>79</v>
      </c>
      <c r="B30" s="61" t="s">
        <v>80</v>
      </c>
      <c r="C30" s="66">
        <v>15</v>
      </c>
      <c r="D30" s="76">
        <v>553.13</v>
      </c>
      <c r="E30" s="36">
        <v>8296.9699999999993</v>
      </c>
      <c r="F30" s="50"/>
      <c r="G30" s="77">
        <f>385.5</f>
        <v>385.5</v>
      </c>
      <c r="H30" s="50"/>
      <c r="I30" s="50"/>
      <c r="J30" s="50"/>
      <c r="K30" s="78">
        <f t="shared" si="4"/>
        <v>8296.9699999999993</v>
      </c>
      <c r="L30" s="78">
        <f>K30+G30</f>
        <v>8682.4699999999993</v>
      </c>
      <c r="M30" s="28">
        <f>IF('[1]Calculo ISR '!$AK$34&lt;0,0,'[1]Calculo ISR '!$AK$34)</f>
        <v>1166.7533832938893</v>
      </c>
      <c r="N30" s="79">
        <f>E30*P4</f>
        <v>871.18184999999994</v>
      </c>
      <c r="O30" s="78"/>
      <c r="P30" s="50"/>
      <c r="Q30" s="78"/>
      <c r="R30" s="50"/>
      <c r="S30" s="50">
        <f t="shared" ref="S30:S42" si="7">M30+N30+O30+P30+Q30+R30</f>
        <v>2037.9352332938893</v>
      </c>
      <c r="T30" s="28">
        <f>IF('[1]Calculo ISR '!$AK$34&gt;0,0,'[1]Calculo ISR '!$AK$34)*-1</f>
        <v>0</v>
      </c>
      <c r="U30" s="79">
        <f>K30-S30</f>
        <v>6259.0347667061105</v>
      </c>
      <c r="V30" s="73">
        <v>385.5</v>
      </c>
      <c r="W30" s="80"/>
      <c r="X30" s="47"/>
    </row>
    <row r="31" spans="1:24" s="81" customFormat="1" ht="45" hidden="1" customHeight="1">
      <c r="A31" s="91"/>
      <c r="B31" s="137"/>
      <c r="C31" s="66"/>
      <c r="D31" s="76"/>
      <c r="E31" s="36">
        <f t="shared" si="6"/>
        <v>0</v>
      </c>
      <c r="F31" s="50"/>
      <c r="G31" s="77"/>
      <c r="H31" s="50"/>
      <c r="I31" s="50"/>
      <c r="J31" s="50"/>
      <c r="K31" s="78"/>
      <c r="L31" s="78"/>
      <c r="M31" s="28"/>
      <c r="N31" s="138"/>
      <c r="O31" s="78"/>
      <c r="P31" s="50"/>
      <c r="Q31" s="78"/>
      <c r="R31" s="50"/>
      <c r="S31" s="50"/>
      <c r="T31" s="28"/>
      <c r="U31" s="79"/>
      <c r="V31" s="73"/>
      <c r="W31" s="80"/>
      <c r="X31" s="47"/>
    </row>
    <row r="32" spans="1:24" s="81" customFormat="1" ht="45" customHeight="1">
      <c r="A32" s="91" t="s">
        <v>83</v>
      </c>
      <c r="B32" s="139" t="s">
        <v>84</v>
      </c>
      <c r="C32" s="66">
        <v>15</v>
      </c>
      <c r="D32" s="76">
        <v>186.24</v>
      </c>
      <c r="E32" s="36">
        <v>2793.65</v>
      </c>
      <c r="F32" s="50"/>
      <c r="G32" s="77">
        <f>385.5</f>
        <v>385.5</v>
      </c>
      <c r="H32" s="50">
        <v>892</v>
      </c>
      <c r="I32" s="50"/>
      <c r="J32" s="50"/>
      <c r="K32" s="78">
        <f t="shared" ref="K32:K37" si="8">E32+F32+H32+I32+J32</f>
        <v>3685.65</v>
      </c>
      <c r="L32" s="78">
        <f>K32+G32</f>
        <v>4071.15</v>
      </c>
      <c r="M32" s="28">
        <f>IF('[18]Calculo ISR '!$AM$34&lt;0,0,'[18]Calculo ISR '!$AM$34)</f>
        <v>298.79239999999999</v>
      </c>
      <c r="N32" s="92">
        <f>E32*P4</f>
        <v>293.33325000000002</v>
      </c>
      <c r="O32" s="78"/>
      <c r="P32" s="50"/>
      <c r="Q32" s="78"/>
      <c r="R32" s="50">
        <f>E32*O4</f>
        <v>27.936500000000002</v>
      </c>
      <c r="S32" s="50">
        <f>M32+N32+O32+P32+Q32+R32</f>
        <v>620.06214999999997</v>
      </c>
      <c r="T32" s="28">
        <f>IF('[1]Calculo ISR '!$AM$34&gt;0,0,'[1]Calculo ISR '!$AM$34)*-1</f>
        <v>0</v>
      </c>
      <c r="U32" s="79">
        <f t="shared" ref="U32:U37" si="9">K32-S32+T32</f>
        <v>3065.5878499999999</v>
      </c>
      <c r="V32" s="73">
        <v>385.5</v>
      </c>
      <c r="W32" s="80"/>
      <c r="X32" s="47"/>
    </row>
    <row r="33" spans="1:26" s="81" customFormat="1" ht="45" customHeight="1">
      <c r="A33" s="91" t="s">
        <v>85</v>
      </c>
      <c r="B33" s="139" t="s">
        <v>86</v>
      </c>
      <c r="C33" s="66">
        <v>15</v>
      </c>
      <c r="D33" s="76">
        <v>226.68</v>
      </c>
      <c r="E33" s="36">
        <v>3400.25</v>
      </c>
      <c r="F33" s="50"/>
      <c r="G33" s="77">
        <f>385.5</f>
        <v>385.5</v>
      </c>
      <c r="H33" s="50"/>
      <c r="I33" s="50"/>
      <c r="J33" s="50"/>
      <c r="K33" s="78">
        <f t="shared" si="8"/>
        <v>3400.25</v>
      </c>
      <c r="L33" s="78">
        <f>K33+G33</f>
        <v>3785.75</v>
      </c>
      <c r="M33" s="28">
        <f>IF('[18]Calculo ISR '!$AN$34&lt;0,0,'[18]Calculo ISR '!$AN$34)</f>
        <v>140.76411199999998</v>
      </c>
      <c r="N33" s="92">
        <f>E33*P4</f>
        <v>357.02625</v>
      </c>
      <c r="O33" s="78"/>
      <c r="P33" s="50"/>
      <c r="Q33" s="78"/>
      <c r="R33" s="50">
        <v>0</v>
      </c>
      <c r="S33" s="50">
        <f t="shared" si="7"/>
        <v>497.79036199999996</v>
      </c>
      <c r="T33" s="28">
        <f>IF('[1]Calculo ISR '!$AN$34&gt;0,0,'[1]Calculo ISR '!$AN$34)*-1</f>
        <v>0</v>
      </c>
      <c r="U33" s="79">
        <f t="shared" si="9"/>
        <v>2902.4596380000003</v>
      </c>
      <c r="V33" s="73">
        <v>385.5</v>
      </c>
      <c r="W33" s="80"/>
      <c r="X33" s="47"/>
    </row>
    <row r="34" spans="1:26" s="81" customFormat="1" ht="45" customHeight="1">
      <c r="A34" s="91" t="s">
        <v>87</v>
      </c>
      <c r="B34" s="91" t="s">
        <v>88</v>
      </c>
      <c r="C34" s="66">
        <v>15</v>
      </c>
      <c r="D34" s="76">
        <v>553.13</v>
      </c>
      <c r="E34" s="36">
        <v>8296.9699999999993</v>
      </c>
      <c r="F34" s="50"/>
      <c r="G34" s="77">
        <v>385.5</v>
      </c>
      <c r="H34" s="50"/>
      <c r="I34" s="50"/>
      <c r="J34" s="50"/>
      <c r="K34" s="78">
        <f t="shared" si="8"/>
        <v>8296.9699999999993</v>
      </c>
      <c r="L34" s="78">
        <f>K34+G34+T34</f>
        <v>8682.4699999999993</v>
      </c>
      <c r="M34" s="28">
        <f>IF('[18]Calculo ISR '!$AO$34&lt;0,0,'[18]Calculo ISR '!$AO$34)</f>
        <v>1225.0436159999999</v>
      </c>
      <c r="N34" s="92">
        <f>E34*P4</f>
        <v>871.18184999999994</v>
      </c>
      <c r="O34" s="78">
        <v>1338</v>
      </c>
      <c r="P34" s="50"/>
      <c r="Q34" s="78"/>
      <c r="R34" s="50"/>
      <c r="S34" s="50">
        <f t="shared" si="7"/>
        <v>3434.2254659999999</v>
      </c>
      <c r="T34" s="28">
        <f>IF('[1]Calculo ISR '!$AO$34&gt;0,0,'[1]Calculo ISR '!$AO$34)*-1</f>
        <v>0</v>
      </c>
      <c r="U34" s="79">
        <f t="shared" si="9"/>
        <v>4862.7445339999995</v>
      </c>
      <c r="V34" s="73">
        <f t="shared" ref="V34:V42" si="10">G34</f>
        <v>385.5</v>
      </c>
      <c r="W34" s="80"/>
      <c r="X34" s="47"/>
    </row>
    <row r="35" spans="1:26" s="81" customFormat="1" ht="45" customHeight="1">
      <c r="A35" s="91" t="s">
        <v>89</v>
      </c>
      <c r="B35" s="91" t="s">
        <v>90</v>
      </c>
      <c r="C35" s="66">
        <v>15</v>
      </c>
      <c r="D35" s="76">
        <v>177.16</v>
      </c>
      <c r="E35" s="36">
        <v>2657.47</v>
      </c>
      <c r="F35" s="50"/>
      <c r="G35" s="77">
        <v>385.5</v>
      </c>
      <c r="H35" s="50"/>
      <c r="I35" s="50"/>
      <c r="J35" s="50"/>
      <c r="K35" s="78">
        <f t="shared" si="8"/>
        <v>2657.47</v>
      </c>
      <c r="L35" s="78">
        <f>K35+G35</f>
        <v>3042.97</v>
      </c>
      <c r="M35" s="28">
        <f>IF('[18]Calculo ISR '!$AP$34&lt;0,0,'[18]Calculo ISR '!$AP$34)</f>
        <v>39.699647999999968</v>
      </c>
      <c r="N35" s="92">
        <f>E35*P4</f>
        <v>279.03434999999996</v>
      </c>
      <c r="O35" s="78"/>
      <c r="P35" s="50"/>
      <c r="Q35" s="78"/>
      <c r="R35" s="50"/>
      <c r="S35" s="50">
        <f t="shared" si="7"/>
        <v>318.73399799999993</v>
      </c>
      <c r="T35" s="28">
        <f>IF('[1]Calculo ISR '!$AP$34&gt;0,0,'[1]Calculo ISR '!$AP$34)*-1</f>
        <v>0</v>
      </c>
      <c r="U35" s="79">
        <f t="shared" si="9"/>
        <v>2338.7360019999996</v>
      </c>
      <c r="V35" s="73">
        <f t="shared" si="10"/>
        <v>385.5</v>
      </c>
      <c r="W35" s="80"/>
      <c r="X35" s="47"/>
    </row>
    <row r="36" spans="1:26" s="81" customFormat="1" ht="45" customHeight="1">
      <c r="A36" s="91" t="s">
        <v>91</v>
      </c>
      <c r="B36" s="91" t="s">
        <v>92</v>
      </c>
      <c r="C36" s="66">
        <v>15</v>
      </c>
      <c r="D36" s="76">
        <v>135.83000000000001</v>
      </c>
      <c r="E36" s="36">
        <v>2037.52</v>
      </c>
      <c r="F36" s="50"/>
      <c r="G36" s="77">
        <v>385.5</v>
      </c>
      <c r="H36" s="50"/>
      <c r="I36" s="50"/>
      <c r="J36" s="50"/>
      <c r="K36" s="78">
        <f t="shared" si="8"/>
        <v>2037.52</v>
      </c>
      <c r="L36" s="78">
        <f>K36+G36+T36</f>
        <v>2496.6313464320001</v>
      </c>
      <c r="M36" s="28">
        <f>IF('[18]Calculo ISR '!$AQ$34&lt;0,0,'[18]Calculo ISR '!$AQ$34)</f>
        <v>0</v>
      </c>
      <c r="N36" s="92">
        <f>E36*P4</f>
        <v>213.93959999999998</v>
      </c>
      <c r="O36" s="78">
        <v>493</v>
      </c>
      <c r="P36" s="50"/>
      <c r="Q36" s="78"/>
      <c r="R36" s="50"/>
      <c r="S36" s="50">
        <f t="shared" si="7"/>
        <v>706.93959999999993</v>
      </c>
      <c r="T36" s="28">
        <f>IF('[1]Calculo ISR '!$AQ$34&gt;0,0,'[1]Calculo ISR '!$AQ$34)*-1</f>
        <v>73.611346431999976</v>
      </c>
      <c r="U36" s="79">
        <f t="shared" si="9"/>
        <v>1404.1917464319999</v>
      </c>
      <c r="V36" s="73">
        <f t="shared" si="10"/>
        <v>385.5</v>
      </c>
      <c r="W36" s="80"/>
      <c r="X36" s="47"/>
    </row>
    <row r="37" spans="1:26" s="81" customFormat="1" ht="45" customHeight="1">
      <c r="A37" s="91" t="s">
        <v>93</v>
      </c>
      <c r="B37" s="91" t="s">
        <v>94</v>
      </c>
      <c r="C37" s="66">
        <v>15</v>
      </c>
      <c r="D37" s="76">
        <v>135.83000000000001</v>
      </c>
      <c r="E37" s="36">
        <v>2037.52</v>
      </c>
      <c r="F37" s="50"/>
      <c r="G37" s="77">
        <v>385.5</v>
      </c>
      <c r="H37" s="50"/>
      <c r="I37" s="50"/>
      <c r="J37" s="50"/>
      <c r="K37" s="78">
        <f t="shared" si="8"/>
        <v>2037.52</v>
      </c>
      <c r="L37" s="78">
        <f>K37+G37+T37</f>
        <v>2496.6313464320001</v>
      </c>
      <c r="M37" s="28">
        <f>IF('[18]Calculo ISR '!$AR$34&lt;0,0,'[18]Calculo ISR '!$AR$34)</f>
        <v>0</v>
      </c>
      <c r="N37" s="92">
        <f>E37*P4</f>
        <v>213.93959999999998</v>
      </c>
      <c r="O37" s="78"/>
      <c r="P37" s="50"/>
      <c r="Q37" s="78"/>
      <c r="R37" s="50"/>
      <c r="S37" s="50">
        <f t="shared" si="7"/>
        <v>213.93959999999998</v>
      </c>
      <c r="T37" s="28">
        <f>IF('[1]Calculo ISR '!$AR$34&gt;0,0,'[1]Calculo ISR '!$AR$34)*-1</f>
        <v>73.611346431999976</v>
      </c>
      <c r="U37" s="79">
        <f t="shared" si="9"/>
        <v>1897.1917464319999</v>
      </c>
      <c r="V37" s="73">
        <f t="shared" si="10"/>
        <v>385.5</v>
      </c>
      <c r="W37" s="80"/>
      <c r="X37" s="47"/>
    </row>
    <row r="38" spans="1:26" s="81" customFormat="1" ht="45" customHeight="1">
      <c r="A38" s="91" t="s">
        <v>95</v>
      </c>
      <c r="B38" s="91" t="s">
        <v>96</v>
      </c>
      <c r="C38" s="66">
        <v>15</v>
      </c>
      <c r="D38" s="76">
        <v>780.2</v>
      </c>
      <c r="E38" s="36">
        <f t="shared" si="6"/>
        <v>11703</v>
      </c>
      <c r="F38" s="50"/>
      <c r="G38" s="77">
        <v>385.5</v>
      </c>
      <c r="H38" s="50"/>
      <c r="I38" s="50"/>
      <c r="J38" s="50"/>
      <c r="K38" s="78">
        <f>E38+H38+I38+J38</f>
        <v>11703</v>
      </c>
      <c r="L38" s="78">
        <f>K38+G38</f>
        <v>12088.5</v>
      </c>
      <c r="M38" s="28">
        <f>IF('[18]Calculo ISR '!$AS$34&lt;0,0,'[18]Calculo ISR '!$AS$34)</f>
        <v>1983.8578080000002</v>
      </c>
      <c r="N38" s="92">
        <f>E38*P4</f>
        <v>1228.8150000000001</v>
      </c>
      <c r="O38" s="78"/>
      <c r="P38" s="50"/>
      <c r="Q38" s="78"/>
      <c r="R38" s="50"/>
      <c r="S38" s="50">
        <f t="shared" si="7"/>
        <v>3212.6728080000003</v>
      </c>
      <c r="T38" s="28">
        <f>IF('[1]Calculo ISR '!$AS$34&gt;0,0,'[1]Calculo ISR '!$AS$34)*-1</f>
        <v>0</v>
      </c>
      <c r="U38" s="79">
        <f t="shared" ref="U38:U44" si="11">K38-S38</f>
        <v>8490.3271920000007</v>
      </c>
      <c r="V38" s="73">
        <f t="shared" si="10"/>
        <v>385.5</v>
      </c>
      <c r="W38" s="80"/>
      <c r="X38" s="47"/>
    </row>
    <row r="39" spans="1:26" s="81" customFormat="1" ht="45" customHeight="1">
      <c r="A39" s="91" t="s">
        <v>99</v>
      </c>
      <c r="B39" s="91" t="s">
        <v>100</v>
      </c>
      <c r="C39" s="66">
        <v>15</v>
      </c>
      <c r="D39" s="76">
        <v>177.16</v>
      </c>
      <c r="E39" s="36">
        <v>2657.47</v>
      </c>
      <c r="F39" s="50"/>
      <c r="G39" s="77">
        <v>385.5</v>
      </c>
      <c r="H39" s="50"/>
      <c r="I39" s="50"/>
      <c r="J39" s="50"/>
      <c r="K39" s="78">
        <f>E39+F39+H39+I39+J39</f>
        <v>2657.47</v>
      </c>
      <c r="L39" s="78">
        <f>K39+G39</f>
        <v>3042.97</v>
      </c>
      <c r="M39" s="28">
        <f>IF('[18]Calculo ISR '!$AU$34&lt;0,0,'[18]Calculo ISR '!$AU$34)</f>
        <v>39.699647999999968</v>
      </c>
      <c r="N39" s="92">
        <f>E39*P4</f>
        <v>279.03434999999996</v>
      </c>
      <c r="O39" s="78"/>
      <c r="P39" s="50"/>
      <c r="Q39" s="78"/>
      <c r="R39" s="50"/>
      <c r="S39" s="50">
        <f t="shared" si="7"/>
        <v>318.73399799999993</v>
      </c>
      <c r="T39" s="28">
        <f>IF('[1]Calculo ISR '!$AU$34&gt;0,0,'[1]Calculo ISR '!$AU$34)*-1</f>
        <v>0</v>
      </c>
      <c r="U39" s="79">
        <f t="shared" si="11"/>
        <v>2338.7360019999996</v>
      </c>
      <c r="V39" s="73">
        <f t="shared" si="10"/>
        <v>385.5</v>
      </c>
      <c r="W39" s="80"/>
      <c r="X39" s="47"/>
    </row>
    <row r="40" spans="1:26" s="81" customFormat="1" ht="45" customHeight="1">
      <c r="A40" s="91" t="s">
        <v>101</v>
      </c>
      <c r="B40" s="91" t="s">
        <v>121</v>
      </c>
      <c r="C40" s="66">
        <v>15</v>
      </c>
      <c r="D40" s="76">
        <v>780.2</v>
      </c>
      <c r="E40" s="36">
        <f t="shared" si="6"/>
        <v>11703</v>
      </c>
      <c r="F40" s="50"/>
      <c r="G40" s="77">
        <v>385.5</v>
      </c>
      <c r="H40" s="50"/>
      <c r="I40" s="50"/>
      <c r="J40" s="50"/>
      <c r="K40" s="78">
        <f>E40+F40+H40+I40+J40</f>
        <v>11703</v>
      </c>
      <c r="L40" s="78">
        <f>K40+G40</f>
        <v>12088.5</v>
      </c>
      <c r="M40" s="28">
        <f>IF('[18]Calculo ISR '!$AV$34&lt;0,0,'[18]Calculo ISR '!$AV$34)</f>
        <v>1983.8578080000002</v>
      </c>
      <c r="N40" s="92">
        <f>E40*P4</f>
        <v>1228.8150000000001</v>
      </c>
      <c r="O40" s="78">
        <v>1887</v>
      </c>
      <c r="P40" s="50"/>
      <c r="Q40" s="78"/>
      <c r="R40" s="50"/>
      <c r="S40" s="50">
        <f t="shared" si="7"/>
        <v>5099.6728080000003</v>
      </c>
      <c r="T40" s="28">
        <f>IF('[1]Calculo ISR '!$AV$34&gt;0,0,'[1]Calculo ISR '!$AV$34)*-1</f>
        <v>0</v>
      </c>
      <c r="U40" s="79">
        <f t="shared" si="11"/>
        <v>6603.3271919999997</v>
      </c>
      <c r="V40" s="73">
        <f t="shared" si="10"/>
        <v>385.5</v>
      </c>
      <c r="W40" s="80"/>
      <c r="X40" s="47"/>
    </row>
    <row r="41" spans="1:26" s="81" customFormat="1" ht="45" customHeight="1">
      <c r="A41" s="91" t="s">
        <v>103</v>
      </c>
      <c r="B41" s="91" t="s">
        <v>122</v>
      </c>
      <c r="C41" s="66">
        <v>15</v>
      </c>
      <c r="D41" s="76">
        <v>177.16</v>
      </c>
      <c r="E41" s="36">
        <v>2657.47</v>
      </c>
      <c r="F41" s="50"/>
      <c r="G41" s="77">
        <v>385.5</v>
      </c>
      <c r="H41" s="50"/>
      <c r="I41" s="50"/>
      <c r="J41" s="50"/>
      <c r="K41" s="78">
        <f>E41+F41+H41+I41+J41</f>
        <v>2657.47</v>
      </c>
      <c r="L41" s="78">
        <f>K41+G41</f>
        <v>3042.97</v>
      </c>
      <c r="M41" s="28">
        <f>IF('[18]Calculo ISR '!$AW$34&lt;0,0,'[18]Calculo ISR '!$AW$34)</f>
        <v>39.699647999999968</v>
      </c>
      <c r="N41" s="92">
        <f>E41*P4</f>
        <v>279.03434999999996</v>
      </c>
      <c r="O41" s="78"/>
      <c r="P41" s="50"/>
      <c r="Q41" s="78"/>
      <c r="R41" s="50"/>
      <c r="S41" s="50">
        <f t="shared" si="7"/>
        <v>318.73399799999993</v>
      </c>
      <c r="T41" s="28"/>
      <c r="U41" s="79">
        <f t="shared" si="11"/>
        <v>2338.7360019999996</v>
      </c>
      <c r="V41" s="73">
        <f t="shared" si="10"/>
        <v>385.5</v>
      </c>
      <c r="W41" s="80"/>
      <c r="X41" s="47"/>
    </row>
    <row r="42" spans="1:26" s="81" customFormat="1" ht="45" customHeight="1">
      <c r="A42" s="91" t="s">
        <v>139</v>
      </c>
      <c r="B42" s="91" t="s">
        <v>140</v>
      </c>
      <c r="C42" s="66">
        <v>15</v>
      </c>
      <c r="D42" s="76">
        <v>177.16</v>
      </c>
      <c r="E42" s="36">
        <v>2657.47</v>
      </c>
      <c r="F42" s="50"/>
      <c r="G42" s="77">
        <v>385.5</v>
      </c>
      <c r="H42" s="50"/>
      <c r="I42" s="50"/>
      <c r="J42" s="50"/>
      <c r="K42" s="78">
        <f>E42+F42+H42+I42+J42</f>
        <v>2657.47</v>
      </c>
      <c r="L42" s="78">
        <f>E42+F42+G42+H42+I42+J42</f>
        <v>3042.97</v>
      </c>
      <c r="M42" s="28">
        <f>IF('[18]Calculo ISR '!$AX$34&lt;0,0,'[18]Calculo ISR '!$AX$34)</f>
        <v>39.699647999999968</v>
      </c>
      <c r="N42" s="92">
        <f>E42*P4</f>
        <v>279.03434999999996</v>
      </c>
      <c r="O42" s="78"/>
      <c r="P42" s="50"/>
      <c r="Q42" s="78"/>
      <c r="R42" s="50"/>
      <c r="S42" s="50">
        <f t="shared" si="7"/>
        <v>318.73399799999993</v>
      </c>
      <c r="T42" s="28"/>
      <c r="U42" s="79">
        <f t="shared" si="11"/>
        <v>2338.7360019999996</v>
      </c>
      <c r="V42" s="73">
        <f t="shared" si="10"/>
        <v>385.5</v>
      </c>
      <c r="W42" s="80"/>
      <c r="X42" s="47"/>
    </row>
    <row r="43" spans="1:26" s="81" customFormat="1" ht="45" customHeight="1">
      <c r="A43" s="91" t="s">
        <v>150</v>
      </c>
      <c r="B43" s="91" t="s">
        <v>142</v>
      </c>
      <c r="C43" s="66">
        <v>15</v>
      </c>
      <c r="D43" s="76">
        <v>205.61</v>
      </c>
      <c r="E43" s="36">
        <f t="shared" si="6"/>
        <v>3084.15</v>
      </c>
      <c r="F43" s="50"/>
      <c r="G43" s="77">
        <v>385.5</v>
      </c>
      <c r="H43" s="50">
        <v>446</v>
      </c>
      <c r="I43" s="50"/>
      <c r="J43" s="50"/>
      <c r="K43" s="78">
        <f>E43+F43+H43+I43+J43</f>
        <v>3530.15</v>
      </c>
      <c r="L43" s="78">
        <f>SUM(E43+F43+G43+H43+I43+J43)</f>
        <v>3915.65</v>
      </c>
      <c r="M43" s="28">
        <f>IF('[18]Calculo ISR '!$AY$34&lt;0,0,'[18]Calculo ISR '!$AY$34)</f>
        <v>172.59723199999999</v>
      </c>
      <c r="N43" s="92">
        <f>E43*P4</f>
        <v>323.83575000000002</v>
      </c>
      <c r="O43" s="78"/>
      <c r="P43" s="50"/>
      <c r="Q43" s="78"/>
      <c r="R43" s="50"/>
      <c r="S43" s="50">
        <f>SUM(M43+N43+O43+P43+Q43+R43)</f>
        <v>496.43298200000004</v>
      </c>
      <c r="T43" s="28"/>
      <c r="U43" s="79">
        <f t="shared" si="11"/>
        <v>3033.7170180000003</v>
      </c>
      <c r="V43" s="73">
        <f>G43</f>
        <v>385.5</v>
      </c>
      <c r="W43" s="80"/>
      <c r="X43" s="47"/>
    </row>
    <row r="44" spans="1:26" s="81" customFormat="1" ht="45" customHeight="1">
      <c r="A44" s="91" t="s">
        <v>151</v>
      </c>
      <c r="B44" s="91" t="s">
        <v>152</v>
      </c>
      <c r="C44" s="66">
        <v>15</v>
      </c>
      <c r="D44" s="76">
        <v>238.18</v>
      </c>
      <c r="E44" s="36">
        <v>3572.72</v>
      </c>
      <c r="F44" s="50"/>
      <c r="G44" s="77">
        <v>385.5</v>
      </c>
      <c r="H44" s="50"/>
      <c r="I44" s="50"/>
      <c r="J44" s="50"/>
      <c r="K44" s="78">
        <f>SUM(E44+F44+H44+I44+J44)</f>
        <v>3572.72</v>
      </c>
      <c r="L44" s="78">
        <f>SUM(E44+F44+G44+H44+I44+J44)</f>
        <v>3958.22</v>
      </c>
      <c r="M44" s="28">
        <f>IF('[18]Calculo ISR '!$AZ$34&lt;0,0,'[18]Calculo ISR '!$AZ$34)</f>
        <v>177.22884799999994</v>
      </c>
      <c r="N44" s="92">
        <f>E44*P4</f>
        <v>375.13559999999995</v>
      </c>
      <c r="O44" s="78"/>
      <c r="P44" s="50"/>
      <c r="Q44" s="78"/>
      <c r="R44" s="50"/>
      <c r="S44" s="50">
        <f>SUM(M44+N44+O44+P44+Q44+R44)</f>
        <v>552.36444799999992</v>
      </c>
      <c r="T44" s="28"/>
      <c r="U44" s="79">
        <f t="shared" si="11"/>
        <v>3020.355552</v>
      </c>
      <c r="V44" s="73">
        <f>G44</f>
        <v>385.5</v>
      </c>
      <c r="W44" s="80"/>
      <c r="X44" s="47"/>
    </row>
    <row r="45" spans="1:26" s="99" customFormat="1" ht="21.95" customHeight="1">
      <c r="A45" s="93"/>
      <c r="B45" s="94">
        <v>38</v>
      </c>
      <c r="C45" s="95">
        <f>SUM(C8:C44)</f>
        <v>540</v>
      </c>
      <c r="D45" s="95">
        <f>SUM(D8:D44)</f>
        <v>11274.116666666669</v>
      </c>
      <c r="E45" s="95">
        <f t="shared" ref="E45:V45" si="12">SUM(E7:E44)</f>
        <v>186628.25999999998</v>
      </c>
      <c r="F45" s="95">
        <f t="shared" si="12"/>
        <v>6040.32</v>
      </c>
      <c r="G45" s="95">
        <f t="shared" si="12"/>
        <v>14838</v>
      </c>
      <c r="H45" s="95">
        <f t="shared" si="12"/>
        <v>4460</v>
      </c>
      <c r="I45" s="95">
        <f t="shared" si="12"/>
        <v>688</v>
      </c>
      <c r="J45" s="95">
        <f t="shared" si="12"/>
        <v>3121.3507799999998</v>
      </c>
      <c r="K45" s="95">
        <f t="shared" si="12"/>
        <v>200937.93077999997</v>
      </c>
      <c r="L45" s="95">
        <f t="shared" si="12"/>
        <v>216083.6892983026</v>
      </c>
      <c r="M45" s="96">
        <f t="shared" si="12"/>
        <v>24110.930000973898</v>
      </c>
      <c r="N45" s="95">
        <f t="shared" si="12"/>
        <v>19595.9673</v>
      </c>
      <c r="O45" s="95">
        <f t="shared" si="12"/>
        <v>21043.97</v>
      </c>
      <c r="P45" s="95">
        <f t="shared" si="12"/>
        <v>0</v>
      </c>
      <c r="Q45" s="95">
        <f t="shared" si="12"/>
        <v>0</v>
      </c>
      <c r="R45" s="95">
        <f t="shared" si="12"/>
        <v>542.16550000000007</v>
      </c>
      <c r="S45" s="95">
        <f t="shared" si="12"/>
        <v>65293.032800973895</v>
      </c>
      <c r="T45" s="95">
        <f t="shared" si="12"/>
        <v>307.75851830263997</v>
      </c>
      <c r="U45" s="95">
        <f t="shared" si="12"/>
        <v>135952.65649732875</v>
      </c>
      <c r="V45" s="95">
        <f t="shared" si="12"/>
        <v>14838</v>
      </c>
      <c r="W45" s="97"/>
      <c r="X45" s="98"/>
    </row>
    <row r="46" spans="1:26" s="6" customFormat="1" ht="6.75" customHeight="1">
      <c r="A46" s="122"/>
      <c r="B46" s="123"/>
      <c r="C46" s="124"/>
      <c r="D46" s="101"/>
      <c r="E46" s="101"/>
      <c r="F46" s="101"/>
      <c r="G46" s="125"/>
      <c r="H46" s="125">
        <f>H45+'[18]HT-DOCENTE FIRMA'!L39</f>
        <v>6143.65</v>
      </c>
      <c r="I46" s="101"/>
      <c r="J46" s="101"/>
      <c r="K46" s="101"/>
      <c r="L46" s="101"/>
      <c r="N46" s="101">
        <f>N45+'[18]HT-DOCENTE FIRMA'!Q39+'[18]HT-PTC FIRMAS '!K15</f>
        <v>36351.485099999991</v>
      </c>
      <c r="O46" s="101">
        <f>O45+'[18]HT-DOCENTE FIRMA'!R39+'[18]HT-PTC FIRMAS '!L15</f>
        <v>33786.589999999997</v>
      </c>
      <c r="P46" s="101"/>
      <c r="Q46" s="101"/>
      <c r="R46" s="101"/>
      <c r="S46" s="101"/>
      <c r="T46" s="101"/>
      <c r="U46" s="101"/>
      <c r="V46" s="101"/>
      <c r="W46" s="126"/>
      <c r="X46" s="5"/>
    </row>
    <row r="47" spans="1:26" s="6" customFormat="1" ht="6.75" customHeight="1">
      <c r="A47" s="122"/>
      <c r="B47" s="123"/>
      <c r="C47" s="124"/>
      <c r="D47" s="101"/>
      <c r="E47" s="101">
        <f>E45+'[18]HT-DOCENTE FIRMA'!I39+'[18]HT-PTC FIRMAS '!D15</f>
        <v>346204.62</v>
      </c>
      <c r="F47" s="101"/>
      <c r="G47" s="125"/>
      <c r="H47" s="125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26"/>
      <c r="X47" s="5"/>
      <c r="Z47" s="5"/>
    </row>
    <row r="48" spans="1:26" s="6" customFormat="1" ht="6.75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26"/>
      <c r="X48" s="5"/>
    </row>
    <row r="49" spans="1:24" s="6" customFormat="1" ht="6.75" customHeight="1">
      <c r="A49" s="129"/>
      <c r="B49" s="130"/>
      <c r="C49" s="131"/>
      <c r="D49" s="132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5"/>
    </row>
    <row r="50" spans="1:24" ht="15" customHeight="1">
      <c r="A50" s="110" t="s">
        <v>105</v>
      </c>
      <c r="B50" s="110"/>
      <c r="C50" s="110"/>
      <c r="D50" s="111"/>
      <c r="E50" s="109"/>
      <c r="F50" s="113" t="s">
        <v>106</v>
      </c>
      <c r="G50" s="112"/>
      <c r="H50" s="112"/>
      <c r="I50" s="112"/>
      <c r="K50" s="113"/>
      <c r="L50" s="114"/>
      <c r="O50" s="115"/>
      <c r="P50" s="115"/>
      <c r="Q50" s="115"/>
      <c r="R50" s="115"/>
      <c r="S50" s="111" t="s">
        <v>107</v>
      </c>
      <c r="T50" s="111"/>
      <c r="U50" s="111"/>
      <c r="V50" s="111"/>
      <c r="W50" s="111"/>
      <c r="X50" s="100"/>
    </row>
    <row r="51" spans="1:24" hidden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03"/>
      <c r="L51" s="103"/>
      <c r="O51" s="103"/>
      <c r="P51" s="115"/>
      <c r="Q51" s="103"/>
      <c r="R51" s="103"/>
      <c r="S51" s="111"/>
      <c r="T51" s="111"/>
      <c r="U51" s="111"/>
      <c r="V51" s="111"/>
      <c r="W51" s="111"/>
      <c r="X51" s="100"/>
    </row>
    <row r="52" spans="1:24" hidden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09"/>
      <c r="L52" s="109"/>
      <c r="O52" s="109"/>
      <c r="P52" s="109"/>
      <c r="Q52" s="109"/>
      <c r="R52" s="109"/>
      <c r="S52" s="111"/>
      <c r="T52" s="111"/>
      <c r="U52" s="111"/>
      <c r="V52" s="111"/>
      <c r="W52" s="111"/>
      <c r="X52" s="100"/>
    </row>
    <row r="53" spans="1:24" ht="21.75" customHeight="1">
      <c r="A53" s="111"/>
      <c r="B53" s="113" t="s">
        <v>108</v>
      </c>
      <c r="C53" s="111"/>
      <c r="D53" s="111"/>
      <c r="E53" s="116"/>
      <c r="F53" s="118" t="s">
        <v>109</v>
      </c>
      <c r="G53" s="117"/>
      <c r="H53" s="117"/>
      <c r="I53" s="117"/>
      <c r="K53" s="118"/>
      <c r="L53" s="118"/>
      <c r="O53" s="109"/>
      <c r="P53" s="109"/>
      <c r="R53" s="109"/>
      <c r="S53" s="144" t="s">
        <v>110</v>
      </c>
      <c r="T53" s="117"/>
      <c r="U53" s="117"/>
      <c r="V53" s="117"/>
      <c r="W53" s="111"/>
      <c r="X53" s="100"/>
    </row>
    <row r="54" spans="1:24" ht="15" customHeight="1">
      <c r="A54" s="110" t="s">
        <v>111</v>
      </c>
      <c r="B54" s="110"/>
      <c r="C54" s="110"/>
      <c r="D54" s="111"/>
      <c r="E54" s="109"/>
      <c r="F54" s="118" t="s">
        <v>112</v>
      </c>
      <c r="G54" s="117"/>
      <c r="H54" s="117"/>
      <c r="I54" s="117"/>
      <c r="K54" s="118"/>
      <c r="L54" s="118"/>
      <c r="O54" s="109"/>
      <c r="P54" s="109"/>
      <c r="Q54" s="109"/>
      <c r="R54" s="119" t="s">
        <v>113</v>
      </c>
      <c r="S54" s="119"/>
      <c r="T54" s="119"/>
      <c r="U54" s="119"/>
      <c r="V54" s="119"/>
      <c r="W54" s="111"/>
      <c r="X54" s="100"/>
    </row>
    <row r="55" spans="1:24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16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307" spans="99:99">
      <c r="CU307" s="1" t="s">
        <v>114</v>
      </c>
    </row>
  </sheetData>
  <mergeCells count="3">
    <mergeCell ref="A50:C50"/>
    <mergeCell ref="A54:C54"/>
    <mergeCell ref="R54:V54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V306"/>
  <sheetViews>
    <sheetView zoomScale="80" zoomScaleNormal="80" workbookViewId="0">
      <pane xSplit="2" ySplit="6" topLeftCell="C39" activePane="bottomRight" state="frozen"/>
      <selection pane="topRight" activeCell="C1" sqref="C1"/>
      <selection pane="bottomLeft" activeCell="A7" sqref="A7"/>
      <selection pane="bottomRight" activeCell="B46" sqref="B46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1.85546875" style="1" customWidth="1"/>
    <col min="6" max="6" width="10.28515625" style="1" customWidth="1"/>
    <col min="7" max="7" width="11.140625" style="1" customWidth="1"/>
    <col min="8" max="8" width="12.140625" style="1" customWidth="1"/>
    <col min="9" max="9" width="8.140625" style="1" customWidth="1"/>
    <col min="10" max="10" width="11.85546875" style="1" customWidth="1"/>
    <col min="11" max="11" width="10.140625" style="1" customWidth="1"/>
    <col min="12" max="12" width="12.28515625" style="1" customWidth="1"/>
    <col min="13" max="13" width="12" style="1" customWidth="1"/>
    <col min="14" max="16" width="11.140625" style="1" hidden="1" customWidth="1"/>
    <col min="17" max="17" width="8.5703125" style="1" hidden="1" customWidth="1"/>
    <col min="18" max="18" width="8.7109375" style="1" hidden="1" customWidth="1"/>
    <col min="19" max="19" width="8.28515625" style="1" hidden="1" customWidth="1"/>
    <col min="20" max="20" width="11.5703125" style="1" customWidth="1"/>
    <col min="21" max="21" width="9.42578125" style="1" customWidth="1"/>
    <col min="22" max="22" width="14.42578125" style="1" customWidth="1"/>
    <col min="23" max="23" width="12.85546875" style="1" hidden="1" customWidth="1"/>
    <col min="24" max="24" width="35.42578125" style="1" hidden="1" customWidth="1"/>
    <col min="25" max="16384" width="11.42578125" style="1"/>
  </cols>
  <sheetData>
    <row r="1" spans="1:27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7" s="6" customFormat="1"/>
    <row r="3" spans="1:27" s="6" customFormat="1" ht="22.5">
      <c r="L3" s="5"/>
      <c r="M3" s="5" t="s">
        <v>0</v>
      </c>
      <c r="P3" s="6" t="s">
        <v>137</v>
      </c>
      <c r="Q3" s="135" t="s">
        <v>132</v>
      </c>
      <c r="R3" s="6" t="s">
        <v>1</v>
      </c>
      <c r="S3" s="6" t="s">
        <v>133</v>
      </c>
    </row>
    <row r="4" spans="1:27" s="6" customFormat="1">
      <c r="M4" s="7">
        <v>1.9E-2</v>
      </c>
      <c r="P4" s="8">
        <v>0.01</v>
      </c>
      <c r="Q4" s="121">
        <v>0.105</v>
      </c>
      <c r="R4" s="9">
        <v>3.7999999999999999E-2</v>
      </c>
      <c r="S4" s="121">
        <v>5.7000000000000002E-2</v>
      </c>
    </row>
    <row r="5" spans="1:27" ht="13.5" thickBot="1">
      <c r="B5" s="10" t="s">
        <v>2</v>
      </c>
      <c r="C5" s="3"/>
      <c r="D5" s="3"/>
      <c r="E5" s="3"/>
      <c r="F5" s="10" t="s">
        <v>153</v>
      </c>
      <c r="G5" s="3"/>
      <c r="H5" s="3"/>
      <c r="I5" s="3"/>
      <c r="J5" s="3"/>
      <c r="K5" s="3"/>
      <c r="L5" s="3"/>
      <c r="R5" s="3"/>
      <c r="S5" s="3"/>
      <c r="T5" s="3"/>
      <c r="U5" s="3"/>
      <c r="V5" s="3"/>
      <c r="W5" s="3"/>
      <c r="X5" s="3"/>
      <c r="Y5" s="3"/>
    </row>
    <row r="6" spans="1:27" s="25" customFormat="1" ht="105.7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9" t="s">
        <v>154</v>
      </c>
      <c r="K6" s="18" t="s">
        <v>13</v>
      </c>
      <c r="L6" s="18" t="s">
        <v>14</v>
      </c>
      <c r="M6" s="19" t="s">
        <v>15</v>
      </c>
      <c r="N6" s="20" t="s">
        <v>16</v>
      </c>
      <c r="O6" s="20" t="s">
        <v>17</v>
      </c>
      <c r="P6" s="20" t="s">
        <v>18</v>
      </c>
      <c r="Q6" s="20" t="s">
        <v>19</v>
      </c>
      <c r="R6" s="20" t="s">
        <v>20</v>
      </c>
      <c r="S6" s="20" t="s">
        <v>21</v>
      </c>
      <c r="T6" s="20" t="s">
        <v>22</v>
      </c>
      <c r="U6" s="21" t="s">
        <v>23</v>
      </c>
      <c r="V6" s="22" t="s">
        <v>24</v>
      </c>
      <c r="W6" s="23" t="s">
        <v>25</v>
      </c>
      <c r="X6" s="24" t="s">
        <v>26</v>
      </c>
    </row>
    <row r="7" spans="1:27" s="30" customFormat="1" ht="56.25" customHeight="1">
      <c r="A7" s="26" t="s">
        <v>27</v>
      </c>
      <c r="B7" s="27" t="s">
        <v>28</v>
      </c>
      <c r="C7" s="142">
        <v>15</v>
      </c>
      <c r="D7" s="28">
        <v>1129.1099999999999</v>
      </c>
      <c r="E7" s="28">
        <v>17515.27</v>
      </c>
      <c r="F7" s="28">
        <v>6040.32</v>
      </c>
      <c r="G7" s="28">
        <v>960</v>
      </c>
      <c r="H7" s="28">
        <f>'[1]HT-ADMINISTRATIVOS'!H8</f>
        <v>0</v>
      </c>
      <c r="I7" s="28">
        <v>688</v>
      </c>
      <c r="J7" s="28">
        <v>0</v>
      </c>
      <c r="K7" s="28"/>
      <c r="L7" s="28">
        <f>SUM(E7+F7+I7+K7)</f>
        <v>24243.59</v>
      </c>
      <c r="M7" s="28">
        <f>SUM(L7+G7)</f>
        <v>25203.59</v>
      </c>
      <c r="N7" s="28">
        <f>IF('[19]Calculo ISR '!$K$34&lt;0,0,'[19]Calculo ISR '!$K$34)</f>
        <v>5457.759</v>
      </c>
      <c r="O7" s="28">
        <f>E7*Q4</f>
        <v>1839.1033500000001</v>
      </c>
      <c r="P7" s="28"/>
      <c r="Q7" s="28"/>
      <c r="R7" s="28"/>
      <c r="S7" s="28"/>
      <c r="T7" s="28">
        <f>SUM(N7+O7+P7+Q7+R7+S7)</f>
        <v>7296.8623500000003</v>
      </c>
      <c r="U7" s="28"/>
      <c r="V7" s="36">
        <f>L7-T7</f>
        <v>16946.727650000001</v>
      </c>
      <c r="W7" s="28">
        <f>G7</f>
        <v>960</v>
      </c>
      <c r="X7" s="29"/>
      <c r="AA7" s="31"/>
    </row>
    <row r="8" spans="1:27" s="136" customFormat="1" ht="45" customHeight="1">
      <c r="A8" s="32" t="s">
        <v>29</v>
      </c>
      <c r="B8" s="33" t="s">
        <v>30</v>
      </c>
      <c r="C8" s="34">
        <v>15</v>
      </c>
      <c r="D8" s="35">
        <v>780.2</v>
      </c>
      <c r="E8" s="36">
        <f>C8*D8</f>
        <v>11703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6">
        <f>'[19]PROY. BONO DEL SERV. ADMVOV'!E4</f>
        <v>11703</v>
      </c>
      <c r="K8" s="37">
        <f>E8*S4</f>
        <v>667.07100000000003</v>
      </c>
      <c r="L8" s="36">
        <f>E8+F8+H8+I8+K8+J8</f>
        <v>24519.071</v>
      </c>
      <c r="M8" s="36">
        <f t="shared" ref="M8:M12" si="0">L8+G8</f>
        <v>24904.571</v>
      </c>
      <c r="N8" s="28">
        <f>IF('[19]Calculo ISR '!$L$34&lt;0,0,'[19]Calculo ISR '!$L$34)</f>
        <v>5540.4032999999999</v>
      </c>
      <c r="O8" s="38">
        <f>E8*Q4</f>
        <v>1228.8150000000001</v>
      </c>
      <c r="P8" s="38"/>
      <c r="Q8" s="38">
        <f>'[1]HT-ADMINISTRATIVOS'!Q10</f>
        <v>0</v>
      </c>
      <c r="R8" s="38"/>
      <c r="S8" s="38">
        <f>'[1]HT-ADMINISTRATIVOS'!S10</f>
        <v>0</v>
      </c>
      <c r="T8" s="36">
        <f>N8+O8+P8+Q8+R8+S8</f>
        <v>6769.2183000000005</v>
      </c>
      <c r="U8" s="28">
        <f>IF('[19]Calculo ISR '!$L$34&gt;0,0,'[19]Calculo ISR '!$L$34)*-1</f>
        <v>0</v>
      </c>
      <c r="V8" s="36">
        <f>L8-T8</f>
        <v>17749.852699999999</v>
      </c>
      <c r="W8" s="36">
        <f t="shared" ref="W8:W25" si="1">G8</f>
        <v>385.5</v>
      </c>
      <c r="X8" s="46"/>
      <c r="Y8" s="47"/>
    </row>
    <row r="9" spans="1:27" s="48" customFormat="1" ht="45" customHeight="1">
      <c r="A9" s="32" t="s">
        <v>31</v>
      </c>
      <c r="B9" s="43" t="s">
        <v>32</v>
      </c>
      <c r="C9" s="34">
        <v>15</v>
      </c>
      <c r="D9" s="35">
        <v>238.18</v>
      </c>
      <c r="E9" s="36">
        <v>3572.72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6">
        <f>'[19]PROY. BONO DEL SERV. ADMVOV'!E5</f>
        <v>3572.7000000000003</v>
      </c>
      <c r="K9" s="37">
        <f>E9*S4</f>
        <v>203.64503999999999</v>
      </c>
      <c r="L9" s="36">
        <f>E9+F9+H9+I9+K9+J9</f>
        <v>7349.0650399999995</v>
      </c>
      <c r="M9" s="36">
        <f t="shared" si="0"/>
        <v>7734.5650399999995</v>
      </c>
      <c r="N9" s="28">
        <f>IF('[19]Calculo ISR '!$M$34&lt;0,0,'[19]Calculo ISR '!$M$34)</f>
        <v>1022.571116544</v>
      </c>
      <c r="O9" s="38">
        <f>E9*Q4</f>
        <v>375.13559999999995</v>
      </c>
      <c r="P9" s="38">
        <v>800</v>
      </c>
      <c r="Q9" s="38">
        <f>'[1]HT-ADMINISTRATIVOS'!Q11</f>
        <v>0</v>
      </c>
      <c r="R9" s="38">
        <f>'[1]HT-ADMINISTRATIVOS'!R11</f>
        <v>0</v>
      </c>
      <c r="S9" s="38">
        <f>E9*P4</f>
        <v>35.727199999999996</v>
      </c>
      <c r="T9" s="36">
        <f>N9+O9+P9+Q9+R9+S9</f>
        <v>2233.4339165439997</v>
      </c>
      <c r="U9" s="28">
        <f>IF('[19]Calculo ISR '!$M$34&gt;0,0,'[19]Calculo ISR '!$M$34)*-1</f>
        <v>0</v>
      </c>
      <c r="V9" s="36">
        <f t="shared" ref="V9:V15" si="2">L9-T9+U9</f>
        <v>5115.6311234559998</v>
      </c>
      <c r="W9" s="36">
        <f t="shared" si="1"/>
        <v>385.5</v>
      </c>
      <c r="X9" s="46"/>
      <c r="Y9" s="47"/>
    </row>
    <row r="10" spans="1:27" s="48" customFormat="1" ht="45" customHeight="1">
      <c r="A10" s="32" t="s">
        <v>33</v>
      </c>
      <c r="B10" s="45" t="s">
        <v>34</v>
      </c>
      <c r="C10" s="34">
        <v>15</v>
      </c>
      <c r="D10" s="35">
        <f>E10/C10</f>
        <v>250.32666666666668</v>
      </c>
      <c r="E10" s="36">
        <v>3754.9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6">
        <f>'[19]PROY. BONO DEL SERV. ADMVOV'!E6</f>
        <v>3754.9</v>
      </c>
      <c r="K10" s="37">
        <f>E10*S4</f>
        <v>214.02930000000001</v>
      </c>
      <c r="L10" s="36">
        <f>E10+F10+I10+K10+J10</f>
        <v>7723.8293000000003</v>
      </c>
      <c r="M10" s="36">
        <f t="shared" si="0"/>
        <v>8109.3293000000003</v>
      </c>
      <c r="N10" s="28">
        <f>IF('[19]Calculo ISR '!$N$34&lt;0,0,'[19]Calculo ISR '!$N$34)</f>
        <v>1102.6207624800002</v>
      </c>
      <c r="O10" s="38">
        <f>E10*Q4</f>
        <v>394.2645</v>
      </c>
      <c r="P10" s="38">
        <v>650</v>
      </c>
      <c r="Q10" s="38">
        <f>'[1]HT-ADMINISTRATIVOS'!Q12</f>
        <v>0</v>
      </c>
      <c r="R10" s="38">
        <f>'[1]HT-ADMINISTRATIVOS'!R12</f>
        <v>0</v>
      </c>
      <c r="S10" s="38">
        <f>E10*P4</f>
        <v>37.548999999999999</v>
      </c>
      <c r="T10" s="36">
        <f t="shared" ref="T10:T29" si="3">N10+O10+P10+S10+Q10+R10</f>
        <v>2184.4342624800001</v>
      </c>
      <c r="U10" s="28">
        <f>IF('[19]Calculo ISR '!$N$34&gt;0,0,'[19]Calculo ISR '!$N$34)*-1</f>
        <v>0</v>
      </c>
      <c r="V10" s="36">
        <f t="shared" si="2"/>
        <v>5539.3950375200002</v>
      </c>
      <c r="W10" s="36">
        <f t="shared" si="1"/>
        <v>385.5</v>
      </c>
      <c r="X10" s="46"/>
      <c r="Y10" s="47"/>
    </row>
    <row r="11" spans="1:27" s="48" customFormat="1" ht="45" customHeight="1">
      <c r="A11" s="32" t="s">
        <v>35</v>
      </c>
      <c r="B11" s="43" t="s">
        <v>36</v>
      </c>
      <c r="C11" s="34">
        <v>15</v>
      </c>
      <c r="D11" s="35">
        <v>226.68</v>
      </c>
      <c r="E11" s="36">
        <v>3400.25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6">
        <f>'[19]PROY. BONO DEL SERV. ADMVOV'!E7</f>
        <v>3400.2000000000003</v>
      </c>
      <c r="K11" s="37">
        <f>E11*S4</f>
        <v>193.81425000000002</v>
      </c>
      <c r="L11" s="36">
        <f t="shared" ref="L11:L36" si="4">E11+F11+H11+I11+K11+J11</f>
        <v>6994.2642500000002</v>
      </c>
      <c r="M11" s="36">
        <f t="shared" si="0"/>
        <v>7379.7642500000002</v>
      </c>
      <c r="N11" s="28">
        <f>IF('[19]Calculo ISR '!$O$34&lt;0,0,'[19]Calculo ISR '!$O$34)</f>
        <v>946.78566780000006</v>
      </c>
      <c r="O11" s="38">
        <f>E11*Q4</f>
        <v>357.02625</v>
      </c>
      <c r="P11" s="38">
        <v>1462.22</v>
      </c>
      <c r="Q11" s="38">
        <f>'[1]HT-ADMINISTRATIVOS'!Q13</f>
        <v>0</v>
      </c>
      <c r="R11" s="38">
        <f>'[1]HT-ADMINISTRATIVOS'!R13</f>
        <v>0</v>
      </c>
      <c r="S11" s="38">
        <f>E11*P4</f>
        <v>34.002499999999998</v>
      </c>
      <c r="T11" s="36">
        <f t="shared" si="3"/>
        <v>2800.0344178</v>
      </c>
      <c r="U11" s="28">
        <f>IF('[19]Calculo ISR '!$O$34&gt;0,0,'[19]Calculo ISR '!$O$34)*-1</f>
        <v>0</v>
      </c>
      <c r="V11" s="36">
        <f t="shared" si="2"/>
        <v>4194.2298322000006</v>
      </c>
      <c r="W11" s="36">
        <f t="shared" si="1"/>
        <v>385.5</v>
      </c>
      <c r="X11" s="46"/>
      <c r="Y11" s="47"/>
    </row>
    <row r="12" spans="1:27" s="48" customFormat="1" ht="45" customHeight="1">
      <c r="A12" s="32" t="s">
        <v>37</v>
      </c>
      <c r="B12" s="43" t="s">
        <v>38</v>
      </c>
      <c r="C12" s="34">
        <v>15</v>
      </c>
      <c r="D12" s="49">
        <v>250.33</v>
      </c>
      <c r="E12" s="36">
        <v>3754.9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6">
        <f>'[19]PROY. BONO DEL SERV. ADMVOV'!E8</f>
        <v>3754.9500000000003</v>
      </c>
      <c r="K12" s="37">
        <f>E12*S4</f>
        <v>214.02930000000001</v>
      </c>
      <c r="L12" s="36">
        <f t="shared" si="4"/>
        <v>7723.8793000000005</v>
      </c>
      <c r="M12" s="36">
        <f t="shared" si="0"/>
        <v>8109.3793000000005</v>
      </c>
      <c r="N12" s="28">
        <f>IF('[19]Calculo ISR '!$P$34&lt;0,0,'[19]Calculo ISR '!$P$34)</f>
        <v>1102.6314424800003</v>
      </c>
      <c r="O12" s="38">
        <f>E12*Q4</f>
        <v>394.2645</v>
      </c>
      <c r="P12" s="38">
        <v>1211</v>
      </c>
      <c r="Q12" s="38">
        <f>'[1]HT-ADMINISTRATIVOS'!Q14</f>
        <v>0</v>
      </c>
      <c r="R12" s="38">
        <f>'[1]HT-ADMINISTRATIVOS'!R14</f>
        <v>0</v>
      </c>
      <c r="S12" s="38">
        <f>E12*P4</f>
        <v>37.548999999999999</v>
      </c>
      <c r="T12" s="36">
        <f t="shared" si="3"/>
        <v>2745.4449424800005</v>
      </c>
      <c r="U12" s="28">
        <f>IF('[19]Calculo ISR '!$P$34&gt;0,0,'[19]Calculo ISR '!$P$34)*-1</f>
        <v>0</v>
      </c>
      <c r="V12" s="36">
        <f t="shared" si="2"/>
        <v>4978.43435752</v>
      </c>
      <c r="W12" s="36">
        <f t="shared" si="1"/>
        <v>385.5</v>
      </c>
      <c r="X12" s="46"/>
      <c r="Y12" s="47"/>
    </row>
    <row r="13" spans="1:27" s="48" customFormat="1" ht="45" customHeight="1">
      <c r="A13" s="32" t="s">
        <v>39</v>
      </c>
      <c r="B13" s="43" t="s">
        <v>40</v>
      </c>
      <c r="C13" s="34">
        <v>15</v>
      </c>
      <c r="D13" s="50">
        <v>177.16</v>
      </c>
      <c r="E13" s="36">
        <v>2657.47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6">
        <f>'[19]PROY. BONO DEL SERV. ADMVOV'!E9</f>
        <v>2657.4</v>
      </c>
      <c r="K13" s="37">
        <f>E13*S4</f>
        <v>151.47578999999999</v>
      </c>
      <c r="L13" s="36">
        <f t="shared" si="4"/>
        <v>5466.3457899999994</v>
      </c>
      <c r="M13" s="36">
        <f>L13+G13+U13</f>
        <v>5851.8457899999994</v>
      </c>
      <c r="N13" s="28">
        <f>IF('[19]Calculo ISR '!$Q$34&lt;0,0,'[19]Calculo ISR '!$Q$34)</f>
        <v>620.42228474399997</v>
      </c>
      <c r="O13" s="38">
        <f>E13*Q4</f>
        <v>279.03434999999996</v>
      </c>
      <c r="P13" s="38">
        <v>567</v>
      </c>
      <c r="Q13" s="38">
        <f>'[1]HT-ADMINISTRATIVOS'!Q15</f>
        <v>0</v>
      </c>
      <c r="R13" s="38">
        <f>'[1]HT-ADMINISTRATIVOS'!R15</f>
        <v>0</v>
      </c>
      <c r="S13" s="38">
        <f>E13*P4</f>
        <v>26.5747</v>
      </c>
      <c r="T13" s="36">
        <f t="shared" si="3"/>
        <v>1493.0313347439999</v>
      </c>
      <c r="U13" s="28">
        <f>IF('[19]Calculo ISR '!$Q$34&gt;0,0,'[19]Calculo ISR '!$Q$34)*-1</f>
        <v>0</v>
      </c>
      <c r="V13" s="36">
        <f t="shared" si="2"/>
        <v>3973.3144552559997</v>
      </c>
      <c r="W13" s="36">
        <f t="shared" si="1"/>
        <v>385.5</v>
      </c>
      <c r="X13" s="46"/>
      <c r="Y13" s="47"/>
    </row>
    <row r="14" spans="1:27" s="48" customFormat="1" ht="45" customHeight="1">
      <c r="A14" s="32" t="s">
        <v>41</v>
      </c>
      <c r="B14" s="43" t="s">
        <v>42</v>
      </c>
      <c r="C14" s="34">
        <v>15</v>
      </c>
      <c r="D14" s="50">
        <v>168.65</v>
      </c>
      <c r="E14" s="36">
        <v>2529.8000000000002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6">
        <f>'[19]PROY. BONO DEL SERV. ADMVOV'!E10</f>
        <v>2529.75</v>
      </c>
      <c r="K14" s="37">
        <f>E14*S4</f>
        <v>144.19860000000003</v>
      </c>
      <c r="L14" s="36">
        <f t="shared" si="4"/>
        <v>5203.7486000000008</v>
      </c>
      <c r="M14" s="36">
        <f>L14+G14+U14</f>
        <v>5589.2486000000008</v>
      </c>
      <c r="N14" s="28">
        <f>IF('[19]Calculo ISR '!$R$34&lt;0,0,'[19]Calculo ISR '!$R$34)</f>
        <v>564.33152496000025</v>
      </c>
      <c r="O14" s="38">
        <f>E14*Q4</f>
        <v>265.62900000000002</v>
      </c>
      <c r="P14" s="38">
        <v>816</v>
      </c>
      <c r="Q14" s="38">
        <f>'[1]HT-ADMINISTRATIVOS'!Q16</f>
        <v>0</v>
      </c>
      <c r="R14" s="38">
        <f>'[1]HT-ADMINISTRATIVOS'!R16</f>
        <v>0</v>
      </c>
      <c r="S14" s="38">
        <f>E14*P4</f>
        <v>25.298000000000002</v>
      </c>
      <c r="T14" s="36">
        <f t="shared" si="3"/>
        <v>1671.2585249600004</v>
      </c>
      <c r="U14" s="28">
        <f>IF('[19]Calculo ISR '!$R$34&gt;0,0,'[19]Calculo ISR '!$R$34)*-1</f>
        <v>0</v>
      </c>
      <c r="V14" s="36">
        <f t="shared" si="2"/>
        <v>3532.4900750400002</v>
      </c>
      <c r="W14" s="36">
        <f t="shared" si="1"/>
        <v>385.5</v>
      </c>
      <c r="X14" s="46"/>
      <c r="Y14" s="47"/>
    </row>
    <row r="15" spans="1:27" s="48" customFormat="1" ht="45" customHeight="1">
      <c r="A15" s="33" t="s">
        <v>43</v>
      </c>
      <c r="B15" s="43" t="s">
        <v>44</v>
      </c>
      <c r="C15" s="34">
        <v>15</v>
      </c>
      <c r="D15" s="50">
        <v>553.13</v>
      </c>
      <c r="E15" s="36">
        <v>8296.9699999999993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6">
        <f>'[19]PROY. BONO DEL SERV. ADMVOV'!E11</f>
        <v>8296.9500000000007</v>
      </c>
      <c r="K15" s="37">
        <f>E15*R4</f>
        <v>315.28485999999998</v>
      </c>
      <c r="L15" s="36">
        <f t="shared" si="4"/>
        <v>16909.204859999998</v>
      </c>
      <c r="M15" s="36">
        <f>L15+G15</f>
        <v>17294.704859999998</v>
      </c>
      <c r="N15" s="28">
        <f>IF('[19]Calculo ISR '!$S$34&lt;0,0,'[19]Calculo ISR '!$S$34)</f>
        <v>3257.4434579999993</v>
      </c>
      <c r="O15" s="38">
        <f>E15*Q4</f>
        <v>871.18184999999994</v>
      </c>
      <c r="P15" s="38">
        <v>2675</v>
      </c>
      <c r="Q15" s="38">
        <f>'[1]HT-ADMINISTRATIVOS'!Q17</f>
        <v>0</v>
      </c>
      <c r="R15" s="38">
        <f>'[1]HT-ADMINISTRATIVOS'!R17</f>
        <v>0</v>
      </c>
      <c r="S15" s="38">
        <f>'[1]HT-ADMINISTRATIVOS'!S17</f>
        <v>0</v>
      </c>
      <c r="T15" s="36">
        <f t="shared" si="3"/>
        <v>6803.6253079999988</v>
      </c>
      <c r="U15" s="28">
        <f>IF('[19]Calculo ISR '!$S$34&gt;0,0,'[19]Calculo ISR '!$S$34)*-1</f>
        <v>0</v>
      </c>
      <c r="V15" s="36">
        <f t="shared" si="2"/>
        <v>10105.579551999999</v>
      </c>
      <c r="W15" s="36">
        <f t="shared" si="1"/>
        <v>385.5</v>
      </c>
      <c r="X15" s="51"/>
      <c r="Y15" s="52"/>
    </row>
    <row r="16" spans="1:27" s="48" customFormat="1" ht="45" customHeight="1">
      <c r="A16" s="33" t="s">
        <v>45</v>
      </c>
      <c r="B16" s="43" t="s">
        <v>46</v>
      </c>
      <c r="C16" s="34">
        <v>15</v>
      </c>
      <c r="D16" s="50">
        <v>276.45</v>
      </c>
      <c r="E16" s="36">
        <v>4146.7700000000004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6">
        <f>'[19]PROY. BONO DEL SERV. ADMVOV'!E12</f>
        <v>4146.75</v>
      </c>
      <c r="K16" s="37">
        <f>E16*R4</f>
        <v>157.57726000000002</v>
      </c>
      <c r="L16" s="36">
        <f t="shared" si="4"/>
        <v>8451.0972600000005</v>
      </c>
      <c r="M16" s="36">
        <f>L16+G16</f>
        <v>8836.5972600000005</v>
      </c>
      <c r="N16" s="28">
        <f>IF('[19]Calculo ISR '!$T$34&lt;0,0,'[19]Calculo ISR '!$T$34)</f>
        <v>1257.9651987360003</v>
      </c>
      <c r="O16" s="38">
        <f>E16*Q4</f>
        <v>435.41085000000004</v>
      </c>
      <c r="P16" s="38">
        <v>1337</v>
      </c>
      <c r="Q16" s="38"/>
      <c r="R16" s="38"/>
      <c r="S16" s="38">
        <f>E16*P4</f>
        <v>41.467700000000008</v>
      </c>
      <c r="T16" s="36">
        <f>N16+O16+P16+R16+S16+Q16</f>
        <v>3071.8437487360006</v>
      </c>
      <c r="U16" s="28">
        <f>IF('[19]Calculo ISR '!$T$34&gt;0,0,'[19]Calculo ISR '!$T$34)*-1</f>
        <v>0</v>
      </c>
      <c r="V16" s="36">
        <f>L16-T16</f>
        <v>5379.2535112639998</v>
      </c>
      <c r="W16" s="36">
        <f t="shared" si="1"/>
        <v>385.5</v>
      </c>
      <c r="X16" s="51"/>
      <c r="Y16" s="52"/>
    </row>
    <row r="17" spans="1:25" s="48" customFormat="1" ht="45" customHeight="1">
      <c r="A17" s="33" t="s">
        <v>47</v>
      </c>
      <c r="B17" s="43" t="s">
        <v>48</v>
      </c>
      <c r="C17" s="34">
        <v>15</v>
      </c>
      <c r="D17" s="50">
        <v>238.18</v>
      </c>
      <c r="E17" s="36">
        <v>3572.72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6">
        <f>'[19]PROY. BONO DEL SERV. ADMVOV'!E13</f>
        <v>3572.7000000000003</v>
      </c>
      <c r="K17" s="37">
        <f>E17*R4</f>
        <v>135.76335999999998</v>
      </c>
      <c r="L17" s="36">
        <f t="shared" si="4"/>
        <v>7727.1833600000009</v>
      </c>
      <c r="M17" s="36">
        <f>L17+G17</f>
        <v>8112.6833600000009</v>
      </c>
      <c r="N17" s="28">
        <f>IF('[19]Calculo ISR '!$U$34&lt;0,0,'[19]Calculo ISR '!$U$34)</f>
        <v>1103.3371896960002</v>
      </c>
      <c r="O17" s="38">
        <f>E17*Q4</f>
        <v>375.13559999999995</v>
      </c>
      <c r="P17" s="38">
        <v>1152</v>
      </c>
      <c r="Q17" s="38">
        <f>'[1]HT-ADMINISTRATIVOS'!Q19</f>
        <v>0</v>
      </c>
      <c r="R17" s="38">
        <f>'[1]HT-ADMINISTRATIVOS'!R19</f>
        <v>0</v>
      </c>
      <c r="S17" s="38">
        <f>E17*P4</f>
        <v>35.727199999999996</v>
      </c>
      <c r="T17" s="36">
        <f t="shared" si="3"/>
        <v>2666.1999896960001</v>
      </c>
      <c r="U17" s="28">
        <f>IF('[19]Calculo ISR '!$U$34&gt;0,0,'[19]Calculo ISR '!$U$34)*-1</f>
        <v>0</v>
      </c>
      <c r="V17" s="36">
        <f t="shared" ref="V17:V25" si="5">L17-T17+U17</f>
        <v>5060.9833703040003</v>
      </c>
      <c r="W17" s="36">
        <f t="shared" si="1"/>
        <v>385.5</v>
      </c>
      <c r="X17" s="51"/>
      <c r="Y17" s="52"/>
    </row>
    <row r="18" spans="1:25" s="48" customFormat="1" ht="45" customHeight="1">
      <c r="A18" s="33" t="s">
        <v>49</v>
      </c>
      <c r="B18" s="43" t="s">
        <v>50</v>
      </c>
      <c r="C18" s="34">
        <v>15</v>
      </c>
      <c r="D18" s="50">
        <v>902.7</v>
      </c>
      <c r="E18" s="36">
        <v>13540.55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6">
        <f>'[19]PROY. BONO DEL SERV. ADMVOV'!E14</f>
        <v>13540.5</v>
      </c>
      <c r="K18" s="37">
        <f>E18*M4</f>
        <v>257.27044999999998</v>
      </c>
      <c r="L18" s="36">
        <f t="shared" si="4"/>
        <v>27338.320449999999</v>
      </c>
      <c r="M18" s="36">
        <f>L18+G18</f>
        <v>27723.820449999999</v>
      </c>
      <c r="N18" s="28">
        <f>IF('[19]Calculo ISR '!$V$34&lt;0,0,'[19]Calculo ISR '!$V$34)</f>
        <v>6386.1781350000001</v>
      </c>
      <c r="O18" s="38">
        <f>E18*Q4</f>
        <v>1421.7577499999998</v>
      </c>
      <c r="P18" s="38">
        <f>'[1]HT-ADMINISTRATIVOS'!P20</f>
        <v>0</v>
      </c>
      <c r="Q18" s="38">
        <f>'[1]HT-ADMINISTRATIVOS'!Q20</f>
        <v>0</v>
      </c>
      <c r="R18" s="38">
        <f>'[1]HT-ADMINISTRATIVOS'!R20</f>
        <v>0</v>
      </c>
      <c r="S18" s="38">
        <f>'[1]HT-ADMINISTRATIVOS'!S20</f>
        <v>0</v>
      </c>
      <c r="T18" s="36">
        <f t="shared" si="3"/>
        <v>7807.9358849999999</v>
      </c>
      <c r="U18" s="28">
        <f>IF('[19]Calculo ISR '!$V$34&gt;0,0,'[19]Calculo ISR '!$V$34)*-1</f>
        <v>0</v>
      </c>
      <c r="V18" s="36">
        <f t="shared" si="5"/>
        <v>19530.384565</v>
      </c>
      <c r="W18" s="36">
        <f t="shared" si="1"/>
        <v>385.5</v>
      </c>
      <c r="X18" s="46"/>
      <c r="Y18" s="47"/>
    </row>
    <row r="19" spans="1:25" s="48" customFormat="1" ht="45" customHeight="1">
      <c r="A19" s="53" t="s">
        <v>51</v>
      </c>
      <c r="B19" s="53" t="s">
        <v>52</v>
      </c>
      <c r="C19" s="34">
        <v>15</v>
      </c>
      <c r="D19" s="50">
        <v>226.68</v>
      </c>
      <c r="E19" s="36">
        <v>3400.25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6">
        <f>'[19]PROY. BONO DEL SERV. ADMVOV'!E15</f>
        <v>3400.2000000000003</v>
      </c>
      <c r="K19" s="37">
        <f>E19*M4</f>
        <v>64.604749999999996</v>
      </c>
      <c r="L19" s="36">
        <f t="shared" si="4"/>
        <v>6865.0547500000002</v>
      </c>
      <c r="M19" s="36">
        <f>L19+G19</f>
        <v>7250.5547500000002</v>
      </c>
      <c r="N19" s="28">
        <f>IF('[19]Calculo ISR '!$W$34&lt;0,0,'[19]Calculo ISR '!$W$34)</f>
        <v>919.18651860000023</v>
      </c>
      <c r="O19" s="38">
        <f>E19*Q4</f>
        <v>357.02625</v>
      </c>
      <c r="P19" s="38">
        <v>1097</v>
      </c>
      <c r="Q19" s="38">
        <f>'[1]HT-ADMINISTRATIVOS'!Q21</f>
        <v>0</v>
      </c>
      <c r="R19" s="38">
        <f>'[1]HT-ADMINISTRATIVOS'!R21</f>
        <v>0</v>
      </c>
      <c r="S19" s="38">
        <f>E19*P4</f>
        <v>34.002499999999998</v>
      </c>
      <c r="T19" s="36">
        <f t="shared" si="3"/>
        <v>2407.2152686000004</v>
      </c>
      <c r="U19" s="28">
        <f>IF('[19]Calculo ISR '!$W$34&gt;0,0,'[19]Calculo ISR '!$W$34)*-1</f>
        <v>0</v>
      </c>
      <c r="V19" s="36">
        <f t="shared" si="5"/>
        <v>4457.8394814000003</v>
      </c>
      <c r="W19" s="36">
        <f t="shared" si="1"/>
        <v>385.5</v>
      </c>
      <c r="X19" s="46"/>
      <c r="Y19" s="47"/>
    </row>
    <row r="20" spans="1:25" s="48" customFormat="1" ht="45" customHeight="1">
      <c r="A20" s="53" t="s">
        <v>53</v>
      </c>
      <c r="B20" s="53" t="s">
        <v>54</v>
      </c>
      <c r="C20" s="34">
        <v>15</v>
      </c>
      <c r="D20" s="50">
        <v>153.16</v>
      </c>
      <c r="E20" s="36">
        <v>2297.42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6">
        <f>'[19]PROY. BONO DEL SERV. ADMVOV'!E16</f>
        <v>2297.4</v>
      </c>
      <c r="K20" s="37">
        <f>E20*M4</f>
        <v>43.650979999999997</v>
      </c>
      <c r="L20" s="36">
        <f t="shared" si="4"/>
        <v>4638.4709800000001</v>
      </c>
      <c r="M20" s="36">
        <f>L20+G20+U20</f>
        <v>5023.9709800000001</v>
      </c>
      <c r="N20" s="28">
        <f>IF('[19]Calculo ISR '!$X$34&lt;0,0,'[19]Calculo ISR '!$X$34)</f>
        <v>458.71948761600009</v>
      </c>
      <c r="O20" s="38">
        <f>E20*Q4</f>
        <v>241.22909999999999</v>
      </c>
      <c r="P20" s="38">
        <v>741</v>
      </c>
      <c r="Q20" s="38">
        <f>'[1]HT-ADMINISTRATIVOS'!Q22</f>
        <v>0</v>
      </c>
      <c r="R20" s="38">
        <f>'[1]HT-ADMINISTRATIVOS'!R22</f>
        <v>0</v>
      </c>
      <c r="S20" s="38">
        <f>E20*P4</f>
        <v>22.9742</v>
      </c>
      <c r="T20" s="36">
        <f t="shared" si="3"/>
        <v>1463.9227876160003</v>
      </c>
      <c r="U20" s="28">
        <f>IF('[19]Calculo ISR '!$X$34&gt;0,0,('[19]Calculo ISR '!$X$34)*-1)</f>
        <v>0</v>
      </c>
      <c r="V20" s="36">
        <f t="shared" si="5"/>
        <v>3174.5481923839998</v>
      </c>
      <c r="W20" s="36">
        <f t="shared" si="1"/>
        <v>385.5</v>
      </c>
      <c r="X20" s="46"/>
      <c r="Y20" s="47"/>
    </row>
    <row r="21" spans="1:25" s="48" customFormat="1" ht="45" customHeight="1">
      <c r="A21" s="53" t="s">
        <v>55</v>
      </c>
      <c r="B21" s="53" t="s">
        <v>56</v>
      </c>
      <c r="C21" s="34">
        <v>15</v>
      </c>
      <c r="D21" s="50">
        <v>153.16</v>
      </c>
      <c r="E21" s="36">
        <v>2297.42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6">
        <f>'[19]PROY. BONO DEL SERV. ADMVOV'!E17</f>
        <v>2297.4</v>
      </c>
      <c r="K21" s="37">
        <f>E21*M4</f>
        <v>43.650979999999997</v>
      </c>
      <c r="L21" s="36">
        <f t="shared" si="4"/>
        <v>5084.4709800000001</v>
      </c>
      <c r="M21" s="36">
        <f>L21+G21+U21</f>
        <v>5469.9709800000001</v>
      </c>
      <c r="N21" s="28">
        <f>IF('[19]Calculo ISR '!$Y$34&lt;0,0,'[19]Calculo ISR '!$Y$34)</f>
        <v>538.85382532800008</v>
      </c>
      <c r="O21" s="38">
        <f>E21*Q4</f>
        <v>241.22909999999999</v>
      </c>
      <c r="P21" s="38">
        <v>597</v>
      </c>
      <c r="Q21" s="38">
        <f>'[1]HT-ADMINISTRATIVOS'!Q23</f>
        <v>0</v>
      </c>
      <c r="R21" s="38">
        <f>'[1]HT-ADMINISTRATIVOS'!R23</f>
        <v>0</v>
      </c>
      <c r="S21" s="38">
        <f>E21*P4</f>
        <v>22.9742</v>
      </c>
      <c r="T21" s="36">
        <f t="shared" si="3"/>
        <v>1400.0571253280002</v>
      </c>
      <c r="U21" s="28">
        <f>IF('[19]Calculo ISR '!$Y$34&gt;0,0,'[19]Calculo ISR '!$Y$34)*-1</f>
        <v>0</v>
      </c>
      <c r="V21" s="36">
        <f t="shared" si="5"/>
        <v>3684.4138546719996</v>
      </c>
      <c r="W21" s="36">
        <f t="shared" si="1"/>
        <v>385.5</v>
      </c>
      <c r="X21" s="46"/>
      <c r="Y21" s="47"/>
    </row>
    <row r="22" spans="1:25" s="48" customFormat="1" ht="45" customHeight="1">
      <c r="A22" s="54" t="s">
        <v>61</v>
      </c>
      <c r="B22" s="55" t="s">
        <v>62</v>
      </c>
      <c r="C22" s="34">
        <v>15</v>
      </c>
      <c r="D22" s="50">
        <v>205.61</v>
      </c>
      <c r="E22" s="36">
        <f t="shared" ref="E22:E42" si="6">C22*D22</f>
        <v>3084.15</v>
      </c>
      <c r="F22" s="43"/>
      <c r="G22" s="36">
        <f>'[1]HT-ADMINISTRATIVOS'!G28</f>
        <v>385.5</v>
      </c>
      <c r="H22" s="36">
        <f>'[1]HT-ADMINISTRATIVOS'!H28</f>
        <v>446</v>
      </c>
      <c r="I22" s="36">
        <f>'[1]HT-ADMINISTRATIVOS'!J28</f>
        <v>0</v>
      </c>
      <c r="J22" s="36">
        <f>'[19]PROY. BONO DEL SERV. ADMVOV'!E18</f>
        <v>3084.15</v>
      </c>
      <c r="K22" s="37">
        <f>'[1]HT-ADMINISTRATIVOS'!I28</f>
        <v>0</v>
      </c>
      <c r="L22" s="36">
        <f t="shared" si="4"/>
        <v>6614.3</v>
      </c>
      <c r="M22" s="36">
        <f>L22+G22</f>
        <v>6999.8</v>
      </c>
      <c r="N22" s="28">
        <f>IF('[19]Calculo ISR '!$AB$34&lt;0,0,'[19]Calculo ISR '!$AB$34)</f>
        <v>865.62530400000014</v>
      </c>
      <c r="O22" s="38">
        <f>E22*Q4</f>
        <v>323.83575000000002</v>
      </c>
      <c r="P22" s="38">
        <v>0</v>
      </c>
      <c r="Q22" s="38">
        <f>'[1]HT-ADMINISTRATIVOS'!Q28</f>
        <v>0</v>
      </c>
      <c r="R22" s="38">
        <f>'[1]HT-ADMINISTRATIVOS'!R28</f>
        <v>0</v>
      </c>
      <c r="S22" s="38">
        <f>E22*P4</f>
        <v>30.8415</v>
      </c>
      <c r="T22" s="36">
        <f t="shared" si="3"/>
        <v>1220.3025540000001</v>
      </c>
      <c r="U22" s="28">
        <f>IF('[19]Calculo ISR '!$AB$34&gt;0,0,'[19]Calculo ISR '!$AB$34)*-1</f>
        <v>0</v>
      </c>
      <c r="V22" s="36">
        <f t="shared" si="5"/>
        <v>5393.9974460000003</v>
      </c>
      <c r="W22" s="36">
        <f t="shared" si="1"/>
        <v>385.5</v>
      </c>
      <c r="X22" s="46"/>
      <c r="Y22" s="47"/>
    </row>
    <row r="23" spans="1:25" s="48" customFormat="1" ht="45" customHeight="1">
      <c r="A23" s="54" t="s">
        <v>63</v>
      </c>
      <c r="B23" s="55" t="s">
        <v>64</v>
      </c>
      <c r="C23" s="34">
        <v>15</v>
      </c>
      <c r="D23" s="50">
        <v>186.24</v>
      </c>
      <c r="E23" s="36">
        <v>2793.65</v>
      </c>
      <c r="F23" s="43"/>
      <c r="G23" s="36">
        <f>'[1]HT-ADMINISTRATIVOS'!G29</f>
        <v>385.5</v>
      </c>
      <c r="H23" s="36">
        <f>'[1]HT-ADMINISTRATIVOS'!H29</f>
        <v>892</v>
      </c>
      <c r="I23" s="36">
        <f>'[1]HT-ADMINISTRATIVOS'!J29</f>
        <v>0</v>
      </c>
      <c r="J23" s="36">
        <f>'[19]PROY. BONO DEL SERV. ADMVOV'!E19</f>
        <v>2793.6000000000004</v>
      </c>
      <c r="K23" s="37">
        <f>'[1]HT-ADMINISTRATIVOS'!I29</f>
        <v>0</v>
      </c>
      <c r="L23" s="36">
        <f t="shared" si="4"/>
        <v>6479.25</v>
      </c>
      <c r="M23" s="36">
        <f>L23+G23</f>
        <v>6864.75</v>
      </c>
      <c r="N23" s="28">
        <f>IF('[19]Calculo ISR '!$AC$34&lt;0,0,'[19]Calculo ISR '!$AC$34)</f>
        <v>865.62530400000014</v>
      </c>
      <c r="O23" s="38">
        <f>E23*Q4</f>
        <v>293.33325000000002</v>
      </c>
      <c r="P23" s="38">
        <v>1081</v>
      </c>
      <c r="Q23" s="38">
        <f>'[1]HT-ADMINISTRATIVOS'!Q29</f>
        <v>0</v>
      </c>
      <c r="R23" s="38">
        <f>'[1]HT-ADMINISTRATIVOS'!R29</f>
        <v>0</v>
      </c>
      <c r="S23" s="38">
        <f>E23*P4</f>
        <v>27.936500000000002</v>
      </c>
      <c r="T23" s="36">
        <f t="shared" si="3"/>
        <v>2267.8950540000001</v>
      </c>
      <c r="U23" s="28">
        <f>IF('[19]Calculo ISR '!$AC$34&gt;0,0,'[19]Calculo ISR '!$AC$34)*-1</f>
        <v>0</v>
      </c>
      <c r="V23" s="36">
        <f t="shared" si="5"/>
        <v>4211.3549459999995</v>
      </c>
      <c r="W23" s="36">
        <f t="shared" si="1"/>
        <v>385.5</v>
      </c>
      <c r="X23" s="46"/>
      <c r="Y23" s="47"/>
    </row>
    <row r="24" spans="1:25" s="48" customFormat="1" ht="45" customHeight="1">
      <c r="A24" s="56" t="s">
        <v>65</v>
      </c>
      <c r="B24" s="55" t="s">
        <v>66</v>
      </c>
      <c r="C24" s="34">
        <v>15</v>
      </c>
      <c r="D24" s="50">
        <v>146.38999999999999</v>
      </c>
      <c r="E24" s="36">
        <v>2195.92</v>
      </c>
      <c r="F24" s="43"/>
      <c r="G24" s="36">
        <f>'[1]HT-ADMINISTRATIVOS'!G31</f>
        <v>385.5</v>
      </c>
      <c r="H24" s="36">
        <f>'[1]HT-ADMINISTRATIVOS'!H31</f>
        <v>446</v>
      </c>
      <c r="I24" s="36">
        <f>'[1]HT-ADMINISTRATIVOS'!J31</f>
        <v>0</v>
      </c>
      <c r="J24" s="36">
        <f>'[19]PROY. BONO DEL SERV. ADMVOV'!E20</f>
        <v>2195.85</v>
      </c>
      <c r="K24" s="37">
        <f>'[1]HT-ADMINISTRATIVOS'!I31</f>
        <v>0</v>
      </c>
      <c r="L24" s="36">
        <f t="shared" si="4"/>
        <v>4837.7700000000004</v>
      </c>
      <c r="M24" s="36">
        <f>L24+G24+U24</f>
        <v>5223.2700000000004</v>
      </c>
      <c r="N24" s="28">
        <f>IF('[19]Calculo ISR '!$AD$34&lt;0,0,'[19]Calculo ISR '!$AD$34)</f>
        <v>494.43387200000018</v>
      </c>
      <c r="O24" s="38">
        <f>E24*Q4</f>
        <v>230.57159999999999</v>
      </c>
      <c r="P24" s="38">
        <f>'[1]HT-ADMINISTRATIVOS'!P31</f>
        <v>0</v>
      </c>
      <c r="Q24" s="38">
        <f>'[1]HT-ADMINISTRATIVOS'!Q31</f>
        <v>0</v>
      </c>
      <c r="R24" s="38">
        <f>'[1]HT-ADMINISTRATIVOS'!R31</f>
        <v>0</v>
      </c>
      <c r="S24" s="38">
        <f>E24*P4</f>
        <v>21.959200000000003</v>
      </c>
      <c r="T24" s="36">
        <f t="shared" si="3"/>
        <v>746.96467200000018</v>
      </c>
      <c r="U24" s="28">
        <f>IF('[19]Calculo ISR '!$AD$34&gt;0,0,'[19]Calculo ISR '!$AD$34)*-1</f>
        <v>0</v>
      </c>
      <c r="V24" s="36">
        <f t="shared" si="5"/>
        <v>4090.8053280000004</v>
      </c>
      <c r="W24" s="36">
        <f t="shared" si="1"/>
        <v>385.5</v>
      </c>
      <c r="X24" s="46"/>
      <c r="Y24" s="47"/>
    </row>
    <row r="25" spans="1:25" s="48" customFormat="1" ht="45" customHeight="1">
      <c r="A25" s="56" t="s">
        <v>67</v>
      </c>
      <c r="B25" s="57" t="s">
        <v>68</v>
      </c>
      <c r="C25" s="34">
        <v>15</v>
      </c>
      <c r="D25" s="50">
        <v>553.13</v>
      </c>
      <c r="E25" s="36">
        <v>8296.9699999999993</v>
      </c>
      <c r="F25" s="43"/>
      <c r="G25" s="36">
        <f>'[1]HT-ADMINISTRATIVOS'!G32</f>
        <v>385.5</v>
      </c>
      <c r="H25" s="36">
        <f>'[1]HT-ADMINISTRATIVOS'!H32</f>
        <v>0</v>
      </c>
      <c r="I25" s="36">
        <f>'[1]HT-ADMINISTRATIVOS'!J32</f>
        <v>0</v>
      </c>
      <c r="J25" s="36">
        <f>'[19]PROY. BONO DEL SERV. ADMVOV'!E21</f>
        <v>8296.9500000000007</v>
      </c>
      <c r="K25" s="37">
        <f>E25*R4</f>
        <v>315.28485999999998</v>
      </c>
      <c r="L25" s="36">
        <f t="shared" si="4"/>
        <v>16909.204859999998</v>
      </c>
      <c r="M25" s="36">
        <f>L25+G25</f>
        <v>17294.704859999998</v>
      </c>
      <c r="N25" s="28">
        <f>IF('[19]Calculo ISR '!$AE$34&lt;0,0,'[19]Calculo ISR '!$AE$34)</f>
        <v>3257.4434579999993</v>
      </c>
      <c r="O25" s="38">
        <f>E25*Q4</f>
        <v>871.18184999999994</v>
      </c>
      <c r="P25" s="38">
        <v>2150.31</v>
      </c>
      <c r="Q25" s="38">
        <f>'[1]HT-ADMINISTRATIVOS'!Q32</f>
        <v>0</v>
      </c>
      <c r="R25" s="38">
        <f>'[1]HT-ADMINISTRATIVOS'!R32</f>
        <v>0</v>
      </c>
      <c r="S25" s="38">
        <f>'[1]HT-ADMINISTRATIVOS'!S32</f>
        <v>0</v>
      </c>
      <c r="T25" s="36">
        <f t="shared" si="3"/>
        <v>6278.9353079999983</v>
      </c>
      <c r="U25" s="28">
        <f>IF('[19]Calculo ISR '!$AE$34&gt;0,0,'[19]Calculo ISR '!$AE$34)*-1</f>
        <v>0</v>
      </c>
      <c r="V25" s="36">
        <f t="shared" si="5"/>
        <v>10630.269552</v>
      </c>
      <c r="W25" s="36">
        <f t="shared" si="1"/>
        <v>385.5</v>
      </c>
      <c r="X25" s="46"/>
      <c r="Y25" s="47"/>
    </row>
    <row r="26" spans="1:25" s="48" customFormat="1" ht="45" customHeight="1">
      <c r="A26" s="58" t="s">
        <v>69</v>
      </c>
      <c r="B26" s="59" t="s">
        <v>70</v>
      </c>
      <c r="C26" s="34">
        <v>15</v>
      </c>
      <c r="D26" s="50">
        <v>238.18</v>
      </c>
      <c r="E26" s="36">
        <v>3572.72</v>
      </c>
      <c r="F26" s="43"/>
      <c r="G26" s="36">
        <v>385.5</v>
      </c>
      <c r="H26" s="36">
        <f>'[1]HT-ADMINISTRATIVOS'!H33</f>
        <v>0</v>
      </c>
      <c r="I26" s="36">
        <f>'[1]HT-ADMINISTRATIVOS'!J33</f>
        <v>0</v>
      </c>
      <c r="J26" s="36">
        <f>'[19]PROY. BONO DEL SERV. ADMVOV'!E22</f>
        <v>3572.7000000000003</v>
      </c>
      <c r="K26" s="37">
        <f>'[1]HT-ADMINISTRATIVOS'!I33</f>
        <v>0</v>
      </c>
      <c r="L26" s="36">
        <f t="shared" si="4"/>
        <v>7145.42</v>
      </c>
      <c r="M26" s="36">
        <f>L26+G26</f>
        <v>7530.92</v>
      </c>
      <c r="N26" s="28">
        <f>IF('[19]Calculo ISR '!$AF$34&lt;0,0,'[19]Calculo ISR '!$AF$34)</f>
        <v>979.07253600000013</v>
      </c>
      <c r="O26" s="38">
        <f>E26*Q4</f>
        <v>375.13559999999995</v>
      </c>
      <c r="P26" s="38">
        <v>689.44</v>
      </c>
      <c r="Q26" s="143"/>
      <c r="R26" s="38"/>
      <c r="S26" s="38">
        <f>E26*P4</f>
        <v>35.727199999999996</v>
      </c>
      <c r="T26" s="36">
        <f>N26+O26+P26+S26+Q26+R26</f>
        <v>2079.3753360000001</v>
      </c>
      <c r="U26" s="28">
        <f>IF('[19]Calculo ISR '!$AF$34&gt;0,0,'[19]Calculo ISR '!$AF$34)*-1</f>
        <v>0</v>
      </c>
      <c r="V26" s="36">
        <f>L26-T26+U26</f>
        <v>5066.044664</v>
      </c>
      <c r="W26" s="36">
        <v>385.5</v>
      </c>
      <c r="X26" s="46"/>
      <c r="Y26" s="47"/>
    </row>
    <row r="27" spans="1:25" s="48" customFormat="1" ht="45" customHeight="1">
      <c r="A27" s="60" t="s">
        <v>71</v>
      </c>
      <c r="B27" s="61" t="s">
        <v>72</v>
      </c>
      <c r="C27" s="66">
        <v>15</v>
      </c>
      <c r="D27" s="50">
        <v>146.38999999999999</v>
      </c>
      <c r="E27" s="36">
        <v>2195.92</v>
      </c>
      <c r="F27" s="43"/>
      <c r="G27" s="36">
        <f>'[1]HT-ADMINISTRATIVOS'!G35</f>
        <v>385.5</v>
      </c>
      <c r="H27" s="36">
        <f>'[1]HT-ADMINISTRATIVOS'!H35</f>
        <v>0</v>
      </c>
      <c r="I27" s="36">
        <f>'[1]HT-ADMINISTRATIVOS'!J35</f>
        <v>0</v>
      </c>
      <c r="J27" s="36">
        <f>'[19]PROY. BONO DEL SERV. ADMVOV'!E23</f>
        <v>2195.85</v>
      </c>
      <c r="K27" s="37">
        <f>'[1]HT-ADMINISTRATIVOS'!I35</f>
        <v>0</v>
      </c>
      <c r="L27" s="36">
        <f t="shared" si="4"/>
        <v>4391.7700000000004</v>
      </c>
      <c r="M27" s="36">
        <f>L27+G27+U27</f>
        <v>4777.2700000000004</v>
      </c>
      <c r="N27" s="28">
        <f>IF('[19]Calculo ISR '!$AG$34&lt;0,0,'[19]Calculo ISR '!$AG$34)</f>
        <v>414.51067200000017</v>
      </c>
      <c r="O27" s="38">
        <f>E27*Q4</f>
        <v>230.57159999999999</v>
      </c>
      <c r="P27" s="38">
        <v>300</v>
      </c>
      <c r="Q27" s="38">
        <f>'[1]HT-ADMINISTRATIVOS'!Q35</f>
        <v>0</v>
      </c>
      <c r="R27" s="38">
        <f>'[1]HT-ADMINISTRATIVOS'!R35</f>
        <v>0</v>
      </c>
      <c r="S27" s="38">
        <f>E27*P4</f>
        <v>21.959200000000003</v>
      </c>
      <c r="T27" s="36">
        <f t="shared" si="3"/>
        <v>967.04147200000011</v>
      </c>
      <c r="U27" s="28">
        <f>IF('[19]Calculo ISR '!$AG$34&gt;0,0,'[19]Calculo ISR '!$AG$34)*-1</f>
        <v>0</v>
      </c>
      <c r="V27" s="36">
        <f>L27-T27+U27</f>
        <v>3424.7285280000006</v>
      </c>
      <c r="W27" s="36">
        <f>G27</f>
        <v>385.5</v>
      </c>
      <c r="X27" s="67"/>
      <c r="Y27" s="47"/>
    </row>
    <row r="28" spans="1:25" s="48" customFormat="1" ht="45" customHeight="1">
      <c r="A28" s="53" t="s">
        <v>73</v>
      </c>
      <c r="B28" s="61" t="s">
        <v>74</v>
      </c>
      <c r="C28" s="66">
        <v>15</v>
      </c>
      <c r="D28" s="50">
        <v>553.13</v>
      </c>
      <c r="E28" s="36">
        <v>8296.9699999999993</v>
      </c>
      <c r="F28" s="43"/>
      <c r="G28" s="36">
        <f>'[1]HT-ADMINISTRATIVOS'!G36</f>
        <v>385.5</v>
      </c>
      <c r="H28" s="36">
        <f>'[1]HT-ADMINISTRATIVOS'!H36</f>
        <v>0</v>
      </c>
      <c r="I28" s="36">
        <f>'[1]HT-ADMINISTRATIVOS'!J36</f>
        <v>0</v>
      </c>
      <c r="J28" s="36">
        <f>'[19]PROY. BONO DEL SERV. ADMVOV'!E24</f>
        <v>8296.9500000000007</v>
      </c>
      <c r="K28" s="37">
        <f>'[1]HT-ADMINISTRATIVOS'!I36</f>
        <v>0</v>
      </c>
      <c r="L28" s="36">
        <f t="shared" si="4"/>
        <v>16593.919999999998</v>
      </c>
      <c r="M28" s="36">
        <f>L28+G28</f>
        <v>16979.419999999998</v>
      </c>
      <c r="N28" s="28">
        <f>IF('[19]Calculo ISR '!$AH$34&lt;0,0,'[19]Calculo ISR '!$AH$34)</f>
        <v>3162.8579999999997</v>
      </c>
      <c r="O28" s="38">
        <f>E28*Q4</f>
        <v>871.18184999999994</v>
      </c>
      <c r="P28" s="38">
        <f>'[1]HT-ADMINISTRATIVOS'!P36</f>
        <v>0</v>
      </c>
      <c r="Q28" s="38">
        <f>'[1]HT-ADMINISTRATIVOS'!Q36</f>
        <v>0</v>
      </c>
      <c r="R28" s="38">
        <f>'[1]HT-ADMINISTRATIVOS'!R36</f>
        <v>0</v>
      </c>
      <c r="S28" s="38">
        <f>'[1]HT-ADMINISTRATIVOS'!S36</f>
        <v>0</v>
      </c>
      <c r="T28" s="36">
        <f t="shared" si="3"/>
        <v>4034.0398499999997</v>
      </c>
      <c r="U28" s="28">
        <f>IF('[19]Calculo ISR '!$AH$34&gt;0,0,'[19]Calculo ISR '!$AH$34)*-1</f>
        <v>0</v>
      </c>
      <c r="V28" s="36">
        <f>L28-T28+U28</f>
        <v>12559.880149999999</v>
      </c>
      <c r="W28" s="36">
        <f>G28</f>
        <v>385.5</v>
      </c>
      <c r="X28" s="67"/>
      <c r="Y28" s="47"/>
    </row>
    <row r="29" spans="1:25" s="48" customFormat="1" ht="45" customHeight="1">
      <c r="A29" s="68" t="s">
        <v>75</v>
      </c>
      <c r="B29" s="61" t="s">
        <v>76</v>
      </c>
      <c r="C29" s="66">
        <v>15</v>
      </c>
      <c r="D29" s="50">
        <v>146.38999999999999</v>
      </c>
      <c r="E29" s="36">
        <v>2195.92</v>
      </c>
      <c r="F29" s="43"/>
      <c r="G29" s="36">
        <f>'[1]HT-ADMINISTRATIVOS'!G37</f>
        <v>385.5</v>
      </c>
      <c r="H29" s="36">
        <f>'[1]HT-ADMINISTRATIVOS'!H37</f>
        <v>0</v>
      </c>
      <c r="I29" s="36">
        <f>'[1]HT-ADMINISTRATIVOS'!J37</f>
        <v>0</v>
      </c>
      <c r="J29" s="36">
        <f>'[19]PROY. BONO DEL SERV. ADMVOV'!E25</f>
        <v>2195.85</v>
      </c>
      <c r="K29" s="37">
        <f>'[1]HT-ADMINISTRATIVOS'!I37</f>
        <v>0</v>
      </c>
      <c r="L29" s="36">
        <f t="shared" si="4"/>
        <v>4391.7700000000004</v>
      </c>
      <c r="M29" s="36">
        <f>L29+G29+U29</f>
        <v>4777.2700000000004</v>
      </c>
      <c r="N29" s="28">
        <f>IF('[19]Calculo ISR '!$AI$34&lt;0,0,'[19]Calculo ISR '!$AI$34)</f>
        <v>414.51067200000017</v>
      </c>
      <c r="O29" s="38">
        <f>E29*Q4</f>
        <v>230.57159999999999</v>
      </c>
      <c r="P29" s="38">
        <f>'[1]HT-ADMINISTRATIVOS'!P37</f>
        <v>0</v>
      </c>
      <c r="Q29" s="38">
        <f>'[1]HT-ADMINISTRATIVOS'!Q37</f>
        <v>0</v>
      </c>
      <c r="R29" s="38">
        <f>'[1]HT-ADMINISTRATIVOS'!R37</f>
        <v>0</v>
      </c>
      <c r="S29" s="38">
        <f>E29*P4</f>
        <v>21.959200000000003</v>
      </c>
      <c r="T29" s="36">
        <f t="shared" si="3"/>
        <v>667.04147200000011</v>
      </c>
      <c r="U29" s="28">
        <f>IF('[19]Calculo ISR '!$AI$34&gt;0,0,'[19]Calculo ISR '!$AI$34)*-1</f>
        <v>0</v>
      </c>
      <c r="V29" s="36">
        <f>L29-T29+U29</f>
        <v>3724.7285280000006</v>
      </c>
      <c r="W29" s="36">
        <f>G29</f>
        <v>385.5</v>
      </c>
      <c r="X29" s="67"/>
      <c r="Y29" s="47"/>
    </row>
    <row r="30" spans="1:25" s="81" customFormat="1" ht="45" customHeight="1">
      <c r="A30" s="53" t="s">
        <v>79</v>
      </c>
      <c r="B30" s="61" t="s">
        <v>80</v>
      </c>
      <c r="C30" s="66">
        <v>15</v>
      </c>
      <c r="D30" s="76">
        <v>553.13</v>
      </c>
      <c r="E30" s="36">
        <v>8296.9699999999993</v>
      </c>
      <c r="F30" s="50"/>
      <c r="G30" s="77">
        <f>385.5</f>
        <v>385.5</v>
      </c>
      <c r="H30" s="50"/>
      <c r="I30" s="50"/>
      <c r="J30" s="50">
        <f>'[19]PROY. BONO DEL SERV. ADMVOV'!E26</f>
        <v>8296.9500000000007</v>
      </c>
      <c r="K30" s="50"/>
      <c r="L30" s="78">
        <f t="shared" si="4"/>
        <v>16593.919999999998</v>
      </c>
      <c r="M30" s="78">
        <f>L30+G30</f>
        <v>16979.419999999998</v>
      </c>
      <c r="N30" s="28">
        <f>IF('[19]Calculo ISR '!$AK$34&lt;0,0,'[19]Calculo ISR '!$AK$34)</f>
        <v>3162.8579999999997</v>
      </c>
      <c r="O30" s="79">
        <f>E30*Q4</f>
        <v>871.18184999999994</v>
      </c>
      <c r="P30" s="78"/>
      <c r="Q30" s="50"/>
      <c r="R30" s="78"/>
      <c r="S30" s="50"/>
      <c r="T30" s="50">
        <f t="shared" ref="T30:T41" si="7">N30+O30+P30+Q30+R30+S30</f>
        <v>4034.0398499999997</v>
      </c>
      <c r="U30" s="28">
        <f>IF('[19]Calculo ISR '!$AK$34&gt;0,0,'[19]Calculo ISR '!$AK$34)*-1</f>
        <v>0</v>
      </c>
      <c r="V30" s="79">
        <f>L30-T30</f>
        <v>12559.880149999999</v>
      </c>
      <c r="W30" s="73">
        <v>385.5</v>
      </c>
      <c r="X30" s="80"/>
      <c r="Y30" s="47"/>
    </row>
    <row r="31" spans="1:25" s="81" customFormat="1" ht="45" customHeight="1">
      <c r="A31" s="91" t="s">
        <v>83</v>
      </c>
      <c r="B31" s="139" t="s">
        <v>84</v>
      </c>
      <c r="C31" s="66">
        <v>15</v>
      </c>
      <c r="D31" s="76">
        <v>186.24</v>
      </c>
      <c r="E31" s="36">
        <v>2793.65</v>
      </c>
      <c r="F31" s="50"/>
      <c r="G31" s="77">
        <f>385.5</f>
        <v>385.5</v>
      </c>
      <c r="H31" s="50">
        <v>892</v>
      </c>
      <c r="I31" s="50"/>
      <c r="J31" s="81">
        <f>'[19]PROY. BONO DEL SERV. ADMVOV'!E27</f>
        <v>2793.6000000000004</v>
      </c>
      <c r="K31" s="50"/>
      <c r="L31" s="78">
        <f t="shared" si="4"/>
        <v>6479.25</v>
      </c>
      <c r="M31" s="78">
        <f>L31+G31</f>
        <v>6864.75</v>
      </c>
      <c r="N31" s="28">
        <f>IF('[19]Calculo ISR '!$AM$34&lt;0,0,'[19]Calculo ISR '!$AM$34)</f>
        <v>836.77862400000004</v>
      </c>
      <c r="O31" s="92">
        <f>E31*Q4</f>
        <v>293.33325000000002</v>
      </c>
      <c r="P31" s="78"/>
      <c r="Q31" s="50"/>
      <c r="R31" s="78"/>
      <c r="S31" s="50">
        <f>E31*P4</f>
        <v>27.936500000000002</v>
      </c>
      <c r="T31" s="50">
        <f>N31+O31+P31+Q31+R31+S31</f>
        <v>1158.0483740000002</v>
      </c>
      <c r="U31" s="28">
        <f>IF('[19]Calculo ISR '!$AM$34&gt;0,0,'[19]Calculo ISR '!$AM$34)*-1</f>
        <v>0</v>
      </c>
      <c r="V31" s="79">
        <f t="shared" ref="V31:V36" si="8">L31-T31+U31</f>
        <v>5321.201626</v>
      </c>
      <c r="W31" s="73">
        <v>385.5</v>
      </c>
      <c r="X31" s="80"/>
      <c r="Y31" s="47"/>
    </row>
    <row r="32" spans="1:25" s="81" customFormat="1" ht="45" customHeight="1">
      <c r="A32" s="91" t="s">
        <v>85</v>
      </c>
      <c r="B32" s="139" t="s">
        <v>86</v>
      </c>
      <c r="C32" s="66">
        <v>15</v>
      </c>
      <c r="D32" s="76">
        <v>226.68</v>
      </c>
      <c r="E32" s="36">
        <v>3400.25</v>
      </c>
      <c r="F32" s="50"/>
      <c r="G32" s="77">
        <f>385.5</f>
        <v>385.5</v>
      </c>
      <c r="H32" s="50"/>
      <c r="I32" s="50"/>
      <c r="J32" s="50">
        <f>'[19]PROY. BONO DEL SERV. ADMVOV'!E28</f>
        <v>3400.2000000000003</v>
      </c>
      <c r="K32" s="50"/>
      <c r="L32" s="78">
        <f t="shared" si="4"/>
        <v>6800.4500000000007</v>
      </c>
      <c r="M32" s="78">
        <f>L32+G32</f>
        <v>7185.9500000000007</v>
      </c>
      <c r="N32" s="28">
        <f>IF('[19]Calculo ISR '!$AN$34&lt;0,0,'[19]Calculo ISR '!$AN$34)</f>
        <v>905.38694400000031</v>
      </c>
      <c r="O32" s="92">
        <f>E32*Q4</f>
        <v>357.02625</v>
      </c>
      <c r="P32" s="78"/>
      <c r="Q32" s="50"/>
      <c r="R32" s="78"/>
      <c r="S32" s="50">
        <v>0</v>
      </c>
      <c r="T32" s="50">
        <f t="shared" si="7"/>
        <v>1262.4131940000002</v>
      </c>
      <c r="U32" s="28">
        <f>IF('[19]Calculo ISR '!$AN$34&gt;0,0,'[19]Calculo ISR '!$AN$34)*-1</f>
        <v>0</v>
      </c>
      <c r="V32" s="79">
        <f t="shared" si="8"/>
        <v>5538.0368060000001</v>
      </c>
      <c r="W32" s="73">
        <v>385.5</v>
      </c>
      <c r="X32" s="80"/>
      <c r="Y32" s="47"/>
    </row>
    <row r="33" spans="1:27" s="81" customFormat="1" ht="45" customHeight="1">
      <c r="A33" s="91" t="s">
        <v>144</v>
      </c>
      <c r="B33" s="91" t="s">
        <v>88</v>
      </c>
      <c r="C33" s="66">
        <v>15</v>
      </c>
      <c r="D33" s="76">
        <v>553.13</v>
      </c>
      <c r="E33" s="36">
        <v>8296.9699999999993</v>
      </c>
      <c r="F33" s="50"/>
      <c r="G33" s="77">
        <v>385.5</v>
      </c>
      <c r="H33" s="50"/>
      <c r="I33" s="50"/>
      <c r="J33" s="50">
        <f>'[19]PROY. BONO DEL SERV. ADMVOV'!E29</f>
        <v>8296.9500000000007</v>
      </c>
      <c r="K33" s="50"/>
      <c r="L33" s="78">
        <f t="shared" si="4"/>
        <v>16593.919999999998</v>
      </c>
      <c r="M33" s="78">
        <f>L33+G33+U33</f>
        <v>16979.419999999998</v>
      </c>
      <c r="N33" s="28">
        <f>IF('[19]Calculo ISR '!$AO$34&lt;0,0,'[19]Calculo ISR '!$AO$34)</f>
        <v>3162.8579999999997</v>
      </c>
      <c r="O33" s="92">
        <f>E33*Q4</f>
        <v>871.18184999999994</v>
      </c>
      <c r="P33" s="78">
        <v>1338</v>
      </c>
      <c r="Q33" s="50"/>
      <c r="R33" s="78"/>
      <c r="S33" s="50"/>
      <c r="T33" s="50">
        <f t="shared" si="7"/>
        <v>5372.0398499999992</v>
      </c>
      <c r="U33" s="28">
        <f>IF('[19]Calculo ISR '!$AO$34&gt;0,0,'[19]Calculo ISR '!$AO$34)*-1</f>
        <v>0</v>
      </c>
      <c r="V33" s="79">
        <f t="shared" si="8"/>
        <v>11221.880149999999</v>
      </c>
      <c r="W33" s="73">
        <f t="shared" ref="W33:W41" si="9">G33</f>
        <v>385.5</v>
      </c>
      <c r="X33" s="80"/>
      <c r="Y33" s="47"/>
    </row>
    <row r="34" spans="1:27" s="81" customFormat="1" ht="45" customHeight="1">
      <c r="A34" s="91" t="s">
        <v>89</v>
      </c>
      <c r="B34" s="91" t="s">
        <v>90</v>
      </c>
      <c r="C34" s="66">
        <v>15</v>
      </c>
      <c r="D34" s="76">
        <v>177.16</v>
      </c>
      <c r="E34" s="36">
        <v>2657.47</v>
      </c>
      <c r="F34" s="50"/>
      <c r="G34" s="77">
        <v>385.5</v>
      </c>
      <c r="H34" s="50"/>
      <c r="I34" s="50"/>
      <c r="J34" s="50">
        <f>'[19]PROY. BONO DEL SERV. ADMVOV'!E30</f>
        <v>2657.4</v>
      </c>
      <c r="K34" s="50"/>
      <c r="L34" s="78">
        <f t="shared" si="4"/>
        <v>5314.87</v>
      </c>
      <c r="M34" s="78">
        <f>L34+G34</f>
        <v>5700.37</v>
      </c>
      <c r="N34" s="28">
        <f>IF('[19]Calculo ISR '!$AP$34&lt;0,0,'[19]Calculo ISR '!$AP$34)</f>
        <v>588.06705600000009</v>
      </c>
      <c r="O34" s="92">
        <f>E34*Q4</f>
        <v>279.03434999999996</v>
      </c>
      <c r="P34" s="78"/>
      <c r="Q34" s="50"/>
      <c r="R34" s="78"/>
      <c r="S34" s="50"/>
      <c r="T34" s="50">
        <f t="shared" si="7"/>
        <v>867.101406</v>
      </c>
      <c r="U34" s="28">
        <f>IF('[19]Calculo ISR '!$AP$34&gt;0,0,'[19]Calculo ISR '!$AP$34)*-1</f>
        <v>0</v>
      </c>
      <c r="V34" s="79">
        <f t="shared" si="8"/>
        <v>4447.7685940000001</v>
      </c>
      <c r="W34" s="73">
        <f t="shared" si="9"/>
        <v>385.5</v>
      </c>
      <c r="X34" s="80"/>
      <c r="Y34" s="47"/>
    </row>
    <row r="35" spans="1:27" s="81" customFormat="1" ht="45" customHeight="1">
      <c r="A35" s="91" t="s">
        <v>91</v>
      </c>
      <c r="B35" s="91" t="s">
        <v>92</v>
      </c>
      <c r="C35" s="66">
        <v>15</v>
      </c>
      <c r="D35" s="76">
        <v>135.83000000000001</v>
      </c>
      <c r="E35" s="36">
        <v>2037.52</v>
      </c>
      <c r="F35" s="50"/>
      <c r="G35" s="77">
        <v>385.5</v>
      </c>
      <c r="H35" s="50"/>
      <c r="I35" s="50"/>
      <c r="J35" s="50">
        <f>'[19]PROY. BONO DEL SERV. ADMVOV'!E31</f>
        <v>2037.4500000000003</v>
      </c>
      <c r="K35" s="50"/>
      <c r="L35" s="78">
        <f t="shared" si="4"/>
        <v>4074.9700000000003</v>
      </c>
      <c r="M35" s="78">
        <f>L35+G35+U35</f>
        <v>4460.47</v>
      </c>
      <c r="N35" s="28">
        <f>IF('[19]Calculo ISR '!$AQ$34&lt;0,0,'[19]Calculo ISR '!$AQ$34)</f>
        <v>361.08359999999999</v>
      </c>
      <c r="O35" s="92">
        <f>E35*Q4</f>
        <v>213.93959999999998</v>
      </c>
      <c r="P35" s="78">
        <v>679</v>
      </c>
      <c r="Q35" s="50"/>
      <c r="R35" s="78"/>
      <c r="S35" s="50"/>
      <c r="T35" s="50">
        <f t="shared" si="7"/>
        <v>1254.0232000000001</v>
      </c>
      <c r="U35" s="28">
        <f>IF('[19]Calculo ISR '!$AQ$34&gt;0,0,'[19]Calculo ISR '!$AQ$34)*-1</f>
        <v>0</v>
      </c>
      <c r="V35" s="79">
        <f t="shared" si="8"/>
        <v>2820.9468000000002</v>
      </c>
      <c r="W35" s="73">
        <f t="shared" si="9"/>
        <v>385.5</v>
      </c>
      <c r="X35" s="80"/>
      <c r="Y35" s="47"/>
    </row>
    <row r="36" spans="1:27" s="81" customFormat="1" ht="45" customHeight="1">
      <c r="A36" s="91" t="s">
        <v>93</v>
      </c>
      <c r="B36" s="91" t="s">
        <v>94</v>
      </c>
      <c r="C36" s="66">
        <v>15</v>
      </c>
      <c r="D36" s="76">
        <v>135.83000000000001</v>
      </c>
      <c r="E36" s="36">
        <v>2037.52</v>
      </c>
      <c r="F36" s="50"/>
      <c r="G36" s="77">
        <v>385.5</v>
      </c>
      <c r="H36" s="50"/>
      <c r="I36" s="50"/>
      <c r="J36" s="50">
        <f>'[19]PROY. BONO DEL SERV. ADMVOV'!E32</f>
        <v>2037.4500000000003</v>
      </c>
      <c r="K36" s="50"/>
      <c r="L36" s="78">
        <f t="shared" si="4"/>
        <v>4074.9700000000003</v>
      </c>
      <c r="M36" s="78">
        <f>L36+G36+U36</f>
        <v>4460.47</v>
      </c>
      <c r="N36" s="28">
        <f>IF('[19]Calculo ISR '!$AR$34&lt;0,0,'[19]Calculo ISR '!$AR$34)</f>
        <v>361.08359999999999</v>
      </c>
      <c r="O36" s="92">
        <f>E36*Q4</f>
        <v>213.93959999999998</v>
      </c>
      <c r="P36" s="78"/>
      <c r="Q36" s="50"/>
      <c r="R36" s="78"/>
      <c r="S36" s="50"/>
      <c r="T36" s="50">
        <f t="shared" si="7"/>
        <v>575.02319999999997</v>
      </c>
      <c r="U36" s="28">
        <f>IF('[19]Calculo ISR '!$AR$34&gt;0,0,'[19]Calculo ISR '!$AR$34)*-1</f>
        <v>0</v>
      </c>
      <c r="V36" s="79">
        <f t="shared" si="8"/>
        <v>3499.9468000000002</v>
      </c>
      <c r="W36" s="73">
        <f t="shared" si="9"/>
        <v>385.5</v>
      </c>
      <c r="X36" s="80"/>
      <c r="Y36" s="47"/>
    </row>
    <row r="37" spans="1:27" s="81" customFormat="1" ht="45" customHeight="1">
      <c r="A37" s="91" t="s">
        <v>95</v>
      </c>
      <c r="B37" s="91" t="s">
        <v>96</v>
      </c>
      <c r="C37" s="66">
        <v>15</v>
      </c>
      <c r="D37" s="76">
        <v>780.2</v>
      </c>
      <c r="E37" s="36">
        <f t="shared" si="6"/>
        <v>11703</v>
      </c>
      <c r="F37" s="50"/>
      <c r="G37" s="77">
        <v>385.5</v>
      </c>
      <c r="H37" s="50"/>
      <c r="I37" s="50"/>
      <c r="J37" s="50">
        <f>'[19]PROY. BONO DEL SERV. ADMVOV'!E33</f>
        <v>11703</v>
      </c>
      <c r="K37" s="50"/>
      <c r="L37" s="78">
        <f>E37+H37+I37+K37+J37</f>
        <v>23406</v>
      </c>
      <c r="M37" s="78">
        <f>L37+G37</f>
        <v>23791.5</v>
      </c>
      <c r="N37" s="28">
        <f>IF('[19]Calculo ISR '!$AS$34&lt;0,0,'[19]Calculo ISR '!$AS$34)</f>
        <v>5206.482</v>
      </c>
      <c r="O37" s="92">
        <f>E37*Q4</f>
        <v>1228.8150000000001</v>
      </c>
      <c r="P37" s="78"/>
      <c r="Q37" s="50"/>
      <c r="R37" s="78"/>
      <c r="S37" s="50"/>
      <c r="T37" s="50">
        <f t="shared" si="7"/>
        <v>6435.2970000000005</v>
      </c>
      <c r="U37" s="28">
        <f>IF('[19]Calculo ISR '!$AS$34&gt;0,0,'[19]Calculo ISR '!$AS$34)*-1</f>
        <v>0</v>
      </c>
      <c r="V37" s="79">
        <f t="shared" ref="V37:V43" si="10">L37-T37</f>
        <v>16970.703000000001</v>
      </c>
      <c r="W37" s="73">
        <f t="shared" si="9"/>
        <v>385.5</v>
      </c>
      <c r="X37" s="80"/>
      <c r="Y37" s="47"/>
    </row>
    <row r="38" spans="1:27" s="81" customFormat="1" ht="45" customHeight="1">
      <c r="A38" s="91" t="s">
        <v>99</v>
      </c>
      <c r="B38" s="91" t="s">
        <v>100</v>
      </c>
      <c r="C38" s="66">
        <v>15</v>
      </c>
      <c r="D38" s="76">
        <v>177.16</v>
      </c>
      <c r="E38" s="36">
        <v>2657.47</v>
      </c>
      <c r="F38" s="50"/>
      <c r="G38" s="77">
        <v>385.5</v>
      </c>
      <c r="H38" s="50"/>
      <c r="I38" s="50"/>
      <c r="J38" s="50">
        <f>'[19]PROY. BONO DEL SERV. ADMVOV'!E34</f>
        <v>2650.3136</v>
      </c>
      <c r="K38" s="50"/>
      <c r="L38" s="78">
        <f>E38+F38+H38+I38+K38+J38</f>
        <v>5307.7835999999998</v>
      </c>
      <c r="M38" s="78">
        <f>L38+G38</f>
        <v>5693.2835999999998</v>
      </c>
      <c r="N38" s="28">
        <f>IF('[19]Calculo ISR '!$AU$34&lt;0,0,'[19]Calculo ISR '!$AU$34)</f>
        <v>586.55340095999998</v>
      </c>
      <c r="O38" s="92">
        <f>E38*Q4</f>
        <v>279.03434999999996</v>
      </c>
      <c r="P38" s="78"/>
      <c r="Q38" s="50"/>
      <c r="R38" s="78"/>
      <c r="S38" s="50"/>
      <c r="T38" s="50">
        <f t="shared" si="7"/>
        <v>865.58775095999999</v>
      </c>
      <c r="U38" s="28">
        <f>IF('[19]Calculo ISR '!$AU$34&gt;0,0,'[19]Calculo ISR '!$AU$34)*-1</f>
        <v>0</v>
      </c>
      <c r="V38" s="79">
        <f t="shared" si="10"/>
        <v>4442.1958490399993</v>
      </c>
      <c r="W38" s="73">
        <f t="shared" si="9"/>
        <v>385.5</v>
      </c>
      <c r="X38" s="80"/>
      <c r="Y38" s="47"/>
    </row>
    <row r="39" spans="1:27" s="81" customFormat="1" ht="45" customHeight="1">
      <c r="A39" s="91" t="s">
        <v>101</v>
      </c>
      <c r="B39" s="91" t="s">
        <v>121</v>
      </c>
      <c r="C39" s="66">
        <v>15</v>
      </c>
      <c r="D39" s="76">
        <v>780.2</v>
      </c>
      <c r="E39" s="36">
        <f t="shared" si="6"/>
        <v>11703</v>
      </c>
      <c r="F39" s="50"/>
      <c r="G39" s="77">
        <v>385.5</v>
      </c>
      <c r="H39" s="50"/>
      <c r="I39" s="50"/>
      <c r="J39" s="50">
        <f>'[19]PROY. BONO DEL SERV. ADMVOV'!E35</f>
        <v>11156.86</v>
      </c>
      <c r="K39" s="50"/>
      <c r="L39" s="78">
        <f>E39+F39+H39+I39+K39+J39</f>
        <v>22859.86</v>
      </c>
      <c r="M39" s="78">
        <f>L39+G39</f>
        <v>23245.360000000001</v>
      </c>
      <c r="N39" s="28">
        <f>IF('[19]Calculo ISR '!$AV$34&lt;0,0,'[19]Calculo ISR '!$AV$34)</f>
        <v>5042.6400000000003</v>
      </c>
      <c r="O39" s="92">
        <f>E39*Q4</f>
        <v>1228.8150000000001</v>
      </c>
      <c r="P39" s="78">
        <v>1887</v>
      </c>
      <c r="Q39" s="50"/>
      <c r="R39" s="78"/>
      <c r="S39" s="50"/>
      <c r="T39" s="50">
        <f t="shared" si="7"/>
        <v>8158.4549999999999</v>
      </c>
      <c r="U39" s="28">
        <f>IF('[19]Calculo ISR '!$AV$34&gt;0,0,'[19]Calculo ISR '!$AV$34)*-1</f>
        <v>0</v>
      </c>
      <c r="V39" s="79">
        <f t="shared" si="10"/>
        <v>14701.405000000001</v>
      </c>
      <c r="W39" s="73">
        <f t="shared" si="9"/>
        <v>385.5</v>
      </c>
      <c r="X39" s="80"/>
      <c r="Y39" s="47"/>
    </row>
    <row r="40" spans="1:27" s="81" customFormat="1" ht="45" customHeight="1">
      <c r="A40" s="91" t="s">
        <v>103</v>
      </c>
      <c r="B40" s="91" t="s">
        <v>122</v>
      </c>
      <c r="C40" s="66">
        <v>15</v>
      </c>
      <c r="D40" s="76">
        <v>177.16</v>
      </c>
      <c r="E40" s="36">
        <v>2657.47</v>
      </c>
      <c r="F40" s="50"/>
      <c r="G40" s="77">
        <v>385.5</v>
      </c>
      <c r="H40" s="50"/>
      <c r="I40" s="50"/>
      <c r="J40" s="50">
        <f>'[19]PROY. BONO DEL SERV. ADMVOV'!E36</f>
        <v>2533.3879999999999</v>
      </c>
      <c r="K40" s="50"/>
      <c r="L40" s="78">
        <f>E40+F40+H40+I40+K40+J40</f>
        <v>5190.8580000000002</v>
      </c>
      <c r="M40" s="78">
        <f>L40+G40</f>
        <v>5576.3580000000002</v>
      </c>
      <c r="N40" s="28">
        <f>IF('[19]Calculo ISR '!$AW$34&lt;0,0,'[19]Calculo ISR '!$AW$34)</f>
        <v>561.57809280000015</v>
      </c>
      <c r="O40" s="92">
        <f>E40*Q4</f>
        <v>279.03434999999996</v>
      </c>
      <c r="P40" s="78"/>
      <c r="Q40" s="50"/>
      <c r="R40" s="78"/>
      <c r="S40" s="50"/>
      <c r="T40" s="50">
        <f t="shared" si="7"/>
        <v>840.61244280000005</v>
      </c>
      <c r="U40" s="28">
        <f>IF('[19]Calculo ISR '!$AW$34&gt;0,0,'[19]Calculo ISR '!$AW$34)*-1</f>
        <v>0</v>
      </c>
      <c r="V40" s="79">
        <f t="shared" si="10"/>
        <v>4350.2455571999999</v>
      </c>
      <c r="W40" s="73">
        <f t="shared" si="9"/>
        <v>385.5</v>
      </c>
      <c r="X40" s="80"/>
      <c r="Y40" s="47"/>
    </row>
    <row r="41" spans="1:27" s="81" customFormat="1" ht="45" customHeight="1">
      <c r="A41" s="91" t="s">
        <v>139</v>
      </c>
      <c r="B41" s="91" t="s">
        <v>140</v>
      </c>
      <c r="C41" s="66">
        <v>15</v>
      </c>
      <c r="D41" s="76">
        <v>177.16</v>
      </c>
      <c r="E41" s="36">
        <v>2657.47</v>
      </c>
      <c r="F41" s="50"/>
      <c r="G41" s="77">
        <v>385.5</v>
      </c>
      <c r="H41" s="50"/>
      <c r="I41" s="50"/>
      <c r="J41" s="50">
        <v>0</v>
      </c>
      <c r="K41" s="50"/>
      <c r="L41" s="78">
        <f>E41+F41+H41+I41+K41</f>
        <v>2657.47</v>
      </c>
      <c r="M41" s="78">
        <f>E41+F41+G41+H41+I41+K41</f>
        <v>3042.97</v>
      </c>
      <c r="N41" s="28">
        <f>IF('[19]Calculo ISR '!$AX$34&lt;0,0,'[19]Calculo ISR '!$AX$34)</f>
        <v>39.699647999999968</v>
      </c>
      <c r="O41" s="92">
        <f>E41*Q4</f>
        <v>279.03434999999996</v>
      </c>
      <c r="P41" s="78"/>
      <c r="Q41" s="50"/>
      <c r="R41" s="78"/>
      <c r="S41" s="50"/>
      <c r="T41" s="50">
        <f t="shared" si="7"/>
        <v>318.73399799999993</v>
      </c>
      <c r="U41" s="28">
        <f>IF('[19]Calculo ISR '!$AX$34&gt;0,0,'[19]Calculo ISR '!$AX$34)*-1</f>
        <v>0</v>
      </c>
      <c r="V41" s="79">
        <f t="shared" si="10"/>
        <v>2338.7360019999996</v>
      </c>
      <c r="W41" s="73">
        <f t="shared" si="9"/>
        <v>385.5</v>
      </c>
      <c r="X41" s="80"/>
      <c r="Y41" s="47"/>
    </row>
    <row r="42" spans="1:27" s="81" customFormat="1" ht="45" customHeight="1">
      <c r="A42" s="91" t="s">
        <v>150</v>
      </c>
      <c r="B42" s="91" t="s">
        <v>142</v>
      </c>
      <c r="C42" s="66">
        <v>15</v>
      </c>
      <c r="D42" s="76">
        <v>205.61</v>
      </c>
      <c r="E42" s="36">
        <f t="shared" si="6"/>
        <v>3084.15</v>
      </c>
      <c r="F42" s="50"/>
      <c r="G42" s="77">
        <v>385.5</v>
      </c>
      <c r="H42" s="50">
        <v>446</v>
      </c>
      <c r="I42" s="50"/>
      <c r="J42" s="50">
        <v>0</v>
      </c>
      <c r="K42" s="50"/>
      <c r="L42" s="78">
        <f>E42+F42+H42+I42+K42</f>
        <v>3530.15</v>
      </c>
      <c r="M42" s="78">
        <f>SUM(E42+F42+G42+H42+I42+K42)</f>
        <v>3915.65</v>
      </c>
      <c r="N42" s="28">
        <f>IF('[19]Calculo ISR '!$AY$34&lt;0,0,'[19]Calculo ISR '!$AY$34)</f>
        <v>172.59723199999999</v>
      </c>
      <c r="O42" s="92">
        <f>E42*Q4</f>
        <v>323.83575000000002</v>
      </c>
      <c r="P42" s="78"/>
      <c r="Q42" s="50"/>
      <c r="R42" s="78"/>
      <c r="S42" s="50"/>
      <c r="T42" s="50">
        <f>SUM(N42+O42+P42+Q42+R42+S42)</f>
        <v>496.43298200000004</v>
      </c>
      <c r="U42" s="28">
        <f>IF('[19]Calculo ISR '!$AY$34&gt;0,0,'[19]Calculo ISR '!$AY$34)*-1</f>
        <v>0</v>
      </c>
      <c r="V42" s="79">
        <f t="shared" si="10"/>
        <v>3033.7170180000003</v>
      </c>
      <c r="W42" s="73">
        <f>G42</f>
        <v>385.5</v>
      </c>
      <c r="X42" s="80"/>
      <c r="Y42" s="47"/>
    </row>
    <row r="43" spans="1:27" s="81" customFormat="1" ht="45" customHeight="1">
      <c r="A43" s="91" t="s">
        <v>151</v>
      </c>
      <c r="B43" s="91" t="s">
        <v>152</v>
      </c>
      <c r="C43" s="66">
        <v>15</v>
      </c>
      <c r="D43" s="76">
        <v>238.18</v>
      </c>
      <c r="E43" s="36">
        <v>3572.72</v>
      </c>
      <c r="F43" s="50"/>
      <c r="G43" s="77">
        <v>385.5</v>
      </c>
      <c r="H43" s="50"/>
      <c r="I43" s="50"/>
      <c r="J43" s="50">
        <v>0</v>
      </c>
      <c r="K43" s="50"/>
      <c r="L43" s="78">
        <f>SUM(E43+F43+H43+I43+K43)</f>
        <v>3572.72</v>
      </c>
      <c r="M43" s="78">
        <f>SUM(E43+F43+G43+H43+I43+K43)</f>
        <v>3958.22</v>
      </c>
      <c r="N43" s="28">
        <f>IF('[19]Calculo ISR '!$AZ$34&lt;0,0,'[19]Calculo ISR '!$AZ$34)</f>
        <v>177.22884799999994</v>
      </c>
      <c r="O43" s="92">
        <f>E43*Q4</f>
        <v>375.13559999999995</v>
      </c>
      <c r="P43" s="78"/>
      <c r="Q43" s="50"/>
      <c r="R43" s="78"/>
      <c r="S43" s="50"/>
      <c r="T43" s="50">
        <f>SUM(N43+O43+P43+Q43+R43+S43)</f>
        <v>552.36444799999992</v>
      </c>
      <c r="U43" s="28">
        <f>IF('[19]Calculo ISR '!$AZ$34&gt;0,0,'[19]Calculo ISR '!$AZ$34)*-1</f>
        <v>0</v>
      </c>
      <c r="V43" s="79">
        <f t="shared" si="10"/>
        <v>3020.355552</v>
      </c>
      <c r="W43" s="73">
        <f>G43</f>
        <v>385.5</v>
      </c>
      <c r="X43" s="80"/>
      <c r="Y43" s="47"/>
    </row>
    <row r="44" spans="1:27" s="99" customFormat="1" ht="21.95" customHeight="1">
      <c r="A44" s="93"/>
      <c r="B44" s="94">
        <v>37</v>
      </c>
      <c r="C44" s="95">
        <f>SUM(C8:C43)</f>
        <v>540</v>
      </c>
      <c r="D44" s="95">
        <f>SUM(D8:D43)</f>
        <v>11274.116666666669</v>
      </c>
      <c r="E44" s="95">
        <f t="shared" ref="E44:W44" si="11">SUM(E7:E43)</f>
        <v>186628.25999999998</v>
      </c>
      <c r="F44" s="95">
        <f t="shared" si="11"/>
        <v>6040.32</v>
      </c>
      <c r="G44" s="95">
        <f t="shared" si="11"/>
        <v>14838</v>
      </c>
      <c r="H44" s="95">
        <f t="shared" si="11"/>
        <v>4460</v>
      </c>
      <c r="I44" s="95">
        <f t="shared" si="11"/>
        <v>688</v>
      </c>
      <c r="J44" s="95">
        <f>SUM(J8:J43)</f>
        <v>159120.2616</v>
      </c>
      <c r="K44" s="95">
        <f t="shared" si="11"/>
        <v>3121.3507799999998</v>
      </c>
      <c r="L44" s="95">
        <f t="shared" si="11"/>
        <v>360058.19237999991</v>
      </c>
      <c r="M44" s="95">
        <f t="shared" si="11"/>
        <v>374896.19237999991</v>
      </c>
      <c r="N44" s="96">
        <f t="shared" si="11"/>
        <v>61898.183775743993</v>
      </c>
      <c r="O44" s="95">
        <f t="shared" si="11"/>
        <v>19595.9673</v>
      </c>
      <c r="P44" s="95">
        <f t="shared" si="11"/>
        <v>21229.97</v>
      </c>
      <c r="Q44" s="95">
        <f t="shared" si="11"/>
        <v>0</v>
      </c>
      <c r="R44" s="95">
        <f t="shared" si="11"/>
        <v>0</v>
      </c>
      <c r="S44" s="95">
        <f t="shared" si="11"/>
        <v>542.16550000000007</v>
      </c>
      <c r="T44" s="95">
        <f t="shared" si="11"/>
        <v>103266.28657574399</v>
      </c>
      <c r="U44" s="95">
        <f t="shared" si="11"/>
        <v>0</v>
      </c>
      <c r="V44" s="95">
        <f t="shared" si="11"/>
        <v>256791.90580425601</v>
      </c>
      <c r="W44" s="95">
        <f t="shared" si="11"/>
        <v>14838</v>
      </c>
      <c r="X44" s="97"/>
      <c r="Y44" s="98"/>
    </row>
    <row r="45" spans="1:27" s="6" customFormat="1" ht="10.5" customHeight="1">
      <c r="A45" s="122"/>
      <c r="B45" s="123"/>
      <c r="C45" s="124"/>
      <c r="D45" s="101"/>
      <c r="E45" s="101"/>
      <c r="F45" s="101"/>
      <c r="G45" s="125"/>
      <c r="H45" s="125">
        <f>H44+'[19]HT-DOCENTE FIRMA'!L39</f>
        <v>6143.65</v>
      </c>
      <c r="I45" s="101"/>
      <c r="J45" s="101"/>
      <c r="K45" s="101"/>
      <c r="L45" s="101"/>
      <c r="M45" s="101"/>
      <c r="O45" s="101">
        <f>O44+'[19]HT-DOCENTE FIRMA'!Q39+'[19]HT-PTC FIRMAS '!K15</f>
        <v>36384.654599999994</v>
      </c>
      <c r="P45" s="101">
        <f>P44+'[19]HT-DOCENTE FIRMA'!R39+'[19]HT-PTC FIRMAS '!L15</f>
        <v>32968.97</v>
      </c>
      <c r="Q45" s="101"/>
      <c r="R45" s="101"/>
      <c r="S45" s="101"/>
      <c r="T45" s="101"/>
      <c r="U45" s="101"/>
      <c r="V45" s="101"/>
      <c r="W45" s="101"/>
      <c r="X45" s="126"/>
      <c r="Y45" s="5"/>
    </row>
    <row r="46" spans="1:27" s="6" customFormat="1" ht="10.5" customHeight="1">
      <c r="A46" s="122"/>
      <c r="B46" s="123"/>
      <c r="C46" s="124"/>
      <c r="D46" s="101"/>
      <c r="E46" s="101">
        <f>E44+'[19]HT-DOCENTE FIRMA'!I39+'[19]HT-PTC FIRMAS '!D15</f>
        <v>346520.52</v>
      </c>
      <c r="F46" s="101"/>
      <c r="G46" s="125"/>
      <c r="H46" s="125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26"/>
      <c r="Y46" s="5"/>
      <c r="AA46" s="5"/>
    </row>
    <row r="47" spans="1:27" s="6" customFormat="1" ht="10.5" customHeight="1">
      <c r="A47" s="127"/>
      <c r="B47" s="123"/>
      <c r="C47" s="122"/>
      <c r="D47" s="128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26"/>
      <c r="Y47" s="5"/>
    </row>
    <row r="48" spans="1:27" s="6" customFormat="1" ht="10.5" customHeight="1">
      <c r="A48" s="129"/>
      <c r="B48" s="130"/>
      <c r="C48" s="131"/>
      <c r="D48" s="132"/>
      <c r="E48" s="133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5"/>
      <c r="Y48" s="5"/>
    </row>
    <row r="49" spans="1:25" ht="15" customHeight="1">
      <c r="A49" s="110" t="s">
        <v>105</v>
      </c>
      <c r="B49" s="110"/>
      <c r="C49" s="110"/>
      <c r="D49" s="111"/>
      <c r="E49" s="109"/>
      <c r="F49" s="109"/>
      <c r="G49" s="113" t="s">
        <v>106</v>
      </c>
      <c r="H49" s="112"/>
      <c r="I49" s="112"/>
      <c r="J49" s="112"/>
      <c r="L49" s="113"/>
      <c r="M49" s="114"/>
      <c r="P49" s="115"/>
      <c r="Q49" s="115"/>
      <c r="R49" s="115"/>
      <c r="S49" s="115"/>
      <c r="T49" s="111" t="s">
        <v>107</v>
      </c>
      <c r="U49" s="111"/>
      <c r="V49" s="111"/>
      <c r="W49" s="111"/>
      <c r="X49" s="111"/>
      <c r="Y49" s="100"/>
    </row>
    <row r="50" spans="1:25" hidden="1">
      <c r="A50" s="111"/>
      <c r="B50" s="111"/>
      <c r="C50" s="111"/>
      <c r="D50" s="111"/>
      <c r="E50" s="116"/>
      <c r="F50" s="116"/>
      <c r="G50" s="111"/>
      <c r="H50" s="111"/>
      <c r="I50" s="111"/>
      <c r="J50" s="111"/>
      <c r="K50" s="111"/>
      <c r="L50" s="103"/>
      <c r="M50" s="103"/>
      <c r="P50" s="103"/>
      <c r="Q50" s="115"/>
      <c r="R50" s="103"/>
      <c r="S50" s="103"/>
      <c r="T50" s="111"/>
      <c r="U50" s="111"/>
      <c r="V50" s="111"/>
      <c r="W50" s="111"/>
      <c r="X50" s="111"/>
      <c r="Y50" s="100"/>
    </row>
    <row r="51" spans="1:25" hidden="1">
      <c r="A51" s="111"/>
      <c r="B51" s="111"/>
      <c r="C51" s="111"/>
      <c r="D51" s="111"/>
      <c r="E51" s="109"/>
      <c r="F51" s="109"/>
      <c r="G51" s="111"/>
      <c r="H51" s="111"/>
      <c r="I51" s="111"/>
      <c r="J51" s="111"/>
      <c r="K51" s="111"/>
      <c r="L51" s="109"/>
      <c r="M51" s="109"/>
      <c r="P51" s="109"/>
      <c r="Q51" s="109"/>
      <c r="R51" s="109"/>
      <c r="S51" s="109"/>
      <c r="T51" s="111"/>
      <c r="U51" s="111"/>
      <c r="V51" s="111"/>
      <c r="W51" s="111"/>
      <c r="X51" s="111"/>
      <c r="Y51" s="100"/>
    </row>
    <row r="52" spans="1:25" ht="21.75" customHeight="1">
      <c r="A52" s="111"/>
      <c r="B52" s="113" t="s">
        <v>108</v>
      </c>
      <c r="C52" s="111"/>
      <c r="D52" s="111"/>
      <c r="E52" s="116"/>
      <c r="F52" s="116"/>
      <c r="G52" s="118" t="s">
        <v>109</v>
      </c>
      <c r="H52" s="117"/>
      <c r="I52" s="117"/>
      <c r="J52" s="117"/>
      <c r="L52" s="118"/>
      <c r="M52" s="118"/>
      <c r="P52" s="109"/>
      <c r="Q52" s="109"/>
      <c r="S52" s="109"/>
      <c r="T52" s="144" t="s">
        <v>110</v>
      </c>
      <c r="U52" s="117"/>
      <c r="V52" s="117"/>
      <c r="W52" s="117"/>
      <c r="X52" s="111"/>
      <c r="Y52" s="100"/>
    </row>
    <row r="53" spans="1:25" ht="15" customHeight="1">
      <c r="A53" s="110" t="s">
        <v>111</v>
      </c>
      <c r="B53" s="110"/>
      <c r="C53" s="110"/>
      <c r="D53" s="111"/>
      <c r="E53" s="109"/>
      <c r="F53" s="109"/>
      <c r="G53" s="118" t="s">
        <v>112</v>
      </c>
      <c r="H53" s="117"/>
      <c r="I53" s="117"/>
      <c r="J53" s="117"/>
      <c r="L53" s="118"/>
      <c r="M53" s="118"/>
      <c r="P53" s="109"/>
      <c r="Q53" s="109"/>
      <c r="R53" s="109"/>
      <c r="S53" s="119" t="s">
        <v>113</v>
      </c>
      <c r="T53" s="119"/>
      <c r="U53" s="119"/>
      <c r="V53" s="119"/>
      <c r="W53" s="119"/>
      <c r="X53" s="111"/>
      <c r="Y53" s="100"/>
    </row>
    <row r="54" spans="1:25">
      <c r="A54" s="109"/>
      <c r="B54" s="120"/>
      <c r="C54" s="109"/>
      <c r="D54" s="109"/>
      <c r="E54" s="116"/>
      <c r="F54" s="116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0"/>
    </row>
    <row r="55" spans="1:25" s="2" customFormat="1">
      <c r="A55" s="109"/>
      <c r="B55" s="120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0"/>
    </row>
    <row r="56" spans="1:25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16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0"/>
    </row>
    <row r="57" spans="1:25" s="2" customFormat="1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0"/>
    </row>
    <row r="58" spans="1:25" s="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00"/>
    </row>
    <row r="59" spans="1:25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00"/>
    </row>
    <row r="60" spans="1:25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00"/>
    </row>
    <row r="61" spans="1:25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00"/>
    </row>
    <row r="62" spans="1:25">
      <c r="Y62" s="100"/>
    </row>
    <row r="63" spans="1:25">
      <c r="Y63" s="100"/>
    </row>
    <row r="64" spans="1:25">
      <c r="Y64" s="100"/>
    </row>
    <row r="65" spans="1:25">
      <c r="Y65" s="100"/>
    </row>
    <row r="66" spans="1:25">
      <c r="Y66" s="100"/>
    </row>
    <row r="67" spans="1:25">
      <c r="Y67" s="100"/>
    </row>
    <row r="68" spans="1:25" s="102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5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5" s="10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5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5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5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5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5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5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5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5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5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306" spans="100:100">
      <c r="CV306" s="1" t="s">
        <v>114</v>
      </c>
    </row>
  </sheetData>
  <mergeCells count="3">
    <mergeCell ref="A49:C49"/>
    <mergeCell ref="A53:C53"/>
    <mergeCell ref="S53:W53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X306"/>
  <sheetViews>
    <sheetView zoomScale="80" zoomScaleNormal="80" workbookViewId="0">
      <pane xSplit="2" ySplit="6" topLeftCell="C39" activePane="bottomRight" state="frozen"/>
      <selection activeCell="S28" sqref="S28"/>
      <selection pane="topRight" activeCell="S28" sqref="S28"/>
      <selection pane="bottomLeft" activeCell="S28" sqref="S28"/>
      <selection pane="bottomRight" activeCell="B45" sqref="B45"/>
    </sheetView>
  </sheetViews>
  <sheetFormatPr baseColWidth="10" defaultRowHeight="12.75"/>
  <cols>
    <col min="1" max="1" width="12.42578125" style="1" customWidth="1"/>
    <col min="2" max="2" width="24.1406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11" width="12.42578125" style="1" customWidth="1"/>
    <col min="12" max="12" width="9.28515625" style="1" customWidth="1"/>
    <col min="13" max="13" width="10.140625" style="1" customWidth="1"/>
    <col min="14" max="14" width="12.28515625" style="1" customWidth="1"/>
    <col min="15" max="15" width="11.7109375" style="1" customWidth="1"/>
    <col min="16" max="18" width="11.140625" style="1" hidden="1" customWidth="1"/>
    <col min="19" max="19" width="8.5703125" style="1" hidden="1" customWidth="1"/>
    <col min="20" max="20" width="8.7109375" style="1" hidden="1" customWidth="1"/>
    <col min="21" max="21" width="8.28515625" style="1" hidden="1" customWidth="1"/>
    <col min="22" max="22" width="11.140625" style="1" customWidth="1"/>
    <col min="23" max="23" width="9.42578125" style="1" customWidth="1"/>
    <col min="24" max="24" width="14.42578125" style="1" customWidth="1"/>
    <col min="25" max="25" width="12.85546875" style="1" hidden="1" customWidth="1"/>
    <col min="26" max="26" width="35.42578125" style="1" hidden="1" customWidth="1"/>
    <col min="27" max="16384" width="11.42578125" style="1"/>
  </cols>
  <sheetData>
    <row r="1" spans="1:29">
      <c r="C1" s="3"/>
      <c r="D1" s="3"/>
      <c r="E1" s="3"/>
      <c r="F1" s="3"/>
      <c r="G1" s="3"/>
      <c r="H1" s="3"/>
      <c r="I1" s="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3"/>
      <c r="Z1" s="3"/>
      <c r="AA1" s="3"/>
    </row>
    <row r="2" spans="1:29">
      <c r="A2" s="3"/>
      <c r="B2" s="3"/>
      <c r="C2" s="3"/>
      <c r="D2" s="3"/>
      <c r="E2" s="3"/>
      <c r="F2" s="3"/>
      <c r="G2" s="3"/>
      <c r="H2" s="3"/>
      <c r="I2" s="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"/>
      <c r="Z2" s="3"/>
      <c r="AA2" s="3"/>
    </row>
    <row r="3" spans="1:29" ht="22.5">
      <c r="A3" s="3"/>
      <c r="B3" s="3"/>
      <c r="C3" s="3"/>
      <c r="D3" s="3"/>
      <c r="E3" s="3"/>
      <c r="F3" s="3"/>
      <c r="G3" s="3"/>
      <c r="H3" s="3"/>
      <c r="I3" s="3"/>
      <c r="J3" s="6"/>
      <c r="K3" s="6"/>
      <c r="L3" s="6"/>
      <c r="M3" s="6"/>
      <c r="N3" s="5"/>
      <c r="O3" s="5" t="s">
        <v>0</v>
      </c>
      <c r="P3" s="6"/>
      <c r="Q3" s="6"/>
      <c r="R3" s="6" t="s">
        <v>137</v>
      </c>
      <c r="S3" s="135" t="s">
        <v>132</v>
      </c>
      <c r="T3" s="6" t="s">
        <v>1</v>
      </c>
      <c r="U3" s="6" t="s">
        <v>133</v>
      </c>
      <c r="V3" s="6"/>
      <c r="W3" s="6"/>
      <c r="X3" s="6"/>
      <c r="Y3" s="3"/>
      <c r="Z3" s="3"/>
      <c r="AA3" s="3"/>
    </row>
    <row r="4" spans="1:29">
      <c r="A4" s="3"/>
      <c r="B4" s="3"/>
      <c r="C4" s="3"/>
      <c r="D4" s="3"/>
      <c r="E4" s="3"/>
      <c r="F4" s="3"/>
      <c r="G4" s="3"/>
      <c r="H4" s="3"/>
      <c r="J4" s="6"/>
      <c r="K4" s="6"/>
      <c r="L4" s="6"/>
      <c r="M4" s="6"/>
      <c r="N4" s="6"/>
      <c r="O4" s="7">
        <v>1.9E-2</v>
      </c>
      <c r="P4" s="6"/>
      <c r="Q4" s="6"/>
      <c r="R4" s="8">
        <v>0.01</v>
      </c>
      <c r="S4" s="121">
        <v>0.105</v>
      </c>
      <c r="T4" s="9">
        <v>3.7999999999999999E-2</v>
      </c>
      <c r="U4" s="121">
        <v>5.7000000000000002E-2</v>
      </c>
      <c r="V4" s="6"/>
      <c r="W4" s="6"/>
      <c r="X4" s="6"/>
      <c r="Y4" s="3"/>
      <c r="Z4" s="3"/>
      <c r="AA4" s="3"/>
    </row>
    <row r="5" spans="1:29" ht="13.5" thickBot="1">
      <c r="B5" s="10" t="s">
        <v>2</v>
      </c>
      <c r="C5" s="3"/>
      <c r="D5" s="3"/>
      <c r="E5" s="3"/>
      <c r="F5" s="3"/>
      <c r="G5" s="3"/>
      <c r="H5" s="3"/>
      <c r="I5" s="10" t="s">
        <v>155</v>
      </c>
      <c r="J5" s="3"/>
      <c r="K5" s="3"/>
      <c r="L5" s="3"/>
      <c r="M5" s="3"/>
      <c r="N5" s="3"/>
      <c r="T5" s="3"/>
      <c r="U5" s="3"/>
      <c r="V5" s="3"/>
      <c r="W5" s="3"/>
      <c r="X5" s="3"/>
      <c r="Y5" s="3"/>
      <c r="Z5" s="3"/>
      <c r="AA5" s="3"/>
    </row>
    <row r="6" spans="1:29" s="25" customFormat="1" ht="115.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7" t="s">
        <v>156</v>
      </c>
      <c r="I6" s="18" t="s">
        <v>11</v>
      </c>
      <c r="J6" s="18" t="s">
        <v>157</v>
      </c>
      <c r="K6" s="18" t="s">
        <v>158</v>
      </c>
      <c r="L6" s="19" t="s">
        <v>12</v>
      </c>
      <c r="M6" s="18" t="s">
        <v>13</v>
      </c>
      <c r="N6" s="18" t="s">
        <v>14</v>
      </c>
      <c r="O6" s="19" t="s">
        <v>15</v>
      </c>
      <c r="P6" s="20" t="s">
        <v>16</v>
      </c>
      <c r="Q6" s="20" t="s">
        <v>17</v>
      </c>
      <c r="R6" s="20" t="s">
        <v>18</v>
      </c>
      <c r="S6" s="20" t="s">
        <v>19</v>
      </c>
      <c r="T6" s="20" t="s">
        <v>20</v>
      </c>
      <c r="U6" s="20" t="s">
        <v>21</v>
      </c>
      <c r="V6" s="20" t="s">
        <v>22</v>
      </c>
      <c r="W6" s="21" t="s">
        <v>23</v>
      </c>
      <c r="X6" s="22" t="s">
        <v>24</v>
      </c>
      <c r="Y6" s="23" t="s">
        <v>25</v>
      </c>
      <c r="Z6" s="24" t="s">
        <v>26</v>
      </c>
    </row>
    <row r="7" spans="1:29" s="30" customFormat="1" ht="56.25" customHeight="1">
      <c r="A7" s="26" t="s">
        <v>27</v>
      </c>
      <c r="B7" s="27" t="s">
        <v>28</v>
      </c>
      <c r="C7" s="142">
        <v>15</v>
      </c>
      <c r="D7" s="28">
        <v>1129.1099999999999</v>
      </c>
      <c r="E7" s="28">
        <v>17515.27</v>
      </c>
      <c r="F7" s="28">
        <v>6040.32</v>
      </c>
      <c r="G7" s="28">
        <v>960</v>
      </c>
      <c r="H7" s="28"/>
      <c r="I7" s="28">
        <f>'[1]HT-ADMINISTRATIVOS'!H8</f>
        <v>0</v>
      </c>
      <c r="J7" s="28"/>
      <c r="K7" s="28">
        <v>215</v>
      </c>
      <c r="L7" s="28">
        <v>688</v>
      </c>
      <c r="M7" s="28"/>
      <c r="N7" s="28">
        <f>SUM(E7+F7+L7+M7)</f>
        <v>24243.59</v>
      </c>
      <c r="O7" s="28">
        <f>SUM(N7+G7)</f>
        <v>25203.59</v>
      </c>
      <c r="P7" s="28">
        <f>IF('[20]Calculo ISR '!$K$34&lt;0,0,'[20]Calculo ISR '!$K$34)</f>
        <v>5457.759</v>
      </c>
      <c r="Q7" s="28">
        <f>E7*S4</f>
        <v>1839.1033500000001</v>
      </c>
      <c r="R7" s="28"/>
      <c r="S7" s="28"/>
      <c r="T7" s="28"/>
      <c r="U7" s="28"/>
      <c r="V7" s="28">
        <f>SUM(P7+Q7+R7+S7+T7+U7)</f>
        <v>7296.8623500000003</v>
      </c>
      <c r="W7" s="28"/>
      <c r="X7" s="36">
        <f>N7-V7</f>
        <v>16946.727650000001</v>
      </c>
      <c r="Y7" s="28">
        <f>G7</f>
        <v>960</v>
      </c>
      <c r="Z7" s="29"/>
      <c r="AC7" s="31"/>
    </row>
    <row r="8" spans="1:29" s="136" customFormat="1" ht="45" customHeight="1">
      <c r="A8" s="32" t="s">
        <v>29</v>
      </c>
      <c r="B8" s="33" t="s">
        <v>30</v>
      </c>
      <c r="C8" s="34">
        <v>15</v>
      </c>
      <c r="D8" s="35">
        <v>780.2</v>
      </c>
      <c r="E8" s="36">
        <f>C8*D8</f>
        <v>11703</v>
      </c>
      <c r="F8" s="36"/>
      <c r="G8" s="36">
        <v>465.5</v>
      </c>
      <c r="H8" s="36">
        <v>1280</v>
      </c>
      <c r="I8" s="36">
        <v>521.5</v>
      </c>
      <c r="J8" s="36">
        <v>1208</v>
      </c>
      <c r="K8" s="36">
        <v>215</v>
      </c>
      <c r="L8" s="36">
        <f>'[1]HT-ADMINISTRATIVOS'!J10</f>
        <v>0</v>
      </c>
      <c r="M8" s="37">
        <f>E8*U4</f>
        <v>667.07100000000003</v>
      </c>
      <c r="N8" s="36">
        <f>SUM(E8+I8+J8+K8+L8+M8)</f>
        <v>14314.571</v>
      </c>
      <c r="O8" s="36">
        <f>N8+G8+H8</f>
        <v>16060.071</v>
      </c>
      <c r="P8" s="28">
        <f>IF('[20]Calculo ISR '!$L$34&lt;0,0,'[20]Calculo ISR '!$L$34)</f>
        <v>2598.0993072000001</v>
      </c>
      <c r="Q8" s="38">
        <f>E8*S4</f>
        <v>1228.8150000000001</v>
      </c>
      <c r="R8" s="38"/>
      <c r="S8" s="38">
        <f>'[1]HT-ADMINISTRATIVOS'!Q10</f>
        <v>0</v>
      </c>
      <c r="T8" s="38"/>
      <c r="U8" s="38">
        <f>'[1]HT-ADMINISTRATIVOS'!S10</f>
        <v>0</v>
      </c>
      <c r="V8" s="36">
        <f>P8+Q8+R8+S8+T8+U8</f>
        <v>3826.9143072000002</v>
      </c>
      <c r="W8" s="28">
        <f>IF('[20]Calculo ISR '!$L$34&gt;0,0,'[20]Calculo ISR '!$L$34)*-1</f>
        <v>0</v>
      </c>
      <c r="X8" s="36">
        <f>N8-V8</f>
        <v>10487.656692799999</v>
      </c>
      <c r="Y8" s="36">
        <f>G8+H8</f>
        <v>1745.5</v>
      </c>
      <c r="Z8" s="46"/>
      <c r="AA8" s="47"/>
    </row>
    <row r="9" spans="1:29" s="48" customFormat="1" ht="45" customHeight="1">
      <c r="A9" s="32" t="s">
        <v>31</v>
      </c>
      <c r="B9" s="43" t="s">
        <v>32</v>
      </c>
      <c r="C9" s="34">
        <v>15</v>
      </c>
      <c r="D9" s="35">
        <v>238.18</v>
      </c>
      <c r="E9" s="36">
        <v>3572.72</v>
      </c>
      <c r="F9" s="36"/>
      <c r="G9" s="36">
        <v>465.5</v>
      </c>
      <c r="H9" s="36">
        <v>1280</v>
      </c>
      <c r="I9" s="36">
        <f>'[1]HT-ADMINISTRATIVOS'!H11</f>
        <v>0</v>
      </c>
      <c r="J9" s="36"/>
      <c r="K9" s="36"/>
      <c r="L9" s="36">
        <f>'[1]HT-ADMINISTRATIVOS'!J11</f>
        <v>0</v>
      </c>
      <c r="M9" s="37">
        <f>E9*U4</f>
        <v>203.64503999999999</v>
      </c>
      <c r="N9" s="36">
        <f t="shared" ref="N9:N43" si="0">SUM(E9+I9+J9+K9+L9+M9)</f>
        <v>3776.3650399999997</v>
      </c>
      <c r="O9" s="36">
        <f t="shared" ref="O9:O43" si="1">N9+G9+H9</f>
        <v>5521.8650399999997</v>
      </c>
      <c r="P9" s="28">
        <f>IF('[20]Calculo ISR '!$M$34&lt;0,0,'[20]Calculo ISR '!$M$34)</f>
        <v>313.30680639999991</v>
      </c>
      <c r="Q9" s="38">
        <f>E9*S4</f>
        <v>375.13559999999995</v>
      </c>
      <c r="R9" s="38">
        <v>800</v>
      </c>
      <c r="S9" s="38">
        <f>'[1]HT-ADMINISTRATIVOS'!Q11</f>
        <v>0</v>
      </c>
      <c r="T9" s="38">
        <f>'[1]HT-ADMINISTRATIVOS'!R11</f>
        <v>0</v>
      </c>
      <c r="U9" s="38">
        <f>E9*R4</f>
        <v>35.727199999999996</v>
      </c>
      <c r="V9" s="36">
        <f>P9+Q9+R9+S9+T9+U9</f>
        <v>1524.1696064</v>
      </c>
      <c r="W9" s="28">
        <f>IF('[20]Calculo ISR '!$M$34&gt;0,0,'[20]Calculo ISR '!$M$34)*-1</f>
        <v>0</v>
      </c>
      <c r="X9" s="36">
        <f t="shared" ref="X9:X15" si="2">N9-V9+W9</f>
        <v>2252.1954335999999</v>
      </c>
      <c r="Y9" s="36">
        <f t="shared" ref="Y9:Y43" si="3">G9+H9</f>
        <v>1745.5</v>
      </c>
      <c r="Z9" s="46"/>
      <c r="AA9" s="47"/>
    </row>
    <row r="10" spans="1:29" s="48" customFormat="1" ht="45" customHeight="1">
      <c r="A10" s="32" t="s">
        <v>33</v>
      </c>
      <c r="B10" s="45" t="s">
        <v>34</v>
      </c>
      <c r="C10" s="34">
        <v>15</v>
      </c>
      <c r="D10" s="35">
        <f>E10/C10</f>
        <v>250.32666666666668</v>
      </c>
      <c r="E10" s="36">
        <v>3754.9</v>
      </c>
      <c r="F10" s="36"/>
      <c r="G10" s="36">
        <v>465.5</v>
      </c>
      <c r="H10" s="36">
        <v>1280</v>
      </c>
      <c r="I10" s="36">
        <f>'[1]HT-ADMINISTRATIVOS'!H12</f>
        <v>0</v>
      </c>
      <c r="J10" s="36"/>
      <c r="K10" s="36">
        <v>215</v>
      </c>
      <c r="L10" s="36">
        <f>'[1]HT-ADMINISTRATIVOS'!J12</f>
        <v>0</v>
      </c>
      <c r="M10" s="37">
        <f>E10*U4</f>
        <v>214.02930000000001</v>
      </c>
      <c r="N10" s="36">
        <f t="shared" si="0"/>
        <v>4183.9292999999998</v>
      </c>
      <c r="O10" s="36">
        <f t="shared" si="1"/>
        <v>5929.4292999999998</v>
      </c>
      <c r="P10" s="28">
        <f>IF('[20]Calculo ISR '!$N$34&lt;0,0,'[20]Calculo ISR '!$N$34)</f>
        <v>378.51708799999994</v>
      </c>
      <c r="Q10" s="38">
        <f>E10*S4</f>
        <v>394.2645</v>
      </c>
      <c r="R10" s="38">
        <v>650</v>
      </c>
      <c r="S10" s="38">
        <f>'[1]HT-ADMINISTRATIVOS'!Q12</f>
        <v>0</v>
      </c>
      <c r="T10" s="38">
        <f>'[1]HT-ADMINISTRATIVOS'!R12</f>
        <v>0</v>
      </c>
      <c r="U10" s="38">
        <f>E10*R4</f>
        <v>37.548999999999999</v>
      </c>
      <c r="V10" s="36">
        <f t="shared" ref="V10:V29" si="4">P10+Q10+R10+U10+S10+T10</f>
        <v>1460.3305879999998</v>
      </c>
      <c r="W10" s="28">
        <f>IF('[1]Calculo ISR '!$N$34&gt;0,0,'[21]Calculo ISR '!$N$34)*-1</f>
        <v>0</v>
      </c>
      <c r="X10" s="36">
        <f t="shared" si="2"/>
        <v>2723.598712</v>
      </c>
      <c r="Y10" s="36">
        <f t="shared" si="3"/>
        <v>1745.5</v>
      </c>
      <c r="Z10" s="46"/>
      <c r="AA10" s="47"/>
    </row>
    <row r="11" spans="1:29" s="48" customFormat="1" ht="45" customHeight="1">
      <c r="A11" s="32" t="s">
        <v>35</v>
      </c>
      <c r="B11" s="43" t="s">
        <v>36</v>
      </c>
      <c r="C11" s="34">
        <v>15</v>
      </c>
      <c r="D11" s="35">
        <v>226.68</v>
      </c>
      <c r="E11" s="36">
        <v>3400.25</v>
      </c>
      <c r="F11" s="36"/>
      <c r="G11" s="36">
        <v>465.5</v>
      </c>
      <c r="H11" s="36">
        <v>1280</v>
      </c>
      <c r="I11" s="36">
        <f>'[1]HT-ADMINISTRATIVOS'!H13</f>
        <v>0</v>
      </c>
      <c r="J11" s="36"/>
      <c r="K11" s="36">
        <v>215</v>
      </c>
      <c r="L11" s="36">
        <f>'[1]HT-ADMINISTRATIVOS'!J13</f>
        <v>0</v>
      </c>
      <c r="M11" s="37">
        <f>E11*U4</f>
        <v>193.81425000000002</v>
      </c>
      <c r="N11" s="36">
        <f t="shared" si="0"/>
        <v>3809.0642499999999</v>
      </c>
      <c r="O11" s="36">
        <f t="shared" si="1"/>
        <v>5554.5642499999994</v>
      </c>
      <c r="P11" s="28">
        <f>IF('[20]Calculo ISR '!$O$34&lt;0,0,'[20]Calculo ISR '!$O$34)</f>
        <v>318.53867999999994</v>
      </c>
      <c r="Q11" s="38">
        <f>E11*S4</f>
        <v>357.02625</v>
      </c>
      <c r="R11" s="38">
        <v>1462.22</v>
      </c>
      <c r="S11" s="38">
        <f>'[1]HT-ADMINISTRATIVOS'!Q13</f>
        <v>0</v>
      </c>
      <c r="T11" s="38">
        <f>'[1]HT-ADMINISTRATIVOS'!R13</f>
        <v>0</v>
      </c>
      <c r="U11" s="38">
        <f>E11*R4</f>
        <v>34.002499999999998</v>
      </c>
      <c r="V11" s="36">
        <f t="shared" si="4"/>
        <v>2171.7874299999999</v>
      </c>
      <c r="W11" s="28">
        <f>IF('[1]Calculo ISR '!$O$34&gt;0,0,'[1]Calculo ISR '!$O$34)*-1</f>
        <v>0</v>
      </c>
      <c r="X11" s="36">
        <f t="shared" si="2"/>
        <v>1637.27682</v>
      </c>
      <c r="Y11" s="36">
        <f t="shared" si="3"/>
        <v>1745.5</v>
      </c>
      <c r="Z11" s="46"/>
      <c r="AA11" s="47"/>
    </row>
    <row r="12" spans="1:29" s="48" customFormat="1" ht="45" customHeight="1">
      <c r="A12" s="32" t="s">
        <v>37</v>
      </c>
      <c r="B12" s="43" t="s">
        <v>38</v>
      </c>
      <c r="C12" s="34">
        <v>15</v>
      </c>
      <c r="D12" s="49">
        <v>250.33</v>
      </c>
      <c r="E12" s="36">
        <v>3754.9</v>
      </c>
      <c r="F12" s="36"/>
      <c r="G12" s="36">
        <v>465.5</v>
      </c>
      <c r="H12" s="36">
        <v>1280</v>
      </c>
      <c r="I12" s="36">
        <f>'[1]HT-ADMINISTRATIVOS'!H14</f>
        <v>0</v>
      </c>
      <c r="J12" s="36"/>
      <c r="K12" s="36">
        <v>215</v>
      </c>
      <c r="L12" s="36">
        <f>'[1]HT-ADMINISTRATIVOS'!J14</f>
        <v>0</v>
      </c>
      <c r="M12" s="37">
        <f>E12*U4</f>
        <v>214.02930000000001</v>
      </c>
      <c r="N12" s="36">
        <f t="shared" si="0"/>
        <v>4183.9292999999998</v>
      </c>
      <c r="O12" s="36">
        <f t="shared" si="1"/>
        <v>5929.4292999999998</v>
      </c>
      <c r="P12" s="28">
        <f>IF('[20]Calculo ISR '!$P$34&lt;0,0,'[20]Calculo ISR '!$P$34)</f>
        <v>378.51708799999994</v>
      </c>
      <c r="Q12" s="38">
        <f>E12*S4</f>
        <v>394.2645</v>
      </c>
      <c r="R12" s="38">
        <v>1211</v>
      </c>
      <c r="S12" s="38">
        <f>'[1]HT-ADMINISTRATIVOS'!Q14</f>
        <v>0</v>
      </c>
      <c r="T12" s="38">
        <f>'[1]HT-ADMINISTRATIVOS'!R14</f>
        <v>0</v>
      </c>
      <c r="U12" s="38">
        <f>E12*R4</f>
        <v>37.548999999999999</v>
      </c>
      <c r="V12" s="36">
        <f t="shared" si="4"/>
        <v>2021.3305879999998</v>
      </c>
      <c r="W12" s="28">
        <f>IF('[1]Calculo ISR '!$P$34&gt;0,0,'[1]Calculo ISR '!$P$34)*-1</f>
        <v>0</v>
      </c>
      <c r="X12" s="36">
        <f t="shared" si="2"/>
        <v>2162.598712</v>
      </c>
      <c r="Y12" s="36">
        <f t="shared" si="3"/>
        <v>1745.5</v>
      </c>
      <c r="Z12" s="46"/>
      <c r="AA12" s="47"/>
    </row>
    <row r="13" spans="1:29" s="48" customFormat="1" ht="45" customHeight="1">
      <c r="A13" s="32" t="s">
        <v>39</v>
      </c>
      <c r="B13" s="43" t="s">
        <v>40</v>
      </c>
      <c r="C13" s="34">
        <v>15</v>
      </c>
      <c r="D13" s="50">
        <v>177.16</v>
      </c>
      <c r="E13" s="36">
        <v>2657.47</v>
      </c>
      <c r="F13" s="36"/>
      <c r="G13" s="36">
        <v>465.5</v>
      </c>
      <c r="H13" s="36">
        <v>1280</v>
      </c>
      <c r="I13" s="36">
        <f>'[1]HT-ADMINISTRATIVOS'!H15</f>
        <v>0</v>
      </c>
      <c r="J13" s="36"/>
      <c r="K13" s="36">
        <v>215</v>
      </c>
      <c r="L13" s="36">
        <f>'[1]HT-ADMINISTRATIVOS'!J15</f>
        <v>0</v>
      </c>
      <c r="M13" s="37">
        <f>E13*U4</f>
        <v>151.47578999999999</v>
      </c>
      <c r="N13" s="36">
        <f t="shared" si="0"/>
        <v>3023.9457899999998</v>
      </c>
      <c r="O13" s="36">
        <f t="shared" si="1"/>
        <v>4769.4457899999998</v>
      </c>
      <c r="P13" s="28">
        <f>IF('[20]Calculo ISR '!$Q$34&lt;0,0,'[20]Calculo ISR '!$Q$34)</f>
        <v>79.572213951999942</v>
      </c>
      <c r="Q13" s="38">
        <f>E13*S4</f>
        <v>279.03434999999996</v>
      </c>
      <c r="R13" s="38">
        <v>567</v>
      </c>
      <c r="S13" s="38">
        <f>'[1]HT-ADMINISTRATIVOS'!Q15</f>
        <v>0</v>
      </c>
      <c r="T13" s="38">
        <f>'[1]HT-ADMINISTRATIVOS'!R15</f>
        <v>0</v>
      </c>
      <c r="U13" s="38">
        <f>E13*R4</f>
        <v>26.5747</v>
      </c>
      <c r="V13" s="36">
        <f t="shared" si="4"/>
        <v>952.18126395199988</v>
      </c>
      <c r="W13" s="28">
        <f>IF('[1]Calculo ISR '!$Q$34&gt;0,0,'[1]Calculo ISR '!$Q$34)</f>
        <v>0</v>
      </c>
      <c r="X13" s="36">
        <f t="shared" si="2"/>
        <v>2071.7645260479999</v>
      </c>
      <c r="Y13" s="36">
        <f t="shared" si="3"/>
        <v>1745.5</v>
      </c>
      <c r="Z13" s="46"/>
      <c r="AA13" s="47"/>
    </row>
    <row r="14" spans="1:29" s="48" customFormat="1" ht="45" customHeight="1">
      <c r="A14" s="32" t="s">
        <v>41</v>
      </c>
      <c r="B14" s="43" t="s">
        <v>42</v>
      </c>
      <c r="C14" s="34">
        <v>15</v>
      </c>
      <c r="D14" s="50">
        <v>168.65</v>
      </c>
      <c r="E14" s="36">
        <v>2529.8000000000002</v>
      </c>
      <c r="F14" s="36"/>
      <c r="G14" s="36">
        <v>465.5</v>
      </c>
      <c r="H14" s="36">
        <v>1280</v>
      </c>
      <c r="I14" s="36">
        <f>'[1]HT-ADMINISTRATIVOS'!H16</f>
        <v>0</v>
      </c>
      <c r="J14" s="36"/>
      <c r="K14" s="36">
        <v>215</v>
      </c>
      <c r="L14" s="36">
        <f>'[1]HT-ADMINISTRATIVOS'!J16</f>
        <v>0</v>
      </c>
      <c r="M14" s="37">
        <f>E14*U4</f>
        <v>144.19860000000003</v>
      </c>
      <c r="N14" s="36">
        <f t="shared" si="0"/>
        <v>2888.9986000000004</v>
      </c>
      <c r="O14" s="36">
        <f t="shared" si="1"/>
        <v>4634.4986000000008</v>
      </c>
      <c r="P14" s="28">
        <f>IF('[20]Calculo ISR '!$R$34&lt;0,0,'[20]Calculo ISR '!$R$34)</f>
        <v>64.889959680000032</v>
      </c>
      <c r="Q14" s="38">
        <f>E14*S4</f>
        <v>265.62900000000002</v>
      </c>
      <c r="R14" s="38">
        <v>816</v>
      </c>
      <c r="S14" s="38">
        <f>'[1]HT-ADMINISTRATIVOS'!Q16</f>
        <v>0</v>
      </c>
      <c r="T14" s="38">
        <f>'[1]HT-ADMINISTRATIVOS'!R16</f>
        <v>0</v>
      </c>
      <c r="U14" s="38">
        <f>E14*R4</f>
        <v>25.298000000000002</v>
      </c>
      <c r="V14" s="36">
        <f t="shared" si="4"/>
        <v>1171.8169596800001</v>
      </c>
      <c r="W14" s="28">
        <f>IF('[1]Calculo ISR '!$R$34&gt;0,0,'[1]Calculo ISR '!$R$34)*-1</f>
        <v>0</v>
      </c>
      <c r="X14" s="36">
        <f t="shared" si="2"/>
        <v>1717.1816403200003</v>
      </c>
      <c r="Y14" s="36">
        <f t="shared" si="3"/>
        <v>1745.5</v>
      </c>
      <c r="Z14" s="46"/>
      <c r="AA14" s="47"/>
    </row>
    <row r="15" spans="1:29" s="48" customFormat="1" ht="45" customHeight="1">
      <c r="A15" s="33" t="s">
        <v>43</v>
      </c>
      <c r="B15" s="43" t="s">
        <v>44</v>
      </c>
      <c r="C15" s="34">
        <v>15</v>
      </c>
      <c r="D15" s="50">
        <v>553.13</v>
      </c>
      <c r="E15" s="36">
        <v>8296.9699999999993</v>
      </c>
      <c r="F15" s="36"/>
      <c r="G15" s="36">
        <v>465.5</v>
      </c>
      <c r="H15" s="36">
        <v>1280</v>
      </c>
      <c r="I15" s="36">
        <f>'[1]HT-ADMINISTRATIVOS'!H17</f>
        <v>0</v>
      </c>
      <c r="J15" s="36"/>
      <c r="K15" s="36"/>
      <c r="L15" s="36">
        <f>'[1]HT-ADMINISTRATIVOS'!J17</f>
        <v>0</v>
      </c>
      <c r="M15" s="37">
        <f>E15*T4</f>
        <v>315.28485999999998</v>
      </c>
      <c r="N15" s="36">
        <f t="shared" si="0"/>
        <v>8612.2548599999991</v>
      </c>
      <c r="O15" s="36">
        <f t="shared" si="1"/>
        <v>10357.754859999999</v>
      </c>
      <c r="P15" s="28">
        <f>IF('[20]Calculo ISR '!$S$34&lt;0,0,'[20]Calculo ISR '!$S$34)</f>
        <v>1292.3884620959998</v>
      </c>
      <c r="Q15" s="38">
        <f>E15*S4</f>
        <v>871.18184999999994</v>
      </c>
      <c r="R15" s="38">
        <v>2675</v>
      </c>
      <c r="S15" s="38">
        <f>'[1]HT-ADMINISTRATIVOS'!Q17</f>
        <v>0</v>
      </c>
      <c r="T15" s="38">
        <f>'[1]HT-ADMINISTRATIVOS'!R17</f>
        <v>0</v>
      </c>
      <c r="U15" s="38">
        <f>'[1]HT-ADMINISTRATIVOS'!S17</f>
        <v>0</v>
      </c>
      <c r="V15" s="36">
        <f t="shared" si="4"/>
        <v>4838.5703120959997</v>
      </c>
      <c r="W15" s="28">
        <f>IF('[1]Calculo ISR '!$S$34&gt;0,0,'[1]Calculo ISR '!$S$34)*-1</f>
        <v>0</v>
      </c>
      <c r="X15" s="36">
        <f t="shared" si="2"/>
        <v>3773.6845479039994</v>
      </c>
      <c r="Y15" s="36">
        <f t="shared" si="3"/>
        <v>1745.5</v>
      </c>
      <c r="Z15" s="51"/>
      <c r="AA15" s="52"/>
    </row>
    <row r="16" spans="1:29" s="48" customFormat="1" ht="45" customHeight="1">
      <c r="A16" s="33" t="s">
        <v>45</v>
      </c>
      <c r="B16" s="43" t="s">
        <v>46</v>
      </c>
      <c r="C16" s="34">
        <v>15</v>
      </c>
      <c r="D16" s="50">
        <v>276.45</v>
      </c>
      <c r="E16" s="36">
        <v>4146.7700000000004</v>
      </c>
      <c r="F16" s="36"/>
      <c r="G16" s="36">
        <v>465.5</v>
      </c>
      <c r="H16" s="36">
        <v>1280</v>
      </c>
      <c r="I16" s="36">
        <f>'[1]HT-ADMINISTRATIVOS'!H18</f>
        <v>0</v>
      </c>
      <c r="J16" s="36"/>
      <c r="K16" s="36">
        <v>215</v>
      </c>
      <c r="L16" s="36">
        <f>'[1]HT-ADMINISTRATIVOS'!J18</f>
        <v>0</v>
      </c>
      <c r="M16" s="37">
        <f>E16*T4</f>
        <v>157.57726000000002</v>
      </c>
      <c r="N16" s="36">
        <f t="shared" si="0"/>
        <v>4519.3472600000005</v>
      </c>
      <c r="O16" s="36">
        <f t="shared" si="1"/>
        <v>6264.8472600000005</v>
      </c>
      <c r="P16" s="28">
        <f>IF('[20]Calculo ISR '!$T$34&lt;0,0,'[20]Calculo ISR '!$T$34)</f>
        <v>437.37251699200016</v>
      </c>
      <c r="Q16" s="38">
        <f>E16*S4</f>
        <v>435.41085000000004</v>
      </c>
      <c r="R16" s="38">
        <v>1337</v>
      </c>
      <c r="S16" s="38"/>
      <c r="T16" s="38"/>
      <c r="U16" s="38">
        <f>E16*R4</f>
        <v>41.467700000000008</v>
      </c>
      <c r="V16" s="36">
        <f>P16+Q16+R16+T16+U16+S16</f>
        <v>2251.2510669920002</v>
      </c>
      <c r="W16" s="28">
        <f>IF('[1]Calculo ISR '!$T$34&gt;0,0,'[1]Calculo ISR '!$T$34)*-1</f>
        <v>0</v>
      </c>
      <c r="X16" s="36">
        <f>N16-V16</f>
        <v>2268.0961930080002</v>
      </c>
      <c r="Y16" s="36">
        <f t="shared" si="3"/>
        <v>1745.5</v>
      </c>
      <c r="Z16" s="51"/>
      <c r="AA16" s="52"/>
    </row>
    <row r="17" spans="1:27" s="48" customFormat="1" ht="45" customHeight="1">
      <c r="A17" s="33" t="s">
        <v>47</v>
      </c>
      <c r="B17" s="43" t="s">
        <v>48</v>
      </c>
      <c r="C17" s="34">
        <v>15</v>
      </c>
      <c r="D17" s="50">
        <v>238.18</v>
      </c>
      <c r="E17" s="36">
        <v>3572.72</v>
      </c>
      <c r="F17" s="36"/>
      <c r="G17" s="36">
        <v>465.5</v>
      </c>
      <c r="H17" s="36">
        <v>1280</v>
      </c>
      <c r="I17" s="36">
        <v>521.5</v>
      </c>
      <c r="J17" s="36">
        <v>1208</v>
      </c>
      <c r="K17" s="36">
        <v>215</v>
      </c>
      <c r="L17" s="36">
        <f>'[1]HT-ADMINISTRATIVOS'!J19</f>
        <v>0</v>
      </c>
      <c r="M17" s="37">
        <f>E17*T4</f>
        <v>135.76335999999998</v>
      </c>
      <c r="N17" s="36">
        <f t="shared" si="0"/>
        <v>5652.9833599999993</v>
      </c>
      <c r="O17" s="36">
        <f t="shared" si="1"/>
        <v>7398.4833599999993</v>
      </c>
      <c r="P17" s="28">
        <f>IF('[20]Calculo ISR '!$U$34&lt;0,0,'[20]Calculo ISR '!$U$34)</f>
        <v>660.28806969599987</v>
      </c>
      <c r="Q17" s="38">
        <f>E17*S4</f>
        <v>375.13559999999995</v>
      </c>
      <c r="R17" s="38">
        <v>1152</v>
      </c>
      <c r="S17" s="38">
        <f>'[1]HT-ADMINISTRATIVOS'!Q19</f>
        <v>0</v>
      </c>
      <c r="T17" s="38">
        <f>'[1]HT-ADMINISTRATIVOS'!R19</f>
        <v>0</v>
      </c>
      <c r="U17" s="38">
        <f>E17*R4</f>
        <v>35.727199999999996</v>
      </c>
      <c r="V17" s="36">
        <f t="shared" si="4"/>
        <v>2223.1508696959995</v>
      </c>
      <c r="W17" s="28">
        <f>IF('[1]Calculo ISR '!$U$34&gt;0,0,'[1]Calculo ISR '!$U$34)*-1</f>
        <v>0</v>
      </c>
      <c r="X17" s="36">
        <f t="shared" ref="X17:X25" si="5">N17-V17+W17</f>
        <v>3429.8324903039997</v>
      </c>
      <c r="Y17" s="36">
        <f t="shared" si="3"/>
        <v>1745.5</v>
      </c>
      <c r="Z17" s="51"/>
      <c r="AA17" s="52"/>
    </row>
    <row r="18" spans="1:27" s="48" customFormat="1" ht="45" customHeight="1">
      <c r="A18" s="33" t="s">
        <v>49</v>
      </c>
      <c r="B18" s="43" t="s">
        <v>50</v>
      </c>
      <c r="C18" s="34">
        <v>15</v>
      </c>
      <c r="D18" s="50">
        <v>902.7</v>
      </c>
      <c r="E18" s="36">
        <v>13540.55</v>
      </c>
      <c r="F18" s="36"/>
      <c r="G18" s="36">
        <v>465.5</v>
      </c>
      <c r="H18" s="36">
        <v>1280</v>
      </c>
      <c r="I18" s="36">
        <f>'[1]HT-ADMINISTRATIVOS'!H20</f>
        <v>0</v>
      </c>
      <c r="J18" s="36"/>
      <c r="K18" s="36"/>
      <c r="L18" s="36">
        <f>'[1]HT-ADMINISTRATIVOS'!J20</f>
        <v>0</v>
      </c>
      <c r="M18" s="37">
        <f>E18*T4</f>
        <v>514.54089999999997</v>
      </c>
      <c r="N18" s="36">
        <f t="shared" si="0"/>
        <v>14055.090899999999</v>
      </c>
      <c r="O18" s="36">
        <f t="shared" si="1"/>
        <v>15800.590899999999</v>
      </c>
      <c r="P18" s="28">
        <f>IF('[20]Calculo ISR '!$V$34&lt;0,0,'[20]Calculo ISR '!$V$34)</f>
        <v>2537.06958768</v>
      </c>
      <c r="Q18" s="38">
        <f>E18*S4</f>
        <v>1421.7577499999998</v>
      </c>
      <c r="R18" s="38">
        <f>'[1]HT-ADMINISTRATIVOS'!P20</f>
        <v>0</v>
      </c>
      <c r="S18" s="38">
        <f>'[1]HT-ADMINISTRATIVOS'!Q20</f>
        <v>0</v>
      </c>
      <c r="T18" s="38">
        <f>'[1]HT-ADMINISTRATIVOS'!R20</f>
        <v>0</v>
      </c>
      <c r="U18" s="38">
        <f>'[1]HT-ADMINISTRATIVOS'!S20</f>
        <v>0</v>
      </c>
      <c r="V18" s="36">
        <f t="shared" si="4"/>
        <v>3958.8273376799998</v>
      </c>
      <c r="W18" s="28">
        <f>IF('[1]Calculo ISR '!$V$34&gt;0,0,'[1]Calculo ISR '!$V$34)*-1</f>
        <v>0</v>
      </c>
      <c r="X18" s="36">
        <f t="shared" si="5"/>
        <v>10096.26356232</v>
      </c>
      <c r="Y18" s="36">
        <f t="shared" si="3"/>
        <v>1745.5</v>
      </c>
      <c r="Z18" s="46"/>
      <c r="AA18" s="47"/>
    </row>
    <row r="19" spans="1:27" s="48" customFormat="1" ht="45" customHeight="1">
      <c r="A19" s="53" t="s">
        <v>51</v>
      </c>
      <c r="B19" s="33" t="s">
        <v>52</v>
      </c>
      <c r="C19" s="34">
        <v>15</v>
      </c>
      <c r="D19" s="50">
        <v>226.68</v>
      </c>
      <c r="E19" s="36">
        <v>3400.25</v>
      </c>
      <c r="F19" s="36"/>
      <c r="G19" s="36">
        <v>465.5</v>
      </c>
      <c r="H19" s="36">
        <v>1280</v>
      </c>
      <c r="I19" s="36">
        <f>'[1]HT-ADMINISTRATIVOS'!H21</f>
        <v>0</v>
      </c>
      <c r="J19" s="36"/>
      <c r="K19" s="36">
        <v>215</v>
      </c>
      <c r="L19" s="36">
        <f>'[1]HT-ADMINISTRATIVOS'!J21</f>
        <v>0</v>
      </c>
      <c r="M19" s="37">
        <f>E19*O4</f>
        <v>64.604749999999996</v>
      </c>
      <c r="N19" s="36">
        <f t="shared" si="0"/>
        <v>3679.85475</v>
      </c>
      <c r="O19" s="36">
        <f t="shared" si="1"/>
        <v>5425.3547500000004</v>
      </c>
      <c r="P19" s="28">
        <f>IF('[20]Calculo ISR '!$W$34&lt;0,0,'[20]Calculo ISR '!$W$34)</f>
        <v>297.86515999999995</v>
      </c>
      <c r="Q19" s="38">
        <f>E19*S4</f>
        <v>357.02625</v>
      </c>
      <c r="R19" s="38">
        <v>1097</v>
      </c>
      <c r="S19" s="38">
        <f>'[1]HT-ADMINISTRATIVOS'!Q21</f>
        <v>0</v>
      </c>
      <c r="T19" s="38">
        <f>'[1]HT-ADMINISTRATIVOS'!R21</f>
        <v>0</v>
      </c>
      <c r="U19" s="38">
        <f>E19*R4</f>
        <v>34.002499999999998</v>
      </c>
      <c r="V19" s="36">
        <f t="shared" si="4"/>
        <v>1785.89391</v>
      </c>
      <c r="W19" s="28">
        <f>IF('[1]Calculo ISR '!$W$34&gt;0,0,'[1]Calculo ISR '!$W$34)*-1</f>
        <v>0</v>
      </c>
      <c r="X19" s="36">
        <f t="shared" si="5"/>
        <v>1893.96084</v>
      </c>
      <c r="Y19" s="36">
        <f t="shared" si="3"/>
        <v>1745.5</v>
      </c>
      <c r="Z19" s="46"/>
      <c r="AA19" s="47"/>
    </row>
    <row r="20" spans="1:27" s="48" customFormat="1" ht="45" customHeight="1">
      <c r="A20" s="53" t="s">
        <v>53</v>
      </c>
      <c r="B20" s="33" t="s">
        <v>54</v>
      </c>
      <c r="C20" s="34">
        <v>15</v>
      </c>
      <c r="D20" s="50">
        <v>153.16</v>
      </c>
      <c r="E20" s="36">
        <v>2297.42</v>
      </c>
      <c r="F20" s="36"/>
      <c r="G20" s="36">
        <v>465.5</v>
      </c>
      <c r="H20" s="36">
        <v>1280</v>
      </c>
      <c r="I20" s="36">
        <f>'[1]HT-ADMINISTRATIVOS'!H22</f>
        <v>0</v>
      </c>
      <c r="J20" s="36"/>
      <c r="K20" s="36"/>
      <c r="L20" s="36">
        <f>'[1]HT-ADMINISTRATIVOS'!J22</f>
        <v>0</v>
      </c>
      <c r="M20" s="37">
        <f>E20*O4</f>
        <v>43.650979999999997</v>
      </c>
      <c r="N20" s="36">
        <f t="shared" si="0"/>
        <v>2341.07098</v>
      </c>
      <c r="O20" s="36">
        <f t="shared" si="1"/>
        <v>4086.57098</v>
      </c>
      <c r="P20" s="28">
        <f>IF('[20]Calculo ISR '!$X$34&lt;0,0,'[20]Calculo ISR '!$X$34)</f>
        <v>0</v>
      </c>
      <c r="Q20" s="38">
        <f>E20*S4</f>
        <v>241.22909999999999</v>
      </c>
      <c r="R20" s="38">
        <v>741</v>
      </c>
      <c r="S20" s="38">
        <f>'[1]HT-ADMINISTRATIVOS'!Q22</f>
        <v>0</v>
      </c>
      <c r="T20" s="38">
        <f>'[1]HT-ADMINISTRATIVOS'!R22</f>
        <v>0</v>
      </c>
      <c r="U20" s="38">
        <f>E20*R4</f>
        <v>22.9742</v>
      </c>
      <c r="V20" s="36">
        <f t="shared" si="4"/>
        <v>1005.2033</v>
      </c>
      <c r="W20" s="28">
        <f>IF('[20]Calculo ISR '!$X$34&gt;0,0,('[20]Calculo ISR '!$X$34)*-1)</f>
        <v>9.7245653760000152</v>
      </c>
      <c r="X20" s="36">
        <f t="shared" si="5"/>
        <v>1345.5922453759999</v>
      </c>
      <c r="Y20" s="36">
        <f t="shared" si="3"/>
        <v>1745.5</v>
      </c>
      <c r="Z20" s="46"/>
      <c r="AA20" s="47"/>
    </row>
    <row r="21" spans="1:27" s="48" customFormat="1" ht="45" customHeight="1">
      <c r="A21" s="53" t="s">
        <v>55</v>
      </c>
      <c r="B21" s="33" t="s">
        <v>56</v>
      </c>
      <c r="C21" s="34">
        <v>15</v>
      </c>
      <c r="D21" s="50">
        <v>153.16</v>
      </c>
      <c r="E21" s="36">
        <v>2297.42</v>
      </c>
      <c r="F21" s="36"/>
      <c r="G21" s="36">
        <v>465.5</v>
      </c>
      <c r="H21" s="36">
        <v>1280</v>
      </c>
      <c r="I21" s="36">
        <v>521.5</v>
      </c>
      <c r="J21" s="36">
        <v>1208</v>
      </c>
      <c r="K21" s="36">
        <v>215</v>
      </c>
      <c r="L21" s="36">
        <f>'[1]HT-ADMINISTRATIVOS'!J23</f>
        <v>0</v>
      </c>
      <c r="M21" s="37">
        <f>E21*O4</f>
        <v>43.650979999999997</v>
      </c>
      <c r="N21" s="36">
        <f t="shared" si="0"/>
        <v>4285.5709800000004</v>
      </c>
      <c r="O21" s="36">
        <f t="shared" si="1"/>
        <v>6031.0709800000004</v>
      </c>
      <c r="P21" s="28">
        <f>IF('[20]Calculo ISR '!$Y$34&lt;0,0,'[20]Calculo ISR '!$Y$34)</f>
        <v>395.47980761600013</v>
      </c>
      <c r="Q21" s="38">
        <f>E21*S4</f>
        <v>241.22909999999999</v>
      </c>
      <c r="R21" s="38">
        <v>597</v>
      </c>
      <c r="S21" s="38">
        <f>'[1]HT-ADMINISTRATIVOS'!Q23</f>
        <v>0</v>
      </c>
      <c r="T21" s="38">
        <f>'[1]HT-ADMINISTRATIVOS'!R23</f>
        <v>0</v>
      </c>
      <c r="U21" s="38">
        <f>E21*R4</f>
        <v>22.9742</v>
      </c>
      <c r="V21" s="36">
        <f t="shared" si="4"/>
        <v>1256.6831076160001</v>
      </c>
      <c r="W21" s="28">
        <f>IF('[1]Calculo ISR '!$Y$34&gt;0,0,'[1]Calculo ISR '!$Y$34)*-1</f>
        <v>0</v>
      </c>
      <c r="X21" s="36">
        <f t="shared" si="5"/>
        <v>3028.8878723840003</v>
      </c>
      <c r="Y21" s="36">
        <f t="shared" si="3"/>
        <v>1745.5</v>
      </c>
      <c r="Z21" s="46"/>
      <c r="AA21" s="47"/>
    </row>
    <row r="22" spans="1:27" s="48" customFormat="1" ht="45" customHeight="1">
      <c r="A22" s="54" t="s">
        <v>61</v>
      </c>
      <c r="B22" s="166" t="s">
        <v>62</v>
      </c>
      <c r="C22" s="34">
        <v>15</v>
      </c>
      <c r="D22" s="50">
        <v>205.61</v>
      </c>
      <c r="E22" s="36">
        <f t="shared" ref="E22:E42" si="6">C22*D22</f>
        <v>3084.15</v>
      </c>
      <c r="F22" s="43"/>
      <c r="G22" s="36">
        <v>465.5</v>
      </c>
      <c r="H22" s="36">
        <v>1280</v>
      </c>
      <c r="I22" s="36">
        <v>521.5</v>
      </c>
      <c r="J22" s="36">
        <v>1208</v>
      </c>
      <c r="K22" s="36"/>
      <c r="L22" s="36">
        <f>'[1]HT-ADMINISTRATIVOS'!J28</f>
        <v>0</v>
      </c>
      <c r="M22" s="37">
        <f>'[1]HT-ADMINISTRATIVOS'!I28</f>
        <v>0</v>
      </c>
      <c r="N22" s="36">
        <f t="shared" si="0"/>
        <v>4813.6499999999996</v>
      </c>
      <c r="O22" s="36">
        <f t="shared" si="1"/>
        <v>6559.15</v>
      </c>
      <c r="P22" s="28">
        <f>IF('[20]Calculo ISR '!$AB$34&lt;0,0,'[20]Calculo ISR '!$AB$34)</f>
        <v>490.11156800000003</v>
      </c>
      <c r="Q22" s="38">
        <f>E22*S4</f>
        <v>323.83575000000002</v>
      </c>
      <c r="R22" s="38">
        <v>0</v>
      </c>
      <c r="S22" s="38">
        <f>'[1]HT-ADMINISTRATIVOS'!Q28</f>
        <v>0</v>
      </c>
      <c r="T22" s="38">
        <f>'[1]HT-ADMINISTRATIVOS'!R28</f>
        <v>0</v>
      </c>
      <c r="U22" s="38">
        <f>E22*R4</f>
        <v>30.8415</v>
      </c>
      <c r="V22" s="36">
        <f t="shared" si="4"/>
        <v>844.78881799999999</v>
      </c>
      <c r="W22" s="28">
        <f>IF('[1]Calculo ISR '!$AB$34&gt;0,0,'[1]Calculo ISR '!$AB$34)*-1</f>
        <v>0</v>
      </c>
      <c r="X22" s="36">
        <f t="shared" si="5"/>
        <v>3968.8611819999996</v>
      </c>
      <c r="Y22" s="36">
        <f t="shared" si="3"/>
        <v>1745.5</v>
      </c>
      <c r="Z22" s="46"/>
      <c r="AA22" s="47"/>
    </row>
    <row r="23" spans="1:27" s="48" customFormat="1" ht="45" customHeight="1">
      <c r="A23" s="54" t="s">
        <v>63</v>
      </c>
      <c r="B23" s="166" t="s">
        <v>64</v>
      </c>
      <c r="C23" s="34">
        <v>15</v>
      </c>
      <c r="D23" s="50">
        <v>186.24</v>
      </c>
      <c r="E23" s="36">
        <v>2793.65</v>
      </c>
      <c r="F23" s="43"/>
      <c r="G23" s="36">
        <v>465.5</v>
      </c>
      <c r="H23" s="36">
        <v>1280</v>
      </c>
      <c r="I23" s="36">
        <v>1043</v>
      </c>
      <c r="J23" s="36">
        <v>2416</v>
      </c>
      <c r="K23" s="36">
        <v>215</v>
      </c>
      <c r="L23" s="36">
        <f>'[1]HT-ADMINISTRATIVOS'!J29</f>
        <v>0</v>
      </c>
      <c r="M23" s="37">
        <f>'[1]HT-ADMINISTRATIVOS'!I29</f>
        <v>0</v>
      </c>
      <c r="N23" s="36">
        <f t="shared" si="0"/>
        <v>6467.65</v>
      </c>
      <c r="O23" s="36">
        <f t="shared" si="1"/>
        <v>8213.15</v>
      </c>
      <c r="P23" s="28">
        <f>IF('[20]Calculo ISR '!$AC$34&lt;0,0,'[20]Calculo ISR '!$AC$34)</f>
        <v>490.11156800000003</v>
      </c>
      <c r="Q23" s="38">
        <f>E23*S4</f>
        <v>293.33325000000002</v>
      </c>
      <c r="R23" s="38">
        <v>1081</v>
      </c>
      <c r="S23" s="38">
        <f>'[1]HT-ADMINISTRATIVOS'!Q29</f>
        <v>0</v>
      </c>
      <c r="T23" s="38">
        <f>'[1]HT-ADMINISTRATIVOS'!R29</f>
        <v>0</v>
      </c>
      <c r="U23" s="38">
        <f>E23*R4</f>
        <v>27.936500000000002</v>
      </c>
      <c r="V23" s="36">
        <f t="shared" si="4"/>
        <v>1892.381318</v>
      </c>
      <c r="W23" s="28">
        <f>IF('[1]Calculo ISR '!$AC$34&gt;0,0,'[1]Calculo ISR '!$AC$34)*-1</f>
        <v>0</v>
      </c>
      <c r="X23" s="36">
        <f t="shared" si="5"/>
        <v>4575.2686819999999</v>
      </c>
      <c r="Y23" s="36">
        <f t="shared" si="3"/>
        <v>1745.5</v>
      </c>
      <c r="Z23" s="46"/>
      <c r="AA23" s="47"/>
    </row>
    <row r="24" spans="1:27" s="48" customFormat="1" ht="45" customHeight="1">
      <c r="A24" s="56" t="s">
        <v>65</v>
      </c>
      <c r="B24" s="166" t="s">
        <v>66</v>
      </c>
      <c r="C24" s="34">
        <v>15</v>
      </c>
      <c r="D24" s="50">
        <v>146.38999999999999</v>
      </c>
      <c r="E24" s="36">
        <v>2195.92</v>
      </c>
      <c r="F24" s="43"/>
      <c r="G24" s="36">
        <v>465.5</v>
      </c>
      <c r="H24" s="36">
        <v>1280</v>
      </c>
      <c r="I24" s="36">
        <v>521.5</v>
      </c>
      <c r="J24" s="36">
        <v>1208</v>
      </c>
      <c r="K24" s="36">
        <v>215</v>
      </c>
      <c r="L24" s="36">
        <f>'[1]HT-ADMINISTRATIVOS'!J31</f>
        <v>0</v>
      </c>
      <c r="M24" s="37">
        <f>'[1]HT-ADMINISTRATIVOS'!I31</f>
        <v>0</v>
      </c>
      <c r="N24" s="36">
        <f t="shared" si="0"/>
        <v>4140.42</v>
      </c>
      <c r="O24" s="36">
        <f t="shared" si="1"/>
        <v>5885.92</v>
      </c>
      <c r="P24" s="28">
        <f>IF('[20]Calculo ISR '!$AD$34&lt;0,0,'[20]Calculo ISR '!$AD$34)</f>
        <v>371.55559999999997</v>
      </c>
      <c r="Q24" s="38">
        <f>E24*S4</f>
        <v>230.57159999999999</v>
      </c>
      <c r="R24" s="38">
        <f>'[1]HT-ADMINISTRATIVOS'!P31</f>
        <v>0</v>
      </c>
      <c r="S24" s="38">
        <f>'[1]HT-ADMINISTRATIVOS'!Q31</f>
        <v>0</v>
      </c>
      <c r="T24" s="38">
        <f>'[1]HT-ADMINISTRATIVOS'!R31</f>
        <v>0</v>
      </c>
      <c r="U24" s="38">
        <f>E24*R4</f>
        <v>21.959200000000003</v>
      </c>
      <c r="V24" s="36">
        <f t="shared" si="4"/>
        <v>624.08639999999991</v>
      </c>
      <c r="W24" s="28">
        <f>IF('[1]Calculo ISR '!$AD$34&gt;0,0,'[1]Calculo ISR '!$AD$34)*-1</f>
        <v>0</v>
      </c>
      <c r="X24" s="36">
        <f t="shared" si="5"/>
        <v>3516.3335999999999</v>
      </c>
      <c r="Y24" s="36">
        <f t="shared" si="3"/>
        <v>1745.5</v>
      </c>
      <c r="Z24" s="46"/>
      <c r="AA24" s="47"/>
    </row>
    <row r="25" spans="1:27" s="48" customFormat="1" ht="45" customHeight="1">
      <c r="A25" s="56" t="s">
        <v>67</v>
      </c>
      <c r="B25" s="167" t="s">
        <v>68</v>
      </c>
      <c r="C25" s="34">
        <v>15</v>
      </c>
      <c r="D25" s="50">
        <v>553.13</v>
      </c>
      <c r="E25" s="36">
        <v>8296.9699999999993</v>
      </c>
      <c r="F25" s="43"/>
      <c r="G25" s="36">
        <v>465.5</v>
      </c>
      <c r="H25" s="36">
        <v>1280</v>
      </c>
      <c r="I25" s="36">
        <f>'[1]HT-ADMINISTRATIVOS'!H32</f>
        <v>0</v>
      </c>
      <c r="J25" s="36"/>
      <c r="K25" s="36">
        <v>215</v>
      </c>
      <c r="L25" s="36">
        <f>'[1]HT-ADMINISTRATIVOS'!J32</f>
        <v>0</v>
      </c>
      <c r="M25" s="37">
        <f>E25*T4</f>
        <v>315.28485999999998</v>
      </c>
      <c r="N25" s="36">
        <f t="shared" si="0"/>
        <v>8827.2548599999991</v>
      </c>
      <c r="O25" s="36">
        <f t="shared" si="1"/>
        <v>10572.754859999999</v>
      </c>
      <c r="P25" s="28">
        <f>IF('[20]Calculo ISR '!$AE$34&lt;0,0,'[20]Calculo ISR '!$AE$34)</f>
        <v>1338.3124620959998</v>
      </c>
      <c r="Q25" s="38">
        <f>E25*S4</f>
        <v>871.18184999999994</v>
      </c>
      <c r="R25" s="38">
        <v>2150.31</v>
      </c>
      <c r="S25" s="38">
        <f>'[1]HT-ADMINISTRATIVOS'!Q32</f>
        <v>0</v>
      </c>
      <c r="T25" s="38">
        <f>'[1]HT-ADMINISTRATIVOS'!R32</f>
        <v>0</v>
      </c>
      <c r="U25" s="38">
        <f>'[1]HT-ADMINISTRATIVOS'!S32</f>
        <v>0</v>
      </c>
      <c r="V25" s="36">
        <f t="shared" si="4"/>
        <v>4359.8043120959992</v>
      </c>
      <c r="W25" s="28">
        <f>IF('[1]Calculo ISR '!$AE$34&gt;0,0,'[1]Calculo ISR '!$AE$34)*-1</f>
        <v>0</v>
      </c>
      <c r="X25" s="36">
        <f t="shared" si="5"/>
        <v>4467.4505479039999</v>
      </c>
      <c r="Y25" s="36">
        <f t="shared" si="3"/>
        <v>1745.5</v>
      </c>
      <c r="Z25" s="46"/>
      <c r="AA25" s="47"/>
    </row>
    <row r="26" spans="1:27" s="48" customFormat="1" ht="45" customHeight="1">
      <c r="A26" s="58" t="s">
        <v>69</v>
      </c>
      <c r="B26" s="168" t="s">
        <v>70</v>
      </c>
      <c r="C26" s="34">
        <v>15</v>
      </c>
      <c r="D26" s="50">
        <v>238.18</v>
      </c>
      <c r="E26" s="36">
        <v>3572.72</v>
      </c>
      <c r="F26" s="43"/>
      <c r="G26" s="36">
        <v>465.5</v>
      </c>
      <c r="H26" s="36">
        <v>1280</v>
      </c>
      <c r="I26" s="36">
        <f>'[1]HT-ADMINISTRATIVOS'!H33</f>
        <v>0</v>
      </c>
      <c r="J26" s="36"/>
      <c r="K26" s="36"/>
      <c r="L26" s="36">
        <f>'[1]HT-ADMINISTRATIVOS'!J33</f>
        <v>0</v>
      </c>
      <c r="M26" s="37">
        <f>'[1]HT-ADMINISTRATIVOS'!I33</f>
        <v>0</v>
      </c>
      <c r="N26" s="36">
        <f t="shared" si="0"/>
        <v>3572.72</v>
      </c>
      <c r="O26" s="36">
        <f t="shared" si="1"/>
        <v>5318.2199999999993</v>
      </c>
      <c r="P26" s="28">
        <f>IF('[20]Calculo ISR '!$AF$34&lt;0,0,'[20]Calculo ISR '!$AF$34)</f>
        <v>177.22884799999994</v>
      </c>
      <c r="Q26" s="38">
        <f>E26*S4</f>
        <v>375.13559999999995</v>
      </c>
      <c r="R26" s="38">
        <v>689.44</v>
      </c>
      <c r="S26" s="143"/>
      <c r="T26" s="38"/>
      <c r="U26" s="38">
        <f>E26*R4</f>
        <v>35.727199999999996</v>
      </c>
      <c r="V26" s="36">
        <f>P26+Q26+R26+U26+S26+T26</f>
        <v>1277.5316479999999</v>
      </c>
      <c r="W26" s="28">
        <f>IF('[1]Calculo ISR '!$AF$34&gt;0,0,'[1]Calculo ISR '!$AF$34)*-1</f>
        <v>0</v>
      </c>
      <c r="X26" s="36">
        <f>N26-V26+W26</f>
        <v>2295.1883520000001</v>
      </c>
      <c r="Y26" s="36">
        <f t="shared" si="3"/>
        <v>1745.5</v>
      </c>
      <c r="Z26" s="46"/>
      <c r="AA26" s="47"/>
    </row>
    <row r="27" spans="1:27" s="48" customFormat="1" ht="45" customHeight="1">
      <c r="A27" s="60" t="s">
        <v>71</v>
      </c>
      <c r="B27" s="169" t="s">
        <v>72</v>
      </c>
      <c r="C27" s="66">
        <v>15</v>
      </c>
      <c r="D27" s="50">
        <v>146.38999999999999</v>
      </c>
      <c r="E27" s="36">
        <v>2195.92</v>
      </c>
      <c r="F27" s="43"/>
      <c r="G27" s="36">
        <v>465.5</v>
      </c>
      <c r="H27" s="36">
        <v>1280</v>
      </c>
      <c r="I27" s="36">
        <f>'[1]HT-ADMINISTRATIVOS'!H35</f>
        <v>0</v>
      </c>
      <c r="J27" s="36"/>
      <c r="K27" s="36">
        <v>215</v>
      </c>
      <c r="L27" s="36">
        <f>'[1]HT-ADMINISTRATIVOS'!J35</f>
        <v>0</v>
      </c>
      <c r="M27" s="37">
        <f>'[1]HT-ADMINISTRATIVOS'!I35</f>
        <v>0</v>
      </c>
      <c r="N27" s="36">
        <f t="shared" si="0"/>
        <v>2410.92</v>
      </c>
      <c r="O27" s="36">
        <f t="shared" si="1"/>
        <v>4156.42</v>
      </c>
      <c r="P27" s="28">
        <f>IF('[20]Calculo ISR '!$AG$34&lt;0,0,'[20]Calculo ISR '!$AG$34)</f>
        <v>0</v>
      </c>
      <c r="Q27" s="38">
        <f>E27*S4</f>
        <v>230.57159999999999</v>
      </c>
      <c r="R27" s="38">
        <v>300</v>
      </c>
      <c r="S27" s="38">
        <f>'[1]HT-ADMINISTRATIVOS'!Q35</f>
        <v>0</v>
      </c>
      <c r="T27" s="38">
        <f>'[1]HT-ADMINISTRATIVOS'!R35</f>
        <v>0</v>
      </c>
      <c r="U27" s="38">
        <f>E27*R4</f>
        <v>21.959200000000003</v>
      </c>
      <c r="V27" s="36">
        <f t="shared" si="4"/>
        <v>552.5308</v>
      </c>
      <c r="W27" s="28">
        <f>IF('[20]Calculo ISR '!$AG$34&gt;0,0,'[20]Calculo ISR '!$AG$34)*-1</f>
        <v>2.1249919999999918</v>
      </c>
      <c r="X27" s="36">
        <f>N27-V27+W27</f>
        <v>1860.5141920000001</v>
      </c>
      <c r="Y27" s="36">
        <f t="shared" si="3"/>
        <v>1745.5</v>
      </c>
      <c r="Z27" s="67"/>
      <c r="AA27" s="47"/>
    </row>
    <row r="28" spans="1:27" s="48" customFormat="1" ht="45" customHeight="1">
      <c r="A28" s="53" t="s">
        <v>73</v>
      </c>
      <c r="B28" s="169" t="s">
        <v>74</v>
      </c>
      <c r="C28" s="66">
        <v>15</v>
      </c>
      <c r="D28" s="50">
        <v>553.13</v>
      </c>
      <c r="E28" s="36">
        <v>8296.9699999999993</v>
      </c>
      <c r="F28" s="43"/>
      <c r="G28" s="36">
        <v>465.5</v>
      </c>
      <c r="H28" s="36">
        <v>1280</v>
      </c>
      <c r="I28" s="36">
        <f>'[1]HT-ADMINISTRATIVOS'!H36</f>
        <v>0</v>
      </c>
      <c r="J28" s="36"/>
      <c r="K28" s="36">
        <v>215</v>
      </c>
      <c r="L28" s="36">
        <f>'[1]HT-ADMINISTRATIVOS'!J36</f>
        <v>0</v>
      </c>
      <c r="M28" s="37">
        <f>'[1]HT-ADMINISTRATIVOS'!I36</f>
        <v>0</v>
      </c>
      <c r="N28" s="36">
        <f t="shared" si="0"/>
        <v>8511.9699999999993</v>
      </c>
      <c r="O28" s="36">
        <f t="shared" si="1"/>
        <v>10257.469999999999</v>
      </c>
      <c r="P28" s="28">
        <f>IF('[20]Calculo ISR '!$AH$34&lt;0,0,'[20]Calculo ISR '!$AH$34)</f>
        <v>1270.9676159999999</v>
      </c>
      <c r="Q28" s="38">
        <f>E28*S4</f>
        <v>871.18184999999994</v>
      </c>
      <c r="R28" s="38">
        <f>'[1]HT-ADMINISTRATIVOS'!P36</f>
        <v>0</v>
      </c>
      <c r="S28" s="38">
        <f>'[1]HT-ADMINISTRATIVOS'!Q36</f>
        <v>0</v>
      </c>
      <c r="T28" s="38">
        <f>'[1]HT-ADMINISTRATIVOS'!R36</f>
        <v>0</v>
      </c>
      <c r="U28" s="38">
        <f>'[1]HT-ADMINISTRATIVOS'!S36</f>
        <v>0</v>
      </c>
      <c r="V28" s="36">
        <f t="shared" si="4"/>
        <v>2142.1494659999998</v>
      </c>
      <c r="W28" s="28">
        <f>IF('[1]Calculo ISR '!$AH$34&gt;0,0,'[1]Calculo ISR '!$AH$34)*-1</f>
        <v>0</v>
      </c>
      <c r="X28" s="36">
        <f>N28-V28+W28</f>
        <v>6369.8205339999995</v>
      </c>
      <c r="Y28" s="36">
        <f t="shared" si="3"/>
        <v>1745.5</v>
      </c>
      <c r="Z28" s="67"/>
      <c r="AA28" s="47"/>
    </row>
    <row r="29" spans="1:27" s="48" customFormat="1" ht="45" customHeight="1">
      <c r="A29" s="68" t="s">
        <v>75</v>
      </c>
      <c r="B29" s="169" t="s">
        <v>76</v>
      </c>
      <c r="C29" s="66">
        <v>15</v>
      </c>
      <c r="D29" s="50">
        <v>146.38999999999999</v>
      </c>
      <c r="E29" s="36">
        <v>2195.92</v>
      </c>
      <c r="F29" s="43"/>
      <c r="G29" s="36">
        <v>465.5</v>
      </c>
      <c r="H29" s="36">
        <v>1280</v>
      </c>
      <c r="I29" s="36">
        <f>'[1]HT-ADMINISTRATIVOS'!H37</f>
        <v>0</v>
      </c>
      <c r="J29" s="36"/>
      <c r="K29" s="36">
        <v>215</v>
      </c>
      <c r="L29" s="36">
        <f>'[1]HT-ADMINISTRATIVOS'!J37</f>
        <v>0</v>
      </c>
      <c r="M29" s="37">
        <f>'[1]HT-ADMINISTRATIVOS'!I37</f>
        <v>0</v>
      </c>
      <c r="N29" s="36">
        <f t="shared" si="0"/>
        <v>2410.92</v>
      </c>
      <c r="O29" s="36">
        <f t="shared" si="1"/>
        <v>4156.42</v>
      </c>
      <c r="P29" s="28">
        <f>IF('[20]Calculo ISR '!$AI$34&lt;0,0,'[20]Calculo ISR '!$AI$34)</f>
        <v>0</v>
      </c>
      <c r="Q29" s="38">
        <f>E29*S4</f>
        <v>230.57159999999999</v>
      </c>
      <c r="R29" s="38">
        <f>'[1]HT-ADMINISTRATIVOS'!P37</f>
        <v>0</v>
      </c>
      <c r="S29" s="38">
        <f>'[1]HT-ADMINISTRATIVOS'!Q37</f>
        <v>0</v>
      </c>
      <c r="T29" s="38">
        <f>'[1]HT-ADMINISTRATIVOS'!R37</f>
        <v>0</v>
      </c>
      <c r="U29" s="38">
        <f>E29*R4</f>
        <v>21.959200000000003</v>
      </c>
      <c r="V29" s="36">
        <f t="shared" si="4"/>
        <v>252.5308</v>
      </c>
      <c r="W29" s="28">
        <f>IF('[20]Calculo ISR '!$AI$34&gt;0,0,'[20]Calculo ISR '!$AI$34)*-1</f>
        <v>2.1249919999999918</v>
      </c>
      <c r="X29" s="36">
        <f>N29-V29+W29</f>
        <v>2160.5141920000001</v>
      </c>
      <c r="Y29" s="36">
        <f t="shared" si="3"/>
        <v>1745.5</v>
      </c>
      <c r="Z29" s="67"/>
      <c r="AA29" s="47"/>
    </row>
    <row r="30" spans="1:27" s="81" customFormat="1" ht="45" customHeight="1">
      <c r="A30" s="53" t="s">
        <v>79</v>
      </c>
      <c r="B30" s="169" t="s">
        <v>80</v>
      </c>
      <c r="C30" s="66">
        <v>15</v>
      </c>
      <c r="D30" s="76">
        <v>553.13</v>
      </c>
      <c r="E30" s="36">
        <v>8296.9699999999993</v>
      </c>
      <c r="F30" s="50"/>
      <c r="G30" s="36">
        <v>465.5</v>
      </c>
      <c r="H30" s="36">
        <v>1280</v>
      </c>
      <c r="I30" s="50"/>
      <c r="J30" s="50"/>
      <c r="K30" s="50">
        <v>215</v>
      </c>
      <c r="L30" s="50"/>
      <c r="M30" s="50"/>
      <c r="N30" s="36">
        <f t="shared" si="0"/>
        <v>8511.9699999999993</v>
      </c>
      <c r="O30" s="36">
        <f t="shared" si="1"/>
        <v>10257.469999999999</v>
      </c>
      <c r="P30" s="28">
        <f>IF('[20]Calculo ISR '!$AK$34&lt;0,0,'[20]Calculo ISR '!$AK$34)</f>
        <v>1270.9676159999999</v>
      </c>
      <c r="Q30" s="79">
        <f>E30*S4</f>
        <v>871.18184999999994</v>
      </c>
      <c r="R30" s="78"/>
      <c r="S30" s="50"/>
      <c r="T30" s="78"/>
      <c r="U30" s="50"/>
      <c r="V30" s="50">
        <f t="shared" ref="V30:V41" si="7">P30+Q30+R30+S30+T30+U30</f>
        <v>2142.1494659999998</v>
      </c>
      <c r="W30" s="28">
        <f>IF('[1]Calculo ISR '!$AK$34&gt;0,0,'[1]Calculo ISR '!$AK$34)*-1</f>
        <v>0</v>
      </c>
      <c r="X30" s="79">
        <f>N30-V30</f>
        <v>6369.8205339999995</v>
      </c>
      <c r="Y30" s="36">
        <f t="shared" si="3"/>
        <v>1745.5</v>
      </c>
      <c r="Z30" s="80"/>
      <c r="AA30" s="47"/>
    </row>
    <row r="31" spans="1:27" s="81" customFormat="1" ht="45" customHeight="1">
      <c r="A31" s="91" t="s">
        <v>83</v>
      </c>
      <c r="B31" s="137" t="s">
        <v>84</v>
      </c>
      <c r="C31" s="66">
        <v>15</v>
      </c>
      <c r="D31" s="76">
        <v>186.24</v>
      </c>
      <c r="E31" s="36">
        <v>2793.65</v>
      </c>
      <c r="F31" s="50"/>
      <c r="G31" s="36">
        <v>465.5</v>
      </c>
      <c r="H31" s="36">
        <v>1280</v>
      </c>
      <c r="I31" s="50">
        <v>1043</v>
      </c>
      <c r="J31" s="50">
        <v>2416</v>
      </c>
      <c r="K31" s="50">
        <v>215</v>
      </c>
      <c r="L31" s="50"/>
      <c r="M31" s="50"/>
      <c r="N31" s="36">
        <f t="shared" si="0"/>
        <v>6467.65</v>
      </c>
      <c r="O31" s="36">
        <f t="shared" si="1"/>
        <v>8213.15</v>
      </c>
      <c r="P31" s="28">
        <f>IF('[20]Calculo ISR '!$AM$34&lt;0,0,'[20]Calculo ISR '!$AM$34)</f>
        <v>834.30086400000005</v>
      </c>
      <c r="Q31" s="92">
        <f>E31*S4</f>
        <v>293.33325000000002</v>
      </c>
      <c r="R31" s="78"/>
      <c r="S31" s="50"/>
      <c r="T31" s="78"/>
      <c r="U31" s="50">
        <f>E31*R4</f>
        <v>27.936500000000002</v>
      </c>
      <c r="V31" s="50">
        <f>P31+Q31+R31+S31+T31+U31</f>
        <v>1155.570614</v>
      </c>
      <c r="W31" s="28">
        <f>IF('[1]Calculo ISR '!$AM$34&gt;0,0,'[1]Calculo ISR '!$AM$34)*-1</f>
        <v>0</v>
      </c>
      <c r="X31" s="79">
        <f t="shared" ref="X31:X36" si="8">N31-V31+W31</f>
        <v>5312.0793859999994</v>
      </c>
      <c r="Y31" s="36">
        <f t="shared" si="3"/>
        <v>1745.5</v>
      </c>
      <c r="Z31" s="80"/>
      <c r="AA31" s="47"/>
    </row>
    <row r="32" spans="1:27" s="81" customFormat="1" ht="45" customHeight="1">
      <c r="A32" s="91" t="s">
        <v>85</v>
      </c>
      <c r="B32" s="137" t="s">
        <v>86</v>
      </c>
      <c r="C32" s="66">
        <v>15</v>
      </c>
      <c r="D32" s="76">
        <v>226.68</v>
      </c>
      <c r="E32" s="36">
        <v>3400.25</v>
      </c>
      <c r="F32" s="50"/>
      <c r="G32" s="36">
        <v>465.5</v>
      </c>
      <c r="H32" s="36">
        <v>1280</v>
      </c>
      <c r="I32" s="50"/>
      <c r="J32" s="50">
        <v>830.5</v>
      </c>
      <c r="K32" s="50">
        <v>215</v>
      </c>
      <c r="L32" s="50"/>
      <c r="M32" s="50"/>
      <c r="N32" s="36">
        <f t="shared" si="0"/>
        <v>4445.75</v>
      </c>
      <c r="O32" s="36">
        <f t="shared" si="1"/>
        <v>6191.25</v>
      </c>
      <c r="P32" s="28">
        <f>IF('[20]Calculo ISR '!$AN$34&lt;0,0,'[20]Calculo ISR '!$AN$34)</f>
        <v>424.18388800000008</v>
      </c>
      <c r="Q32" s="92">
        <f>E32*S4</f>
        <v>357.02625</v>
      </c>
      <c r="R32" s="78"/>
      <c r="S32" s="50"/>
      <c r="T32" s="78"/>
      <c r="U32" s="50">
        <v>0</v>
      </c>
      <c r="V32" s="50">
        <f t="shared" si="7"/>
        <v>781.21013800000014</v>
      </c>
      <c r="W32" s="28">
        <f>IF('[1]Calculo ISR '!$AN$34&gt;0,0,'[1]Calculo ISR '!$AN$34)*-1</f>
        <v>0</v>
      </c>
      <c r="X32" s="79">
        <f t="shared" si="8"/>
        <v>3664.5398619999996</v>
      </c>
      <c r="Y32" s="36">
        <f t="shared" si="3"/>
        <v>1745.5</v>
      </c>
      <c r="Z32" s="80"/>
      <c r="AA32" s="47"/>
    </row>
    <row r="33" spans="1:29" s="81" customFormat="1" ht="45" customHeight="1">
      <c r="A33" s="91" t="s">
        <v>87</v>
      </c>
      <c r="B33" s="170" t="s">
        <v>88</v>
      </c>
      <c r="C33" s="66">
        <v>15</v>
      </c>
      <c r="D33" s="76">
        <v>553.13</v>
      </c>
      <c r="E33" s="36">
        <v>8296.9699999999993</v>
      </c>
      <c r="F33" s="50"/>
      <c r="G33" s="36">
        <v>465.5</v>
      </c>
      <c r="H33" s="36">
        <v>1280</v>
      </c>
      <c r="I33" s="50"/>
      <c r="J33" s="50"/>
      <c r="K33" s="50"/>
      <c r="L33" s="50"/>
      <c r="M33" s="50"/>
      <c r="N33" s="36">
        <f t="shared" si="0"/>
        <v>8296.9699999999993</v>
      </c>
      <c r="O33" s="36">
        <f t="shared" si="1"/>
        <v>10042.469999999999</v>
      </c>
      <c r="P33" s="28">
        <f>IF('[20]Calculo ISR '!$AO$34&lt;0,0,'[20]Calculo ISR '!$AO$34)</f>
        <v>1225.0436159999999</v>
      </c>
      <c r="Q33" s="92">
        <f>E33*S4</f>
        <v>871.18184999999994</v>
      </c>
      <c r="R33" s="78">
        <v>1338</v>
      </c>
      <c r="S33" s="50"/>
      <c r="T33" s="78"/>
      <c r="U33" s="50"/>
      <c r="V33" s="50">
        <f t="shared" si="7"/>
        <v>3434.2254659999999</v>
      </c>
      <c r="W33" s="28">
        <f>IF('[1]Calculo ISR '!$AO$34&gt;0,0,'[1]Calculo ISR '!$AO$34)*-1</f>
        <v>0</v>
      </c>
      <c r="X33" s="79">
        <f t="shared" si="8"/>
        <v>4862.7445339999995</v>
      </c>
      <c r="Y33" s="36">
        <f t="shared" si="3"/>
        <v>1745.5</v>
      </c>
      <c r="Z33" s="80"/>
      <c r="AA33" s="47"/>
    </row>
    <row r="34" spans="1:29" s="81" customFormat="1" ht="45" customHeight="1">
      <c r="A34" s="91" t="s">
        <v>89</v>
      </c>
      <c r="B34" s="170" t="s">
        <v>90</v>
      </c>
      <c r="C34" s="66">
        <v>15</v>
      </c>
      <c r="D34" s="76">
        <v>177.16</v>
      </c>
      <c r="E34" s="36">
        <v>2657.47</v>
      </c>
      <c r="F34" s="50"/>
      <c r="G34" s="36">
        <v>465.5</v>
      </c>
      <c r="H34" s="36">
        <v>1280</v>
      </c>
      <c r="I34" s="50"/>
      <c r="J34" s="50"/>
      <c r="K34" s="50"/>
      <c r="L34" s="50"/>
      <c r="M34" s="50"/>
      <c r="N34" s="36">
        <f t="shared" si="0"/>
        <v>2657.47</v>
      </c>
      <c r="O34" s="36">
        <f t="shared" si="1"/>
        <v>4402.9699999999993</v>
      </c>
      <c r="P34" s="28">
        <f>IF('[20]Calculo ISR '!$AP$34&lt;0,0,'[20]Calculo ISR '!$AP$34)</f>
        <v>39.699647999999968</v>
      </c>
      <c r="Q34" s="92">
        <f>E34*S4</f>
        <v>279.03434999999996</v>
      </c>
      <c r="R34" s="78"/>
      <c r="S34" s="50"/>
      <c r="T34" s="78"/>
      <c r="U34" s="50"/>
      <c r="V34" s="50">
        <f t="shared" si="7"/>
        <v>318.73399799999993</v>
      </c>
      <c r="W34" s="28">
        <f>IF('[1]Calculo ISR '!$AP$34&gt;0,0,'[1]Calculo ISR '!$AP$34)*-1</f>
        <v>0</v>
      </c>
      <c r="X34" s="79">
        <f t="shared" si="8"/>
        <v>2338.7360019999996</v>
      </c>
      <c r="Y34" s="36">
        <f t="shared" si="3"/>
        <v>1745.5</v>
      </c>
      <c r="Z34" s="80"/>
      <c r="AA34" s="47"/>
    </row>
    <row r="35" spans="1:29" s="81" customFormat="1" ht="45" customHeight="1">
      <c r="A35" s="91" t="s">
        <v>91</v>
      </c>
      <c r="B35" s="170" t="s">
        <v>92</v>
      </c>
      <c r="C35" s="66">
        <v>15</v>
      </c>
      <c r="D35" s="76">
        <v>135.83000000000001</v>
      </c>
      <c r="E35" s="36">
        <v>2037.52</v>
      </c>
      <c r="F35" s="50"/>
      <c r="G35" s="36">
        <v>465.5</v>
      </c>
      <c r="H35" s="36">
        <v>1280</v>
      </c>
      <c r="I35" s="50"/>
      <c r="J35" s="50"/>
      <c r="K35" s="50"/>
      <c r="L35" s="50"/>
      <c r="M35" s="50"/>
      <c r="N35" s="36">
        <f t="shared" si="0"/>
        <v>2037.52</v>
      </c>
      <c r="O35" s="36">
        <f t="shared" si="1"/>
        <v>3783.02</v>
      </c>
      <c r="P35" s="28">
        <f>IF('[20]Calculo ISR '!$AQ$34&lt;0,0,'[20]Calculo ISR '!$AQ$34)</f>
        <v>0</v>
      </c>
      <c r="Q35" s="92">
        <f>E35*S4</f>
        <v>213.93959999999998</v>
      </c>
      <c r="R35" s="78">
        <v>679</v>
      </c>
      <c r="S35" s="50"/>
      <c r="T35" s="78"/>
      <c r="U35" s="50"/>
      <c r="V35" s="50">
        <f t="shared" si="7"/>
        <v>892.93959999999993</v>
      </c>
      <c r="W35" s="28">
        <f>IF('[20]Calculo ISR '!$AQ$34&gt;0,0,'[20]Calculo ISR '!$AQ$34)*-1</f>
        <v>69.316559999999981</v>
      </c>
      <c r="X35" s="79">
        <f t="shared" si="8"/>
        <v>1213.89696</v>
      </c>
      <c r="Y35" s="36">
        <f t="shared" si="3"/>
        <v>1745.5</v>
      </c>
      <c r="Z35" s="80"/>
      <c r="AA35" s="47"/>
    </row>
    <row r="36" spans="1:29" s="81" customFormat="1" ht="45" customHeight="1">
      <c r="A36" s="91" t="s">
        <v>93</v>
      </c>
      <c r="B36" s="170" t="s">
        <v>94</v>
      </c>
      <c r="C36" s="66">
        <v>15</v>
      </c>
      <c r="D36" s="76">
        <v>135.83000000000001</v>
      </c>
      <c r="E36" s="36">
        <v>2037.52</v>
      </c>
      <c r="F36" s="50"/>
      <c r="G36" s="36">
        <v>465.5</v>
      </c>
      <c r="H36" s="36">
        <v>1280</v>
      </c>
      <c r="I36" s="50"/>
      <c r="J36" s="50"/>
      <c r="K36" s="50"/>
      <c r="L36" s="50"/>
      <c r="M36" s="50"/>
      <c r="N36" s="36">
        <f t="shared" si="0"/>
        <v>2037.52</v>
      </c>
      <c r="O36" s="36">
        <f t="shared" si="1"/>
        <v>3783.02</v>
      </c>
      <c r="P36" s="28">
        <f>IF('[20]Calculo ISR '!$AR$34&lt;0,0,'[20]Calculo ISR '!$AR$34)</f>
        <v>0</v>
      </c>
      <c r="Q36" s="92">
        <f>E36*S4</f>
        <v>213.93959999999998</v>
      </c>
      <c r="R36" s="78"/>
      <c r="S36" s="50"/>
      <c r="T36" s="78"/>
      <c r="U36" s="50"/>
      <c r="V36" s="50">
        <f t="shared" si="7"/>
        <v>213.93959999999998</v>
      </c>
      <c r="W36" s="28">
        <f>IF('[20]Calculo ISR '!$AR$34&gt;0,0,'[20]Calculo ISR '!$AR$34)*-1</f>
        <v>69.316559999999981</v>
      </c>
      <c r="X36" s="79">
        <f t="shared" si="8"/>
        <v>1892.89696</v>
      </c>
      <c r="Y36" s="36">
        <f t="shared" si="3"/>
        <v>1745.5</v>
      </c>
      <c r="Z36" s="80"/>
      <c r="AA36" s="47"/>
    </row>
    <row r="37" spans="1:29" s="81" customFormat="1" ht="45" customHeight="1">
      <c r="A37" s="91" t="s">
        <v>95</v>
      </c>
      <c r="B37" s="170" t="s">
        <v>96</v>
      </c>
      <c r="C37" s="66">
        <v>15</v>
      </c>
      <c r="D37" s="76">
        <v>780.2</v>
      </c>
      <c r="E37" s="36">
        <f t="shared" si="6"/>
        <v>11703</v>
      </c>
      <c r="F37" s="50"/>
      <c r="G37" s="36">
        <v>465.5</v>
      </c>
      <c r="H37" s="36">
        <v>1280</v>
      </c>
      <c r="I37" s="50"/>
      <c r="J37" s="50"/>
      <c r="K37" s="50"/>
      <c r="L37" s="50"/>
      <c r="M37" s="50"/>
      <c r="N37" s="36">
        <f t="shared" si="0"/>
        <v>11703</v>
      </c>
      <c r="O37" s="36">
        <f t="shared" si="1"/>
        <v>13448.5</v>
      </c>
      <c r="P37" s="28">
        <f>IF('[20]Calculo ISR '!$AS$34&lt;0,0,'[20]Calculo ISR '!$AS$34)</f>
        <v>1983.8578080000002</v>
      </c>
      <c r="Q37" s="92">
        <f>E37*S4</f>
        <v>1228.8150000000001</v>
      </c>
      <c r="R37" s="78"/>
      <c r="S37" s="50"/>
      <c r="T37" s="78"/>
      <c r="U37" s="50"/>
      <c r="V37" s="50">
        <f t="shared" si="7"/>
        <v>3212.6728080000003</v>
      </c>
      <c r="W37" s="28">
        <f>IF('[1]Calculo ISR '!$AS$34&gt;0,0,'[1]Calculo ISR '!$AS$34)*-1</f>
        <v>0</v>
      </c>
      <c r="X37" s="79">
        <f t="shared" ref="X37:X43" si="9">N37-V37</f>
        <v>8490.3271920000007</v>
      </c>
      <c r="Y37" s="36">
        <f t="shared" si="3"/>
        <v>1745.5</v>
      </c>
      <c r="Z37" s="80"/>
      <c r="AA37" s="47"/>
    </row>
    <row r="38" spans="1:29" s="81" customFormat="1" ht="45" customHeight="1">
      <c r="A38" s="91" t="s">
        <v>99</v>
      </c>
      <c r="B38" s="170" t="s">
        <v>100</v>
      </c>
      <c r="C38" s="66">
        <v>15</v>
      </c>
      <c r="D38" s="76">
        <v>177.16</v>
      </c>
      <c r="E38" s="36">
        <v>2657.47</v>
      </c>
      <c r="F38" s="50"/>
      <c r="G38" s="36">
        <v>465.5</v>
      </c>
      <c r="H38" s="36">
        <v>1280</v>
      </c>
      <c r="I38" s="50"/>
      <c r="J38" s="50"/>
      <c r="K38" s="50"/>
      <c r="L38" s="50"/>
      <c r="M38" s="50"/>
      <c r="N38" s="36">
        <f t="shared" si="0"/>
        <v>2657.47</v>
      </c>
      <c r="O38" s="36">
        <f t="shared" si="1"/>
        <v>4402.9699999999993</v>
      </c>
      <c r="P38" s="28">
        <f>IF('[20]Calculo ISR '!$AU$34&lt;0,0,'[20]Calculo ISR '!$AU$34)</f>
        <v>39.699647999999968</v>
      </c>
      <c r="Q38" s="92">
        <f>E38*S4</f>
        <v>279.03434999999996</v>
      </c>
      <c r="R38" s="78"/>
      <c r="S38" s="50"/>
      <c r="T38" s="78"/>
      <c r="U38" s="50"/>
      <c r="V38" s="50">
        <f t="shared" si="7"/>
        <v>318.73399799999993</v>
      </c>
      <c r="W38" s="28">
        <f>IF('[1]Calculo ISR '!$AU$34&gt;0,0,'[1]Calculo ISR '!$AU$34)*-1</f>
        <v>0</v>
      </c>
      <c r="X38" s="79">
        <f t="shared" si="9"/>
        <v>2338.7360019999996</v>
      </c>
      <c r="Y38" s="36">
        <f t="shared" si="3"/>
        <v>1745.5</v>
      </c>
      <c r="Z38" s="80"/>
      <c r="AA38" s="47"/>
    </row>
    <row r="39" spans="1:29" s="81" customFormat="1" ht="45" customHeight="1">
      <c r="A39" s="91" t="s">
        <v>101</v>
      </c>
      <c r="B39" s="170" t="s">
        <v>121</v>
      </c>
      <c r="C39" s="66">
        <v>15</v>
      </c>
      <c r="D39" s="76">
        <v>780.2</v>
      </c>
      <c r="E39" s="36">
        <f t="shared" si="6"/>
        <v>11703</v>
      </c>
      <c r="F39" s="50"/>
      <c r="G39" s="36">
        <v>465.5</v>
      </c>
      <c r="H39" s="36">
        <v>1280</v>
      </c>
      <c r="I39" s="50"/>
      <c r="J39" s="50"/>
      <c r="K39" s="50"/>
      <c r="L39" s="50"/>
      <c r="M39" s="50"/>
      <c r="N39" s="36">
        <f t="shared" si="0"/>
        <v>11703</v>
      </c>
      <c r="O39" s="36">
        <f t="shared" si="1"/>
        <v>13448.5</v>
      </c>
      <c r="P39" s="28">
        <f>IF('[20]Calculo ISR '!$AV$34&lt;0,0,'[20]Calculo ISR '!$AV$34)</f>
        <v>1983.8578080000002</v>
      </c>
      <c r="Q39" s="92">
        <f>E39*S4</f>
        <v>1228.8150000000001</v>
      </c>
      <c r="R39" s="78">
        <v>1887</v>
      </c>
      <c r="S39" s="50"/>
      <c r="T39" s="78"/>
      <c r="U39" s="50"/>
      <c r="V39" s="50">
        <f t="shared" si="7"/>
        <v>5099.6728080000003</v>
      </c>
      <c r="W39" s="28">
        <f>IF('[1]Calculo ISR '!$AV$34&gt;0,0,'[1]Calculo ISR '!$AV$34)*-1</f>
        <v>0</v>
      </c>
      <c r="X39" s="79">
        <f t="shared" si="9"/>
        <v>6603.3271919999997</v>
      </c>
      <c r="Y39" s="36">
        <f t="shared" si="3"/>
        <v>1745.5</v>
      </c>
      <c r="Z39" s="80"/>
      <c r="AA39" s="47"/>
    </row>
    <row r="40" spans="1:29" s="81" customFormat="1" ht="45" customHeight="1">
      <c r="A40" s="91" t="s">
        <v>103</v>
      </c>
      <c r="B40" s="170" t="s">
        <v>122</v>
      </c>
      <c r="C40" s="66">
        <v>15</v>
      </c>
      <c r="D40" s="76">
        <v>177.16</v>
      </c>
      <c r="E40" s="36">
        <v>2657.47</v>
      </c>
      <c r="F40" s="50"/>
      <c r="G40" s="36">
        <v>465.5</v>
      </c>
      <c r="H40" s="36">
        <v>1280</v>
      </c>
      <c r="I40" s="50"/>
      <c r="J40" s="50"/>
      <c r="K40" s="50"/>
      <c r="L40" s="50"/>
      <c r="M40" s="50"/>
      <c r="N40" s="36">
        <f t="shared" si="0"/>
        <v>2657.47</v>
      </c>
      <c r="O40" s="36">
        <f t="shared" si="1"/>
        <v>4402.9699999999993</v>
      </c>
      <c r="P40" s="28">
        <f>IF('[20]Calculo ISR '!$AW$34&lt;0,0,'[20]Calculo ISR '!$AW$34)</f>
        <v>39.699647999999968</v>
      </c>
      <c r="Q40" s="92">
        <f>E40*S4</f>
        <v>279.03434999999996</v>
      </c>
      <c r="R40" s="78"/>
      <c r="S40" s="50"/>
      <c r="T40" s="78"/>
      <c r="U40" s="50"/>
      <c r="V40" s="50">
        <f t="shared" si="7"/>
        <v>318.73399799999993</v>
      </c>
      <c r="W40" s="28"/>
      <c r="X40" s="79">
        <f t="shared" si="9"/>
        <v>2338.7360019999996</v>
      </c>
      <c r="Y40" s="36">
        <f t="shared" si="3"/>
        <v>1745.5</v>
      </c>
      <c r="Z40" s="80"/>
      <c r="AA40" s="47"/>
    </row>
    <row r="41" spans="1:29" s="81" customFormat="1" ht="45" customHeight="1">
      <c r="A41" s="91" t="s">
        <v>139</v>
      </c>
      <c r="B41" s="170" t="s">
        <v>140</v>
      </c>
      <c r="C41" s="66">
        <v>15</v>
      </c>
      <c r="D41" s="76">
        <v>177.16</v>
      </c>
      <c r="E41" s="36">
        <v>2657.47</v>
      </c>
      <c r="F41" s="50"/>
      <c r="G41" s="36">
        <v>465.5</v>
      </c>
      <c r="H41" s="36">
        <v>400</v>
      </c>
      <c r="I41" s="50"/>
      <c r="J41" s="50"/>
      <c r="K41" s="50"/>
      <c r="L41" s="50"/>
      <c r="M41" s="50"/>
      <c r="N41" s="36">
        <f t="shared" si="0"/>
        <v>2657.47</v>
      </c>
      <c r="O41" s="36">
        <f t="shared" si="1"/>
        <v>3522.97</v>
      </c>
      <c r="P41" s="28">
        <f>IF('[20]Calculo ISR '!$AX$34&lt;0,0,'[20]Calculo ISR '!$AX$34)</f>
        <v>39.699647999999968</v>
      </c>
      <c r="Q41" s="92">
        <f>E41*S4</f>
        <v>279.03434999999996</v>
      </c>
      <c r="R41" s="78"/>
      <c r="S41" s="50"/>
      <c r="T41" s="78"/>
      <c r="U41" s="50"/>
      <c r="V41" s="50">
        <f t="shared" si="7"/>
        <v>318.73399799999993</v>
      </c>
      <c r="W41" s="28"/>
      <c r="X41" s="79">
        <f t="shared" si="9"/>
        <v>2338.7360019999996</v>
      </c>
      <c r="Y41" s="36">
        <f t="shared" si="3"/>
        <v>865.5</v>
      </c>
      <c r="Z41" s="80"/>
      <c r="AA41" s="47"/>
    </row>
    <row r="42" spans="1:29" s="81" customFormat="1" ht="45" customHeight="1">
      <c r="A42" s="91" t="s">
        <v>150</v>
      </c>
      <c r="B42" s="170" t="s">
        <v>142</v>
      </c>
      <c r="C42" s="66">
        <v>15</v>
      </c>
      <c r="D42" s="76">
        <v>205.61</v>
      </c>
      <c r="E42" s="36">
        <f t="shared" si="6"/>
        <v>3084.15</v>
      </c>
      <c r="F42" s="50"/>
      <c r="G42" s="36">
        <v>465.5</v>
      </c>
      <c r="H42" s="36">
        <v>240</v>
      </c>
      <c r="I42" s="50">
        <v>521.5</v>
      </c>
      <c r="J42" s="50">
        <v>226.5</v>
      </c>
      <c r="K42" s="50"/>
      <c r="L42" s="50"/>
      <c r="M42" s="50"/>
      <c r="N42" s="36">
        <f t="shared" si="0"/>
        <v>3832.15</v>
      </c>
      <c r="O42" s="36">
        <f t="shared" si="1"/>
        <v>4537.6499999999996</v>
      </c>
      <c r="P42" s="28">
        <f>IF('[20]Calculo ISR '!$AY$34&lt;0,0,'[20]Calculo ISR '!$AY$34)</f>
        <v>322.23239999999998</v>
      </c>
      <c r="Q42" s="92">
        <f>E42*S4</f>
        <v>323.83575000000002</v>
      </c>
      <c r="R42" s="78"/>
      <c r="S42" s="50"/>
      <c r="T42" s="78"/>
      <c r="U42" s="50"/>
      <c r="V42" s="50">
        <f>SUM(P42+Q42+R42+S42+T42+U42)</f>
        <v>646.06815000000006</v>
      </c>
      <c r="W42" s="28"/>
      <c r="X42" s="79">
        <f t="shared" si="9"/>
        <v>3186.08185</v>
      </c>
      <c r="Y42" s="36">
        <f t="shared" si="3"/>
        <v>705.5</v>
      </c>
      <c r="Z42" s="80"/>
      <c r="AA42" s="47"/>
    </row>
    <row r="43" spans="1:29" s="81" customFormat="1" ht="45" customHeight="1">
      <c r="A43" s="91" t="s">
        <v>151</v>
      </c>
      <c r="B43" s="170" t="s">
        <v>152</v>
      </c>
      <c r="C43" s="66">
        <v>15</v>
      </c>
      <c r="D43" s="76">
        <v>238.18</v>
      </c>
      <c r="E43" s="36">
        <v>3572.72</v>
      </c>
      <c r="F43" s="50"/>
      <c r="G43" s="36">
        <v>465.5</v>
      </c>
      <c r="H43" s="36">
        <v>160</v>
      </c>
      <c r="I43" s="50"/>
      <c r="J43" s="50"/>
      <c r="K43" s="50"/>
      <c r="L43" s="50"/>
      <c r="M43" s="50"/>
      <c r="N43" s="36">
        <f t="shared" si="0"/>
        <v>3572.72</v>
      </c>
      <c r="O43" s="36">
        <f t="shared" si="1"/>
        <v>4198.2199999999993</v>
      </c>
      <c r="P43" s="28">
        <f>IF('[20]Calculo ISR '!$AZ$34&lt;0,0,'[20]Calculo ISR '!$AZ$34)</f>
        <v>177.22884799999994</v>
      </c>
      <c r="Q43" s="92">
        <f>E43*S4</f>
        <v>375.13559999999995</v>
      </c>
      <c r="R43" s="78"/>
      <c r="S43" s="50"/>
      <c r="T43" s="78"/>
      <c r="U43" s="50"/>
      <c r="V43" s="50">
        <f>SUM(P43+Q43+R43+S43+T43+U43)</f>
        <v>552.36444799999992</v>
      </c>
      <c r="W43" s="28"/>
      <c r="X43" s="79">
        <f t="shared" si="9"/>
        <v>3020.355552</v>
      </c>
      <c r="Y43" s="36">
        <f t="shared" si="3"/>
        <v>625.5</v>
      </c>
      <c r="Z43" s="80"/>
      <c r="AA43" s="47"/>
    </row>
    <row r="44" spans="1:29" s="99" customFormat="1" ht="21.95" customHeight="1">
      <c r="A44" s="93"/>
      <c r="B44" s="94">
        <v>37</v>
      </c>
      <c r="C44" s="95">
        <f>SUM(C8:C43)</f>
        <v>540</v>
      </c>
      <c r="D44" s="95">
        <f>SUM(D8:D43)</f>
        <v>11274.116666666669</v>
      </c>
      <c r="E44" s="95">
        <f t="shared" ref="E44:Y44" si="10">SUM(E7:E43)</f>
        <v>186628.25999999998</v>
      </c>
      <c r="F44" s="95">
        <f t="shared" si="10"/>
        <v>6040.32</v>
      </c>
      <c r="G44" s="95">
        <f t="shared" si="10"/>
        <v>17718</v>
      </c>
      <c r="H44" s="95">
        <f>SUM(H8:H43)</f>
        <v>43040</v>
      </c>
      <c r="I44" s="95">
        <f t="shared" si="10"/>
        <v>5215</v>
      </c>
      <c r="J44" s="95">
        <f>SUM(J7:J43)</f>
        <v>11929</v>
      </c>
      <c r="K44" s="95">
        <f>SUM(K7:K43)</f>
        <v>4300</v>
      </c>
      <c r="L44" s="95">
        <f t="shared" si="10"/>
        <v>688</v>
      </c>
      <c r="M44" s="95">
        <f t="shared" si="10"/>
        <v>3378.6212299999997</v>
      </c>
      <c r="N44" s="95">
        <f t="shared" si="10"/>
        <v>217964.20122999998</v>
      </c>
      <c r="O44" s="95">
        <f t="shared" si="10"/>
        <v>278722.20122999995</v>
      </c>
      <c r="P44" s="96">
        <f t="shared" si="10"/>
        <v>27728.422849408009</v>
      </c>
      <c r="Q44" s="95">
        <f t="shared" si="10"/>
        <v>19595.9673</v>
      </c>
      <c r="R44" s="95">
        <f t="shared" si="10"/>
        <v>21229.97</v>
      </c>
      <c r="S44" s="95">
        <f t="shared" si="10"/>
        <v>0</v>
      </c>
      <c r="T44" s="95">
        <f t="shared" si="10"/>
        <v>0</v>
      </c>
      <c r="U44" s="95">
        <f t="shared" si="10"/>
        <v>542.16550000000007</v>
      </c>
      <c r="V44" s="95">
        <f t="shared" si="10"/>
        <v>69096.525649408009</v>
      </c>
      <c r="W44" s="95">
        <f t="shared" si="10"/>
        <v>152.60766937599996</v>
      </c>
      <c r="X44" s="95">
        <f t="shared" si="10"/>
        <v>149020.28324996794</v>
      </c>
      <c r="Y44" s="95">
        <f t="shared" si="10"/>
        <v>60758</v>
      </c>
      <c r="Z44" s="97"/>
      <c r="AA44" s="98"/>
    </row>
    <row r="45" spans="1:29" s="6" customFormat="1" ht="6.75" customHeight="1">
      <c r="A45" s="122"/>
      <c r="B45" s="123"/>
      <c r="C45" s="124"/>
      <c r="D45" s="101"/>
      <c r="E45" s="101"/>
      <c r="F45" s="101"/>
      <c r="G45" s="125"/>
      <c r="H45" s="125"/>
      <c r="I45" s="125">
        <f>I44+J44+'[20]HT-DOCENTE FIRMA'!P39+'[20]HT-DOCENTE FIRMA'!Q39</f>
        <v>23611.24</v>
      </c>
      <c r="J45" s="125"/>
      <c r="K45" s="125">
        <f>K44+'[20]HT-DOCENTE FIRMA'!R39+'[20]HT-PTC FIRMAS '!I15</f>
        <v>5247.4250000000002</v>
      </c>
      <c r="L45" s="101"/>
      <c r="M45" s="101"/>
      <c r="N45" s="101"/>
      <c r="O45" s="101"/>
      <c r="Q45" s="101">
        <f>Q44+'[20]HT-DOCENTE FIRMA'!W39+'[20]HT-PTC FIRMAS '!N15</f>
        <v>36384.654599999994</v>
      </c>
      <c r="R45" s="101">
        <f>R44+'[20]HT-DOCENTE FIRMA'!X39+'[20]HT-PTC FIRMAS '!O15</f>
        <v>32968.97</v>
      </c>
      <c r="S45" s="101"/>
      <c r="T45" s="101"/>
      <c r="U45" s="101"/>
      <c r="V45" s="101"/>
      <c r="W45" s="101"/>
      <c r="X45" s="101"/>
      <c r="Y45" s="101"/>
      <c r="Z45" s="126"/>
      <c r="AA45" s="5"/>
    </row>
    <row r="46" spans="1:29" s="6" customFormat="1" ht="6.75" customHeight="1">
      <c r="A46" s="122"/>
      <c r="B46" s="123"/>
      <c r="C46" s="124"/>
      <c r="D46" s="101"/>
      <c r="E46" s="101">
        <f>E44+'[20]HT-DOCENTE FIRMA'!I39+'[20]HT-PTC FIRMAS '!D15</f>
        <v>346520.52</v>
      </c>
      <c r="F46" s="101"/>
      <c r="G46" s="125"/>
      <c r="H46" s="125"/>
      <c r="I46" s="125"/>
      <c r="J46" s="125"/>
      <c r="K46" s="125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26"/>
      <c r="AA46" s="5"/>
      <c r="AC46" s="5"/>
    </row>
    <row r="47" spans="1:29" s="6" customFormat="1" ht="6.75" customHeight="1">
      <c r="A47" s="127"/>
      <c r="B47" s="123"/>
      <c r="C47" s="122"/>
      <c r="D47" s="128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26"/>
      <c r="AA47" s="5"/>
    </row>
    <row r="48" spans="1:29" s="6" customFormat="1" ht="6.75" customHeight="1">
      <c r="A48" s="129"/>
      <c r="B48" s="130"/>
      <c r="C48" s="131"/>
      <c r="D48" s="132"/>
      <c r="E48" s="133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5"/>
      <c r="AA48" s="5"/>
    </row>
    <row r="49" spans="1:27" ht="15" customHeight="1">
      <c r="A49" s="110" t="s">
        <v>105</v>
      </c>
      <c r="B49" s="110"/>
      <c r="C49" s="110"/>
      <c r="D49" s="111"/>
      <c r="E49" s="109"/>
      <c r="F49" s="109"/>
      <c r="G49" s="112"/>
      <c r="H49" s="112"/>
      <c r="I49" s="113" t="s">
        <v>106</v>
      </c>
      <c r="J49" s="112"/>
      <c r="K49" s="112"/>
      <c r="L49" s="112"/>
      <c r="N49" s="113"/>
      <c r="O49" s="114"/>
      <c r="R49" s="115"/>
      <c r="S49" s="115"/>
      <c r="T49" s="115"/>
      <c r="U49" s="115"/>
      <c r="V49" s="111" t="s">
        <v>107</v>
      </c>
      <c r="W49" s="111"/>
      <c r="X49" s="111"/>
      <c r="Y49" s="111"/>
      <c r="Z49" s="111"/>
      <c r="AA49" s="100"/>
    </row>
    <row r="50" spans="1:27" hidden="1">
      <c r="A50" s="111"/>
      <c r="B50" s="111"/>
      <c r="C50" s="111"/>
      <c r="D50" s="111"/>
      <c r="E50" s="116"/>
      <c r="F50" s="116"/>
      <c r="G50" s="111"/>
      <c r="H50" s="111"/>
      <c r="I50" s="111"/>
      <c r="J50" s="111"/>
      <c r="K50" s="111"/>
      <c r="L50" s="111"/>
      <c r="M50" s="111"/>
      <c r="N50" s="103"/>
      <c r="O50" s="103"/>
      <c r="R50" s="103"/>
      <c r="S50" s="115"/>
      <c r="T50" s="103"/>
      <c r="U50" s="103"/>
      <c r="V50" s="111"/>
      <c r="W50" s="111"/>
      <c r="X50" s="111"/>
      <c r="Y50" s="111"/>
      <c r="Z50" s="111"/>
      <c r="AA50" s="100"/>
    </row>
    <row r="51" spans="1:27" hidden="1">
      <c r="A51" s="111"/>
      <c r="B51" s="111"/>
      <c r="C51" s="111"/>
      <c r="D51" s="111"/>
      <c r="E51" s="109"/>
      <c r="F51" s="109"/>
      <c r="G51" s="111"/>
      <c r="H51" s="111"/>
      <c r="I51" s="111"/>
      <c r="J51" s="111"/>
      <c r="K51" s="111"/>
      <c r="L51" s="111"/>
      <c r="M51" s="111"/>
      <c r="N51" s="109"/>
      <c r="O51" s="109"/>
      <c r="R51" s="109"/>
      <c r="S51" s="109"/>
      <c r="T51" s="109"/>
      <c r="U51" s="109"/>
      <c r="V51" s="111"/>
      <c r="W51" s="111"/>
      <c r="X51" s="111"/>
      <c r="Y51" s="111"/>
      <c r="Z51" s="111"/>
      <c r="AA51" s="100"/>
    </row>
    <row r="52" spans="1:27" ht="21.75" customHeight="1">
      <c r="A52" s="111"/>
      <c r="B52" s="113" t="s">
        <v>159</v>
      </c>
      <c r="C52" s="112"/>
      <c r="D52" s="111"/>
      <c r="E52" s="116"/>
      <c r="F52" s="116"/>
      <c r="G52" s="117"/>
      <c r="H52" s="117"/>
      <c r="I52" s="118" t="s">
        <v>109</v>
      </c>
      <c r="J52" s="117"/>
      <c r="K52" s="117"/>
      <c r="L52" s="117"/>
      <c r="N52" s="118"/>
      <c r="O52" s="118"/>
      <c r="R52" s="109"/>
      <c r="S52" s="109"/>
      <c r="U52" s="109"/>
      <c r="V52" s="144" t="s">
        <v>110</v>
      </c>
      <c r="W52" s="117"/>
      <c r="X52" s="117"/>
      <c r="Y52" s="117"/>
      <c r="Z52" s="111"/>
      <c r="AA52" s="100"/>
    </row>
    <row r="53" spans="1:27" ht="15" customHeight="1">
      <c r="A53" s="112" t="s">
        <v>160</v>
      </c>
      <c r="B53" s="112"/>
      <c r="C53" s="112"/>
      <c r="D53" s="112"/>
      <c r="E53" s="171"/>
      <c r="F53" s="109"/>
      <c r="G53" s="117"/>
      <c r="H53" s="117"/>
      <c r="I53" s="118" t="s">
        <v>112</v>
      </c>
      <c r="J53" s="117"/>
      <c r="K53" s="117"/>
      <c r="L53" s="117"/>
      <c r="N53" s="118"/>
      <c r="O53" s="118"/>
      <c r="R53" s="109"/>
      <c r="S53" s="109"/>
      <c r="T53" s="109"/>
      <c r="U53" s="119" t="s">
        <v>113</v>
      </c>
      <c r="V53" s="119"/>
      <c r="W53" s="119"/>
      <c r="X53" s="119"/>
      <c r="Y53" s="119"/>
      <c r="Z53" s="111"/>
      <c r="AA53" s="100"/>
    </row>
    <row r="54" spans="1:27">
      <c r="A54" s="109"/>
      <c r="B54" s="120"/>
      <c r="C54" s="109"/>
      <c r="D54" s="109"/>
      <c r="E54" s="116"/>
      <c r="F54" s="116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0"/>
    </row>
    <row r="55" spans="1:27" s="2" customFormat="1">
      <c r="A55" s="109"/>
      <c r="B55" s="120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0"/>
    </row>
    <row r="56" spans="1:27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16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0"/>
    </row>
    <row r="57" spans="1:27" s="2" customFormat="1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0"/>
    </row>
    <row r="58" spans="1:27" s="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00"/>
    </row>
    <row r="59" spans="1:27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00"/>
    </row>
    <row r="60" spans="1:27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00"/>
    </row>
    <row r="61" spans="1:27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00"/>
    </row>
    <row r="62" spans="1:27">
      <c r="AA62" s="100"/>
    </row>
    <row r="63" spans="1:27">
      <c r="AA63" s="100"/>
    </row>
    <row r="64" spans="1:27">
      <c r="AA64" s="100"/>
    </row>
    <row r="65" spans="1:27">
      <c r="AA65" s="100"/>
    </row>
    <row r="66" spans="1:27">
      <c r="AA66" s="100"/>
    </row>
    <row r="67" spans="1:27">
      <c r="AA67" s="100"/>
    </row>
    <row r="68" spans="1:27" s="102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7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7" s="10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7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7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7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7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7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7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7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7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7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306" spans="102:102">
      <c r="CX306" s="1" t="s">
        <v>114</v>
      </c>
    </row>
  </sheetData>
  <mergeCells count="2">
    <mergeCell ref="A49:C49"/>
    <mergeCell ref="U53:Y53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U307"/>
  <sheetViews>
    <sheetView zoomScale="80" zoomScaleNormal="80" workbookViewId="0">
      <pane xSplit="2" ySplit="6" topLeftCell="C40" activePane="bottomRight" state="frozen"/>
      <selection activeCell="S28" sqref="S28"/>
      <selection pane="topRight" activeCell="S28" sqref="S28"/>
      <selection pane="bottomLeft" activeCell="S28" sqref="S28"/>
      <selection pane="bottomRight" activeCell="B47" sqref="B47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7" width="12" style="1" customWidth="1"/>
    <col min="8" max="8" width="11.8554687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5.285156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3" spans="1:26">
      <c r="B3" s="2"/>
      <c r="I3" s="3"/>
      <c r="J3" s="3"/>
      <c r="K3" s="4"/>
      <c r="L3" s="5" t="s">
        <v>0</v>
      </c>
      <c r="O3" s="6"/>
      <c r="P3" s="6"/>
      <c r="Q3" s="6" t="s">
        <v>1</v>
      </c>
    </row>
    <row r="4" spans="1:26">
      <c r="B4" s="2"/>
      <c r="C4" s="3"/>
      <c r="D4" s="3"/>
      <c r="E4" s="3"/>
      <c r="F4" s="3"/>
      <c r="I4" s="3"/>
      <c r="J4" s="3"/>
      <c r="K4" s="3"/>
      <c r="L4" s="7">
        <v>1.9E-2</v>
      </c>
      <c r="O4" s="8">
        <v>0.01</v>
      </c>
      <c r="P4" s="121">
        <v>0.105</v>
      </c>
      <c r="Q4" s="9">
        <v>3.7999999999999999E-2</v>
      </c>
    </row>
    <row r="5" spans="1:26" ht="35.25" customHeight="1" thickBot="1">
      <c r="B5" s="10" t="s">
        <v>2</v>
      </c>
      <c r="C5" s="3"/>
      <c r="D5" s="3"/>
      <c r="E5" s="3"/>
      <c r="F5" s="3"/>
      <c r="H5" s="10" t="s">
        <v>115</v>
      </c>
      <c r="I5" s="3"/>
      <c r="J5" s="3"/>
      <c r="K5" s="3"/>
    </row>
    <row r="6" spans="1:26" s="25" customFormat="1" ht="92.2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172">
        <f>'[1]HT-ADMINISTRATIVOS'!C8</f>
        <v>15</v>
      </c>
      <c r="D7" s="28">
        <f>E7/C7</f>
        <v>1129.1146666666668</v>
      </c>
      <c r="E7" s="28">
        <v>16936.72</v>
      </c>
      <c r="F7" s="28">
        <v>6616.24</v>
      </c>
      <c r="G7" s="28">
        <f>'[1]HT-ADMINISTRATIVOS'!G8</f>
        <v>960</v>
      </c>
      <c r="H7" s="28">
        <f>'[1]HT-ADMINISTRATIVOS'!H8</f>
        <v>0</v>
      </c>
      <c r="I7" s="28">
        <f>'[1]HT-ADMINISTRATIVOS'!J8</f>
        <v>688</v>
      </c>
      <c r="J7" s="28">
        <f>'[1]HT-ADMINISTRATIVOS'!I8</f>
        <v>0</v>
      </c>
      <c r="K7" s="28">
        <f>E7+F7+H7+I7+J7</f>
        <v>24240.959999999999</v>
      </c>
      <c r="L7" s="28">
        <f t="shared" ref="L7:L12" si="0">K7+G7</f>
        <v>25200.959999999999</v>
      </c>
      <c r="M7" s="28">
        <f>IF('[1]Calculo ISR '!$K$34&lt;0,0,'[1]Calculo ISR '!$K$34)</f>
        <v>5456.9699999999993</v>
      </c>
      <c r="N7" s="28">
        <f>E7*P4</f>
        <v>1778.3556000000001</v>
      </c>
      <c r="O7" s="28">
        <v>5250</v>
      </c>
      <c r="P7" s="28">
        <f>'[1]HT-ADMINISTRATIVOS'!Q8</f>
        <v>0</v>
      </c>
      <c r="Q7" s="28">
        <f>'[1]HT-ADMINISTRATIVOS'!R8</f>
        <v>0</v>
      </c>
      <c r="R7" s="28">
        <f>'[1]HT-ADMINISTRATIVOS'!S8</f>
        <v>0</v>
      </c>
      <c r="S7" s="28">
        <f>M7+N7+O7+P7+Q7+R7</f>
        <v>12485.3256</v>
      </c>
      <c r="T7" s="28"/>
      <c r="U7" s="28">
        <f>L7-S7-V7</f>
        <v>11755.634399999999</v>
      </c>
      <c r="V7" s="28">
        <f>'[1]HT-ADMINISTRATIVOS'!W8</f>
        <v>960</v>
      </c>
      <c r="W7" s="29"/>
      <c r="Z7" s="31"/>
    </row>
    <row r="8" spans="1:26" s="42" customFormat="1" ht="45" customHeight="1">
      <c r="A8" s="32" t="s">
        <v>29</v>
      </c>
      <c r="B8" s="33" t="s">
        <v>30</v>
      </c>
      <c r="C8" s="34">
        <v>15</v>
      </c>
      <c r="D8" s="35">
        <v>754.53875970000001</v>
      </c>
      <c r="E8" s="36">
        <v>11318.081395499999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E8*Q4</f>
        <v>430.08709302899996</v>
      </c>
      <c r="K8" s="36">
        <f>E8+F8+H8+I8+J8</f>
        <v>12194.168488529</v>
      </c>
      <c r="L8" s="36">
        <f t="shared" si="0"/>
        <v>12579.668488529</v>
      </c>
      <c r="M8" s="28">
        <f>IF('[1]Calculo ISR '!$L$34&lt;0,0,'[1]Calculo ISR '!$L$34)</f>
        <v>2099.3806365020209</v>
      </c>
      <c r="N8" s="38">
        <f>E8*P4</f>
        <v>1188.3985465275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3287.7791830295209</v>
      </c>
      <c r="T8" s="28">
        <f>IF('[1]Calculo ISR '!$L$34&gt;0,0,'[1]Calculo ISR '!$L$34)*-1</f>
        <v>0</v>
      </c>
      <c r="U8" s="39">
        <f>K8-S8</f>
        <v>8906.3893054994787</v>
      </c>
      <c r="V8" s="39">
        <f t="shared" ref="V8:V27" si="1">G8</f>
        <v>385.5</v>
      </c>
      <c r="W8" s="40"/>
      <c r="X8" s="41"/>
    </row>
    <row r="9" spans="1:26" s="44" customFormat="1" ht="45" customHeight="1">
      <c r="A9" s="32" t="s">
        <v>31</v>
      </c>
      <c r="B9" s="43" t="s">
        <v>32</v>
      </c>
      <c r="C9" s="34">
        <v>15</v>
      </c>
      <c r="D9" s="35">
        <v>230.34834514817072</v>
      </c>
      <c r="E9" s="36">
        <v>3455.2251772225609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E9*Q4</f>
        <v>131.29855673445732</v>
      </c>
      <c r="K9" s="36">
        <f>E9+F9+H9+I9+J9</f>
        <v>3586.5237339570181</v>
      </c>
      <c r="L9" s="36">
        <f t="shared" si="0"/>
        <v>3972.0237339570181</v>
      </c>
      <c r="M9" s="28">
        <f>IF('[1]Calculo ISR '!$M$34&lt;0,0,'[1]Calculo ISR '!$M$34)</f>
        <v>178.73069425452351</v>
      </c>
      <c r="N9" s="38">
        <f>E9*P4</f>
        <v>362.79864360836888</v>
      </c>
      <c r="O9" s="38">
        <v>959.26</v>
      </c>
      <c r="P9" s="38">
        <f>'[1]HT-ADMINISTRATIVOS'!Q11</f>
        <v>0</v>
      </c>
      <c r="Q9" s="38">
        <f>'[1]HT-ADMINISTRATIVOS'!R11</f>
        <v>0</v>
      </c>
      <c r="R9" s="38">
        <f>E9*O4</f>
        <v>34.55225177222561</v>
      </c>
      <c r="S9" s="36">
        <f>M9+N9+O9+P9+Q9+R9</f>
        <v>1535.341589635118</v>
      </c>
      <c r="T9" s="28">
        <f>IF('[1]Calculo ISR '!$M$34&gt;0,0,'[1]Calculo ISR '!$M$34)*-1</f>
        <v>0</v>
      </c>
      <c r="U9" s="39">
        <f t="shared" ref="U9:U15" si="2">K9-S9+T9</f>
        <v>2051.1821443219001</v>
      </c>
      <c r="V9" s="39">
        <f t="shared" si="1"/>
        <v>385.5</v>
      </c>
      <c r="W9" s="40"/>
      <c r="X9" s="41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v>242.09274535320057</v>
      </c>
      <c r="E10" s="36">
        <v>3631.3911802980087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E10*Q4</f>
        <v>137.99286485132433</v>
      </c>
      <c r="K10" s="36">
        <f>E10+F10+I10+J10</f>
        <v>3769.3840451493329</v>
      </c>
      <c r="L10" s="36">
        <f t="shared" si="0"/>
        <v>4154.8840451493325</v>
      </c>
      <c r="M10" s="28">
        <f>IF('[1]Calculo ISR '!$N$34&lt;0,0,'[1]Calculo ISR '!$N$34)</f>
        <v>312.18984722389325</v>
      </c>
      <c r="N10" s="38">
        <f>E10*P4</f>
        <v>381.29607393129089</v>
      </c>
      <c r="O10" s="38">
        <v>1345.49</v>
      </c>
      <c r="P10" s="38">
        <f>'[1]HT-ADMINISTRATIVOS'!Q12</f>
        <v>0</v>
      </c>
      <c r="Q10" s="38">
        <f>'[1]HT-ADMINISTRATIVOS'!R12</f>
        <v>0</v>
      </c>
      <c r="R10" s="38">
        <f>E10*O4</f>
        <v>36.313911802980087</v>
      </c>
      <c r="S10" s="36">
        <f t="shared" ref="S10:S31" si="3">M10+N10+O10+R10+P10+Q10</f>
        <v>2075.289832958164</v>
      </c>
      <c r="T10" s="28">
        <f>IF('[1]Calculo ISR '!$N$34&gt;0,0,'[1]Calculo ISR '!$N$34)*-1</f>
        <v>0</v>
      </c>
      <c r="U10" s="39">
        <f t="shared" si="2"/>
        <v>1694.0942121911689</v>
      </c>
      <c r="V10" s="39">
        <f t="shared" si="1"/>
        <v>385.5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219.22891544903311</v>
      </c>
      <c r="E11" s="36">
        <v>3288.4337317354966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E11*Q4</f>
        <v>124.96048180594887</v>
      </c>
      <c r="K11" s="36">
        <f t="shared" ref="K11:K39" si="4">E11+F11+H11+I11+J11</f>
        <v>3413.3942135414454</v>
      </c>
      <c r="L11" s="36">
        <f t="shared" si="0"/>
        <v>3798.8942135414454</v>
      </c>
      <c r="M11" s="28">
        <f>IF('[1]Calculo ISR '!$O$34&lt;0,0,'[1]Calculo ISR '!$O$34)</f>
        <v>142.19420243330924</v>
      </c>
      <c r="N11" s="38">
        <f>E11*P4</f>
        <v>345.28554183222712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32.884337317354969</v>
      </c>
      <c r="S11" s="36">
        <f t="shared" si="3"/>
        <v>1982.5840815828915</v>
      </c>
      <c r="T11" s="28">
        <f>IF('[1]Calculo ISR '!$O$34&gt;0,0,'[1]Calculo ISR '!$O$34)*-1</f>
        <v>0</v>
      </c>
      <c r="U11" s="39">
        <f t="shared" si="2"/>
        <v>1430.8101319585539</v>
      </c>
      <c r="V11" s="39">
        <f t="shared" si="1"/>
        <v>385.5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242.09274535320057</v>
      </c>
      <c r="E12" s="36">
        <v>3631.3911802980087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E12*Q4</f>
        <v>137.99286485132433</v>
      </c>
      <c r="K12" s="36">
        <f t="shared" si="4"/>
        <v>3769.3840451493329</v>
      </c>
      <c r="L12" s="36">
        <f t="shared" si="0"/>
        <v>4154.8840451493325</v>
      </c>
      <c r="M12" s="28">
        <f>IF('[1]Calculo ISR '!$P$34&lt;0,0,'[1]Calculo ISR '!$P$34)</f>
        <v>312.18984722389325</v>
      </c>
      <c r="N12" s="38">
        <f>E12*P4</f>
        <v>381.29607393129089</v>
      </c>
      <c r="O12" s="38">
        <v>1170</v>
      </c>
      <c r="P12" s="38">
        <f>'[1]HT-ADMINISTRATIVOS'!Q14</f>
        <v>0</v>
      </c>
      <c r="Q12" s="38">
        <f>'[1]HT-ADMINISTRATIVOS'!R14</f>
        <v>0</v>
      </c>
      <c r="R12" s="38">
        <f>E12*O4</f>
        <v>36.313911802980087</v>
      </c>
      <c r="S12" s="36">
        <f t="shared" si="3"/>
        <v>1899.7998329581642</v>
      </c>
      <c r="T12" s="28">
        <f>IF('[1]Calculo ISR '!$P$34&gt;0,0,'[1]Calculo ISR '!$P$34)*-1</f>
        <v>0</v>
      </c>
      <c r="U12" s="39">
        <f t="shared" si="2"/>
        <v>1869.5842121911687</v>
      </c>
      <c r="V12" s="39">
        <f t="shared" si="1"/>
        <v>385.5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171.33947607512999</v>
      </c>
      <c r="E13" s="36">
        <v>2570.0921411269501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E13*Q4</f>
        <v>97.663501362824107</v>
      </c>
      <c r="K13" s="36">
        <f t="shared" si="4"/>
        <v>2667.7556424897743</v>
      </c>
      <c r="L13" s="36">
        <f>K13+G13+T13</f>
        <v>3053.2556424897743</v>
      </c>
      <c r="M13" s="28">
        <f>IF('[1]Calculo ISR '!$Q$34&lt;0,0,'[1]Calculo ISR '!$Q$34)</f>
        <v>40.818725902887451</v>
      </c>
      <c r="N13" s="38">
        <f>E13*P4</f>
        <v>269.85967481832972</v>
      </c>
      <c r="O13" s="38">
        <v>584</v>
      </c>
      <c r="P13" s="38">
        <f>'[1]HT-ADMINISTRATIVOS'!Q15</f>
        <v>0</v>
      </c>
      <c r="Q13" s="38">
        <f>'[1]HT-ADMINISTRATIVOS'!R15</f>
        <v>0</v>
      </c>
      <c r="R13" s="38">
        <f>E13*O4</f>
        <v>25.700921411269501</v>
      </c>
      <c r="S13" s="36">
        <f t="shared" si="3"/>
        <v>920.37932213248666</v>
      </c>
      <c r="T13" s="28">
        <f>IF('[1]Calculo ISR '!$Q$34&gt;0,0,'[1]Calculo ISR '!$Q$34)</f>
        <v>0</v>
      </c>
      <c r="U13" s="39">
        <f t="shared" si="2"/>
        <v>1747.3763203572876</v>
      </c>
      <c r="V13" s="39">
        <f t="shared" si="1"/>
        <v>385.5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163.00161009000001</v>
      </c>
      <c r="E14" s="36">
        <v>2445.02415135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E14*Q4</f>
        <v>92.910917751300005</v>
      </c>
      <c r="K14" s="36">
        <f t="shared" si="4"/>
        <v>2537.9350691013001</v>
      </c>
      <c r="L14" s="36">
        <f>K14+G14+T14</f>
        <v>2923.4350691013001</v>
      </c>
      <c r="M14" s="28">
        <f>IF('[1]Calculo ISR '!$R$34&lt;0,0,'[1]Calculo ISR '!$R$34)</f>
        <v>11.694247518221431</v>
      </c>
      <c r="N14" s="38">
        <f>E14*P4</f>
        <v>256.72753589174999</v>
      </c>
      <c r="O14" s="38">
        <v>625</v>
      </c>
      <c r="P14" s="38">
        <f>'[1]HT-ADMINISTRATIVOS'!Q16</f>
        <v>0</v>
      </c>
      <c r="Q14" s="38">
        <f>'[1]HT-ADMINISTRATIVOS'!R16</f>
        <v>0</v>
      </c>
      <c r="R14" s="38">
        <f>E14*O4</f>
        <v>24.4502415135</v>
      </c>
      <c r="S14" s="36">
        <f t="shared" si="3"/>
        <v>917.87202492347149</v>
      </c>
      <c r="T14" s="28">
        <f>IF('[1]Calculo ISR '!$R$34&gt;0,0,'[1]Calculo ISR '!$R$34)*-1</f>
        <v>0</v>
      </c>
      <c r="U14" s="39">
        <f t="shared" si="2"/>
        <v>1620.0630441778285</v>
      </c>
      <c r="V14" s="39">
        <f t="shared" si="1"/>
        <v>385.5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534.93837680832996</v>
      </c>
      <c r="E15" s="36">
        <v>8024.0756521249496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E15*L4</f>
        <v>152.45743739037403</v>
      </c>
      <c r="K15" s="36">
        <f t="shared" si="4"/>
        <v>8176.5330895153238</v>
      </c>
      <c r="L15" s="36">
        <f>K15+G15</f>
        <v>8562.0330895153238</v>
      </c>
      <c r="M15" s="28">
        <f>IF('[1]Calculo ISR '!$S$34&lt;0,0,'[1]Calculo ISR '!$S$34)</f>
        <v>1199.3182919204733</v>
      </c>
      <c r="N15" s="38">
        <f>E15*P4</f>
        <v>842.52794347311965</v>
      </c>
      <c r="O15" s="38">
        <v>2639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3"/>
        <v>4680.8462353935929</v>
      </c>
      <c r="T15" s="28">
        <f>IF('[1]Calculo ISR '!$S$34&gt;0,0,'[1]Calculo ISR '!$S$34)*-1</f>
        <v>0</v>
      </c>
      <c r="U15" s="39">
        <f t="shared" si="2"/>
        <v>3495.6868541217309</v>
      </c>
      <c r="V15" s="39">
        <f t="shared" si="1"/>
        <v>385.5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267.35834171124986</v>
      </c>
      <c r="E16" s="36">
        <v>4010.3751256687478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E16*L4</f>
        <v>76.197127387706203</v>
      </c>
      <c r="K16" s="36">
        <f t="shared" si="4"/>
        <v>4086.572253056454</v>
      </c>
      <c r="L16" s="36">
        <f>K16+G16</f>
        <v>4472.0722530564544</v>
      </c>
      <c r="M16" s="28">
        <f>IF('[1]Calculo ISR '!$T$34&lt;0,0,'[1]Calculo ISR '!$T$34)</f>
        <v>362.93996048903261</v>
      </c>
      <c r="N16" s="38">
        <f>E16*P4</f>
        <v>421.08938819521853</v>
      </c>
      <c r="O16" s="38">
        <v>1867.49</v>
      </c>
      <c r="P16" s="38"/>
      <c r="Q16" s="38"/>
      <c r="R16" s="38">
        <f>E16*O4</f>
        <v>40.103751256687481</v>
      </c>
      <c r="S16" s="36">
        <f>M16+N16+O16+Q16+R16+P16</f>
        <v>2691.6230999409386</v>
      </c>
      <c r="T16" s="28">
        <f>IF('[1]Calculo ISR '!$T$34&gt;0,0,'[1]Calculo ISR '!$T$34)*-1</f>
        <v>0</v>
      </c>
      <c r="U16" s="39">
        <f>K16-S16</f>
        <v>1394.9491531155154</v>
      </c>
      <c r="V16" s="39">
        <f t="shared" si="1"/>
        <v>385.5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230.34834514817072</v>
      </c>
      <c r="E17" s="36">
        <v>3455.2251772225609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7">
        <f>E17*L4</f>
        <v>65.649278367228661</v>
      </c>
      <c r="K17" s="36">
        <f t="shared" si="4"/>
        <v>3966.8744555897897</v>
      </c>
      <c r="L17" s="36">
        <f>K17+G17</f>
        <v>4352.3744555897902</v>
      </c>
      <c r="M17" s="28">
        <f>IF('[1]Calculo ISR '!$U$34&lt;0,0,'[1]Calculo ISR '!$U$34)</f>
        <v>343.7883128943663</v>
      </c>
      <c r="N17" s="38">
        <f>E17*P4</f>
        <v>362.79864360836888</v>
      </c>
      <c r="O17" s="38">
        <v>1532.6</v>
      </c>
      <c r="P17" s="38">
        <f>'[1]HT-ADMINISTRATIVOS'!Q19</f>
        <v>0</v>
      </c>
      <c r="Q17" s="38">
        <f>'[1]HT-ADMINISTRATIVOS'!R19</f>
        <v>0</v>
      </c>
      <c r="R17" s="38">
        <f>E17*O4</f>
        <v>34.55225177222561</v>
      </c>
      <c r="S17" s="36">
        <f t="shared" si="3"/>
        <v>2273.7392082749607</v>
      </c>
      <c r="T17" s="28">
        <f>IF('[1]Calculo ISR '!$U$34&gt;0,0,'[1]Calculo ISR '!$U$34)*-1</f>
        <v>0</v>
      </c>
      <c r="U17" s="39">
        <f t="shared" ref="U17:U32" si="5">K17-S17+T17</f>
        <v>1693.135247314829</v>
      </c>
      <c r="V17" s="39">
        <f t="shared" si="1"/>
        <v>385.5</v>
      </c>
      <c r="W17" s="51"/>
      <c r="X17" s="52"/>
    </row>
    <row r="18" spans="1:24" s="44" customFormat="1" ht="45" customHeight="1">
      <c r="A18" s="33" t="s">
        <v>49</v>
      </c>
      <c r="B18" s="43" t="s">
        <v>50</v>
      </c>
      <c r="C18" s="34">
        <v>15</v>
      </c>
      <c r="D18" s="50">
        <v>873.012693639492</v>
      </c>
      <c r="E18" s="36">
        <v>13095.19040459238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E18*L4</f>
        <v>248.80861768725521</v>
      </c>
      <c r="K18" s="36">
        <f t="shared" si="4"/>
        <v>13343.999022279635</v>
      </c>
      <c r="L18" s="36">
        <f>K18+G18</f>
        <v>13729.499022279635</v>
      </c>
      <c r="M18" s="28">
        <f>IF('[1]Calculo ISR '!$V$34&lt;0,0,'[1]Calculo ISR '!$V$34)</f>
        <v>2369.8207780401704</v>
      </c>
      <c r="N18" s="38">
        <f>E18*P4</f>
        <v>1374.9949924821999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3"/>
        <v>3744.8157705223703</v>
      </c>
      <c r="T18" s="28">
        <f>IF('[1]Calculo ISR '!$V$34&gt;0,0,'[1]Calculo ISR '!$V$34)*-1</f>
        <v>0</v>
      </c>
      <c r="U18" s="36">
        <f t="shared" si="5"/>
        <v>9599.1832517572657</v>
      </c>
      <c r="V18" s="36">
        <f t="shared" si="1"/>
        <v>385.5</v>
      </c>
      <c r="W18" s="46"/>
      <c r="X18" s="41"/>
    </row>
    <row r="19" spans="1:24" s="44" customFormat="1" ht="45" customHeight="1">
      <c r="A19" s="53" t="s">
        <v>51</v>
      </c>
      <c r="B19" s="53" t="s">
        <v>52</v>
      </c>
      <c r="C19" s="34">
        <v>15</v>
      </c>
      <c r="D19" s="50">
        <v>219.22891544903311</v>
      </c>
      <c r="E19" s="36">
        <v>3288.4337317354966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'[1]HT-ADMINISTRATIVOS'!I21</f>
        <v>0</v>
      </c>
      <c r="K19" s="36">
        <f t="shared" si="4"/>
        <v>3288.4337317354966</v>
      </c>
      <c r="L19" s="36">
        <f>K19+G19</f>
        <v>3673.9337317354966</v>
      </c>
      <c r="M19" s="28">
        <f>IF('[1]Calculo ISR '!$W$34&lt;0,0,'[1]Calculo ISR '!$W$34)</f>
        <v>128.59850201282202</v>
      </c>
      <c r="N19" s="38">
        <f>E19*P4</f>
        <v>345.28554183222712</v>
      </c>
      <c r="O19" s="38">
        <v>1320.77</v>
      </c>
      <c r="P19" s="38">
        <f>'[1]HT-ADMINISTRATIVOS'!Q21</f>
        <v>0</v>
      </c>
      <c r="Q19" s="38">
        <f>'[1]HT-ADMINISTRATIVOS'!R21</f>
        <v>0</v>
      </c>
      <c r="R19" s="38">
        <f>E19*O4</f>
        <v>32.884337317354969</v>
      </c>
      <c r="S19" s="36">
        <f t="shared" si="3"/>
        <v>1827.5383811624042</v>
      </c>
      <c r="T19" s="28">
        <f>IF('[1]Calculo ISR '!$W$34&gt;0,0,'[1]Calculo ISR '!$W$34)*-1</f>
        <v>0</v>
      </c>
      <c r="U19" s="36">
        <f t="shared" si="5"/>
        <v>1460.8953505730924</v>
      </c>
      <c r="V19" s="36">
        <f t="shared" si="1"/>
        <v>385.5</v>
      </c>
      <c r="W19" s="40"/>
      <c r="X19" s="41"/>
    </row>
    <row r="20" spans="1:24" s="44" customFormat="1" ht="45" customHeight="1">
      <c r="A20" s="53" t="s">
        <v>53</v>
      </c>
      <c r="B20" s="53" t="s">
        <v>54</v>
      </c>
      <c r="C20" s="34">
        <v>15</v>
      </c>
      <c r="D20" s="50">
        <v>148.1300975275</v>
      </c>
      <c r="E20" s="36">
        <v>2221.9514629125001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'[1]HT-ADMINISTRATIVOS'!I22</f>
        <v>0</v>
      </c>
      <c r="K20" s="36">
        <f t="shared" si="4"/>
        <v>2221.9514629125001</v>
      </c>
      <c r="L20" s="36">
        <f>K20+G20+T20</f>
        <v>2644.5362317476201</v>
      </c>
      <c r="M20" s="28">
        <f>IF('[1]Calculo ISR '!$X$34&lt;0,0,'[1]Calculo ISR '!$X$34)</f>
        <v>0</v>
      </c>
      <c r="N20" s="38">
        <f>E20*P4</f>
        <v>233.30490360581251</v>
      </c>
      <c r="O20" s="38">
        <v>716</v>
      </c>
      <c r="P20" s="38">
        <f>'[1]HT-ADMINISTRATIVOS'!Q22</f>
        <v>0</v>
      </c>
      <c r="Q20" s="38">
        <f>'[1]HT-ADMINISTRATIVOS'!R22</f>
        <v>0</v>
      </c>
      <c r="R20" s="38">
        <f>E20*O4</f>
        <v>22.219514629125001</v>
      </c>
      <c r="S20" s="36">
        <f t="shared" si="3"/>
        <v>971.52441823493757</v>
      </c>
      <c r="T20" s="28">
        <f>IF('[1]Calculo ISR '!$X$34&gt;0,0,('[1]Calculo ISR '!$X$34)*-1)</f>
        <v>37.084768835120002</v>
      </c>
      <c r="U20" s="39">
        <f t="shared" si="5"/>
        <v>1287.5118135126827</v>
      </c>
      <c r="V20" s="39">
        <f t="shared" si="1"/>
        <v>385.5</v>
      </c>
      <c r="W20" s="40"/>
      <c r="X20" s="41"/>
    </row>
    <row r="21" spans="1:24" s="44" customFormat="1" ht="45" customHeight="1">
      <c r="A21" s="53" t="s">
        <v>55</v>
      </c>
      <c r="B21" s="53" t="s">
        <v>56</v>
      </c>
      <c r="C21" s="34">
        <v>15</v>
      </c>
      <c r="D21" s="50">
        <v>148.19297316999999</v>
      </c>
      <c r="E21" s="36">
        <v>2222.8945975499996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'[1]HT-ADMINISTRATIVOS'!I23</f>
        <v>0</v>
      </c>
      <c r="K21" s="36">
        <f t="shared" si="4"/>
        <v>2668.8945975499996</v>
      </c>
      <c r="L21" s="36">
        <f>K21+G21+T21</f>
        <v>3054.3945975499996</v>
      </c>
      <c r="M21" s="28">
        <f>IF('[1]Calculo ISR '!$Y$34&lt;0,0,'[1]Calculo ISR '!$Y$34)</f>
        <v>40.942644213439934</v>
      </c>
      <c r="N21" s="38">
        <f>E21*P4</f>
        <v>233.40393274274996</v>
      </c>
      <c r="O21" s="38">
        <v>851.76</v>
      </c>
      <c r="P21" s="38">
        <f>'[1]HT-ADMINISTRATIVOS'!Q23</f>
        <v>0</v>
      </c>
      <c r="Q21" s="38">
        <f>'[1]HT-ADMINISTRATIVOS'!R23</f>
        <v>0</v>
      </c>
      <c r="R21" s="38">
        <f>E21*O4</f>
        <v>22.228945975499997</v>
      </c>
      <c r="S21" s="36">
        <f t="shared" si="3"/>
        <v>1148.3355229316899</v>
      </c>
      <c r="T21" s="28">
        <f>IF('[1]Calculo ISR '!$Y$34&gt;0,0,'[1]Calculo ISR '!$Y$34)*-1</f>
        <v>0</v>
      </c>
      <c r="U21" s="39">
        <f t="shared" si="5"/>
        <v>1520.5590746183098</v>
      </c>
      <c r="V21" s="39">
        <f t="shared" si="1"/>
        <v>385.5</v>
      </c>
      <c r="W21" s="40"/>
      <c r="X21" s="41"/>
    </row>
    <row r="22" spans="1:24" s="44" customFormat="1" ht="45" customHeight="1">
      <c r="A22" s="53" t="s">
        <v>57</v>
      </c>
      <c r="B22" s="53" t="s">
        <v>58</v>
      </c>
      <c r="C22" s="34">
        <v>15</v>
      </c>
      <c r="D22" s="50">
        <v>198.84487564290151</v>
      </c>
      <c r="E22" s="36">
        <v>2982.6731346435226</v>
      </c>
      <c r="F22" s="43"/>
      <c r="G22" s="36">
        <f>'[1]HT-ADMINISTRATIVOS'!G26</f>
        <v>385.5</v>
      </c>
      <c r="H22" s="36">
        <f>'[1]HT-ADMINISTRATIVOS'!H26</f>
        <v>0</v>
      </c>
      <c r="I22" s="36">
        <f>'[1]HT-ADMINISTRATIVOS'!J26</f>
        <v>0</v>
      </c>
      <c r="J22" s="37">
        <f>'[1]HT-ADMINISTRATIVOS'!I26</f>
        <v>0</v>
      </c>
      <c r="K22" s="36">
        <f t="shared" si="4"/>
        <v>2982.6731346435226</v>
      </c>
      <c r="L22" s="36">
        <f>K22+G22</f>
        <v>3368.1731346435226</v>
      </c>
      <c r="M22" s="28">
        <f>IF('[1]Calculo ISR '!$Z$34&lt;0,0,'[1]Calculo ISR '!$Z$34)</f>
        <v>75.081749049215233</v>
      </c>
      <c r="N22" s="38">
        <f>E22*P4</f>
        <v>313.18067913756988</v>
      </c>
      <c r="O22" s="38">
        <v>801</v>
      </c>
      <c r="P22" s="38">
        <f>'[1]HT-ADMINISTRATIVOS'!Q26</f>
        <v>0</v>
      </c>
      <c r="Q22" s="38">
        <f>'[1]HT-ADMINISTRATIVOS'!R26</f>
        <v>0</v>
      </c>
      <c r="R22" s="38">
        <f>E22*O4</f>
        <v>29.826731346435228</v>
      </c>
      <c r="S22" s="36">
        <f t="shared" si="3"/>
        <v>1219.0891595332205</v>
      </c>
      <c r="T22" s="28">
        <f>IF('[1]Calculo ISR '!$Z$34&gt;0,0,'[1]Calculo ISR '!$Z$34)*-1</f>
        <v>0</v>
      </c>
      <c r="U22" s="39">
        <f t="shared" si="5"/>
        <v>1763.5839751103022</v>
      </c>
      <c r="V22" s="39">
        <f t="shared" si="1"/>
        <v>385.5</v>
      </c>
      <c r="W22" s="40"/>
      <c r="X22" s="41"/>
    </row>
    <row r="23" spans="1:24" s="44" customFormat="1" ht="45" customHeight="1">
      <c r="A23" s="53" t="s">
        <v>59</v>
      </c>
      <c r="B23" s="53" t="s">
        <v>60</v>
      </c>
      <c r="C23" s="34">
        <v>15</v>
      </c>
      <c r="D23" s="50">
        <v>198.84487558991</v>
      </c>
      <c r="E23" s="36">
        <v>2982.6731338486502</v>
      </c>
      <c r="F23" s="43"/>
      <c r="G23" s="36">
        <f>'[1]HT-ADMINISTRATIVOS'!G27</f>
        <v>385.5</v>
      </c>
      <c r="H23" s="36">
        <f>'[1]HT-ADMINISTRATIVOS'!H27</f>
        <v>0</v>
      </c>
      <c r="I23" s="36">
        <f>'[1]HT-ADMINISTRATIVOS'!J27</f>
        <v>0</v>
      </c>
      <c r="J23" s="37">
        <f>'[1]HT-ADMINISTRATIVOS'!I27</f>
        <v>0</v>
      </c>
      <c r="K23" s="36">
        <f t="shared" si="4"/>
        <v>2982.6731338486502</v>
      </c>
      <c r="L23" s="36">
        <f>K23+G23</f>
        <v>3368.1731338486502</v>
      </c>
      <c r="M23" s="28">
        <f>IF('[1]Calculo ISR '!$AA$34&lt;0,0,'[1]Calculo ISR '!$AA$34)</f>
        <v>75.081748962733116</v>
      </c>
      <c r="N23" s="38">
        <f>E23*P4</f>
        <v>313.18067905410828</v>
      </c>
      <c r="O23" s="38">
        <f>'[1]HT-ADMINISTRATIVOS'!P27</f>
        <v>0</v>
      </c>
      <c r="P23" s="38">
        <f>'[1]HT-ADMINISTRATIVOS'!Q27</f>
        <v>0</v>
      </c>
      <c r="Q23" s="38">
        <f>'[1]HT-ADMINISTRATIVOS'!R27</f>
        <v>0</v>
      </c>
      <c r="R23" s="38">
        <f>E23*O4</f>
        <v>29.826731338486503</v>
      </c>
      <c r="S23" s="36">
        <f t="shared" si="3"/>
        <v>418.08915935532792</v>
      </c>
      <c r="T23" s="28">
        <f>IF('[1]Calculo ISR '!$AA$34&gt;0,0,'[1]Calculo ISR '!$AA$34)*-1</f>
        <v>0</v>
      </c>
      <c r="U23" s="39">
        <f t="shared" si="5"/>
        <v>2564.5839744933223</v>
      </c>
      <c r="V23" s="39">
        <f t="shared" si="1"/>
        <v>385.5</v>
      </c>
      <c r="W23" s="40"/>
      <c r="X23" s="41"/>
    </row>
    <row r="24" spans="1:24" s="44" customFormat="1" ht="45" customHeight="1">
      <c r="A24" s="54" t="s">
        <v>61</v>
      </c>
      <c r="B24" s="55" t="s">
        <v>62</v>
      </c>
      <c r="C24" s="34">
        <v>15</v>
      </c>
      <c r="D24" s="50">
        <v>198.84487558991</v>
      </c>
      <c r="E24" s="36">
        <v>2982.6731338486502</v>
      </c>
      <c r="F24" s="43"/>
      <c r="G24" s="36">
        <f>'[1]HT-ADMINISTRATIVOS'!G28</f>
        <v>385.5</v>
      </c>
      <c r="H24" s="36">
        <f>'[1]HT-ADMINISTRATIVOS'!H28</f>
        <v>446</v>
      </c>
      <c r="I24" s="36">
        <f>'[1]HT-ADMINISTRATIVOS'!J28</f>
        <v>0</v>
      </c>
      <c r="J24" s="37">
        <f>'[1]HT-ADMINISTRATIVOS'!I28</f>
        <v>0</v>
      </c>
      <c r="K24" s="36">
        <f t="shared" si="4"/>
        <v>3428.6731338486502</v>
      </c>
      <c r="L24" s="36">
        <f>K24+G24</f>
        <v>3814.1731338486502</v>
      </c>
      <c r="M24" s="28">
        <f>IF('[1]Calculo ISR '!$AB$34&lt;0,0,'[1]Calculo ISR '!$AB$34)</f>
        <v>143.85654896273311</v>
      </c>
      <c r="N24" s="38">
        <f>E24*P4</f>
        <v>313.18067905410828</v>
      </c>
      <c r="O24" s="38">
        <v>215.8</v>
      </c>
      <c r="P24" s="38">
        <f>'[1]HT-ADMINISTRATIVOS'!Q28</f>
        <v>0</v>
      </c>
      <c r="Q24" s="38">
        <f>'[1]HT-ADMINISTRATIVOS'!R28</f>
        <v>0</v>
      </c>
      <c r="R24" s="38">
        <f>E24*O4</f>
        <v>29.826731338486503</v>
      </c>
      <c r="S24" s="36">
        <f t="shared" si="3"/>
        <v>702.66395935532796</v>
      </c>
      <c r="T24" s="28">
        <f>IF('[1]Calculo ISR '!$AB$34&gt;0,0,'[1]Calculo ISR '!$AB$34)*-1</f>
        <v>0</v>
      </c>
      <c r="U24" s="39">
        <f t="shared" si="5"/>
        <v>2726.0091744933225</v>
      </c>
      <c r="V24" s="39">
        <f t="shared" si="1"/>
        <v>385.5</v>
      </c>
      <c r="W24" s="40"/>
      <c r="X24" s="41"/>
    </row>
    <row r="25" spans="1:24" s="44" customFormat="1" ht="45" customHeight="1">
      <c r="A25" s="54" t="s">
        <v>63</v>
      </c>
      <c r="B25" s="55" t="s">
        <v>64</v>
      </c>
      <c r="C25" s="34">
        <v>15</v>
      </c>
      <c r="D25" s="50">
        <v>180.11154727500002</v>
      </c>
      <c r="E25" s="36">
        <v>2701.6732091250005</v>
      </c>
      <c r="F25" s="43"/>
      <c r="G25" s="36">
        <f>'[1]HT-ADMINISTRATIVOS'!G29</f>
        <v>385.5</v>
      </c>
      <c r="H25" s="36">
        <f>'[1]HT-ADMINISTRATIVOS'!H29</f>
        <v>892</v>
      </c>
      <c r="I25" s="36">
        <f>'[1]HT-ADMINISTRATIVOS'!J29</f>
        <v>0</v>
      </c>
      <c r="J25" s="37">
        <f>'[1]HT-ADMINISTRATIVOS'!I29</f>
        <v>0</v>
      </c>
      <c r="K25" s="36">
        <f t="shared" si="4"/>
        <v>3593.6732091250005</v>
      </c>
      <c r="L25" s="36">
        <f>K25+G25</f>
        <v>3979.1732091250005</v>
      </c>
      <c r="M25" s="28">
        <f>IF('[1]Calculo ISR '!$AC$34&lt;0,0,'[1]Calculo ISR '!$AC$34)</f>
        <v>179.50855715280002</v>
      </c>
      <c r="N25" s="38">
        <f>E25*P4</f>
        <v>283.67568695812503</v>
      </c>
      <c r="O25" s="38">
        <f>'[1]HT-ADMINISTRATIVOS'!P29</f>
        <v>581</v>
      </c>
      <c r="P25" s="38">
        <f>'[1]HT-ADMINISTRATIVOS'!Q29</f>
        <v>0</v>
      </c>
      <c r="Q25" s="38">
        <f>'[1]HT-ADMINISTRATIVOS'!R29</f>
        <v>0</v>
      </c>
      <c r="R25" s="38">
        <f>E25*O4</f>
        <v>27.016732091250006</v>
      </c>
      <c r="S25" s="36">
        <f t="shared" si="3"/>
        <v>1071.2009762021753</v>
      </c>
      <c r="T25" s="28">
        <f>IF('[1]Calculo ISR '!$AC$34&gt;0,0,'[1]Calculo ISR '!$AC$34)*-1</f>
        <v>0</v>
      </c>
      <c r="U25" s="39">
        <f t="shared" si="5"/>
        <v>2522.4722329228252</v>
      </c>
      <c r="V25" s="39">
        <f t="shared" si="1"/>
        <v>385.5</v>
      </c>
      <c r="W25" s="40"/>
      <c r="X25" s="41"/>
    </row>
    <row r="26" spans="1:24" s="44" customFormat="1" ht="45" customHeight="1">
      <c r="A26" s="56" t="s">
        <v>65</v>
      </c>
      <c r="B26" s="55" t="s">
        <v>66</v>
      </c>
      <c r="C26" s="34">
        <v>15</v>
      </c>
      <c r="D26" s="50">
        <v>141.57938707</v>
      </c>
      <c r="E26" s="36">
        <v>2123.69080605</v>
      </c>
      <c r="F26" s="43"/>
      <c r="G26" s="36">
        <f>'[1]HT-ADMINISTRATIVOS'!G31</f>
        <v>385.5</v>
      </c>
      <c r="H26" s="36">
        <f>'[1]HT-ADMINISTRATIVOS'!H31</f>
        <v>446</v>
      </c>
      <c r="I26" s="36">
        <f>'[1]HT-ADMINISTRATIVOS'!J31</f>
        <v>0</v>
      </c>
      <c r="J26" s="37">
        <f>'[1]HT-ADMINISTRATIVOS'!I31</f>
        <v>0</v>
      </c>
      <c r="K26" s="36">
        <f t="shared" si="4"/>
        <v>2569.69080605</v>
      </c>
      <c r="L26" s="36">
        <f>K26+G26+T26</f>
        <v>2955.19080605</v>
      </c>
      <c r="M26" s="28">
        <f>IF('[1]Calculo ISR '!$AD$34&lt;0,0,'[1]Calculo ISR '!$AD$34)</f>
        <v>15.149271698239971</v>
      </c>
      <c r="N26" s="38">
        <f>E26*P4</f>
        <v>222.98753463525</v>
      </c>
      <c r="O26" s="38">
        <f>'[1]HT-ADMINISTRATIVOS'!P31</f>
        <v>0</v>
      </c>
      <c r="P26" s="38">
        <f>'[1]HT-ADMINISTRATIVOS'!Q31</f>
        <v>0</v>
      </c>
      <c r="Q26" s="38">
        <f>'[1]HT-ADMINISTRATIVOS'!R31</f>
        <v>0</v>
      </c>
      <c r="R26" s="38">
        <f>E26*O4</f>
        <v>21.236908060499999</v>
      </c>
      <c r="S26" s="36">
        <f t="shared" si="3"/>
        <v>259.37371439398999</v>
      </c>
      <c r="T26" s="28">
        <f>IF('[1]Calculo ISR '!$AD$34&gt;0,0,'[1]Calculo ISR '!$AD$34)*-1</f>
        <v>0</v>
      </c>
      <c r="U26" s="39">
        <f t="shared" si="5"/>
        <v>2310.3170916560102</v>
      </c>
      <c r="V26" s="39">
        <f t="shared" si="1"/>
        <v>385.5</v>
      </c>
      <c r="W26" s="40"/>
      <c r="X26" s="41"/>
    </row>
    <row r="27" spans="1:24" s="44" customFormat="1" ht="45" customHeight="1">
      <c r="A27" s="56" t="s">
        <v>67</v>
      </c>
      <c r="B27" s="57" t="s">
        <v>68</v>
      </c>
      <c r="C27" s="34">
        <v>15</v>
      </c>
      <c r="D27" s="50">
        <v>534.93837680832996</v>
      </c>
      <c r="E27" s="36">
        <v>8024.0756521249496</v>
      </c>
      <c r="F27" s="43"/>
      <c r="G27" s="36">
        <f>'[1]HT-ADMINISTRATIVOS'!G32</f>
        <v>385.5</v>
      </c>
      <c r="H27" s="36">
        <f>'[1]HT-ADMINISTRATIVOS'!H32</f>
        <v>0</v>
      </c>
      <c r="I27" s="36">
        <f>'[1]HT-ADMINISTRATIVOS'!J32</f>
        <v>0</v>
      </c>
      <c r="J27" s="37">
        <f>E27*L4</f>
        <v>152.45743739037403</v>
      </c>
      <c r="K27" s="36">
        <f t="shared" si="4"/>
        <v>8176.5330895153238</v>
      </c>
      <c r="L27" s="36">
        <f>K27+G27</f>
        <v>8562.0330895153238</v>
      </c>
      <c r="M27" s="28">
        <f>IF('[1]Calculo ISR '!$AE$34&lt;0,0,'[1]Calculo ISR '!$AE$34)</f>
        <v>1199.3182919204733</v>
      </c>
      <c r="N27" s="38">
        <f>E27*P4</f>
        <v>842.52794347311965</v>
      </c>
      <c r="O27" s="38">
        <v>2150.31</v>
      </c>
      <c r="P27" s="38">
        <f>'[1]HT-ADMINISTRATIVOS'!Q32</f>
        <v>0</v>
      </c>
      <c r="Q27" s="38">
        <f>'[1]HT-ADMINISTRATIVOS'!R32</f>
        <v>0</v>
      </c>
      <c r="R27" s="38">
        <f>'[1]HT-ADMINISTRATIVOS'!S32</f>
        <v>0</v>
      </c>
      <c r="S27" s="36">
        <f t="shared" si="3"/>
        <v>4192.1562353935933</v>
      </c>
      <c r="T27" s="28">
        <f>IF('[1]Calculo ISR '!$AE$34&gt;0,0,'[1]Calculo ISR '!$AE$34)*-1</f>
        <v>0</v>
      </c>
      <c r="U27" s="39">
        <f t="shared" si="5"/>
        <v>3984.3768541217305</v>
      </c>
      <c r="V27" s="39">
        <f t="shared" si="1"/>
        <v>385.5</v>
      </c>
      <c r="W27" s="40"/>
      <c r="X27" s="41"/>
    </row>
    <row r="28" spans="1:24" s="44" customFormat="1" ht="45" customHeight="1">
      <c r="A28" s="58" t="s">
        <v>69</v>
      </c>
      <c r="B28" s="59" t="s">
        <v>70</v>
      </c>
      <c r="C28" s="34">
        <v>15</v>
      </c>
      <c r="D28" s="50">
        <v>230.34834514817072</v>
      </c>
      <c r="E28" s="36">
        <v>3455.2251772225609</v>
      </c>
      <c r="F28" s="43"/>
      <c r="G28" s="36">
        <v>385.5</v>
      </c>
      <c r="H28" s="36">
        <f>'[1]HT-ADMINISTRATIVOS'!H33</f>
        <v>0</v>
      </c>
      <c r="I28" s="36">
        <f>'[1]HT-ADMINISTRATIVOS'!J33</f>
        <v>0</v>
      </c>
      <c r="J28" s="37">
        <f>'[1]HT-ADMINISTRATIVOS'!I33</f>
        <v>0</v>
      </c>
      <c r="K28" s="36">
        <f t="shared" si="4"/>
        <v>3455.2251772225609</v>
      </c>
      <c r="L28" s="36">
        <f>K28+G28</f>
        <v>3840.7251772225609</v>
      </c>
      <c r="M28" s="28">
        <f>IF('[1]Calculo ISR '!$AF$34&lt;0,0,'[1]Calculo ISR '!$AF$34)</f>
        <v>146.74541128181463</v>
      </c>
      <c r="N28" s="38">
        <f>E28*P4</f>
        <v>362.79864360836888</v>
      </c>
      <c r="O28" s="38"/>
      <c r="P28" s="38">
        <f>[3]descuentos!D12</f>
        <v>0</v>
      </c>
      <c r="Q28" s="38"/>
      <c r="R28" s="38">
        <f>E28*O4</f>
        <v>34.55225177222561</v>
      </c>
      <c r="S28" s="36">
        <f>M28+N28+O28+R28+P28+Q28</f>
        <v>544.09630666240912</v>
      </c>
      <c r="T28" s="28">
        <f>IF('[1]Calculo ISR '!$AF$34&gt;0,0,'[1]Calculo ISR '!$AF$34)*-1</f>
        <v>0</v>
      </c>
      <c r="U28" s="39">
        <f t="shared" si="5"/>
        <v>2911.1288705601519</v>
      </c>
      <c r="V28" s="39">
        <v>385.5</v>
      </c>
      <c r="W28" s="40"/>
      <c r="X28" s="41"/>
    </row>
    <row r="29" spans="1:24" s="44" customFormat="1" ht="45" customHeight="1">
      <c r="A29" s="60" t="s">
        <v>71</v>
      </c>
      <c r="B29" s="61" t="s">
        <v>72</v>
      </c>
      <c r="C29" s="62">
        <v>15</v>
      </c>
      <c r="D29" s="50">
        <v>141.57938707</v>
      </c>
      <c r="E29" s="39">
        <v>2123.69080605</v>
      </c>
      <c r="F29" s="63"/>
      <c r="G29" s="39">
        <f>'[1]HT-ADMINISTRATIVOS'!G35</f>
        <v>385.5</v>
      </c>
      <c r="H29" s="39">
        <f>'[1]HT-ADMINISTRATIVOS'!H35</f>
        <v>0</v>
      </c>
      <c r="I29" s="39">
        <f>'[1]HT-ADMINISTRATIVOS'!J35</f>
        <v>0</v>
      </c>
      <c r="J29" s="64">
        <f>'[1]HT-ADMINISTRATIVOS'!I35</f>
        <v>0</v>
      </c>
      <c r="K29" s="39">
        <f t="shared" si="4"/>
        <v>2123.69080605</v>
      </c>
      <c r="L29" s="39">
        <f>K29+G29+T29</f>
        <v>2570.9163343517598</v>
      </c>
      <c r="M29" s="28">
        <f>IF('[1]Calculo ISR '!$AG$34&lt;0,0,'[1]Calculo ISR '!$AG$34)</f>
        <v>0</v>
      </c>
      <c r="N29" s="38">
        <f>E29*P4</f>
        <v>222.98753463525</v>
      </c>
      <c r="O29" s="38">
        <f>'[1]HT-ADMINISTRATIVOS'!P35</f>
        <v>0</v>
      </c>
      <c r="P29" s="38">
        <f>'[1]HT-ADMINISTRATIVOS'!Q35</f>
        <v>0</v>
      </c>
      <c r="Q29" s="38">
        <f>'[1]HT-ADMINISTRATIVOS'!R35</f>
        <v>0</v>
      </c>
      <c r="R29" s="38">
        <f>E29*O4</f>
        <v>21.236908060499999</v>
      </c>
      <c r="S29" s="36">
        <f t="shared" si="3"/>
        <v>244.22444269574999</v>
      </c>
      <c r="T29" s="28">
        <f>IF('[1]Calculo ISR '!$AG$34&gt;0,0,'[1]Calculo ISR '!$AG$34)*-1</f>
        <v>61.725528301760008</v>
      </c>
      <c r="U29" s="39">
        <f t="shared" si="5"/>
        <v>1941.1918916560101</v>
      </c>
      <c r="V29" s="39">
        <f>G29</f>
        <v>385.5</v>
      </c>
      <c r="W29" s="65"/>
      <c r="X29" s="41"/>
    </row>
    <row r="30" spans="1:24" s="48" customFormat="1" ht="45" customHeight="1">
      <c r="A30" s="53" t="s">
        <v>73</v>
      </c>
      <c r="B30" s="61" t="s">
        <v>74</v>
      </c>
      <c r="C30" s="66">
        <v>15</v>
      </c>
      <c r="D30" s="50">
        <v>534.93837680832996</v>
      </c>
      <c r="E30" s="36">
        <v>8024.0756521249496</v>
      </c>
      <c r="F30" s="43"/>
      <c r="G30" s="36">
        <f>'[1]HT-ADMINISTRATIVOS'!G36</f>
        <v>385.5</v>
      </c>
      <c r="H30" s="36">
        <f>'[1]HT-ADMINISTRATIVOS'!H36</f>
        <v>0</v>
      </c>
      <c r="I30" s="36">
        <f>'[1]HT-ADMINISTRATIVOS'!J36</f>
        <v>0</v>
      </c>
      <c r="J30" s="37">
        <f>'[1]HT-ADMINISTRATIVOS'!I36</f>
        <v>0</v>
      </c>
      <c r="K30" s="36">
        <f t="shared" si="4"/>
        <v>8024.0756521249496</v>
      </c>
      <c r="L30" s="36">
        <f>K30+G30</f>
        <v>8409.5756521249496</v>
      </c>
      <c r="M30" s="28">
        <f>IF('[1]Calculo ISR '!$AH$34&lt;0,0,'[1]Calculo ISR '!$AH$34)</f>
        <v>1166.7533832938893</v>
      </c>
      <c r="N30" s="38">
        <f>E30*P4</f>
        <v>842.52794347311965</v>
      </c>
      <c r="O30" s="38">
        <f>'[1]HT-ADMINISTRATIVOS'!P36</f>
        <v>0</v>
      </c>
      <c r="P30" s="38">
        <f>'[1]HT-ADMINISTRATIVOS'!Q36</f>
        <v>0</v>
      </c>
      <c r="Q30" s="38">
        <f>'[1]HT-ADMINISTRATIVOS'!R36</f>
        <v>0</v>
      </c>
      <c r="R30" s="38">
        <f>'[1]HT-ADMINISTRATIVOS'!S36</f>
        <v>0</v>
      </c>
      <c r="S30" s="36">
        <f t="shared" si="3"/>
        <v>2009.281326767009</v>
      </c>
      <c r="T30" s="28">
        <f>IF('[1]Calculo ISR '!$AH$34&gt;0,0,'[1]Calculo ISR '!$AH$34)*-1</f>
        <v>0</v>
      </c>
      <c r="U30" s="36">
        <f t="shared" si="5"/>
        <v>6014.7943253579406</v>
      </c>
      <c r="V30" s="36">
        <f>G30</f>
        <v>385.5</v>
      </c>
      <c r="W30" s="67"/>
      <c r="X30" s="47"/>
    </row>
    <row r="31" spans="1:24" s="44" customFormat="1" ht="45" customHeight="1">
      <c r="A31" s="68" t="s">
        <v>75</v>
      </c>
      <c r="B31" s="61" t="s">
        <v>76</v>
      </c>
      <c r="C31" s="62">
        <v>15</v>
      </c>
      <c r="D31" s="50">
        <v>141.57938707</v>
      </c>
      <c r="E31" s="39">
        <v>2123.69080605</v>
      </c>
      <c r="F31" s="63"/>
      <c r="G31" s="39">
        <f>'[1]HT-ADMINISTRATIVOS'!G37</f>
        <v>385.5</v>
      </c>
      <c r="H31" s="39">
        <f>'[1]HT-ADMINISTRATIVOS'!H37</f>
        <v>0</v>
      </c>
      <c r="I31" s="39">
        <f>'[1]HT-ADMINISTRATIVOS'!J37</f>
        <v>0</v>
      </c>
      <c r="J31" s="64">
        <f>'[1]HT-ADMINISTRATIVOS'!I37</f>
        <v>0</v>
      </c>
      <c r="K31" s="39">
        <f t="shared" si="4"/>
        <v>2123.69080605</v>
      </c>
      <c r="L31" s="39">
        <f>K31+G31+T31</f>
        <v>2570.9163343517598</v>
      </c>
      <c r="M31" s="28">
        <f>IF('[1]Calculo ISR '!$AI$34&lt;0,0,'[1]Calculo ISR '!$AI$34)</f>
        <v>0</v>
      </c>
      <c r="N31" s="38">
        <f>E31*P4</f>
        <v>222.98753463525</v>
      </c>
      <c r="O31" s="38">
        <f>'[1]HT-ADMINISTRATIVOS'!P37</f>
        <v>0</v>
      </c>
      <c r="P31" s="38">
        <f>'[1]HT-ADMINISTRATIVOS'!Q37</f>
        <v>0</v>
      </c>
      <c r="Q31" s="38">
        <f>'[1]HT-ADMINISTRATIVOS'!R37</f>
        <v>0</v>
      </c>
      <c r="R31" s="38">
        <f>E31*O4</f>
        <v>21.236908060499999</v>
      </c>
      <c r="S31" s="36">
        <f t="shared" si="3"/>
        <v>244.22444269574999</v>
      </c>
      <c r="T31" s="28">
        <f>IF('[1]Calculo ISR '!$AI$34&gt;0,0,'[1]Calculo ISR '!$AI$34)*-1</f>
        <v>61.725528301760008</v>
      </c>
      <c r="U31" s="39">
        <f t="shared" si="5"/>
        <v>1941.1918916560101</v>
      </c>
      <c r="V31" s="39">
        <f>G31</f>
        <v>385.5</v>
      </c>
      <c r="W31" s="65"/>
      <c r="X31" s="41"/>
    </row>
    <row r="32" spans="1:24" s="75" customFormat="1" ht="45" customHeight="1">
      <c r="A32" s="69" t="s">
        <v>77</v>
      </c>
      <c r="B32" s="70" t="s">
        <v>78</v>
      </c>
      <c r="C32" s="71">
        <v>15</v>
      </c>
      <c r="D32" s="72">
        <v>873.012693639492</v>
      </c>
      <c r="E32" s="73">
        <v>13095.19040459238</v>
      </c>
      <c r="F32" s="73">
        <f>'[1]HT-ADMINISTRATIVOS'!F38</f>
        <v>0</v>
      </c>
      <c r="G32" s="73">
        <v>385.5</v>
      </c>
      <c r="H32" s="73">
        <f>'[1]HT-ADMINISTRATIVOS'!H38</f>
        <v>0</v>
      </c>
      <c r="I32" s="73">
        <f>'[1]HT-ADMINISTRATIVOS'!I38</f>
        <v>0</v>
      </c>
      <c r="J32" s="73">
        <f>'[1]HT-ADMINISTRATIVOS'!J38</f>
        <v>0</v>
      </c>
      <c r="K32" s="73">
        <f t="shared" si="4"/>
        <v>13095.19040459238</v>
      </c>
      <c r="L32" s="73">
        <f>K32+G32</f>
        <v>13480.69040459238</v>
      </c>
      <c r="M32" s="28">
        <f>IF('[1]Calculo ISR '!$AJ$34&lt;0,0,'[1]Calculo ISR '!$AJ$34)</f>
        <v>2311.300991160128</v>
      </c>
      <c r="N32" s="73">
        <f>E32*P4</f>
        <v>1374.9949924821999</v>
      </c>
      <c r="O32" s="73">
        <f>'[1]HT-ADMINISTRATIVOS'!P38</f>
        <v>0</v>
      </c>
      <c r="P32" s="73">
        <f>'[1]HT-ADMINISTRATIVOS'!Q38</f>
        <v>0</v>
      </c>
      <c r="Q32" s="73">
        <f>'[1]HT-ADMINISTRATIVOS'!R38</f>
        <v>0</v>
      </c>
      <c r="R32" s="73">
        <f>'[1]HT-ADMINISTRATIVOS'!S38</f>
        <v>0</v>
      </c>
      <c r="S32" s="73">
        <f t="shared" ref="S32:S39" si="6">M32+N32+O32+P32+Q32+R32</f>
        <v>3686.2959836423279</v>
      </c>
      <c r="T32" s="28">
        <f>IF('[1]Calculo ISR '!$AJ$34&gt;0,0,'[1]Calculo ISR '!$AJ$34)*-1</f>
        <v>0</v>
      </c>
      <c r="U32" s="73">
        <f t="shared" si="5"/>
        <v>9408.8944209500514</v>
      </c>
      <c r="V32" s="73">
        <v>385.5</v>
      </c>
      <c r="W32" s="74"/>
      <c r="X32" s="41"/>
    </row>
    <row r="33" spans="1:26" s="81" customFormat="1" ht="45" customHeight="1">
      <c r="A33" s="53" t="s">
        <v>79</v>
      </c>
      <c r="B33" s="61" t="s">
        <v>80</v>
      </c>
      <c r="C33" s="66">
        <v>15</v>
      </c>
      <c r="D33" s="76">
        <v>534.93837680832996</v>
      </c>
      <c r="E33" s="50">
        <v>8024.0756521249496</v>
      </c>
      <c r="F33" s="50"/>
      <c r="G33" s="77">
        <f>385.5</f>
        <v>385.5</v>
      </c>
      <c r="H33" s="50"/>
      <c r="I33" s="50"/>
      <c r="J33" s="50"/>
      <c r="K33" s="78">
        <f t="shared" si="4"/>
        <v>8024.0756521249496</v>
      </c>
      <c r="L33" s="78">
        <f>K33+G33</f>
        <v>8409.5756521249496</v>
      </c>
      <c r="M33" s="28">
        <f>IF('[1]Calculo ISR '!$AK$34&lt;0,0,'[1]Calculo ISR '!$AK$34)</f>
        <v>1166.7533832938893</v>
      </c>
      <c r="N33" s="79">
        <f>E33*P4</f>
        <v>842.52794347311965</v>
      </c>
      <c r="O33" s="78"/>
      <c r="P33" s="50"/>
      <c r="Q33" s="78"/>
      <c r="R33" s="50"/>
      <c r="S33" s="50">
        <f t="shared" si="6"/>
        <v>2009.281326767009</v>
      </c>
      <c r="T33" s="28">
        <f>IF('[1]Calculo ISR '!$AK$34&gt;0,0,'[1]Calculo ISR '!$AK$34)*-1</f>
        <v>0</v>
      </c>
      <c r="U33" s="79">
        <f>K33-S33</f>
        <v>6014.7943253579406</v>
      </c>
      <c r="V33" s="73">
        <v>385.5</v>
      </c>
      <c r="W33" s="80"/>
      <c r="X33" s="47"/>
    </row>
    <row r="34" spans="1:26" s="75" customFormat="1" ht="45" customHeight="1">
      <c r="A34" s="82" t="s">
        <v>83</v>
      </c>
      <c r="B34" s="89" t="s">
        <v>84</v>
      </c>
      <c r="C34" s="62">
        <v>15</v>
      </c>
      <c r="D34" s="76">
        <v>180.10895980000001</v>
      </c>
      <c r="E34" s="84">
        <v>2701.6343970000003</v>
      </c>
      <c r="F34" s="84"/>
      <c r="G34" s="85">
        <f>385.5</f>
        <v>385.5</v>
      </c>
      <c r="H34" s="84">
        <v>892</v>
      </c>
      <c r="I34" s="84"/>
      <c r="J34" s="84"/>
      <c r="K34" s="78">
        <f t="shared" si="4"/>
        <v>3593.6343970000003</v>
      </c>
      <c r="L34" s="78">
        <f>K34+G34</f>
        <v>3979.1343970000003</v>
      </c>
      <c r="M34" s="28">
        <f>IF('[1]Calculo ISR '!$AM$34&lt;0,0,'[1]Calculo ISR '!$AM$34)</f>
        <v>179.50433439359998</v>
      </c>
      <c r="N34" s="90">
        <f>E34*P4</f>
        <v>283.67161168500002</v>
      </c>
      <c r="O34" s="78"/>
      <c r="P34" s="84"/>
      <c r="Q34" s="78"/>
      <c r="R34" s="84">
        <f>E34*O4</f>
        <v>27.016343970000005</v>
      </c>
      <c r="S34" s="84">
        <f>M34+N34+O34+P34+Q34+R34</f>
        <v>490.19229004859994</v>
      </c>
      <c r="T34" s="28">
        <f>IF('[1]Calculo ISR '!$AM$34&gt;0,0,'[1]Calculo ISR '!$AM$34)*-1</f>
        <v>0</v>
      </c>
      <c r="U34" s="79">
        <f t="shared" ref="U34:U39" si="7">K34-S34+T34</f>
        <v>3103.4421069514001</v>
      </c>
      <c r="V34" s="87">
        <v>385.5</v>
      </c>
      <c r="W34" s="88"/>
      <c r="X34" s="41"/>
    </row>
    <row r="35" spans="1:26" s="75" customFormat="1" ht="45" customHeight="1">
      <c r="A35" s="82" t="s">
        <v>85</v>
      </c>
      <c r="B35" s="89" t="s">
        <v>86</v>
      </c>
      <c r="C35" s="62">
        <v>15</v>
      </c>
      <c r="D35" s="76">
        <v>219.23158179999999</v>
      </c>
      <c r="E35" s="84">
        <v>3288.4737269999996</v>
      </c>
      <c r="F35" s="84"/>
      <c r="G35" s="85">
        <f>385.5</f>
        <v>385.5</v>
      </c>
      <c r="H35" s="84">
        <v>446</v>
      </c>
      <c r="I35" s="84"/>
      <c r="J35" s="84"/>
      <c r="K35" s="78">
        <f t="shared" si="4"/>
        <v>3734.4737269999996</v>
      </c>
      <c r="L35" s="78">
        <f>K35+G35</f>
        <v>4119.9737269999996</v>
      </c>
      <c r="M35" s="28">
        <f>IF('[1]Calculo ISR '!$AN$34&lt;0,0,'[1]Calculo ISR '!$AN$34)</f>
        <v>306.60419631999991</v>
      </c>
      <c r="N35" s="90">
        <f>E35*P4</f>
        <v>345.28974133499992</v>
      </c>
      <c r="O35" s="78"/>
      <c r="P35" s="84"/>
      <c r="Q35" s="78"/>
      <c r="R35" s="84">
        <v>0</v>
      </c>
      <c r="S35" s="84">
        <f t="shared" si="6"/>
        <v>651.89393765499983</v>
      </c>
      <c r="T35" s="28">
        <f>IF('[1]Calculo ISR '!$AN$34&gt;0,0,'[1]Calculo ISR '!$AN$34)*-1</f>
        <v>0</v>
      </c>
      <c r="U35" s="79">
        <f t="shared" si="7"/>
        <v>3082.5797893449999</v>
      </c>
      <c r="V35" s="87">
        <v>385.5</v>
      </c>
      <c r="W35" s="88"/>
      <c r="X35" s="41"/>
    </row>
    <row r="36" spans="1:26" s="81" customFormat="1" ht="45" customHeight="1">
      <c r="A36" s="91" t="s">
        <v>87</v>
      </c>
      <c r="B36" s="91" t="s">
        <v>88</v>
      </c>
      <c r="C36" s="66">
        <v>15</v>
      </c>
      <c r="D36" s="76">
        <v>534.93837680832996</v>
      </c>
      <c r="E36" s="50">
        <f>E33</f>
        <v>8024.0756521249496</v>
      </c>
      <c r="F36" s="50"/>
      <c r="G36" s="77">
        <v>385.5</v>
      </c>
      <c r="H36" s="50"/>
      <c r="I36" s="50"/>
      <c r="J36" s="50"/>
      <c r="K36" s="78">
        <f t="shared" si="4"/>
        <v>8024.0756521249496</v>
      </c>
      <c r="L36" s="78">
        <f>K36+G36+T36</f>
        <v>8409.5756521249496</v>
      </c>
      <c r="M36" s="28">
        <f>IF('[1]Calculo ISR '!$AO$34&lt;0,0,'[1]Calculo ISR '!$AO$34)</f>
        <v>1166.7533832938893</v>
      </c>
      <c r="N36" s="92">
        <f>E36*P4</f>
        <v>842.52794347311965</v>
      </c>
      <c r="O36" s="78"/>
      <c r="P36" s="50"/>
      <c r="Q36" s="78"/>
      <c r="R36" s="50"/>
      <c r="S36" s="50">
        <f t="shared" si="6"/>
        <v>2009.281326767009</v>
      </c>
      <c r="T36" s="28">
        <f>IF('[1]Calculo ISR '!$AO$34&gt;0,0,'[1]Calculo ISR '!$AO$34)*-1</f>
        <v>0</v>
      </c>
      <c r="U36" s="79">
        <f t="shared" si="7"/>
        <v>6014.7943253579406</v>
      </c>
      <c r="V36" s="73">
        <f t="shared" ref="V36:V44" si="8">G36</f>
        <v>385.5</v>
      </c>
      <c r="W36" s="80"/>
      <c r="X36" s="47"/>
    </row>
    <row r="37" spans="1:26" s="81" customFormat="1" ht="45" customHeight="1">
      <c r="A37" s="91" t="s">
        <v>89</v>
      </c>
      <c r="B37" s="91" t="s">
        <v>90</v>
      </c>
      <c r="C37" s="66">
        <v>15</v>
      </c>
      <c r="D37" s="76">
        <v>171.34</v>
      </c>
      <c r="E37" s="50">
        <f>C37*D37</f>
        <v>2570.1</v>
      </c>
      <c r="F37" s="50"/>
      <c r="G37" s="77">
        <v>385.5</v>
      </c>
      <c r="H37" s="50"/>
      <c r="I37" s="50"/>
      <c r="J37" s="50"/>
      <c r="K37" s="78">
        <f t="shared" si="4"/>
        <v>2570.1</v>
      </c>
      <c r="L37" s="78">
        <f>K37+G37</f>
        <v>2955.6</v>
      </c>
      <c r="M37" s="28">
        <f>IF('[1]Calculo ISR '!$AP$34&lt;0,0,'[1]Calculo ISR '!$AP$34)</f>
        <v>15.193791999999974</v>
      </c>
      <c r="N37" s="92">
        <f>E37*P4</f>
        <v>269.8605</v>
      </c>
      <c r="O37" s="78"/>
      <c r="P37" s="50"/>
      <c r="Q37" s="78"/>
      <c r="R37" s="50"/>
      <c r="S37" s="50">
        <f t="shared" si="6"/>
        <v>285.05429199999998</v>
      </c>
      <c r="T37" s="28">
        <f>IF('[1]Calculo ISR '!$AP$34&gt;0,0,'[1]Calculo ISR '!$AP$34)*-1</f>
        <v>0</v>
      </c>
      <c r="U37" s="79">
        <f t="shared" si="7"/>
        <v>2285.0457080000001</v>
      </c>
      <c r="V37" s="73">
        <f t="shared" si="8"/>
        <v>385.5</v>
      </c>
      <c r="W37" s="80"/>
      <c r="X37" s="47"/>
    </row>
    <row r="38" spans="1:26" s="81" customFormat="1" ht="45" customHeight="1">
      <c r="A38" s="91" t="s">
        <v>91</v>
      </c>
      <c r="B38" s="91" t="s">
        <v>92</v>
      </c>
      <c r="C38" s="66">
        <v>15</v>
      </c>
      <c r="D38" s="76">
        <v>131.36093080000001</v>
      </c>
      <c r="E38" s="50">
        <v>1970.4139620000001</v>
      </c>
      <c r="F38" s="50"/>
      <c r="G38" s="77">
        <v>385.5</v>
      </c>
      <c r="H38" s="50"/>
      <c r="I38" s="50"/>
      <c r="J38" s="50"/>
      <c r="K38" s="78">
        <f t="shared" si="4"/>
        <v>1970.4139620000001</v>
      </c>
      <c r="L38" s="78">
        <f>K38+G38+T38</f>
        <v>2429.5253084320002</v>
      </c>
      <c r="M38" s="28">
        <f>IF('[1]Calculo ISR '!$AQ$34&lt;0,0,'[1]Calculo ISR '!$AQ$34)</f>
        <v>0</v>
      </c>
      <c r="N38" s="92">
        <f>E38*P4</f>
        <v>206.89346601</v>
      </c>
      <c r="O38" s="78"/>
      <c r="P38" s="50"/>
      <c r="Q38" s="78"/>
      <c r="R38" s="50"/>
      <c r="S38" s="50">
        <f t="shared" si="6"/>
        <v>206.89346601</v>
      </c>
      <c r="T38" s="28">
        <f>IF('[1]Calculo ISR '!$AQ$34&gt;0,0,'[1]Calculo ISR '!$AQ$34)*-1</f>
        <v>73.611346431999976</v>
      </c>
      <c r="U38" s="79">
        <f t="shared" si="7"/>
        <v>1837.1318424220001</v>
      </c>
      <c r="V38" s="73">
        <f t="shared" si="8"/>
        <v>385.5</v>
      </c>
      <c r="W38" s="80"/>
      <c r="X38" s="47"/>
    </row>
    <row r="39" spans="1:26" s="81" customFormat="1" ht="45" customHeight="1">
      <c r="A39" s="91" t="s">
        <v>93</v>
      </c>
      <c r="B39" s="91" t="s">
        <v>94</v>
      </c>
      <c r="C39" s="66">
        <v>15</v>
      </c>
      <c r="D39" s="76">
        <v>131.36093080000001</v>
      </c>
      <c r="E39" s="50">
        <v>1970.4139620000001</v>
      </c>
      <c r="F39" s="50"/>
      <c r="G39" s="77">
        <v>385.5</v>
      </c>
      <c r="H39" s="50"/>
      <c r="I39" s="50"/>
      <c r="J39" s="50"/>
      <c r="K39" s="78">
        <f t="shared" si="4"/>
        <v>1970.4139620000001</v>
      </c>
      <c r="L39" s="78">
        <f>K39+G39+T39</f>
        <v>2429.5253084320002</v>
      </c>
      <c r="M39" s="28">
        <f>IF('[1]Calculo ISR '!$AR$34&lt;0,0,'[1]Calculo ISR '!$AR$34)</f>
        <v>0</v>
      </c>
      <c r="N39" s="92">
        <f>E39*P4</f>
        <v>206.89346601</v>
      </c>
      <c r="O39" s="78"/>
      <c r="P39" s="50"/>
      <c r="Q39" s="78"/>
      <c r="R39" s="50"/>
      <c r="S39" s="50">
        <f t="shared" si="6"/>
        <v>206.89346601</v>
      </c>
      <c r="T39" s="28">
        <f>IF('[1]Calculo ISR '!$AR$34&gt;0,0,'[1]Calculo ISR '!$AR$34)*-1</f>
        <v>73.611346431999976</v>
      </c>
      <c r="U39" s="79">
        <f t="shared" si="7"/>
        <v>1837.1318424220001</v>
      </c>
      <c r="V39" s="73">
        <f t="shared" si="8"/>
        <v>385.5</v>
      </c>
      <c r="W39" s="80"/>
      <c r="X39" s="47"/>
    </row>
    <row r="40" spans="1:26" s="81" customFormat="1" ht="45" customHeight="1">
      <c r="A40" s="91" t="s">
        <v>95</v>
      </c>
      <c r="B40" s="91" t="s">
        <v>96</v>
      </c>
      <c r="C40" s="66">
        <v>15</v>
      </c>
      <c r="D40" s="76">
        <v>754.54</v>
      </c>
      <c r="E40" s="50">
        <f>C40*D40</f>
        <v>11318.099999999999</v>
      </c>
      <c r="F40" s="50"/>
      <c r="G40" s="77">
        <v>385.5</v>
      </c>
      <c r="H40" s="50"/>
      <c r="I40" s="50"/>
      <c r="J40" s="50"/>
      <c r="K40" s="78">
        <f>E40+H40+I40+J40</f>
        <v>11318.099999999999</v>
      </c>
      <c r="L40" s="78">
        <f>K40+G40</f>
        <v>11703.599999999999</v>
      </c>
      <c r="M40" s="28">
        <f>IF('[1]Calculo ISR '!$AS$34&lt;0,0,'[1]Calculo ISR '!$AS$34)</f>
        <v>1893.3293279999998</v>
      </c>
      <c r="N40" s="92">
        <f>E40*P4</f>
        <v>1188.4004999999997</v>
      </c>
      <c r="O40" s="78"/>
      <c r="P40" s="50"/>
      <c r="Q40" s="78"/>
      <c r="R40" s="50"/>
      <c r="S40" s="50">
        <f>M40+N40+O40+P40+Q40+R40</f>
        <v>3081.7298279999995</v>
      </c>
      <c r="T40" s="28">
        <f>IF('[1]Calculo ISR '!$AS$34&gt;0,0,'[1]Calculo ISR '!$AS$34)*-1</f>
        <v>0</v>
      </c>
      <c r="U40" s="79">
        <f>K40-S40</f>
        <v>8236.370171999999</v>
      </c>
      <c r="V40" s="73">
        <f t="shared" si="8"/>
        <v>385.5</v>
      </c>
      <c r="W40" s="80"/>
      <c r="X40" s="47"/>
    </row>
    <row r="41" spans="1:26" s="81" customFormat="1" ht="45" customHeight="1">
      <c r="A41" s="91" t="s">
        <v>97</v>
      </c>
      <c r="B41" s="91" t="s">
        <v>98</v>
      </c>
      <c r="C41" s="66">
        <v>15</v>
      </c>
      <c r="D41" s="76">
        <v>754.54</v>
      </c>
      <c r="E41" s="50">
        <f>D41*C41</f>
        <v>11318.099999999999</v>
      </c>
      <c r="F41" s="50"/>
      <c r="G41" s="77">
        <v>385.5</v>
      </c>
      <c r="H41" s="50"/>
      <c r="I41" s="50"/>
      <c r="J41" s="50"/>
      <c r="K41" s="78">
        <f>E41+H41+I41+J41</f>
        <v>11318.099999999999</v>
      </c>
      <c r="L41" s="78">
        <f>K41+G41</f>
        <v>11703.599999999999</v>
      </c>
      <c r="M41" s="28">
        <f>IF('[1]Calculo ISR '!$AT$34&lt;0,0,'[1]Calculo ISR '!$AT$34)</f>
        <v>1893.3293279999998</v>
      </c>
      <c r="N41" s="92">
        <f>E41*P4</f>
        <v>1188.4004999999997</v>
      </c>
      <c r="O41" s="78">
        <v>689</v>
      </c>
      <c r="P41" s="50"/>
      <c r="Q41" s="78"/>
      <c r="R41" s="50"/>
      <c r="S41" s="50">
        <f>M41+N41+O41+P41+Q41+R41</f>
        <v>3770.7298279999995</v>
      </c>
      <c r="T41" s="28">
        <f>IF('[1]Calculo ISR '!$AT$34&gt;0,0,'[1]Calculo ISR '!$AT$34)*-1</f>
        <v>0</v>
      </c>
      <c r="U41" s="79">
        <f>K41-S41</f>
        <v>7547.370171999999</v>
      </c>
      <c r="V41" s="73">
        <f t="shared" si="8"/>
        <v>385.5</v>
      </c>
      <c r="W41" s="80"/>
      <c r="X41" s="47"/>
    </row>
    <row r="42" spans="1:26" s="81" customFormat="1" ht="45" customHeight="1">
      <c r="A42" s="91" t="s">
        <v>99</v>
      </c>
      <c r="B42" s="91" t="s">
        <v>100</v>
      </c>
      <c r="C42" s="66">
        <v>15</v>
      </c>
      <c r="D42" s="76">
        <v>171.34</v>
      </c>
      <c r="E42" s="50">
        <f>C42*D42</f>
        <v>2570.1</v>
      </c>
      <c r="F42" s="50"/>
      <c r="G42" s="77">
        <v>385.5</v>
      </c>
      <c r="H42" s="50"/>
      <c r="I42" s="50"/>
      <c r="J42" s="50"/>
      <c r="K42" s="78">
        <f>E42+F42+H42+I42+J42</f>
        <v>2570.1</v>
      </c>
      <c r="L42" s="78">
        <f>K42+G42</f>
        <v>2955.6</v>
      </c>
      <c r="M42" s="28">
        <f>IF('[1]Calculo ISR '!$AU$34&lt;0,0,'[1]Calculo ISR '!$AU$34)</f>
        <v>15.193791999999974</v>
      </c>
      <c r="N42" s="92">
        <f>E42*P4</f>
        <v>269.8605</v>
      </c>
      <c r="O42" s="78"/>
      <c r="P42" s="50"/>
      <c r="Q42" s="78"/>
      <c r="R42" s="50"/>
      <c r="S42" s="50">
        <f>M42+N42+O42+P42+Q42+R42</f>
        <v>285.05429199999998</v>
      </c>
      <c r="T42" s="28">
        <f>IF('[1]Calculo ISR '!$AU$34&gt;0,0,'[1]Calculo ISR '!$AU$34)*-1</f>
        <v>0</v>
      </c>
      <c r="U42" s="79">
        <f>K42-S42</f>
        <v>2285.0457080000001</v>
      </c>
      <c r="V42" s="73">
        <f t="shared" si="8"/>
        <v>385.5</v>
      </c>
      <c r="W42" s="80"/>
      <c r="X42" s="47"/>
    </row>
    <row r="43" spans="1:26" s="81" customFormat="1" ht="45" customHeight="1">
      <c r="A43" s="91" t="s">
        <v>101</v>
      </c>
      <c r="B43" s="91" t="s">
        <v>102</v>
      </c>
      <c r="C43" s="66">
        <v>15</v>
      </c>
      <c r="D43" s="76">
        <v>754.54</v>
      </c>
      <c r="E43" s="50">
        <f>C43*D43</f>
        <v>11318.099999999999</v>
      </c>
      <c r="F43" s="50"/>
      <c r="G43" s="77">
        <v>385.5</v>
      </c>
      <c r="H43" s="50"/>
      <c r="I43" s="50"/>
      <c r="J43" s="50"/>
      <c r="K43" s="78">
        <f>E43+F43+H43+I43+J43</f>
        <v>11318.099999999999</v>
      </c>
      <c r="L43" s="78">
        <f>K43+G43</f>
        <v>11703.599999999999</v>
      </c>
      <c r="M43" s="28">
        <f>IF('[1]Calculo ISR '!$AV$34&lt;0,0,'[1]Calculo ISR '!$AV$34)</f>
        <v>1893.3293279999998</v>
      </c>
      <c r="N43" s="92">
        <f>E43*P4</f>
        <v>1188.4004999999997</v>
      </c>
      <c r="O43" s="78"/>
      <c r="P43" s="50"/>
      <c r="Q43" s="78"/>
      <c r="R43" s="50"/>
      <c r="S43" s="50">
        <f>M43+N43+O43+P43+Q43+R43</f>
        <v>3081.7298279999995</v>
      </c>
      <c r="T43" s="28">
        <f>IF('[1]Calculo ISR '!$AV$34&gt;0,0,'[1]Calculo ISR '!$AV$34)*-1</f>
        <v>0</v>
      </c>
      <c r="U43" s="79">
        <f>K43-S43</f>
        <v>8236.370171999999</v>
      </c>
      <c r="V43" s="73">
        <f t="shared" si="8"/>
        <v>385.5</v>
      </c>
      <c r="W43" s="80"/>
      <c r="X43" s="47"/>
    </row>
    <row r="44" spans="1:26" s="81" customFormat="1" ht="45" customHeight="1">
      <c r="A44" s="91" t="s">
        <v>103</v>
      </c>
      <c r="B44" s="91" t="s">
        <v>104</v>
      </c>
      <c r="C44" s="66">
        <v>15</v>
      </c>
      <c r="D44" s="76">
        <v>171.34</v>
      </c>
      <c r="E44" s="50">
        <f>C44*D44</f>
        <v>2570.1</v>
      </c>
      <c r="F44" s="50"/>
      <c r="G44" s="77">
        <v>385.5</v>
      </c>
      <c r="H44" s="50"/>
      <c r="I44" s="50"/>
      <c r="J44" s="50"/>
      <c r="K44" s="78">
        <f>E44+F44+H44+I44+J44</f>
        <v>2570.1</v>
      </c>
      <c r="L44" s="78">
        <f>K44+G44</f>
        <v>2955.6</v>
      </c>
      <c r="M44" s="28">
        <v>15.19</v>
      </c>
      <c r="N44" s="92">
        <f>E44*P4</f>
        <v>269.8605</v>
      </c>
      <c r="O44" s="78"/>
      <c r="P44" s="50"/>
      <c r="Q44" s="78"/>
      <c r="R44" s="50"/>
      <c r="S44" s="50">
        <f>M44+N44+O44+P44+Q44+R44</f>
        <v>285.0505</v>
      </c>
      <c r="T44" s="28"/>
      <c r="U44" s="79">
        <f>K44-S44</f>
        <v>2285.0495000000001</v>
      </c>
      <c r="V44" s="73">
        <f t="shared" si="8"/>
        <v>385.5</v>
      </c>
      <c r="W44" s="80"/>
      <c r="X44" s="47"/>
    </row>
    <row r="45" spans="1:26" s="99" customFormat="1" ht="21.95" customHeight="1">
      <c r="A45" s="93"/>
      <c r="B45" s="94">
        <v>38</v>
      </c>
      <c r="C45" s="95">
        <f t="shared" ref="C45:V45" si="9">SUM(C7:C44)</f>
        <v>570</v>
      </c>
      <c r="D45" s="95">
        <f t="shared" si="9"/>
        <v>13457.168291817881</v>
      </c>
      <c r="E45" s="95">
        <f t="shared" si="9"/>
        <v>201857.52437726824</v>
      </c>
      <c r="F45" s="95">
        <f t="shared" si="9"/>
        <v>6616.24</v>
      </c>
      <c r="G45" s="95">
        <f t="shared" si="9"/>
        <v>15223.5</v>
      </c>
      <c r="H45" s="95">
        <f t="shared" si="9"/>
        <v>4460</v>
      </c>
      <c r="I45" s="95">
        <f t="shared" si="9"/>
        <v>688</v>
      </c>
      <c r="J45" s="95">
        <f t="shared" si="9"/>
        <v>1848.4761786091169</v>
      </c>
      <c r="K45" s="95">
        <f t="shared" si="9"/>
        <v>215470.24055587733</v>
      </c>
      <c r="L45" s="95">
        <f t="shared" si="9"/>
        <v>231001.49907418</v>
      </c>
      <c r="M45" s="96">
        <f t="shared" si="9"/>
        <v>26857.553509412457</v>
      </c>
      <c r="N45" s="95">
        <f t="shared" si="9"/>
        <v>21195.040059613155</v>
      </c>
      <c r="O45" s="95">
        <f t="shared" si="9"/>
        <v>24760.699999999997</v>
      </c>
      <c r="P45" s="95">
        <f t="shared" si="9"/>
        <v>0</v>
      </c>
      <c r="Q45" s="95">
        <f t="shared" si="9"/>
        <v>0</v>
      </c>
      <c r="R45" s="95">
        <f t="shared" si="9"/>
        <v>583.98062260958716</v>
      </c>
      <c r="S45" s="95">
        <f t="shared" si="9"/>
        <v>73397.274191635181</v>
      </c>
      <c r="T45" s="95">
        <f t="shared" si="9"/>
        <v>307.75851830263997</v>
      </c>
      <c r="U45" s="95">
        <f t="shared" si="9"/>
        <v>142380.72488254478</v>
      </c>
      <c r="V45" s="95">
        <f t="shared" si="9"/>
        <v>15223.5</v>
      </c>
      <c r="W45" s="97"/>
      <c r="X45" s="98"/>
    </row>
    <row r="46" spans="1:26" s="6" customFormat="1" ht="10.5" customHeight="1">
      <c r="A46" s="122"/>
      <c r="B46" s="123">
        <v>39</v>
      </c>
      <c r="C46" s="124"/>
      <c r="D46" s="101"/>
      <c r="E46" s="101">
        <f>E45+'[3]HT-DOCENTE FIRMA'!E33</f>
        <v>298090.02437726827</v>
      </c>
      <c r="F46" s="101"/>
      <c r="G46" s="125">
        <f>G45+'[3]HT-DOCENTE FIRMA'!F33</f>
        <v>21296.7</v>
      </c>
      <c r="H46" s="125">
        <f>H45+'[3]HT-DOCENTE FIRMA'!H33</f>
        <v>6065.6</v>
      </c>
      <c r="I46" s="101"/>
      <c r="J46" s="101">
        <f>J45+'[3]HT-DOCENTE FIRMA'!I33</f>
        <v>2383.1011786091167</v>
      </c>
      <c r="K46" s="101"/>
      <c r="L46" s="101"/>
      <c r="M46" s="5">
        <f>M45+'[3]HT-DOCENTE FIRMA'!L33</f>
        <v>37036.867997412461</v>
      </c>
      <c r="N46" s="101"/>
      <c r="O46" s="101"/>
      <c r="P46" s="101"/>
      <c r="Q46" s="101"/>
      <c r="R46" s="101"/>
      <c r="S46" s="101"/>
      <c r="T46" s="101"/>
      <c r="U46" s="101">
        <f>U45+'[3]HT-DOCENTE FIRMA'!T33</f>
        <v>213060.01168254478</v>
      </c>
      <c r="V46" s="101"/>
      <c r="W46" s="126"/>
      <c r="X46" s="5"/>
    </row>
    <row r="47" spans="1:26" s="6" customFormat="1" ht="10.5" customHeight="1">
      <c r="A47" s="122"/>
      <c r="B47" s="123"/>
      <c r="C47" s="124"/>
      <c r="D47" s="101"/>
      <c r="E47" s="101">
        <f>E45+'[3]HT-DOCENTE FIRMA'!E33</f>
        <v>298090.02437726827</v>
      </c>
      <c r="F47" s="101"/>
      <c r="G47" s="125"/>
      <c r="H47" s="125"/>
      <c r="I47" s="101"/>
      <c r="J47" s="101"/>
      <c r="K47" s="101"/>
      <c r="L47" s="101"/>
      <c r="M47" s="101"/>
      <c r="N47" s="101"/>
      <c r="O47" s="101">
        <f>O45+'[1]HT-DOCENTE FIRMA'!N33</f>
        <v>35233.1</v>
      </c>
      <c r="P47" s="101"/>
      <c r="Q47" s="101"/>
      <c r="R47" s="101"/>
      <c r="S47" s="101"/>
      <c r="T47" s="101"/>
      <c r="U47" s="101"/>
      <c r="V47" s="101"/>
      <c r="W47" s="126"/>
      <c r="X47" s="5"/>
      <c r="Z47" s="5"/>
    </row>
    <row r="48" spans="1:26" s="6" customFormat="1" ht="10.5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26"/>
      <c r="X48" s="5"/>
    </row>
    <row r="49" spans="1:24" ht="15">
      <c r="A49" s="103"/>
      <c r="B49" s="104"/>
      <c r="C49" s="105"/>
      <c r="D49" s="106"/>
      <c r="E49" s="107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9"/>
      <c r="X49" s="100"/>
    </row>
    <row r="50" spans="1:24" ht="15" customHeight="1">
      <c r="A50" s="110" t="s">
        <v>105</v>
      </c>
      <c r="B50" s="110"/>
      <c r="C50" s="110"/>
      <c r="D50" s="111"/>
      <c r="E50" s="109"/>
      <c r="F50" s="113" t="s">
        <v>106</v>
      </c>
      <c r="G50" s="112"/>
      <c r="H50" s="112"/>
      <c r="I50" s="112"/>
      <c r="K50" s="113"/>
      <c r="L50" s="114"/>
      <c r="O50" s="115"/>
      <c r="P50" s="115"/>
      <c r="Q50" s="115"/>
      <c r="R50" s="115"/>
      <c r="S50" s="111" t="s">
        <v>107</v>
      </c>
      <c r="T50" s="111"/>
      <c r="U50" s="111"/>
      <c r="V50" s="111"/>
      <c r="W50" s="111"/>
      <c r="X50" s="100"/>
    </row>
    <row r="51" spans="1:24" ht="2.25" customHeight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03"/>
      <c r="L51" s="103"/>
      <c r="O51" s="103"/>
      <c r="P51" s="115"/>
      <c r="Q51" s="103"/>
      <c r="R51" s="103"/>
      <c r="S51" s="111"/>
      <c r="T51" s="111"/>
      <c r="U51" s="111"/>
      <c r="V51" s="111"/>
      <c r="W51" s="111"/>
      <c r="X51" s="100"/>
    </row>
    <row r="52" spans="1:24" ht="2.25" customHeight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09"/>
      <c r="L52" s="109"/>
      <c r="O52" s="109"/>
      <c r="P52" s="109"/>
      <c r="Q52" s="109"/>
      <c r="R52" s="109"/>
      <c r="S52" s="111"/>
      <c r="T52" s="111"/>
      <c r="U52" s="111"/>
      <c r="V52" s="111"/>
      <c r="W52" s="111"/>
      <c r="X52" s="100"/>
    </row>
    <row r="53" spans="1:24">
      <c r="A53" s="111"/>
      <c r="B53" s="113" t="s">
        <v>108</v>
      </c>
      <c r="C53" s="111"/>
      <c r="D53" s="111"/>
      <c r="E53" s="116"/>
      <c r="F53" s="118" t="s">
        <v>109</v>
      </c>
      <c r="G53" s="117"/>
      <c r="H53" s="117"/>
      <c r="I53" s="117"/>
      <c r="K53" s="118"/>
      <c r="L53" s="118"/>
      <c r="O53" s="109"/>
      <c r="P53" s="109"/>
      <c r="Q53" s="116"/>
      <c r="R53" s="109"/>
      <c r="S53" s="117" t="s">
        <v>110</v>
      </c>
      <c r="T53" s="117"/>
      <c r="U53" s="117"/>
      <c r="V53" s="117"/>
      <c r="W53" s="111"/>
      <c r="X53" s="100"/>
    </row>
    <row r="54" spans="1:24" ht="15" customHeight="1">
      <c r="A54" s="110" t="s">
        <v>111</v>
      </c>
      <c r="B54" s="110"/>
      <c r="C54" s="110"/>
      <c r="D54" s="111"/>
      <c r="E54" s="109"/>
      <c r="F54" s="118" t="s">
        <v>112</v>
      </c>
      <c r="G54" s="117"/>
      <c r="H54" s="117"/>
      <c r="I54" s="117"/>
      <c r="K54" s="118"/>
      <c r="L54" s="118"/>
      <c r="O54" s="109"/>
      <c r="P54" s="109"/>
      <c r="Q54" s="109"/>
      <c r="R54" s="109"/>
      <c r="S54" s="119" t="s">
        <v>113</v>
      </c>
      <c r="T54" s="119"/>
      <c r="U54" s="119"/>
      <c r="V54" s="118"/>
      <c r="W54" s="111"/>
      <c r="X54" s="100"/>
    </row>
    <row r="55" spans="1:24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16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307" spans="99:99">
      <c r="CU307" s="1" t="s">
        <v>114</v>
      </c>
    </row>
  </sheetData>
  <mergeCells count="3">
    <mergeCell ref="A50:C50"/>
    <mergeCell ref="A54:C54"/>
    <mergeCell ref="S54:U54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U307"/>
  <sheetViews>
    <sheetView zoomScale="80" zoomScaleNormal="80" workbookViewId="0">
      <pane xSplit="2" ySplit="6" topLeftCell="C40" activePane="bottomRight" state="frozen"/>
      <selection activeCell="S28" sqref="S28"/>
      <selection pane="topRight" activeCell="S28" sqref="S28"/>
      <selection pane="bottomLeft" activeCell="S28" sqref="S28"/>
      <selection pane="bottomRight" activeCell="D48" sqref="D48"/>
    </sheetView>
  </sheetViews>
  <sheetFormatPr baseColWidth="10" defaultRowHeight="12.75"/>
  <cols>
    <col min="1" max="1" width="12.42578125" style="1" customWidth="1"/>
    <col min="2" max="2" width="24.1406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8" width="12.4257812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4.425781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1" spans="1:26">
      <c r="C1" s="3"/>
      <c r="D1" s="3"/>
      <c r="E1" s="3"/>
      <c r="F1" s="3"/>
      <c r="G1" s="3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3"/>
      <c r="W1" s="3"/>
      <c r="X1" s="3"/>
    </row>
    <row r="2" spans="1:26">
      <c r="A2" s="3"/>
      <c r="B2" s="3"/>
      <c r="C2" s="3"/>
      <c r="D2" s="3"/>
      <c r="E2" s="3"/>
      <c r="F2" s="3"/>
      <c r="G2" s="3"/>
      <c r="H2" s="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3"/>
      <c r="W2" s="3"/>
      <c r="X2" s="3"/>
    </row>
    <row r="3" spans="1:26" s="3" customFormat="1" ht="22.5">
      <c r="K3" s="5"/>
      <c r="L3" s="5" t="s">
        <v>0</v>
      </c>
      <c r="M3" s="6"/>
      <c r="N3" s="6"/>
      <c r="O3" s="6" t="s">
        <v>137</v>
      </c>
      <c r="P3" s="135" t="s">
        <v>132</v>
      </c>
      <c r="Q3" s="6" t="s">
        <v>1</v>
      </c>
      <c r="R3" s="6" t="s">
        <v>133</v>
      </c>
    </row>
    <row r="4" spans="1:26" s="3" customFormat="1">
      <c r="K4" s="6"/>
      <c r="L4" s="7">
        <v>1.9E-2</v>
      </c>
      <c r="M4" s="6"/>
      <c r="N4" s="6"/>
      <c r="O4" s="8">
        <v>0.01</v>
      </c>
      <c r="P4" s="121">
        <v>0.105</v>
      </c>
      <c r="Q4" s="9">
        <v>3.7999999999999999E-2</v>
      </c>
      <c r="R4" s="121">
        <v>5.7000000000000002E-2</v>
      </c>
    </row>
    <row r="5" spans="1:26" s="3" customFormat="1" ht="13.5" thickBot="1">
      <c r="A5" s="10" t="s">
        <v>2</v>
      </c>
      <c r="C5" s="2"/>
      <c r="D5" s="2"/>
      <c r="E5" s="2"/>
      <c r="F5" s="10" t="s">
        <v>165</v>
      </c>
      <c r="G5" s="2"/>
      <c r="I5" s="2"/>
      <c r="J5" s="2"/>
      <c r="K5" s="2"/>
      <c r="M5" s="2"/>
      <c r="N5" s="2"/>
      <c r="O5" s="2"/>
      <c r="P5" s="2"/>
    </row>
    <row r="6" spans="1:26" s="25" customFormat="1" ht="115.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142">
        <v>15</v>
      </c>
      <c r="D7" s="28">
        <v>1129.1099999999999</v>
      </c>
      <c r="E7" s="28">
        <v>17515.27</v>
      </c>
      <c r="F7" s="28">
        <v>6040.32</v>
      </c>
      <c r="G7" s="28">
        <v>960</v>
      </c>
      <c r="H7" s="28">
        <f>'[1]HT-ADMINISTRATIVOS'!H8</f>
        <v>0</v>
      </c>
      <c r="I7" s="28">
        <v>688</v>
      </c>
      <c r="J7" s="28"/>
      <c r="K7" s="28">
        <f>SUM(E7+F7+I7+J7)</f>
        <v>24243.59</v>
      </c>
      <c r="L7" s="28">
        <f>SUM(K7+G7)</f>
        <v>25203.59</v>
      </c>
      <c r="M7" s="28">
        <f>IF('[22]Calculo ISR '!$K$34&lt;0,0,'[22]Calculo ISR '!$K$34)</f>
        <v>5457.759</v>
      </c>
      <c r="N7" s="28">
        <f>E7*P4</f>
        <v>1839.1033500000001</v>
      </c>
      <c r="O7" s="28"/>
      <c r="P7" s="28"/>
      <c r="Q7" s="28"/>
      <c r="R7" s="28"/>
      <c r="S7" s="28">
        <f>SUM(M7+N7+O7+P7+Q7+R7)</f>
        <v>7296.8623500000003</v>
      </c>
      <c r="T7" s="28"/>
      <c r="U7" s="36">
        <f>K7-S7</f>
        <v>16946.727650000001</v>
      </c>
      <c r="V7" s="28">
        <f>G7</f>
        <v>960</v>
      </c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780.2</v>
      </c>
      <c r="E8" s="36">
        <f>C8*D8</f>
        <v>11703</v>
      </c>
      <c r="F8" s="36"/>
      <c r="G8" s="36">
        <v>465.5</v>
      </c>
      <c r="H8" s="36">
        <v>521.5</v>
      </c>
      <c r="I8" s="36">
        <f>'[1]HT-ADMINISTRATIVOS'!J10</f>
        <v>0</v>
      </c>
      <c r="J8" s="37">
        <f>E8*R4</f>
        <v>667.07100000000003</v>
      </c>
      <c r="K8" s="36">
        <f>E8+F8+H8+I8+J8</f>
        <v>12891.571</v>
      </c>
      <c r="L8" s="36">
        <f>K8+G8</f>
        <v>13357.071</v>
      </c>
      <c r="M8" s="28">
        <f>IF('[22]Calculo ISR '!$L$34&lt;0,0,'[22]Calculo ISR '!$L$34)</f>
        <v>2263.4097072000004</v>
      </c>
      <c r="N8" s="38">
        <f>E8*P4</f>
        <v>1228.8150000000001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3492.2247072000005</v>
      </c>
      <c r="T8" s="28">
        <f>IF('[22]Calculo ISR '!$L$34&gt;0,0,'[22]Calculo ISR '!$L$34)*-1</f>
        <v>0</v>
      </c>
      <c r="U8" s="36">
        <f>K8-S8</f>
        <v>9399.346292799999</v>
      </c>
      <c r="V8" s="36">
        <f>G8</f>
        <v>465.5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238.18</v>
      </c>
      <c r="E9" s="36">
        <v>3572.72</v>
      </c>
      <c r="F9" s="36"/>
      <c r="G9" s="36">
        <v>465.5</v>
      </c>
      <c r="H9" s="36">
        <f>'[1]HT-ADMINISTRATIVOS'!H11</f>
        <v>0</v>
      </c>
      <c r="I9" s="36">
        <f>'[1]HT-ADMINISTRATIVOS'!J11</f>
        <v>0</v>
      </c>
      <c r="J9" s="37">
        <f>E9*R4</f>
        <v>203.64503999999999</v>
      </c>
      <c r="K9" s="36">
        <f t="shared" ref="K9:K44" si="0">E9+F9+H9+I9+J9</f>
        <v>3776.3650399999997</v>
      </c>
      <c r="L9" s="36">
        <f t="shared" ref="L9:L44" si="1">K9+G9</f>
        <v>4241.8650399999997</v>
      </c>
      <c r="M9" s="28">
        <f>IF('[22]Calculo ISR '!$M$34&lt;0,0,'[22]Calculo ISR '!$M$34)</f>
        <v>313.30680639999991</v>
      </c>
      <c r="N9" s="38">
        <f>E9*P4</f>
        <v>375.13559999999995</v>
      </c>
      <c r="O9" s="38">
        <v>800</v>
      </c>
      <c r="P9" s="38">
        <f>'[1]HT-ADMINISTRATIVOS'!Q11</f>
        <v>0</v>
      </c>
      <c r="Q9" s="38">
        <f>'[1]HT-ADMINISTRATIVOS'!R11</f>
        <v>0</v>
      </c>
      <c r="R9" s="38">
        <f>E9*O4</f>
        <v>35.727199999999996</v>
      </c>
      <c r="S9" s="36">
        <f>M9+N9+O9+P9+Q9+R9</f>
        <v>1524.1696064</v>
      </c>
      <c r="T9" s="28">
        <f>IF('[22]Calculo ISR '!$M$34&gt;0,0,'[22]Calculo ISR '!$M$34)*-1</f>
        <v>0</v>
      </c>
      <c r="U9" s="36">
        <f t="shared" ref="U9:U15" si="2">K9-S9+T9</f>
        <v>2252.1954335999999</v>
      </c>
      <c r="V9" s="36">
        <f t="shared" ref="V9:V44" si="3">G9</f>
        <v>465.5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f>E10/C10</f>
        <v>250.32666666666668</v>
      </c>
      <c r="E10" s="36">
        <v>3754.9</v>
      </c>
      <c r="F10" s="36"/>
      <c r="G10" s="36">
        <v>465.5</v>
      </c>
      <c r="H10" s="36">
        <f>'[1]HT-ADMINISTRATIVOS'!H12</f>
        <v>0</v>
      </c>
      <c r="I10" s="36">
        <f>'[1]HT-ADMINISTRATIVOS'!J12</f>
        <v>0</v>
      </c>
      <c r="J10" s="37">
        <f>E10*R4</f>
        <v>214.02930000000001</v>
      </c>
      <c r="K10" s="36">
        <f t="shared" si="0"/>
        <v>3968.9293000000002</v>
      </c>
      <c r="L10" s="36">
        <f t="shared" si="1"/>
        <v>4434.4292999999998</v>
      </c>
      <c r="M10" s="28">
        <f>IF('[22]Calculo ISR '!$N$34&lt;0,0,'[22]Calculo ISR '!$N$34)</f>
        <v>344.11708800000002</v>
      </c>
      <c r="N10" s="38">
        <f>E10*P4</f>
        <v>394.2645</v>
      </c>
      <c r="O10" s="38">
        <v>650</v>
      </c>
      <c r="P10" s="38">
        <f>'[1]HT-ADMINISTRATIVOS'!Q12</f>
        <v>0</v>
      </c>
      <c r="Q10" s="38">
        <f>'[1]HT-ADMINISTRATIVOS'!R12</f>
        <v>0</v>
      </c>
      <c r="R10" s="38">
        <f>E10*O4</f>
        <v>37.548999999999999</v>
      </c>
      <c r="S10" s="36">
        <f t="shared" ref="S10:S29" si="4">M10+N10+O10+R10+P10+Q10</f>
        <v>1425.9305879999999</v>
      </c>
      <c r="T10" s="28">
        <f>IF('[1]Calculo ISR '!$N$34&gt;0,0,'[21]Calculo ISR '!$N$34)*-1</f>
        <v>0</v>
      </c>
      <c r="U10" s="36">
        <f t="shared" si="2"/>
        <v>2542.9987120000005</v>
      </c>
      <c r="V10" s="36">
        <f t="shared" si="3"/>
        <v>465.5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226.68</v>
      </c>
      <c r="E11" s="36">
        <v>3400.25</v>
      </c>
      <c r="F11" s="36"/>
      <c r="G11" s="36">
        <v>465.5</v>
      </c>
      <c r="H11" s="36">
        <f>'[1]HT-ADMINISTRATIVOS'!H13</f>
        <v>0</v>
      </c>
      <c r="I11" s="36">
        <f>'[1]HT-ADMINISTRATIVOS'!J13</f>
        <v>0</v>
      </c>
      <c r="J11" s="37">
        <f>E11*R4</f>
        <v>193.81425000000002</v>
      </c>
      <c r="K11" s="36">
        <f t="shared" si="0"/>
        <v>3594.0642499999999</v>
      </c>
      <c r="L11" s="36">
        <f t="shared" si="1"/>
        <v>4059.5642499999999</v>
      </c>
      <c r="M11" s="28">
        <f>IF('[22]Calculo ISR '!$O$34&lt;0,0,'[22]Calculo ISR '!$O$34)</f>
        <v>179.55110239999996</v>
      </c>
      <c r="N11" s="38">
        <f>E11*P4</f>
        <v>357.02625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34.002499999999998</v>
      </c>
      <c r="S11" s="36">
        <f t="shared" si="4"/>
        <v>2032.7998524</v>
      </c>
      <c r="T11" s="28">
        <f>IF('[1]Calculo ISR '!$O$34&gt;0,0,'[1]Calculo ISR '!$O$34)*-1</f>
        <v>0</v>
      </c>
      <c r="U11" s="36">
        <f t="shared" si="2"/>
        <v>1561.2643975999999</v>
      </c>
      <c r="V11" s="36">
        <f t="shared" si="3"/>
        <v>465.5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250.33</v>
      </c>
      <c r="E12" s="36">
        <v>3754.9</v>
      </c>
      <c r="F12" s="36"/>
      <c r="G12" s="36">
        <v>465.5</v>
      </c>
      <c r="H12" s="36">
        <f>'[1]HT-ADMINISTRATIVOS'!H14</f>
        <v>0</v>
      </c>
      <c r="I12" s="36">
        <f>'[1]HT-ADMINISTRATIVOS'!J14</f>
        <v>0</v>
      </c>
      <c r="J12" s="37">
        <f>E12*R4</f>
        <v>214.02930000000001</v>
      </c>
      <c r="K12" s="36">
        <f t="shared" si="0"/>
        <v>3968.9293000000002</v>
      </c>
      <c r="L12" s="36">
        <f t="shared" si="1"/>
        <v>4434.4292999999998</v>
      </c>
      <c r="M12" s="28">
        <f>IF('[22]Calculo ISR '!$P$34&lt;0,0,'[22]Calculo ISR '!$P$34)</f>
        <v>344.11708800000002</v>
      </c>
      <c r="N12" s="38">
        <f>E12*P4</f>
        <v>394.2645</v>
      </c>
      <c r="O12" s="38">
        <v>1211</v>
      </c>
      <c r="P12" s="38">
        <f>'[1]HT-ADMINISTRATIVOS'!Q14</f>
        <v>0</v>
      </c>
      <c r="Q12" s="38">
        <f>'[1]HT-ADMINISTRATIVOS'!R14</f>
        <v>0</v>
      </c>
      <c r="R12" s="38">
        <f>E12*O4</f>
        <v>37.548999999999999</v>
      </c>
      <c r="S12" s="36">
        <f t="shared" si="4"/>
        <v>1986.9305879999999</v>
      </c>
      <c r="T12" s="28">
        <f>IF('[1]Calculo ISR '!$P$34&gt;0,0,'[1]Calculo ISR '!$P$34)*-1</f>
        <v>0</v>
      </c>
      <c r="U12" s="36">
        <f t="shared" si="2"/>
        <v>1981.9987120000003</v>
      </c>
      <c r="V12" s="36">
        <f t="shared" si="3"/>
        <v>465.5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177.16</v>
      </c>
      <c r="E13" s="36">
        <v>2657.47</v>
      </c>
      <c r="F13" s="36"/>
      <c r="G13" s="36">
        <v>465.5</v>
      </c>
      <c r="H13" s="36">
        <f>'[1]HT-ADMINISTRATIVOS'!H15</f>
        <v>0</v>
      </c>
      <c r="I13" s="36">
        <f>'[1]HT-ADMINISTRATIVOS'!J15</f>
        <v>0</v>
      </c>
      <c r="J13" s="37">
        <f>E13*R4</f>
        <v>151.47578999999999</v>
      </c>
      <c r="K13" s="36">
        <f t="shared" si="0"/>
        <v>2808.9457899999998</v>
      </c>
      <c r="L13" s="36">
        <f t="shared" si="1"/>
        <v>3274.4457899999998</v>
      </c>
      <c r="M13" s="28">
        <f>IF('[22]Calculo ISR '!$Q$34&lt;0,0,'[22]Calculo ISR '!$Q$34)</f>
        <v>56.180213951999946</v>
      </c>
      <c r="N13" s="38">
        <f>E13*P4</f>
        <v>279.03434999999996</v>
      </c>
      <c r="O13" s="38">
        <v>567</v>
      </c>
      <c r="P13" s="38">
        <f>'[1]HT-ADMINISTRATIVOS'!Q15</f>
        <v>0</v>
      </c>
      <c r="Q13" s="38">
        <f>'[1]HT-ADMINISTRATIVOS'!R15</f>
        <v>0</v>
      </c>
      <c r="R13" s="38">
        <f>E13*O4</f>
        <v>26.5747</v>
      </c>
      <c r="S13" s="36">
        <f t="shared" si="4"/>
        <v>928.78926395199994</v>
      </c>
      <c r="T13" s="28">
        <f>IF('[1]Calculo ISR '!$Q$34&gt;0,0,'[1]Calculo ISR '!$Q$34)</f>
        <v>0</v>
      </c>
      <c r="U13" s="36">
        <f t="shared" si="2"/>
        <v>1880.1565260479997</v>
      </c>
      <c r="V13" s="36">
        <f t="shared" si="3"/>
        <v>465.5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168.65</v>
      </c>
      <c r="E14" s="36">
        <v>2529.8000000000002</v>
      </c>
      <c r="F14" s="36"/>
      <c r="G14" s="36">
        <v>465.5</v>
      </c>
      <c r="H14" s="36">
        <f>'[1]HT-ADMINISTRATIVOS'!H16</f>
        <v>0</v>
      </c>
      <c r="I14" s="36">
        <f>'[1]HT-ADMINISTRATIVOS'!J16</f>
        <v>0</v>
      </c>
      <c r="J14" s="37">
        <f>E14*R4</f>
        <v>144.19860000000003</v>
      </c>
      <c r="K14" s="36">
        <f t="shared" si="0"/>
        <v>2673.9986000000004</v>
      </c>
      <c r="L14" s="36">
        <f t="shared" si="1"/>
        <v>3139.4986000000004</v>
      </c>
      <c r="M14" s="28">
        <f>IF('[22]Calculo ISR '!$R$34&lt;0,0,'[22]Calculo ISR '!$R$34)</f>
        <v>41.497959680000037</v>
      </c>
      <c r="N14" s="38">
        <f>E14*P4</f>
        <v>265.62900000000002</v>
      </c>
      <c r="O14" s="38">
        <v>816</v>
      </c>
      <c r="P14" s="38">
        <f>'[1]HT-ADMINISTRATIVOS'!Q16</f>
        <v>0</v>
      </c>
      <c r="Q14" s="38">
        <f>'[1]HT-ADMINISTRATIVOS'!R16</f>
        <v>0</v>
      </c>
      <c r="R14" s="38">
        <f>E14*O4</f>
        <v>25.298000000000002</v>
      </c>
      <c r="S14" s="36">
        <f t="shared" si="4"/>
        <v>1148.42495968</v>
      </c>
      <c r="T14" s="28">
        <f>IF('[1]Calculo ISR '!$R$34&gt;0,0,'[1]Calculo ISR '!$R$34)*-1</f>
        <v>0</v>
      </c>
      <c r="U14" s="36">
        <f t="shared" si="2"/>
        <v>1525.5736403200003</v>
      </c>
      <c r="V14" s="36">
        <f t="shared" si="3"/>
        <v>465.5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553.13</v>
      </c>
      <c r="E15" s="36">
        <v>8296.9699999999993</v>
      </c>
      <c r="F15" s="36"/>
      <c r="G15" s="36">
        <v>465.5</v>
      </c>
      <c r="H15" s="36">
        <f>'[1]HT-ADMINISTRATIVOS'!H17</f>
        <v>0</v>
      </c>
      <c r="I15" s="36">
        <f>'[1]HT-ADMINISTRATIVOS'!J17</f>
        <v>0</v>
      </c>
      <c r="J15" s="37">
        <f>E15*Q4</f>
        <v>315.28485999999998</v>
      </c>
      <c r="K15" s="36">
        <f t="shared" si="0"/>
        <v>8612.2548599999991</v>
      </c>
      <c r="L15" s="36">
        <f t="shared" si="1"/>
        <v>9077.7548599999991</v>
      </c>
      <c r="M15" s="28">
        <f>IF('[22]Calculo ISR '!$S$34&lt;0,0,'[22]Calculo ISR '!$S$34)</f>
        <v>1292.3884620959998</v>
      </c>
      <c r="N15" s="38">
        <f>E15*P4</f>
        <v>871.18184999999994</v>
      </c>
      <c r="O15" s="38">
        <v>2675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4"/>
        <v>4838.5703120959997</v>
      </c>
      <c r="T15" s="28">
        <f>IF('[1]Calculo ISR '!$S$34&gt;0,0,'[1]Calculo ISR '!$S$34)*-1</f>
        <v>0</v>
      </c>
      <c r="U15" s="36">
        <f t="shared" si="2"/>
        <v>3773.6845479039994</v>
      </c>
      <c r="V15" s="36">
        <f t="shared" si="3"/>
        <v>465.5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276.45</v>
      </c>
      <c r="E16" s="36">
        <v>4146.7700000000004</v>
      </c>
      <c r="F16" s="36"/>
      <c r="G16" s="36">
        <v>465.5</v>
      </c>
      <c r="H16" s="36">
        <f>'[1]HT-ADMINISTRATIVOS'!H18</f>
        <v>0</v>
      </c>
      <c r="I16" s="36">
        <f>'[1]HT-ADMINISTRATIVOS'!J18</f>
        <v>0</v>
      </c>
      <c r="J16" s="37">
        <f>E16*Q4</f>
        <v>157.57726000000002</v>
      </c>
      <c r="K16" s="36">
        <f t="shared" si="0"/>
        <v>4304.3472600000005</v>
      </c>
      <c r="L16" s="36">
        <f t="shared" si="1"/>
        <v>4769.8472600000005</v>
      </c>
      <c r="M16" s="28">
        <f>IF('[22]Calculo ISR '!$T$34&lt;0,0,'[22]Calculo ISR '!$T$34)</f>
        <v>398.84451699200014</v>
      </c>
      <c r="N16" s="38">
        <f>E16*P4</f>
        <v>435.41085000000004</v>
      </c>
      <c r="O16" s="38">
        <v>1337</v>
      </c>
      <c r="P16" s="38"/>
      <c r="Q16" s="38"/>
      <c r="R16" s="38">
        <f>E16*O4</f>
        <v>41.467700000000008</v>
      </c>
      <c r="S16" s="36">
        <f>M16+N16+O16+Q16+R16+P16</f>
        <v>2212.7230669920004</v>
      </c>
      <c r="T16" s="28">
        <f>IF('[1]Calculo ISR '!$T$34&gt;0,0,'[1]Calculo ISR '!$T$34)*-1</f>
        <v>0</v>
      </c>
      <c r="U16" s="36">
        <f>K16-S16</f>
        <v>2091.624193008</v>
      </c>
      <c r="V16" s="36">
        <f t="shared" si="3"/>
        <v>465.5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238.18</v>
      </c>
      <c r="E17" s="36">
        <v>3572.72</v>
      </c>
      <c r="F17" s="36"/>
      <c r="G17" s="36">
        <v>465.5</v>
      </c>
      <c r="H17" s="36">
        <v>521.5</v>
      </c>
      <c r="I17" s="36">
        <f>'[1]HT-ADMINISTRATIVOS'!J19</f>
        <v>0</v>
      </c>
      <c r="J17" s="37">
        <f>E17*Q4</f>
        <v>135.76335999999998</v>
      </c>
      <c r="K17" s="36">
        <f t="shared" si="0"/>
        <v>4229.9833600000002</v>
      </c>
      <c r="L17" s="36">
        <f t="shared" si="1"/>
        <v>4695.4833600000002</v>
      </c>
      <c r="M17" s="28">
        <f>IF('[22]Calculo ISR '!$U$34&lt;0,0,'[22]Calculo ISR '!$U$34)</f>
        <v>385.88573759999997</v>
      </c>
      <c r="N17" s="38">
        <f>E17*P4</f>
        <v>375.13559999999995</v>
      </c>
      <c r="O17" s="38">
        <v>1152</v>
      </c>
      <c r="P17" s="38">
        <f>'[1]HT-ADMINISTRATIVOS'!Q19</f>
        <v>0</v>
      </c>
      <c r="Q17" s="38">
        <f>'[1]HT-ADMINISTRATIVOS'!R19</f>
        <v>0</v>
      </c>
      <c r="R17" s="38">
        <f>E17*O4</f>
        <v>35.727199999999996</v>
      </c>
      <c r="S17" s="36">
        <f t="shared" si="4"/>
        <v>1948.7485376</v>
      </c>
      <c r="T17" s="28">
        <f>IF('[1]Calculo ISR '!$U$34&gt;0,0,'[1]Calculo ISR '!$U$34)*-1</f>
        <v>0</v>
      </c>
      <c r="U17" s="36">
        <f t="shared" ref="U17:U25" si="5">K17-S17+T17</f>
        <v>2281.2348224000002</v>
      </c>
      <c r="V17" s="36">
        <f t="shared" si="3"/>
        <v>465.5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902.7</v>
      </c>
      <c r="E18" s="36">
        <v>13540.55</v>
      </c>
      <c r="F18" s="36"/>
      <c r="G18" s="36">
        <v>465.5</v>
      </c>
      <c r="H18" s="36">
        <f>'[1]HT-ADMINISTRATIVOS'!H20</f>
        <v>0</v>
      </c>
      <c r="I18" s="36">
        <f>'[1]HT-ADMINISTRATIVOS'!J20</f>
        <v>0</v>
      </c>
      <c r="J18" s="37">
        <f>E18*Q4</f>
        <v>514.54089999999997</v>
      </c>
      <c r="K18" s="36">
        <f t="shared" si="0"/>
        <v>14055.090899999999</v>
      </c>
      <c r="L18" s="36">
        <f t="shared" si="1"/>
        <v>14520.590899999999</v>
      </c>
      <c r="M18" s="28">
        <f>IF('[22]Calculo ISR '!$V$34&lt;0,0,'[22]Calculo ISR '!$V$34)</f>
        <v>2537.06958768</v>
      </c>
      <c r="N18" s="38">
        <f>E18*P4</f>
        <v>1421.7577499999998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4"/>
        <v>3958.8273376799998</v>
      </c>
      <c r="T18" s="28">
        <f>IF('[1]Calculo ISR '!$V$34&gt;0,0,'[1]Calculo ISR '!$V$34)*-1</f>
        <v>0</v>
      </c>
      <c r="U18" s="36">
        <f t="shared" si="5"/>
        <v>10096.26356232</v>
      </c>
      <c r="V18" s="36">
        <f t="shared" si="3"/>
        <v>465.5</v>
      </c>
      <c r="W18" s="46"/>
      <c r="X18" s="47"/>
    </row>
    <row r="19" spans="1:24" s="48" customFormat="1" ht="45" customHeight="1">
      <c r="A19" s="53" t="s">
        <v>51</v>
      </c>
      <c r="B19" s="33" t="s">
        <v>52</v>
      </c>
      <c r="C19" s="34">
        <v>15</v>
      </c>
      <c r="D19" s="50">
        <v>226.68</v>
      </c>
      <c r="E19" s="36">
        <v>3400.25</v>
      </c>
      <c r="F19" s="36"/>
      <c r="G19" s="36">
        <v>465.5</v>
      </c>
      <c r="H19" s="36">
        <f>'[1]HT-ADMINISTRATIVOS'!H21</f>
        <v>0</v>
      </c>
      <c r="I19" s="36">
        <f>'[1]HT-ADMINISTRATIVOS'!J21</f>
        <v>0</v>
      </c>
      <c r="J19" s="37">
        <f>E19*L4</f>
        <v>64.604749999999996</v>
      </c>
      <c r="K19" s="36">
        <f t="shared" si="0"/>
        <v>3464.85475</v>
      </c>
      <c r="L19" s="36">
        <f t="shared" si="1"/>
        <v>3930.35475</v>
      </c>
      <c r="M19" s="28">
        <f>IF('[22]Calculo ISR '!$W$34&lt;0,0,'[22]Calculo ISR '!$W$34)</f>
        <v>147.7931088</v>
      </c>
      <c r="N19" s="38">
        <f>E19*P4</f>
        <v>357.02625</v>
      </c>
      <c r="O19" s="38">
        <v>1097</v>
      </c>
      <c r="P19" s="38">
        <f>'[1]HT-ADMINISTRATIVOS'!Q21</f>
        <v>0</v>
      </c>
      <c r="Q19" s="38">
        <f>'[1]HT-ADMINISTRATIVOS'!R21</f>
        <v>0</v>
      </c>
      <c r="R19" s="38">
        <f>E19*O4</f>
        <v>34.002499999999998</v>
      </c>
      <c r="S19" s="36">
        <f t="shared" si="4"/>
        <v>1635.8218588</v>
      </c>
      <c r="T19" s="28">
        <f>IF('[1]Calculo ISR '!$W$34&gt;0,0,'[1]Calculo ISR '!$W$34)*-1</f>
        <v>0</v>
      </c>
      <c r="U19" s="36">
        <f t="shared" si="5"/>
        <v>1829.0328912</v>
      </c>
      <c r="V19" s="36">
        <f t="shared" si="3"/>
        <v>465.5</v>
      </c>
      <c r="W19" s="46"/>
      <c r="X19" s="47"/>
    </row>
    <row r="20" spans="1:24" s="48" customFormat="1" ht="45" customHeight="1">
      <c r="A20" s="53" t="s">
        <v>53</v>
      </c>
      <c r="B20" s="33" t="s">
        <v>54</v>
      </c>
      <c r="C20" s="34">
        <v>15</v>
      </c>
      <c r="D20" s="50">
        <v>153.16</v>
      </c>
      <c r="E20" s="36">
        <v>2297.42</v>
      </c>
      <c r="F20" s="36"/>
      <c r="G20" s="36">
        <v>465.5</v>
      </c>
      <c r="H20" s="36">
        <f>'[1]HT-ADMINISTRATIVOS'!H22</f>
        <v>0</v>
      </c>
      <c r="I20" s="36">
        <f>'[1]HT-ADMINISTRATIVOS'!J22</f>
        <v>0</v>
      </c>
      <c r="J20" s="37">
        <f>E20*L4</f>
        <v>43.650979999999997</v>
      </c>
      <c r="K20" s="36">
        <f t="shared" si="0"/>
        <v>2341.07098</v>
      </c>
      <c r="L20" s="36">
        <f t="shared" si="1"/>
        <v>2806.57098</v>
      </c>
      <c r="M20" s="28">
        <f>IF('[22]Calculo ISR '!$X$34&lt;0,0,'[22]Calculo ISR '!$X$34)</f>
        <v>0</v>
      </c>
      <c r="N20" s="38">
        <f>E20*P4</f>
        <v>241.22909999999999</v>
      </c>
      <c r="O20" s="38">
        <v>741</v>
      </c>
      <c r="P20" s="38">
        <f>'[1]HT-ADMINISTRATIVOS'!Q22</f>
        <v>0</v>
      </c>
      <c r="Q20" s="38">
        <f>'[1]HT-ADMINISTRATIVOS'!R22</f>
        <v>0</v>
      </c>
      <c r="R20" s="38">
        <f>E20*O4</f>
        <v>22.9742</v>
      </c>
      <c r="S20" s="36">
        <f t="shared" si="4"/>
        <v>1005.2033</v>
      </c>
      <c r="T20" s="28">
        <f>IF('[22]Calculo ISR '!$X$34&gt;0,0,('[22]Calculo ISR '!$X$34)*-1)</f>
        <v>9.7245653760000152</v>
      </c>
      <c r="U20" s="36">
        <f t="shared" si="5"/>
        <v>1345.5922453759999</v>
      </c>
      <c r="V20" s="36">
        <f t="shared" si="3"/>
        <v>465.5</v>
      </c>
      <c r="W20" s="46"/>
      <c r="X20" s="47"/>
    </row>
    <row r="21" spans="1:24" s="48" customFormat="1" ht="45" customHeight="1">
      <c r="A21" s="53" t="s">
        <v>55</v>
      </c>
      <c r="B21" s="33" t="s">
        <v>56</v>
      </c>
      <c r="C21" s="34">
        <v>15</v>
      </c>
      <c r="D21" s="50">
        <v>153.16</v>
      </c>
      <c r="E21" s="36">
        <v>2297.42</v>
      </c>
      <c r="F21" s="36"/>
      <c r="G21" s="36">
        <v>465.5</v>
      </c>
      <c r="H21" s="36">
        <v>521.5</v>
      </c>
      <c r="I21" s="36">
        <f>'[1]HT-ADMINISTRATIVOS'!J23</f>
        <v>0</v>
      </c>
      <c r="J21" s="37">
        <f>E21*L4</f>
        <v>43.650979999999997</v>
      </c>
      <c r="K21" s="36">
        <f t="shared" si="0"/>
        <v>2862.57098</v>
      </c>
      <c r="L21" s="36">
        <f t="shared" si="1"/>
        <v>3328.07098</v>
      </c>
      <c r="M21" s="28">
        <f>IF('[22]Calculo ISR '!$Y$34&lt;0,0,'[22]Calculo ISR '!$Y$34)</f>
        <v>62.014634623999967</v>
      </c>
      <c r="N21" s="38">
        <f>E21*P4</f>
        <v>241.22909999999999</v>
      </c>
      <c r="O21" s="38">
        <v>597</v>
      </c>
      <c r="P21" s="38">
        <f>'[1]HT-ADMINISTRATIVOS'!Q23</f>
        <v>0</v>
      </c>
      <c r="Q21" s="38">
        <f>'[1]HT-ADMINISTRATIVOS'!R23</f>
        <v>0</v>
      </c>
      <c r="R21" s="38">
        <f>E21*O4</f>
        <v>22.9742</v>
      </c>
      <c r="S21" s="36">
        <f t="shared" si="4"/>
        <v>923.21793462399989</v>
      </c>
      <c r="T21" s="28">
        <f>IF('[1]Calculo ISR '!$Y$34&gt;0,0,'[1]Calculo ISR '!$Y$34)*-1</f>
        <v>0</v>
      </c>
      <c r="U21" s="36">
        <f t="shared" si="5"/>
        <v>1939.353045376</v>
      </c>
      <c r="V21" s="36">
        <f t="shared" si="3"/>
        <v>465.5</v>
      </c>
      <c r="W21" s="46"/>
      <c r="X21" s="47"/>
    </row>
    <row r="22" spans="1:24" s="48" customFormat="1" ht="45" customHeight="1">
      <c r="A22" s="54" t="s">
        <v>61</v>
      </c>
      <c r="B22" s="166" t="s">
        <v>62</v>
      </c>
      <c r="C22" s="34">
        <v>15</v>
      </c>
      <c r="D22" s="50">
        <v>205.61</v>
      </c>
      <c r="E22" s="36">
        <f t="shared" ref="E22:E42" si="6">C22*D22</f>
        <v>3084.15</v>
      </c>
      <c r="F22" s="43"/>
      <c r="G22" s="36">
        <v>465.5</v>
      </c>
      <c r="H22" s="36">
        <v>521.5</v>
      </c>
      <c r="I22" s="36">
        <f>'[1]HT-ADMINISTRATIVOS'!J28</f>
        <v>0</v>
      </c>
      <c r="J22" s="37">
        <f>'[1]HT-ADMINISTRATIVOS'!I28</f>
        <v>0</v>
      </c>
      <c r="K22" s="36">
        <f t="shared" si="0"/>
        <v>3605.65</v>
      </c>
      <c r="L22" s="36">
        <f t="shared" si="1"/>
        <v>4071.15</v>
      </c>
      <c r="M22" s="28">
        <f>IF('[22]Calculo ISR '!$AB$34&lt;0,0,'[22]Calculo ISR '!$AB$34)</f>
        <v>180.81163199999995</v>
      </c>
      <c r="N22" s="38">
        <f>E22*P4</f>
        <v>323.83575000000002</v>
      </c>
      <c r="O22" s="38">
        <v>0</v>
      </c>
      <c r="P22" s="38">
        <f>'[1]HT-ADMINISTRATIVOS'!Q28</f>
        <v>0</v>
      </c>
      <c r="Q22" s="38">
        <f>'[1]HT-ADMINISTRATIVOS'!R28</f>
        <v>0</v>
      </c>
      <c r="R22" s="38">
        <f>E22*O4</f>
        <v>30.8415</v>
      </c>
      <c r="S22" s="36">
        <f t="shared" si="4"/>
        <v>535.48888199999999</v>
      </c>
      <c r="T22" s="28">
        <f>IF('[1]Calculo ISR '!$AB$34&gt;0,0,'[1]Calculo ISR '!$AB$34)*-1</f>
        <v>0</v>
      </c>
      <c r="U22" s="36">
        <f t="shared" si="5"/>
        <v>3070.161118</v>
      </c>
      <c r="V22" s="36">
        <f t="shared" si="3"/>
        <v>465.5</v>
      </c>
      <c r="W22" s="46"/>
      <c r="X22" s="47"/>
    </row>
    <row r="23" spans="1:24" s="48" customFormat="1" ht="45" customHeight="1">
      <c r="A23" s="54" t="s">
        <v>63</v>
      </c>
      <c r="B23" s="166" t="s">
        <v>64</v>
      </c>
      <c r="C23" s="34">
        <v>15</v>
      </c>
      <c r="D23" s="50">
        <v>186.24</v>
      </c>
      <c r="E23" s="36">
        <v>2793.65</v>
      </c>
      <c r="F23" s="43"/>
      <c r="G23" s="36">
        <v>465.5</v>
      </c>
      <c r="H23" s="36">
        <v>1043</v>
      </c>
      <c r="I23" s="36">
        <f>'[1]HT-ADMINISTRATIVOS'!J29</f>
        <v>0</v>
      </c>
      <c r="J23" s="37">
        <f>'[1]HT-ADMINISTRATIVOS'!I29</f>
        <v>0</v>
      </c>
      <c r="K23" s="36">
        <f t="shared" si="0"/>
        <v>3836.65</v>
      </c>
      <c r="L23" s="36">
        <f t="shared" si="1"/>
        <v>4302.1499999999996</v>
      </c>
      <c r="M23" s="28">
        <f>IF('[22]Calculo ISR '!$AC$34&lt;0,0,'[22]Calculo ISR '!$AC$34)</f>
        <v>180.81163199999995</v>
      </c>
      <c r="N23" s="38">
        <f>E23*P4</f>
        <v>293.33325000000002</v>
      </c>
      <c r="O23" s="38">
        <v>1081</v>
      </c>
      <c r="P23" s="38">
        <f>'[1]HT-ADMINISTRATIVOS'!Q29</f>
        <v>0</v>
      </c>
      <c r="Q23" s="38">
        <f>'[1]HT-ADMINISTRATIVOS'!R29</f>
        <v>0</v>
      </c>
      <c r="R23" s="38">
        <f>E23*O4</f>
        <v>27.936500000000002</v>
      </c>
      <c r="S23" s="36">
        <f t="shared" si="4"/>
        <v>1583.0813820000001</v>
      </c>
      <c r="T23" s="28">
        <f>IF('[1]Calculo ISR '!$AC$34&gt;0,0,'[1]Calculo ISR '!$AC$34)*-1</f>
        <v>0</v>
      </c>
      <c r="U23" s="36">
        <f t="shared" si="5"/>
        <v>2253.5686180000002</v>
      </c>
      <c r="V23" s="36">
        <f t="shared" si="3"/>
        <v>465.5</v>
      </c>
      <c r="W23" s="46"/>
      <c r="X23" s="47"/>
    </row>
    <row r="24" spans="1:24" s="48" customFormat="1" ht="45" customHeight="1">
      <c r="A24" s="56" t="s">
        <v>65</v>
      </c>
      <c r="B24" s="166" t="s">
        <v>66</v>
      </c>
      <c r="C24" s="34">
        <v>15</v>
      </c>
      <c r="D24" s="50">
        <v>146.38999999999999</v>
      </c>
      <c r="E24" s="36">
        <v>2195.92</v>
      </c>
      <c r="F24" s="43"/>
      <c r="G24" s="36">
        <v>465.5</v>
      </c>
      <c r="H24" s="36">
        <v>521.5</v>
      </c>
      <c r="I24" s="36">
        <f>'[1]HT-ADMINISTRATIVOS'!J31</f>
        <v>0</v>
      </c>
      <c r="J24" s="37">
        <f>'[1]HT-ADMINISTRATIVOS'!I31</f>
        <v>0</v>
      </c>
      <c r="K24" s="36">
        <f t="shared" si="0"/>
        <v>2717.42</v>
      </c>
      <c r="L24" s="36">
        <f t="shared" si="1"/>
        <v>3182.92</v>
      </c>
      <c r="M24" s="28">
        <f>IF('[22]Calculo ISR '!$AD$34&lt;0,0,'[22]Calculo ISR '!$AD$34)</f>
        <v>46.222207999999995</v>
      </c>
      <c r="N24" s="38">
        <f>E24*P4</f>
        <v>230.57159999999999</v>
      </c>
      <c r="O24" s="38">
        <f>'[1]HT-ADMINISTRATIVOS'!P31</f>
        <v>0</v>
      </c>
      <c r="P24" s="38">
        <f>'[1]HT-ADMINISTRATIVOS'!Q31</f>
        <v>0</v>
      </c>
      <c r="Q24" s="38">
        <f>'[1]HT-ADMINISTRATIVOS'!R31</f>
        <v>0</v>
      </c>
      <c r="R24" s="38">
        <f>E24*O4</f>
        <v>21.959200000000003</v>
      </c>
      <c r="S24" s="36">
        <f t="shared" si="4"/>
        <v>298.75300800000002</v>
      </c>
      <c r="T24" s="28">
        <f>IF('[1]Calculo ISR '!$AD$34&gt;0,0,'[1]Calculo ISR '!$AD$34)*-1</f>
        <v>0</v>
      </c>
      <c r="U24" s="36">
        <f t="shared" si="5"/>
        <v>2418.6669919999999</v>
      </c>
      <c r="V24" s="36">
        <f t="shared" si="3"/>
        <v>465.5</v>
      </c>
      <c r="W24" s="46"/>
      <c r="X24" s="47"/>
    </row>
    <row r="25" spans="1:24" s="48" customFormat="1" ht="45" customHeight="1">
      <c r="A25" s="56" t="s">
        <v>67</v>
      </c>
      <c r="B25" s="167" t="s">
        <v>68</v>
      </c>
      <c r="C25" s="34">
        <v>15</v>
      </c>
      <c r="D25" s="50">
        <v>553.13</v>
      </c>
      <c r="E25" s="36">
        <v>8296.9699999999993</v>
      </c>
      <c r="F25" s="43"/>
      <c r="G25" s="36">
        <v>465.5</v>
      </c>
      <c r="H25" s="36">
        <f>'[1]HT-ADMINISTRATIVOS'!H32</f>
        <v>0</v>
      </c>
      <c r="I25" s="36">
        <f>'[1]HT-ADMINISTRATIVOS'!J32</f>
        <v>0</v>
      </c>
      <c r="J25" s="37">
        <f>E25*Q4</f>
        <v>315.28485999999998</v>
      </c>
      <c r="K25" s="36">
        <f t="shared" si="0"/>
        <v>8612.2548599999991</v>
      </c>
      <c r="L25" s="36">
        <f t="shared" si="1"/>
        <v>9077.7548599999991</v>
      </c>
      <c r="M25" s="28">
        <f>IF('[22]Calculo ISR '!$AE$34&lt;0,0,'[22]Calculo ISR '!$AE$34)</f>
        <v>1292.3884620959998</v>
      </c>
      <c r="N25" s="38">
        <f>E25*P4</f>
        <v>871.18184999999994</v>
      </c>
      <c r="O25" s="38">
        <v>2150.31</v>
      </c>
      <c r="P25" s="38">
        <f>'[1]HT-ADMINISTRATIVOS'!Q32</f>
        <v>0</v>
      </c>
      <c r="Q25" s="38">
        <f>'[1]HT-ADMINISTRATIVOS'!R32</f>
        <v>0</v>
      </c>
      <c r="R25" s="38">
        <f>'[1]HT-ADMINISTRATIVOS'!S32</f>
        <v>0</v>
      </c>
      <c r="S25" s="36">
        <f t="shared" si="4"/>
        <v>4313.8803120960001</v>
      </c>
      <c r="T25" s="28">
        <f>IF('[1]Calculo ISR '!$AE$34&gt;0,0,'[1]Calculo ISR '!$AE$34)*-1</f>
        <v>0</v>
      </c>
      <c r="U25" s="36">
        <f t="shared" si="5"/>
        <v>4298.374547903999</v>
      </c>
      <c r="V25" s="36">
        <f t="shared" si="3"/>
        <v>465.5</v>
      </c>
      <c r="W25" s="46"/>
      <c r="X25" s="47"/>
    </row>
    <row r="26" spans="1:24" s="48" customFormat="1" ht="45" customHeight="1">
      <c r="A26" s="58" t="s">
        <v>69</v>
      </c>
      <c r="B26" s="168" t="s">
        <v>70</v>
      </c>
      <c r="C26" s="34">
        <v>15</v>
      </c>
      <c r="D26" s="50">
        <v>238.18</v>
      </c>
      <c r="E26" s="36">
        <v>3572.72</v>
      </c>
      <c r="F26" s="43"/>
      <c r="G26" s="36">
        <v>465.5</v>
      </c>
      <c r="H26" s="36">
        <f>'[1]HT-ADMINISTRATIVOS'!H33</f>
        <v>0</v>
      </c>
      <c r="I26" s="36">
        <f>'[1]HT-ADMINISTRATIVOS'!J33</f>
        <v>0</v>
      </c>
      <c r="J26" s="37">
        <f>'[1]HT-ADMINISTRATIVOS'!I33</f>
        <v>0</v>
      </c>
      <c r="K26" s="36">
        <f t="shared" si="0"/>
        <v>3572.72</v>
      </c>
      <c r="L26" s="36">
        <f t="shared" si="1"/>
        <v>4038.22</v>
      </c>
      <c r="M26" s="28">
        <f>IF('[22]Calculo ISR '!$AF$34&lt;0,0,'[22]Calculo ISR '!$AF$34)</f>
        <v>177.22884799999994</v>
      </c>
      <c r="N26" s="38">
        <f>E26*P4</f>
        <v>375.13559999999995</v>
      </c>
      <c r="O26" s="38">
        <v>689.44</v>
      </c>
      <c r="P26" s="143"/>
      <c r="Q26" s="38"/>
      <c r="R26" s="38">
        <f>E26*O4</f>
        <v>35.727199999999996</v>
      </c>
      <c r="S26" s="36">
        <f>M26+N26+O26+R26+P26+Q26</f>
        <v>1277.5316479999999</v>
      </c>
      <c r="T26" s="28">
        <f>IF('[1]Calculo ISR '!$AF$34&gt;0,0,'[1]Calculo ISR '!$AF$34)*-1</f>
        <v>0</v>
      </c>
      <c r="U26" s="36">
        <f>K26-S26+T26</f>
        <v>2295.1883520000001</v>
      </c>
      <c r="V26" s="36">
        <f t="shared" si="3"/>
        <v>465.5</v>
      </c>
      <c r="W26" s="46"/>
      <c r="X26" s="47"/>
    </row>
    <row r="27" spans="1:24" s="48" customFormat="1" ht="45" customHeight="1">
      <c r="A27" s="60" t="s">
        <v>71</v>
      </c>
      <c r="B27" s="169" t="s">
        <v>72</v>
      </c>
      <c r="C27" s="66">
        <v>15</v>
      </c>
      <c r="D27" s="50">
        <v>146.38999999999999</v>
      </c>
      <c r="E27" s="36">
        <v>2195.92</v>
      </c>
      <c r="F27" s="43"/>
      <c r="G27" s="36">
        <v>465.5</v>
      </c>
      <c r="H27" s="36">
        <f>'[1]HT-ADMINISTRATIVOS'!H35</f>
        <v>0</v>
      </c>
      <c r="I27" s="36">
        <f>'[1]HT-ADMINISTRATIVOS'!J35</f>
        <v>0</v>
      </c>
      <c r="J27" s="37">
        <f>'[1]HT-ADMINISTRATIVOS'!I35</f>
        <v>0</v>
      </c>
      <c r="K27" s="36">
        <f t="shared" si="0"/>
        <v>2195.92</v>
      </c>
      <c r="L27" s="36">
        <f t="shared" si="1"/>
        <v>2661.42</v>
      </c>
      <c r="M27" s="28">
        <f>IF('[22]Calculo ISR '!$AG$34&lt;0,0,'[22]Calculo ISR '!$AG$34)</f>
        <v>0</v>
      </c>
      <c r="N27" s="38">
        <f>E27*P4</f>
        <v>230.57159999999999</v>
      </c>
      <c r="O27" s="38">
        <v>300</v>
      </c>
      <c r="P27" s="38">
        <f>'[1]HT-ADMINISTRATIVOS'!Q35</f>
        <v>0</v>
      </c>
      <c r="Q27" s="38">
        <f>'[1]HT-ADMINISTRATIVOS'!R35</f>
        <v>0</v>
      </c>
      <c r="R27" s="38">
        <f>E27*O4</f>
        <v>21.959200000000003</v>
      </c>
      <c r="S27" s="36">
        <f t="shared" si="4"/>
        <v>552.5308</v>
      </c>
      <c r="T27" s="28">
        <f>IF('[22]Calculo ISR '!$AG$34&gt;0,0,'[22]Calculo ISR '!$AG$34)*-1</f>
        <v>39.916992000000022</v>
      </c>
      <c r="U27" s="36">
        <f>K27-S27+T27</f>
        <v>1683.306192</v>
      </c>
      <c r="V27" s="36">
        <f t="shared" si="3"/>
        <v>465.5</v>
      </c>
      <c r="W27" s="67"/>
      <c r="X27" s="47"/>
    </row>
    <row r="28" spans="1:24" s="48" customFormat="1" ht="45" customHeight="1">
      <c r="A28" s="53" t="s">
        <v>73</v>
      </c>
      <c r="B28" s="169" t="s">
        <v>74</v>
      </c>
      <c r="C28" s="66">
        <v>15</v>
      </c>
      <c r="D28" s="50">
        <v>553.13</v>
      </c>
      <c r="E28" s="36">
        <v>8296.9699999999993</v>
      </c>
      <c r="F28" s="43"/>
      <c r="G28" s="36">
        <v>465.5</v>
      </c>
      <c r="H28" s="36">
        <f>'[1]HT-ADMINISTRATIVOS'!H36</f>
        <v>0</v>
      </c>
      <c r="I28" s="36">
        <f>'[1]HT-ADMINISTRATIVOS'!J36</f>
        <v>0</v>
      </c>
      <c r="J28" s="37">
        <f>'[1]HT-ADMINISTRATIVOS'!I36</f>
        <v>0</v>
      </c>
      <c r="K28" s="36">
        <f t="shared" si="0"/>
        <v>8296.9699999999993</v>
      </c>
      <c r="L28" s="36">
        <f t="shared" si="1"/>
        <v>8762.4699999999993</v>
      </c>
      <c r="M28" s="28">
        <f>IF('[22]Calculo ISR '!$AH$34&lt;0,0,'[22]Calculo ISR '!$AH$34)</f>
        <v>1225.0436159999999</v>
      </c>
      <c r="N28" s="38">
        <f>E28*P4</f>
        <v>871.18184999999994</v>
      </c>
      <c r="O28" s="38">
        <f>'[1]HT-ADMINISTRATIVOS'!P36</f>
        <v>0</v>
      </c>
      <c r="P28" s="38">
        <f>'[1]HT-ADMINISTRATIVOS'!Q36</f>
        <v>0</v>
      </c>
      <c r="Q28" s="38">
        <f>'[1]HT-ADMINISTRATIVOS'!R36</f>
        <v>0</v>
      </c>
      <c r="R28" s="38">
        <f>'[1]HT-ADMINISTRATIVOS'!S36</f>
        <v>0</v>
      </c>
      <c r="S28" s="36">
        <f t="shared" si="4"/>
        <v>2096.2254659999999</v>
      </c>
      <c r="T28" s="28">
        <f>IF('[1]Calculo ISR '!$AH$34&gt;0,0,'[1]Calculo ISR '!$AH$34)*-1</f>
        <v>0</v>
      </c>
      <c r="U28" s="36">
        <f>K28-S28+T28</f>
        <v>6200.7445339999995</v>
      </c>
      <c r="V28" s="36">
        <f t="shared" si="3"/>
        <v>465.5</v>
      </c>
      <c r="W28" s="67"/>
      <c r="X28" s="47"/>
    </row>
    <row r="29" spans="1:24" s="48" customFormat="1" ht="45" customHeight="1">
      <c r="A29" s="68" t="s">
        <v>75</v>
      </c>
      <c r="B29" s="169" t="s">
        <v>76</v>
      </c>
      <c r="C29" s="66">
        <v>15</v>
      </c>
      <c r="D29" s="50">
        <v>146.38999999999999</v>
      </c>
      <c r="E29" s="36">
        <v>2195.92</v>
      </c>
      <c r="F29" s="43"/>
      <c r="G29" s="36">
        <v>465.5</v>
      </c>
      <c r="H29" s="36">
        <f>'[1]HT-ADMINISTRATIVOS'!H37</f>
        <v>0</v>
      </c>
      <c r="I29" s="36">
        <f>'[1]HT-ADMINISTRATIVOS'!J37</f>
        <v>0</v>
      </c>
      <c r="J29" s="37">
        <f>'[1]HT-ADMINISTRATIVOS'!I37</f>
        <v>0</v>
      </c>
      <c r="K29" s="36">
        <f t="shared" si="0"/>
        <v>2195.92</v>
      </c>
      <c r="L29" s="36">
        <f t="shared" si="1"/>
        <v>2661.42</v>
      </c>
      <c r="M29" s="28">
        <f>IF('[22]Calculo ISR '!$AI$34&lt;0,0,'[22]Calculo ISR '!$AI$34)</f>
        <v>0</v>
      </c>
      <c r="N29" s="38">
        <f>E29*P4</f>
        <v>230.57159999999999</v>
      </c>
      <c r="O29" s="38">
        <f>'[1]HT-ADMINISTRATIVOS'!P37</f>
        <v>0</v>
      </c>
      <c r="P29" s="38">
        <f>'[1]HT-ADMINISTRATIVOS'!Q37</f>
        <v>0</v>
      </c>
      <c r="Q29" s="38">
        <f>'[1]HT-ADMINISTRATIVOS'!R37</f>
        <v>0</v>
      </c>
      <c r="R29" s="38">
        <f>E29*O4</f>
        <v>21.959200000000003</v>
      </c>
      <c r="S29" s="36">
        <f t="shared" si="4"/>
        <v>252.5308</v>
      </c>
      <c r="T29" s="28">
        <f>IF('[22]Calculo ISR '!$AI$34&gt;0,0,'[22]Calculo ISR '!$AI$34)*-1</f>
        <v>39.916992000000022</v>
      </c>
      <c r="U29" s="36">
        <f>K29-S29+T29</f>
        <v>1983.306192</v>
      </c>
      <c r="V29" s="36">
        <f t="shared" si="3"/>
        <v>465.5</v>
      </c>
      <c r="W29" s="67"/>
      <c r="X29" s="47"/>
    </row>
    <row r="30" spans="1:24" s="81" customFormat="1" ht="45" customHeight="1">
      <c r="A30" s="53" t="s">
        <v>79</v>
      </c>
      <c r="B30" s="169" t="s">
        <v>80</v>
      </c>
      <c r="C30" s="66">
        <v>15</v>
      </c>
      <c r="D30" s="76">
        <v>553.13</v>
      </c>
      <c r="E30" s="36">
        <v>8296.9699999999993</v>
      </c>
      <c r="F30" s="50"/>
      <c r="G30" s="36">
        <v>465.5</v>
      </c>
      <c r="H30" s="50"/>
      <c r="I30" s="50"/>
      <c r="J30" s="50"/>
      <c r="K30" s="36">
        <f t="shared" si="0"/>
        <v>8296.9699999999993</v>
      </c>
      <c r="L30" s="36">
        <f t="shared" si="1"/>
        <v>8762.4699999999993</v>
      </c>
      <c r="M30" s="28">
        <f>IF('[22]Calculo ISR '!$AK$34&lt;0,0,'[22]Calculo ISR '!$AK$34)</f>
        <v>1225.0436159999999</v>
      </c>
      <c r="N30" s="79">
        <f>E30*P4</f>
        <v>871.18184999999994</v>
      </c>
      <c r="O30" s="78"/>
      <c r="P30" s="50"/>
      <c r="Q30" s="78"/>
      <c r="R30" s="50"/>
      <c r="S30" s="50">
        <f t="shared" ref="S30:S41" si="7">M30+N30+O30+P30+Q30+R30</f>
        <v>2096.2254659999999</v>
      </c>
      <c r="T30" s="28">
        <f>IF('[1]Calculo ISR '!$AK$34&gt;0,0,'[1]Calculo ISR '!$AK$34)*-1</f>
        <v>0</v>
      </c>
      <c r="U30" s="79">
        <f>K30-S30</f>
        <v>6200.7445339999995</v>
      </c>
      <c r="V30" s="36">
        <f t="shared" si="3"/>
        <v>465.5</v>
      </c>
      <c r="W30" s="80"/>
      <c r="X30" s="47"/>
    </row>
    <row r="31" spans="1:24" s="81" customFormat="1" ht="45" customHeight="1">
      <c r="A31" s="91" t="s">
        <v>83</v>
      </c>
      <c r="B31" s="137" t="s">
        <v>84</v>
      </c>
      <c r="C31" s="66">
        <v>15</v>
      </c>
      <c r="D31" s="76">
        <v>186.24</v>
      </c>
      <c r="E31" s="36">
        <v>2793.65</v>
      </c>
      <c r="F31" s="50"/>
      <c r="G31" s="36">
        <v>465.5</v>
      </c>
      <c r="H31" s="50">
        <v>1043</v>
      </c>
      <c r="I31" s="50"/>
      <c r="J31" s="50"/>
      <c r="K31" s="36">
        <f t="shared" si="0"/>
        <v>3836.65</v>
      </c>
      <c r="L31" s="36">
        <f t="shared" si="1"/>
        <v>4302.1499999999996</v>
      </c>
      <c r="M31" s="28">
        <f>IF('[22]Calculo ISR '!$AM$34&lt;0,0,'[22]Calculo ISR '!$AM$34)</f>
        <v>322.95239999999995</v>
      </c>
      <c r="N31" s="92">
        <f>E31*P4</f>
        <v>293.33325000000002</v>
      </c>
      <c r="O31" s="78"/>
      <c r="P31" s="50"/>
      <c r="Q31" s="78"/>
      <c r="R31" s="50">
        <f>E31*O4</f>
        <v>27.936500000000002</v>
      </c>
      <c r="S31" s="50">
        <f>M31+N31+O31+P31+Q31+R31</f>
        <v>644.22215000000006</v>
      </c>
      <c r="T31" s="28">
        <f>IF('[1]Calculo ISR '!$AM$34&gt;0,0,'[1]Calculo ISR '!$AM$34)*-1</f>
        <v>0</v>
      </c>
      <c r="U31" s="79">
        <f t="shared" ref="U31:U44" si="8">K31-S31+T31</f>
        <v>3192.42785</v>
      </c>
      <c r="V31" s="36">
        <f t="shared" si="3"/>
        <v>465.5</v>
      </c>
      <c r="W31" s="80"/>
      <c r="X31" s="47"/>
    </row>
    <row r="32" spans="1:24" s="81" customFormat="1" ht="45" customHeight="1">
      <c r="A32" s="91" t="s">
        <v>85</v>
      </c>
      <c r="B32" s="137" t="s">
        <v>86</v>
      </c>
      <c r="C32" s="66">
        <v>15</v>
      </c>
      <c r="D32" s="76">
        <v>226.68</v>
      </c>
      <c r="E32" s="36">
        <v>3400.25</v>
      </c>
      <c r="F32" s="50"/>
      <c r="G32" s="36">
        <v>465.5</v>
      </c>
      <c r="H32" s="50"/>
      <c r="I32" s="50"/>
      <c r="J32" s="50"/>
      <c r="K32" s="36">
        <f t="shared" si="0"/>
        <v>3400.25</v>
      </c>
      <c r="L32" s="36">
        <f t="shared" si="1"/>
        <v>3865.75</v>
      </c>
      <c r="M32" s="28">
        <f>IF('[22]Calculo ISR '!$AN$34&lt;0,0,'[22]Calculo ISR '!$AN$34)</f>
        <v>140.76411199999998</v>
      </c>
      <c r="N32" s="92">
        <f>E32*P4</f>
        <v>357.02625</v>
      </c>
      <c r="O32" s="78"/>
      <c r="P32" s="50"/>
      <c r="Q32" s="78"/>
      <c r="R32" s="50">
        <v>0</v>
      </c>
      <c r="S32" s="50">
        <f t="shared" si="7"/>
        <v>497.79036199999996</v>
      </c>
      <c r="T32" s="28">
        <f>IF('[1]Calculo ISR '!$AN$34&gt;0,0,'[1]Calculo ISR '!$AN$34)*-1</f>
        <v>0</v>
      </c>
      <c r="U32" s="79">
        <f t="shared" si="8"/>
        <v>2902.4596380000003</v>
      </c>
      <c r="V32" s="36">
        <f t="shared" si="3"/>
        <v>465.5</v>
      </c>
      <c r="W32" s="80"/>
      <c r="X32" s="47"/>
    </row>
    <row r="33" spans="1:26" s="81" customFormat="1" ht="45" customHeight="1">
      <c r="A33" s="91" t="s">
        <v>87</v>
      </c>
      <c r="B33" s="170" t="s">
        <v>88</v>
      </c>
      <c r="C33" s="66">
        <v>15</v>
      </c>
      <c r="D33" s="76">
        <v>553.13</v>
      </c>
      <c r="E33" s="36">
        <v>8296.9699999999993</v>
      </c>
      <c r="F33" s="50"/>
      <c r="G33" s="36">
        <v>465.5</v>
      </c>
      <c r="H33" s="50"/>
      <c r="I33" s="50"/>
      <c r="J33" s="50"/>
      <c r="K33" s="36">
        <f t="shared" si="0"/>
        <v>8296.9699999999993</v>
      </c>
      <c r="L33" s="36">
        <f t="shared" si="1"/>
        <v>8762.4699999999993</v>
      </c>
      <c r="M33" s="28">
        <f>IF('[22]Calculo ISR '!$AO$34&lt;0,0,'[22]Calculo ISR '!$AO$34)</f>
        <v>1225.0436159999999</v>
      </c>
      <c r="N33" s="92">
        <f>E33*P4</f>
        <v>871.18184999999994</v>
      </c>
      <c r="O33" s="78">
        <v>1338</v>
      </c>
      <c r="P33" s="50"/>
      <c r="Q33" s="78"/>
      <c r="R33" s="50"/>
      <c r="S33" s="50">
        <f t="shared" si="7"/>
        <v>3434.2254659999999</v>
      </c>
      <c r="T33" s="28">
        <f>IF('[1]Calculo ISR '!$AO$34&gt;0,0,'[1]Calculo ISR '!$AO$34)*-1</f>
        <v>0</v>
      </c>
      <c r="U33" s="79">
        <f t="shared" si="8"/>
        <v>4862.7445339999995</v>
      </c>
      <c r="V33" s="36">
        <f t="shared" si="3"/>
        <v>465.5</v>
      </c>
      <c r="W33" s="80"/>
      <c r="X33" s="47"/>
    </row>
    <row r="34" spans="1:26" s="81" customFormat="1" ht="45" customHeight="1">
      <c r="A34" s="91" t="s">
        <v>89</v>
      </c>
      <c r="B34" s="170" t="s">
        <v>90</v>
      </c>
      <c r="C34" s="66">
        <v>15</v>
      </c>
      <c r="D34" s="76">
        <v>177.16</v>
      </c>
      <c r="E34" s="36">
        <v>2657.47</v>
      </c>
      <c r="F34" s="50"/>
      <c r="G34" s="36">
        <v>465.5</v>
      </c>
      <c r="H34" s="50"/>
      <c r="I34" s="50"/>
      <c r="J34" s="50"/>
      <c r="K34" s="36">
        <f t="shared" si="0"/>
        <v>2657.47</v>
      </c>
      <c r="L34" s="36">
        <f t="shared" si="1"/>
        <v>3122.97</v>
      </c>
      <c r="M34" s="28">
        <f>IF('[22]Calculo ISR '!$AP$34&lt;0,0,'[22]Calculo ISR '!$AP$34)</f>
        <v>39.699647999999968</v>
      </c>
      <c r="N34" s="92">
        <f>E34*P4</f>
        <v>279.03434999999996</v>
      </c>
      <c r="O34" s="78"/>
      <c r="P34" s="50"/>
      <c r="Q34" s="78"/>
      <c r="R34" s="50"/>
      <c r="S34" s="50">
        <f t="shared" si="7"/>
        <v>318.73399799999993</v>
      </c>
      <c r="T34" s="28">
        <f>IF('[1]Calculo ISR '!$AP$34&gt;0,0,'[1]Calculo ISR '!$AP$34)*-1</f>
        <v>0</v>
      </c>
      <c r="U34" s="79">
        <f t="shared" si="8"/>
        <v>2338.7360019999996</v>
      </c>
      <c r="V34" s="36">
        <f t="shared" si="3"/>
        <v>465.5</v>
      </c>
      <c r="W34" s="80"/>
      <c r="X34" s="47"/>
    </row>
    <row r="35" spans="1:26" s="81" customFormat="1" ht="45" customHeight="1">
      <c r="A35" s="91" t="s">
        <v>91</v>
      </c>
      <c r="B35" s="170" t="s">
        <v>92</v>
      </c>
      <c r="C35" s="66">
        <v>15</v>
      </c>
      <c r="D35" s="76">
        <v>135.83000000000001</v>
      </c>
      <c r="E35" s="36">
        <v>2037.52</v>
      </c>
      <c r="F35" s="50"/>
      <c r="G35" s="36">
        <v>465.5</v>
      </c>
      <c r="H35" s="50"/>
      <c r="I35" s="50"/>
      <c r="J35" s="50"/>
      <c r="K35" s="36">
        <f t="shared" si="0"/>
        <v>2037.52</v>
      </c>
      <c r="L35" s="36">
        <f t="shared" si="1"/>
        <v>2503.02</v>
      </c>
      <c r="M35" s="28">
        <f>IF('[22]Calculo ISR '!$AQ$34&lt;0,0,'[22]Calculo ISR '!$AQ$34)</f>
        <v>0</v>
      </c>
      <c r="N35" s="92">
        <f>E35*P4</f>
        <v>213.93959999999998</v>
      </c>
      <c r="O35" s="78">
        <v>679</v>
      </c>
      <c r="P35" s="50"/>
      <c r="Q35" s="78"/>
      <c r="R35" s="50"/>
      <c r="S35" s="50">
        <f t="shared" si="7"/>
        <v>892.93959999999993</v>
      </c>
      <c r="T35" s="28">
        <f>IF('[22]Calculo ISR '!$AQ$34&gt;0,0,'[22]Calculo ISR '!$AQ$34)*-1</f>
        <v>69.316559999999981</v>
      </c>
      <c r="U35" s="79">
        <f t="shared" si="8"/>
        <v>1213.89696</v>
      </c>
      <c r="V35" s="36">
        <f t="shared" si="3"/>
        <v>465.5</v>
      </c>
      <c r="W35" s="80"/>
      <c r="X35" s="47"/>
    </row>
    <row r="36" spans="1:26" s="81" customFormat="1" ht="45" customHeight="1">
      <c r="A36" s="91" t="s">
        <v>93</v>
      </c>
      <c r="B36" s="170" t="s">
        <v>94</v>
      </c>
      <c r="C36" s="66">
        <v>15</v>
      </c>
      <c r="D36" s="76">
        <v>135.83000000000001</v>
      </c>
      <c r="E36" s="36">
        <v>2037.52</v>
      </c>
      <c r="F36" s="50"/>
      <c r="G36" s="36">
        <v>465.5</v>
      </c>
      <c r="H36" s="50"/>
      <c r="I36" s="50"/>
      <c r="J36" s="50"/>
      <c r="K36" s="36">
        <f t="shared" si="0"/>
        <v>2037.52</v>
      </c>
      <c r="L36" s="36">
        <f t="shared" si="1"/>
        <v>2503.02</v>
      </c>
      <c r="M36" s="28">
        <f>IF('[22]Calculo ISR '!$AR$34&lt;0,0,'[22]Calculo ISR '!$AR$34)</f>
        <v>0</v>
      </c>
      <c r="N36" s="92">
        <f>E36*P4</f>
        <v>213.93959999999998</v>
      </c>
      <c r="O36" s="78"/>
      <c r="P36" s="50"/>
      <c r="Q36" s="78"/>
      <c r="R36" s="50"/>
      <c r="S36" s="50">
        <f t="shared" si="7"/>
        <v>213.93959999999998</v>
      </c>
      <c r="T36" s="28">
        <f>IF('[22]Calculo ISR '!$AR$34&gt;0,0,'[22]Calculo ISR '!$AR$34)*-1</f>
        <v>69.316559999999981</v>
      </c>
      <c r="U36" s="79">
        <f t="shared" si="8"/>
        <v>1892.89696</v>
      </c>
      <c r="V36" s="36">
        <f t="shared" si="3"/>
        <v>465.5</v>
      </c>
      <c r="W36" s="80"/>
      <c r="X36" s="47"/>
    </row>
    <row r="37" spans="1:26" s="81" customFormat="1" ht="45" customHeight="1">
      <c r="A37" s="91" t="s">
        <v>95</v>
      </c>
      <c r="B37" s="170" t="s">
        <v>96</v>
      </c>
      <c r="C37" s="66">
        <v>15</v>
      </c>
      <c r="D37" s="76">
        <v>780.2</v>
      </c>
      <c r="E37" s="36">
        <f t="shared" si="6"/>
        <v>11703</v>
      </c>
      <c r="F37" s="50"/>
      <c r="G37" s="36">
        <v>465.5</v>
      </c>
      <c r="H37" s="50"/>
      <c r="I37" s="50"/>
      <c r="J37" s="50"/>
      <c r="K37" s="36">
        <f t="shared" si="0"/>
        <v>11703</v>
      </c>
      <c r="L37" s="36">
        <f t="shared" si="1"/>
        <v>12168.5</v>
      </c>
      <c r="M37" s="28">
        <f>IF('[22]Calculo ISR '!$AS$34&lt;0,0,'[22]Calculo ISR '!$AS$34)</f>
        <v>1983.8578080000002</v>
      </c>
      <c r="N37" s="92">
        <f>E37*P4</f>
        <v>1228.8150000000001</v>
      </c>
      <c r="O37" s="78"/>
      <c r="P37" s="50"/>
      <c r="Q37" s="78"/>
      <c r="R37" s="50"/>
      <c r="S37" s="50">
        <f t="shared" si="7"/>
        <v>3212.6728080000003</v>
      </c>
      <c r="T37" s="28">
        <f>IF('[1]Calculo ISR '!$AS$34&gt;0,0,'[1]Calculo ISR '!$AS$34)*-1</f>
        <v>0</v>
      </c>
      <c r="U37" s="79">
        <f t="shared" si="8"/>
        <v>8490.3271920000007</v>
      </c>
      <c r="V37" s="36">
        <f t="shared" si="3"/>
        <v>465.5</v>
      </c>
      <c r="W37" s="80"/>
      <c r="X37" s="47"/>
    </row>
    <row r="38" spans="1:26" s="81" customFormat="1" ht="45" customHeight="1">
      <c r="A38" s="91" t="s">
        <v>99</v>
      </c>
      <c r="B38" s="170" t="s">
        <v>100</v>
      </c>
      <c r="C38" s="66">
        <v>15</v>
      </c>
      <c r="D38" s="76">
        <v>177.16</v>
      </c>
      <c r="E38" s="36">
        <v>2657.47</v>
      </c>
      <c r="F38" s="50"/>
      <c r="G38" s="36">
        <v>465.5</v>
      </c>
      <c r="H38" s="50"/>
      <c r="I38" s="50"/>
      <c r="J38" s="50"/>
      <c r="K38" s="36">
        <f t="shared" si="0"/>
        <v>2657.47</v>
      </c>
      <c r="L38" s="36">
        <f t="shared" si="1"/>
        <v>3122.97</v>
      </c>
      <c r="M38" s="28">
        <f>IF('[22]Calculo ISR '!$AU$34&lt;0,0,'[22]Calculo ISR '!$AU$34)</f>
        <v>39.699647999999968</v>
      </c>
      <c r="N38" s="92">
        <f>E38*P4</f>
        <v>279.03434999999996</v>
      </c>
      <c r="O38" s="78"/>
      <c r="P38" s="50"/>
      <c r="Q38" s="78"/>
      <c r="R38" s="50"/>
      <c r="S38" s="50">
        <f t="shared" si="7"/>
        <v>318.73399799999993</v>
      </c>
      <c r="T38" s="28">
        <f>IF('[1]Calculo ISR '!$AU$34&gt;0,0,'[1]Calculo ISR '!$AU$34)*-1</f>
        <v>0</v>
      </c>
      <c r="U38" s="79">
        <f t="shared" si="8"/>
        <v>2338.7360019999996</v>
      </c>
      <c r="V38" s="36">
        <f t="shared" si="3"/>
        <v>465.5</v>
      </c>
      <c r="W38" s="80"/>
      <c r="X38" s="47"/>
    </row>
    <row r="39" spans="1:26" s="81" customFormat="1" ht="45" customHeight="1">
      <c r="A39" s="91" t="s">
        <v>101</v>
      </c>
      <c r="B39" s="170" t="s">
        <v>121</v>
      </c>
      <c r="C39" s="66">
        <v>15</v>
      </c>
      <c r="D39" s="76">
        <v>780.2</v>
      </c>
      <c r="E39" s="36">
        <f t="shared" si="6"/>
        <v>11703</v>
      </c>
      <c r="F39" s="50"/>
      <c r="G39" s="36">
        <v>465.5</v>
      </c>
      <c r="H39" s="50"/>
      <c r="I39" s="50"/>
      <c r="J39" s="50"/>
      <c r="K39" s="36">
        <f t="shared" si="0"/>
        <v>11703</v>
      </c>
      <c r="L39" s="36">
        <f t="shared" si="1"/>
        <v>12168.5</v>
      </c>
      <c r="M39" s="28">
        <f>IF('[22]Calculo ISR '!$AV$34&lt;0,0,'[22]Calculo ISR '!$AV$34)</f>
        <v>1983.8578080000002</v>
      </c>
      <c r="N39" s="92">
        <f>E39*P4</f>
        <v>1228.8150000000001</v>
      </c>
      <c r="O39" s="78">
        <v>1887</v>
      </c>
      <c r="P39" s="50"/>
      <c r="Q39" s="78"/>
      <c r="R39" s="50"/>
      <c r="S39" s="50">
        <f t="shared" si="7"/>
        <v>5099.6728080000003</v>
      </c>
      <c r="T39" s="28">
        <f>IF('[1]Calculo ISR '!$AV$34&gt;0,0,'[1]Calculo ISR '!$AV$34)*-1</f>
        <v>0</v>
      </c>
      <c r="U39" s="79">
        <f t="shared" si="8"/>
        <v>6603.3271919999997</v>
      </c>
      <c r="V39" s="36">
        <f t="shared" si="3"/>
        <v>465.5</v>
      </c>
      <c r="W39" s="80"/>
      <c r="X39" s="47"/>
    </row>
    <row r="40" spans="1:26" s="81" customFormat="1" ht="45" customHeight="1">
      <c r="A40" s="91" t="s">
        <v>103</v>
      </c>
      <c r="B40" s="170" t="s">
        <v>122</v>
      </c>
      <c r="C40" s="66">
        <v>15</v>
      </c>
      <c r="D40" s="76">
        <v>177.16</v>
      </c>
      <c r="E40" s="36">
        <v>2657.47</v>
      </c>
      <c r="F40" s="50"/>
      <c r="G40" s="36">
        <v>465.5</v>
      </c>
      <c r="H40" s="50"/>
      <c r="I40" s="50"/>
      <c r="J40" s="50"/>
      <c r="K40" s="36">
        <f t="shared" si="0"/>
        <v>2657.47</v>
      </c>
      <c r="L40" s="36">
        <f t="shared" si="1"/>
        <v>3122.97</v>
      </c>
      <c r="M40" s="28">
        <f>IF('[22]Calculo ISR '!$AW$34&lt;0,0,'[22]Calculo ISR '!$AW$34)</f>
        <v>39.699647999999968</v>
      </c>
      <c r="N40" s="92">
        <f>E40*P4</f>
        <v>279.03434999999996</v>
      </c>
      <c r="O40" s="78"/>
      <c r="P40" s="50"/>
      <c r="Q40" s="78"/>
      <c r="R40" s="50"/>
      <c r="S40" s="50">
        <f t="shared" si="7"/>
        <v>318.73399799999993</v>
      </c>
      <c r="T40" s="28"/>
      <c r="U40" s="79">
        <f t="shared" si="8"/>
        <v>2338.7360019999996</v>
      </c>
      <c r="V40" s="36">
        <f t="shared" si="3"/>
        <v>465.5</v>
      </c>
      <c r="W40" s="80"/>
      <c r="X40" s="47"/>
    </row>
    <row r="41" spans="1:26" s="81" customFormat="1" ht="45" customHeight="1">
      <c r="A41" s="91" t="s">
        <v>139</v>
      </c>
      <c r="B41" s="170" t="s">
        <v>140</v>
      </c>
      <c r="C41" s="66">
        <v>15</v>
      </c>
      <c r="D41" s="76">
        <v>177.16</v>
      </c>
      <c r="E41" s="36">
        <v>2657.47</v>
      </c>
      <c r="F41" s="50"/>
      <c r="G41" s="36">
        <v>465.5</v>
      </c>
      <c r="H41" s="50"/>
      <c r="I41" s="50"/>
      <c r="J41" s="50"/>
      <c r="K41" s="36">
        <f t="shared" si="0"/>
        <v>2657.47</v>
      </c>
      <c r="L41" s="36">
        <f t="shared" si="1"/>
        <v>3122.97</v>
      </c>
      <c r="M41" s="28">
        <f>IF('[22]Calculo ISR '!$AX$34&lt;0,0,'[22]Calculo ISR '!$AX$34)</f>
        <v>39.699647999999968</v>
      </c>
      <c r="N41" s="92">
        <f>E41*P4</f>
        <v>279.03434999999996</v>
      </c>
      <c r="O41" s="78"/>
      <c r="P41" s="50"/>
      <c r="Q41" s="78"/>
      <c r="R41" s="50"/>
      <c r="S41" s="50">
        <f t="shared" si="7"/>
        <v>318.73399799999993</v>
      </c>
      <c r="T41" s="28"/>
      <c r="U41" s="79">
        <f t="shared" si="8"/>
        <v>2338.7360019999996</v>
      </c>
      <c r="V41" s="36">
        <f t="shared" si="3"/>
        <v>465.5</v>
      </c>
      <c r="W41" s="80"/>
      <c r="X41" s="47"/>
    </row>
    <row r="42" spans="1:26" s="81" customFormat="1" ht="45" customHeight="1">
      <c r="A42" s="91" t="s">
        <v>150</v>
      </c>
      <c r="B42" s="170" t="s">
        <v>142</v>
      </c>
      <c r="C42" s="66">
        <v>15</v>
      </c>
      <c r="D42" s="76">
        <v>205.61</v>
      </c>
      <c r="E42" s="36">
        <f t="shared" si="6"/>
        <v>3084.15</v>
      </c>
      <c r="F42" s="50"/>
      <c r="G42" s="36">
        <v>465.5</v>
      </c>
      <c r="H42" s="50">
        <v>521.5</v>
      </c>
      <c r="I42" s="50"/>
      <c r="J42" s="50"/>
      <c r="K42" s="36">
        <f t="shared" si="0"/>
        <v>3605.65</v>
      </c>
      <c r="L42" s="36">
        <f t="shared" si="1"/>
        <v>4071.15</v>
      </c>
      <c r="M42" s="28">
        <f>IF('[22]Calculo ISR '!$AY$34&lt;0,0,'[22]Calculo ISR '!$AY$34)</f>
        <v>180.81163199999995</v>
      </c>
      <c r="N42" s="92">
        <f>E42*P4</f>
        <v>323.83575000000002</v>
      </c>
      <c r="O42" s="78"/>
      <c r="P42" s="50"/>
      <c r="Q42" s="78"/>
      <c r="R42" s="50"/>
      <c r="S42" s="50">
        <f>SUM(M42+N42+O42+P42+Q42+R42)</f>
        <v>504.64738199999999</v>
      </c>
      <c r="T42" s="28"/>
      <c r="U42" s="79">
        <f t="shared" si="8"/>
        <v>3101.002618</v>
      </c>
      <c r="V42" s="36">
        <f t="shared" si="3"/>
        <v>465.5</v>
      </c>
      <c r="W42" s="80"/>
      <c r="X42" s="47"/>
    </row>
    <row r="43" spans="1:26" s="81" customFormat="1" ht="45" customHeight="1">
      <c r="A43" s="91" t="s">
        <v>151</v>
      </c>
      <c r="B43" s="170" t="s">
        <v>152</v>
      </c>
      <c r="C43" s="66">
        <v>15</v>
      </c>
      <c r="D43" s="76">
        <v>238.18</v>
      </c>
      <c r="E43" s="36">
        <v>3572.72</v>
      </c>
      <c r="F43" s="50"/>
      <c r="G43" s="36">
        <v>465.5</v>
      </c>
      <c r="H43" s="50"/>
      <c r="I43" s="50"/>
      <c r="J43" s="50"/>
      <c r="K43" s="36">
        <f t="shared" si="0"/>
        <v>3572.72</v>
      </c>
      <c r="L43" s="36">
        <f t="shared" si="1"/>
        <v>4038.22</v>
      </c>
      <c r="M43" s="28">
        <f>IF('[22]Calculo ISR '!$AZ$34&lt;0,0,'[22]Calculo ISR '!$AZ$34)</f>
        <v>177.22884799999994</v>
      </c>
      <c r="N43" s="92">
        <f>E43*P4</f>
        <v>375.13559999999995</v>
      </c>
      <c r="O43" s="78"/>
      <c r="P43" s="50"/>
      <c r="Q43" s="78"/>
      <c r="R43" s="50"/>
      <c r="S43" s="50">
        <f>SUM(M43+N43+O43+P43+Q43+R43)</f>
        <v>552.36444799999992</v>
      </c>
      <c r="T43" s="28"/>
      <c r="U43" s="79">
        <f t="shared" si="8"/>
        <v>3020.355552</v>
      </c>
      <c r="V43" s="36">
        <f t="shared" si="3"/>
        <v>465.5</v>
      </c>
      <c r="W43" s="80"/>
      <c r="X43" s="47"/>
    </row>
    <row r="44" spans="1:26" s="81" customFormat="1" ht="45" customHeight="1">
      <c r="A44" s="91" t="s">
        <v>161</v>
      </c>
      <c r="B44" s="170" t="s">
        <v>162</v>
      </c>
      <c r="C44" s="66">
        <v>10</v>
      </c>
      <c r="D44" s="76">
        <v>902.7</v>
      </c>
      <c r="E44" s="36">
        <f>C44*D44</f>
        <v>9027</v>
      </c>
      <c r="F44" s="50"/>
      <c r="G44" s="36">
        <v>465.5</v>
      </c>
      <c r="H44" s="50"/>
      <c r="I44" s="50"/>
      <c r="J44" s="50"/>
      <c r="K44" s="36">
        <f t="shared" si="0"/>
        <v>9027</v>
      </c>
      <c r="L44" s="36">
        <f t="shared" si="1"/>
        <v>9492.5</v>
      </c>
      <c r="M44" s="28">
        <f>IF('[22]Calculo ISR '!$BA$34&lt;0,0,'[22]Calculo ISR '!$BA$34)</f>
        <v>1380.978024</v>
      </c>
      <c r="N44" s="92">
        <v>1421.76</v>
      </c>
      <c r="O44" s="78"/>
      <c r="P44" s="50"/>
      <c r="Q44" s="78"/>
      <c r="R44" s="50"/>
      <c r="S44" s="50">
        <f>SUM(M44+N44+O44+P44+Q44+R44)</f>
        <v>2802.7380240000002</v>
      </c>
      <c r="T44" s="28"/>
      <c r="U44" s="79">
        <f t="shared" si="8"/>
        <v>6224.2619759999998</v>
      </c>
      <c r="V44" s="36">
        <f t="shared" si="3"/>
        <v>465.5</v>
      </c>
      <c r="W44" s="80"/>
      <c r="X44" s="47"/>
    </row>
    <row r="45" spans="1:26" s="99" customFormat="1" ht="21.95" customHeight="1">
      <c r="A45" s="93"/>
      <c r="B45" s="94">
        <v>38</v>
      </c>
      <c r="C45" s="95">
        <f>SUM(C8:C44)</f>
        <v>550</v>
      </c>
      <c r="D45" s="95">
        <f>SUM(D8:D44)</f>
        <v>12176.816666666669</v>
      </c>
      <c r="E45" s="95">
        <f t="shared" ref="E45:V45" si="9">SUM(E7:E44)</f>
        <v>195655.25999999998</v>
      </c>
      <c r="F45" s="95">
        <f t="shared" si="9"/>
        <v>6040.32</v>
      </c>
      <c r="G45" s="95">
        <f t="shared" si="9"/>
        <v>18183.5</v>
      </c>
      <c r="H45" s="95">
        <f t="shared" si="9"/>
        <v>5215</v>
      </c>
      <c r="I45" s="95">
        <f t="shared" si="9"/>
        <v>688</v>
      </c>
      <c r="J45" s="95">
        <f t="shared" si="9"/>
        <v>3378.6212299999997</v>
      </c>
      <c r="K45" s="95">
        <f t="shared" si="9"/>
        <v>210977.20122999998</v>
      </c>
      <c r="L45" s="95">
        <f t="shared" si="9"/>
        <v>229160.70122999998</v>
      </c>
      <c r="M45" s="96">
        <f t="shared" si="9"/>
        <v>25705.77786752001</v>
      </c>
      <c r="N45" s="95">
        <f t="shared" si="9"/>
        <v>21017.727299999999</v>
      </c>
      <c r="O45" s="95">
        <f t="shared" si="9"/>
        <v>21229.97</v>
      </c>
      <c r="P45" s="95">
        <f t="shared" si="9"/>
        <v>0</v>
      </c>
      <c r="Q45" s="95">
        <f t="shared" si="9"/>
        <v>0</v>
      </c>
      <c r="R45" s="95">
        <f t="shared" si="9"/>
        <v>542.16550000000007</v>
      </c>
      <c r="S45" s="95">
        <f t="shared" si="9"/>
        <v>68495.640667520012</v>
      </c>
      <c r="T45" s="95">
        <f t="shared" si="9"/>
        <v>228.19166937600002</v>
      </c>
      <c r="U45" s="95">
        <f t="shared" si="9"/>
        <v>142709.75223185599</v>
      </c>
      <c r="V45" s="95">
        <f t="shared" si="9"/>
        <v>18183.5</v>
      </c>
      <c r="W45" s="97"/>
      <c r="X45" s="98"/>
    </row>
    <row r="46" spans="1:26" s="6" customFormat="1" ht="10.5" customHeight="1">
      <c r="A46" s="122"/>
      <c r="B46" s="123">
        <v>38</v>
      </c>
      <c r="C46" s="124"/>
      <c r="D46" s="101"/>
      <c r="E46" s="101"/>
      <c r="F46" s="101"/>
      <c r="G46" s="125"/>
      <c r="H46" s="125">
        <f>'16-31 OCTUBRE'!H45+'[22]HT-DOCENTE FIRMA'!M38</f>
        <v>7053.6399999999994</v>
      </c>
      <c r="I46" s="101"/>
      <c r="J46" s="101"/>
      <c r="K46" s="101"/>
      <c r="L46" s="101"/>
      <c r="N46" s="101">
        <f>N45+'[22]HT-DOCENTE FIRMA'!R38+'[22]HT-PTC FIRMAS '!K15</f>
        <v>37524.473849999995</v>
      </c>
      <c r="O46" s="101">
        <f>O45+'[22]HT-DOCENTE FIRMA'!S38+'[22]HT-PTC FIRMAS '!L15</f>
        <v>32968.97</v>
      </c>
      <c r="P46" s="101"/>
      <c r="Q46" s="101"/>
      <c r="R46" s="101"/>
      <c r="S46" s="101"/>
      <c r="T46" s="101"/>
      <c r="U46" s="101"/>
      <c r="V46" s="101"/>
      <c r="W46" s="126"/>
      <c r="X46" s="5"/>
    </row>
    <row r="47" spans="1:26" s="6" customFormat="1" ht="10.5" customHeight="1">
      <c r="A47" s="122"/>
      <c r="B47" s="123">
        <f>B46+'[22]HT-DOCENTE FIRMA'!B39+'[22]HT-PTC FIRMAS '!B16</f>
        <v>71</v>
      </c>
      <c r="C47" s="124"/>
      <c r="D47" s="101"/>
      <c r="E47" s="101">
        <f>E45+'[22]HT-DOCENTE FIRMA'!I38+'[22]HT-PTC FIRMAS '!D15</f>
        <v>352862.37</v>
      </c>
      <c r="F47" s="101"/>
      <c r="G47" s="125"/>
      <c r="H47" s="125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26"/>
      <c r="X47" s="5"/>
      <c r="Z47" s="5"/>
    </row>
    <row r="48" spans="1:26" s="6" customFormat="1" ht="10.5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26"/>
      <c r="X48" s="5"/>
    </row>
    <row r="49" spans="1:24" s="6" customFormat="1" ht="10.5" customHeight="1">
      <c r="A49" s="129"/>
      <c r="B49" s="130"/>
      <c r="C49" s="131"/>
      <c r="D49" s="132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5"/>
    </row>
    <row r="50" spans="1:24" ht="15" customHeight="1">
      <c r="A50" s="110" t="s">
        <v>105</v>
      </c>
      <c r="B50" s="110"/>
      <c r="C50" s="110"/>
      <c r="D50" s="111"/>
      <c r="E50" s="109"/>
      <c r="F50" s="109"/>
      <c r="G50" s="112"/>
      <c r="H50" s="113" t="s">
        <v>106</v>
      </c>
      <c r="I50" s="112"/>
      <c r="K50" s="113"/>
      <c r="L50" s="114"/>
      <c r="O50" s="115"/>
      <c r="P50" s="115"/>
      <c r="Q50" s="115"/>
      <c r="R50" s="115"/>
      <c r="S50" s="111" t="s">
        <v>107</v>
      </c>
      <c r="T50" s="111"/>
      <c r="U50" s="111"/>
      <c r="V50" s="111"/>
      <c r="W50" s="111"/>
      <c r="X50" s="100"/>
    </row>
    <row r="51" spans="1:24" hidden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03"/>
      <c r="L51" s="103"/>
      <c r="O51" s="103"/>
      <c r="P51" s="115"/>
      <c r="Q51" s="103"/>
      <c r="R51" s="103"/>
      <c r="S51" s="111"/>
      <c r="T51" s="111"/>
      <c r="U51" s="111"/>
      <c r="V51" s="111"/>
      <c r="W51" s="111"/>
      <c r="X51" s="100"/>
    </row>
    <row r="52" spans="1:24" hidden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09"/>
      <c r="L52" s="109"/>
      <c r="O52" s="109"/>
      <c r="P52" s="109"/>
      <c r="Q52" s="109"/>
      <c r="R52" s="109"/>
      <c r="S52" s="111"/>
      <c r="T52" s="111"/>
      <c r="U52" s="111"/>
      <c r="V52" s="111"/>
      <c r="W52" s="111"/>
      <c r="X52" s="100"/>
    </row>
    <row r="53" spans="1:24" ht="21.75" customHeight="1">
      <c r="A53" s="111"/>
      <c r="B53" s="113" t="s">
        <v>164</v>
      </c>
      <c r="C53" s="112"/>
      <c r="D53" s="111"/>
      <c r="E53" s="116"/>
      <c r="F53" s="116"/>
      <c r="G53" s="117"/>
      <c r="H53" s="118" t="s">
        <v>109</v>
      </c>
      <c r="I53" s="117"/>
      <c r="K53" s="118"/>
      <c r="L53" s="118"/>
      <c r="O53" s="109"/>
      <c r="P53" s="109"/>
      <c r="R53" s="109"/>
      <c r="S53" s="144" t="s">
        <v>110</v>
      </c>
      <c r="T53" s="117"/>
      <c r="U53" s="117"/>
      <c r="V53" s="117"/>
      <c r="W53" s="111"/>
      <c r="X53" s="100"/>
    </row>
    <row r="54" spans="1:24" ht="15" customHeight="1">
      <c r="A54" s="112" t="s">
        <v>163</v>
      </c>
      <c r="B54" s="112"/>
      <c r="C54" s="112"/>
      <c r="D54" s="112"/>
      <c r="E54" s="171"/>
      <c r="F54" s="109"/>
      <c r="G54" s="117"/>
      <c r="H54" s="118" t="s">
        <v>112</v>
      </c>
      <c r="I54" s="117"/>
      <c r="K54" s="118"/>
      <c r="L54" s="118"/>
      <c r="O54" s="109"/>
      <c r="P54" s="109"/>
      <c r="Q54" s="109"/>
      <c r="R54" s="119" t="s">
        <v>113</v>
      </c>
      <c r="S54" s="119"/>
      <c r="T54" s="119"/>
      <c r="U54" s="119"/>
      <c r="V54" s="119"/>
      <c r="W54" s="111"/>
      <c r="X54" s="100"/>
    </row>
    <row r="55" spans="1:24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16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307" spans="99:99">
      <c r="CU307" s="1" t="s">
        <v>114</v>
      </c>
    </row>
  </sheetData>
  <mergeCells count="2">
    <mergeCell ref="A50:C50"/>
    <mergeCell ref="R54:V54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U307"/>
  <sheetViews>
    <sheetView zoomScale="80" zoomScaleNormal="80" workbookViewId="0">
      <pane xSplit="2" ySplit="6" topLeftCell="C42" activePane="bottomRight" state="frozen"/>
      <selection activeCell="S28" sqref="S28"/>
      <selection pane="topRight" activeCell="S28" sqref="S28"/>
      <selection pane="bottomLeft" activeCell="S28" sqref="S28"/>
      <selection pane="bottomRight" activeCell="B46" sqref="B46"/>
    </sheetView>
  </sheetViews>
  <sheetFormatPr baseColWidth="10" defaultRowHeight="12.75"/>
  <cols>
    <col min="1" max="1" width="12.42578125" style="1" customWidth="1"/>
    <col min="2" max="2" width="24.1406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8" width="12.4257812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7.2851562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4.425781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1" spans="1:26">
      <c r="C1" s="3"/>
      <c r="D1" s="3"/>
      <c r="E1" s="3"/>
      <c r="F1" s="3"/>
      <c r="G1" s="3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3"/>
      <c r="W1" s="3"/>
      <c r="X1" s="3"/>
    </row>
    <row r="2" spans="1:26">
      <c r="A2" s="3"/>
      <c r="B2" s="3"/>
      <c r="C2" s="3"/>
      <c r="D2" s="3"/>
      <c r="E2" s="3"/>
      <c r="F2" s="3"/>
      <c r="G2" s="3"/>
      <c r="H2" s="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3"/>
      <c r="W2" s="3"/>
      <c r="X2" s="3"/>
    </row>
    <row r="3" spans="1:26" s="3" customFormat="1" ht="22.5">
      <c r="K3" s="5"/>
      <c r="L3" s="5" t="s">
        <v>0</v>
      </c>
      <c r="M3" s="6"/>
      <c r="N3" s="6"/>
      <c r="O3" s="6" t="s">
        <v>137</v>
      </c>
      <c r="P3" s="135" t="s">
        <v>132</v>
      </c>
      <c r="Q3" s="6" t="s">
        <v>1</v>
      </c>
      <c r="R3" s="6" t="s">
        <v>133</v>
      </c>
    </row>
    <row r="4" spans="1:26" s="3" customFormat="1">
      <c r="K4" s="6"/>
      <c r="L4" s="7">
        <v>1.9E-2</v>
      </c>
      <c r="M4" s="6"/>
      <c r="N4" s="6"/>
      <c r="O4" s="8">
        <v>0.01</v>
      </c>
      <c r="P4" s="121">
        <v>0.105</v>
      </c>
      <c r="Q4" s="9">
        <v>3.7999999999999999E-2</v>
      </c>
      <c r="R4" s="121">
        <v>5.7000000000000002E-2</v>
      </c>
    </row>
    <row r="5" spans="1:26" s="3" customFormat="1" ht="13.5" thickBot="1">
      <c r="A5" s="10" t="s">
        <v>2</v>
      </c>
      <c r="G5" s="10" t="s">
        <v>166</v>
      </c>
    </row>
    <row r="6" spans="1:26" s="25" customFormat="1" ht="115.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142">
        <v>15</v>
      </c>
      <c r="D7" s="28">
        <v>1129.1099999999999</v>
      </c>
      <c r="E7" s="28">
        <v>17515.27</v>
      </c>
      <c r="F7" s="28">
        <v>6040.32</v>
      </c>
      <c r="G7" s="28">
        <v>960</v>
      </c>
      <c r="H7" s="28">
        <f>'[1]HT-ADMINISTRATIVOS'!H8</f>
        <v>0</v>
      </c>
      <c r="I7" s="28">
        <v>688</v>
      </c>
      <c r="J7" s="28"/>
      <c r="K7" s="28">
        <f>SUM(E7+F7+I7+J7)</f>
        <v>24243.59</v>
      </c>
      <c r="L7" s="28">
        <f>SUM(K7+G7)</f>
        <v>25203.59</v>
      </c>
      <c r="M7" s="28">
        <f>IF('[23]Calculo ISR '!$K$34&lt;0,0,'[23]Calculo ISR '!$K$34)</f>
        <v>5457.759</v>
      </c>
      <c r="N7" s="28">
        <f>E7*P4</f>
        <v>1839.1033500000001</v>
      </c>
      <c r="O7" s="28"/>
      <c r="P7" s="28"/>
      <c r="Q7" s="28"/>
      <c r="R7" s="28"/>
      <c r="S7" s="28">
        <f>SUM(M7+N7+O7+P7+Q7+R7)</f>
        <v>7296.8623500000003</v>
      </c>
      <c r="T7" s="28"/>
      <c r="U7" s="36">
        <f>K7-S7</f>
        <v>16946.727650000001</v>
      </c>
      <c r="V7" s="28">
        <f>G7</f>
        <v>960</v>
      </c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780.2</v>
      </c>
      <c r="E8" s="36">
        <f>C8*D8</f>
        <v>11703</v>
      </c>
      <c r="F8" s="36"/>
      <c r="G8" s="36">
        <v>465.5</v>
      </c>
      <c r="H8" s="36">
        <v>521.5</v>
      </c>
      <c r="I8" s="36">
        <f>'[1]HT-ADMINISTRATIVOS'!J10</f>
        <v>0</v>
      </c>
      <c r="J8" s="37">
        <f>E8*R4</f>
        <v>667.07100000000003</v>
      </c>
      <c r="K8" s="36">
        <f>E8+F8+H8+I8+J8</f>
        <v>12891.571</v>
      </c>
      <c r="L8" s="36">
        <f>K8+G8</f>
        <v>13357.071</v>
      </c>
      <c r="M8" s="28">
        <f>IF('[23]Calculo ISR '!$L$34&lt;0,0,'[23]Calculo ISR '!$L$34)</f>
        <v>2263.4097072000004</v>
      </c>
      <c r="N8" s="38">
        <f>E8*P4</f>
        <v>1228.8150000000001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3492.2247072000005</v>
      </c>
      <c r="T8" s="28">
        <f>IF('[23]Calculo ISR '!$L$34&gt;0,0,'[23]Calculo ISR '!$L$34)*-1</f>
        <v>0</v>
      </c>
      <c r="U8" s="36">
        <f>K8-S8</f>
        <v>9399.346292799999</v>
      </c>
      <c r="V8" s="36">
        <f>G8</f>
        <v>465.5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238.18</v>
      </c>
      <c r="E9" s="36">
        <v>3572.72</v>
      </c>
      <c r="F9" s="36"/>
      <c r="G9" s="36">
        <v>465.5</v>
      </c>
      <c r="H9" s="36">
        <f>'[1]HT-ADMINISTRATIVOS'!H11</f>
        <v>0</v>
      </c>
      <c r="I9" s="36">
        <f>'[1]HT-ADMINISTRATIVOS'!J11</f>
        <v>0</v>
      </c>
      <c r="J9" s="37">
        <f>E9*R4</f>
        <v>203.64503999999999</v>
      </c>
      <c r="K9" s="36">
        <f t="shared" ref="K9:K44" si="0">E9+F9+H9+I9+J9</f>
        <v>3776.3650399999997</v>
      </c>
      <c r="L9" s="36">
        <f t="shared" ref="L9:L44" si="1">K9+G9</f>
        <v>4241.8650399999997</v>
      </c>
      <c r="M9" s="28">
        <f>IF('[23]Calculo ISR '!$M$34&lt;0,0,'[23]Calculo ISR '!$M$34)</f>
        <v>313.30680639999991</v>
      </c>
      <c r="N9" s="38">
        <f>E9*P4</f>
        <v>375.13559999999995</v>
      </c>
      <c r="O9" s="38">
        <v>800</v>
      </c>
      <c r="P9" s="38">
        <f>'[1]HT-ADMINISTRATIVOS'!Q11</f>
        <v>0</v>
      </c>
      <c r="Q9" s="38">
        <f>'[1]HT-ADMINISTRATIVOS'!R11</f>
        <v>0</v>
      </c>
      <c r="R9" s="38">
        <f>E9*O4</f>
        <v>35.727199999999996</v>
      </c>
      <c r="S9" s="36">
        <f>M9+N9+O9+P9+Q9+R9</f>
        <v>1524.1696064</v>
      </c>
      <c r="T9" s="28">
        <f>IF('[23]Calculo ISR '!$M$34&gt;0,0,'[23]Calculo ISR '!$M$34)*-1</f>
        <v>0</v>
      </c>
      <c r="U9" s="36">
        <f t="shared" ref="U9:U15" si="2">K9-S9+T9</f>
        <v>2252.1954335999999</v>
      </c>
      <c r="V9" s="36">
        <f t="shared" ref="V9:V44" si="3">G9</f>
        <v>465.5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f>E10/C10</f>
        <v>250.32666666666668</v>
      </c>
      <c r="E10" s="36">
        <v>3754.9</v>
      </c>
      <c r="F10" s="36"/>
      <c r="G10" s="36">
        <v>465.5</v>
      </c>
      <c r="H10" s="36">
        <f>'[1]HT-ADMINISTRATIVOS'!H12</f>
        <v>0</v>
      </c>
      <c r="I10" s="36">
        <f>'[1]HT-ADMINISTRATIVOS'!J12</f>
        <v>0</v>
      </c>
      <c r="J10" s="37">
        <f>E10*R4</f>
        <v>214.02930000000001</v>
      </c>
      <c r="K10" s="36">
        <f t="shared" si="0"/>
        <v>3968.9293000000002</v>
      </c>
      <c r="L10" s="36">
        <f t="shared" si="1"/>
        <v>4434.4292999999998</v>
      </c>
      <c r="M10" s="28">
        <f>IF('[23]Calculo ISR '!$N$34&lt;0,0,'[23]Calculo ISR '!$N$34)</f>
        <v>344.11708800000002</v>
      </c>
      <c r="N10" s="38">
        <f>E10*P4</f>
        <v>394.2645</v>
      </c>
      <c r="O10" s="38">
        <v>650</v>
      </c>
      <c r="P10" s="38">
        <f>'[1]HT-ADMINISTRATIVOS'!Q12</f>
        <v>0</v>
      </c>
      <c r="Q10" s="38">
        <f>'[1]HT-ADMINISTRATIVOS'!R12</f>
        <v>0</v>
      </c>
      <c r="R10" s="38">
        <f>E10*O4</f>
        <v>37.548999999999999</v>
      </c>
      <c r="S10" s="36">
        <f t="shared" ref="S10:S29" si="4">M10+N10+O10+R10+P10+Q10</f>
        <v>1425.9305879999999</v>
      </c>
      <c r="T10" s="28">
        <f>IF('[1]Calculo ISR '!$N$34&gt;0,0,'[21]Calculo ISR '!$N$34)*-1</f>
        <v>0</v>
      </c>
      <c r="U10" s="36">
        <f t="shared" si="2"/>
        <v>2542.9987120000005</v>
      </c>
      <c r="V10" s="36">
        <f t="shared" si="3"/>
        <v>465.5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226.68</v>
      </c>
      <c r="E11" s="36">
        <v>3400.25</v>
      </c>
      <c r="F11" s="36"/>
      <c r="G11" s="36">
        <v>465.5</v>
      </c>
      <c r="H11" s="36">
        <f>'[1]HT-ADMINISTRATIVOS'!H13</f>
        <v>0</v>
      </c>
      <c r="I11" s="36">
        <f>'[1]HT-ADMINISTRATIVOS'!J13</f>
        <v>0</v>
      </c>
      <c r="J11" s="37">
        <f>E11*R4</f>
        <v>193.81425000000002</v>
      </c>
      <c r="K11" s="36">
        <f t="shared" si="0"/>
        <v>3594.0642499999999</v>
      </c>
      <c r="L11" s="36">
        <f t="shared" si="1"/>
        <v>4059.5642499999999</v>
      </c>
      <c r="M11" s="28">
        <f>IF('[23]Calculo ISR '!$O$34&lt;0,0,'[23]Calculo ISR '!$O$34)</f>
        <v>179.55110239999996</v>
      </c>
      <c r="N11" s="38">
        <f>E11*P4</f>
        <v>357.02625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34.002499999999998</v>
      </c>
      <c r="S11" s="36">
        <f t="shared" si="4"/>
        <v>2032.7998524</v>
      </c>
      <c r="T11" s="28">
        <f>IF('[1]Calculo ISR '!$O$34&gt;0,0,'[1]Calculo ISR '!$O$34)*-1</f>
        <v>0</v>
      </c>
      <c r="U11" s="36">
        <f t="shared" si="2"/>
        <v>1561.2643975999999</v>
      </c>
      <c r="V11" s="36">
        <f t="shared" si="3"/>
        <v>465.5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250.33</v>
      </c>
      <c r="E12" s="36">
        <v>3754.9</v>
      </c>
      <c r="F12" s="36"/>
      <c r="G12" s="36">
        <v>465.5</v>
      </c>
      <c r="H12" s="36">
        <f>'[1]HT-ADMINISTRATIVOS'!H14</f>
        <v>0</v>
      </c>
      <c r="I12" s="36">
        <f>'[1]HT-ADMINISTRATIVOS'!J14</f>
        <v>0</v>
      </c>
      <c r="J12" s="37">
        <f>E12*R4</f>
        <v>214.02930000000001</v>
      </c>
      <c r="K12" s="36">
        <f t="shared" si="0"/>
        <v>3968.9293000000002</v>
      </c>
      <c r="L12" s="36">
        <f t="shared" si="1"/>
        <v>4434.4292999999998</v>
      </c>
      <c r="M12" s="28">
        <f>IF('[23]Calculo ISR '!$P$34&lt;0,0,'[23]Calculo ISR '!$P$34)</f>
        <v>344.11708800000002</v>
      </c>
      <c r="N12" s="38">
        <f>E12*P4</f>
        <v>394.2645</v>
      </c>
      <c r="O12" s="38">
        <v>1211</v>
      </c>
      <c r="P12" s="38">
        <f>'[1]HT-ADMINISTRATIVOS'!Q14</f>
        <v>0</v>
      </c>
      <c r="Q12" s="38">
        <f>'[1]HT-ADMINISTRATIVOS'!R14</f>
        <v>0</v>
      </c>
      <c r="R12" s="38">
        <f>E12*O4</f>
        <v>37.548999999999999</v>
      </c>
      <c r="S12" s="36">
        <f t="shared" si="4"/>
        <v>1986.9305879999999</v>
      </c>
      <c r="T12" s="28">
        <f>IF('[1]Calculo ISR '!$P$34&gt;0,0,'[1]Calculo ISR '!$P$34)*-1</f>
        <v>0</v>
      </c>
      <c r="U12" s="36">
        <f t="shared" si="2"/>
        <v>1981.9987120000003</v>
      </c>
      <c r="V12" s="36">
        <f t="shared" si="3"/>
        <v>465.5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177.16</v>
      </c>
      <c r="E13" s="36">
        <v>2657.47</v>
      </c>
      <c r="F13" s="36"/>
      <c r="G13" s="36">
        <v>465.5</v>
      </c>
      <c r="H13" s="36">
        <f>'[1]HT-ADMINISTRATIVOS'!H15</f>
        <v>0</v>
      </c>
      <c r="I13" s="36">
        <f>'[1]HT-ADMINISTRATIVOS'!J15</f>
        <v>0</v>
      </c>
      <c r="J13" s="37">
        <f>E13*R4</f>
        <v>151.47578999999999</v>
      </c>
      <c r="K13" s="36">
        <f t="shared" si="0"/>
        <v>2808.9457899999998</v>
      </c>
      <c r="L13" s="36">
        <f t="shared" si="1"/>
        <v>3274.4457899999998</v>
      </c>
      <c r="M13" s="28">
        <f>IF('[23]Calculo ISR '!$Q$34&lt;0,0,'[23]Calculo ISR '!$Q$34)</f>
        <v>56.180213951999946</v>
      </c>
      <c r="N13" s="38">
        <f>E13*P4</f>
        <v>279.03434999999996</v>
      </c>
      <c r="O13" s="38">
        <v>567</v>
      </c>
      <c r="P13" s="38">
        <f>'[1]HT-ADMINISTRATIVOS'!Q15</f>
        <v>0</v>
      </c>
      <c r="Q13" s="38">
        <f>'[1]HT-ADMINISTRATIVOS'!R15</f>
        <v>0</v>
      </c>
      <c r="R13" s="38">
        <f>E13*O4</f>
        <v>26.5747</v>
      </c>
      <c r="S13" s="36">
        <f t="shared" si="4"/>
        <v>928.78926395199994</v>
      </c>
      <c r="T13" s="28">
        <f>IF('[1]Calculo ISR '!$Q$34&gt;0,0,'[1]Calculo ISR '!$Q$34)</f>
        <v>0</v>
      </c>
      <c r="U13" s="36">
        <f t="shared" si="2"/>
        <v>1880.1565260479997</v>
      </c>
      <c r="V13" s="36">
        <f t="shared" si="3"/>
        <v>465.5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168.65</v>
      </c>
      <c r="E14" s="36">
        <v>2529.8000000000002</v>
      </c>
      <c r="F14" s="36"/>
      <c r="G14" s="36">
        <v>465.5</v>
      </c>
      <c r="H14" s="36">
        <f>'[1]HT-ADMINISTRATIVOS'!H16</f>
        <v>0</v>
      </c>
      <c r="I14" s="36">
        <f>'[1]HT-ADMINISTRATIVOS'!J16</f>
        <v>0</v>
      </c>
      <c r="J14" s="37">
        <f>E14*R4</f>
        <v>144.19860000000003</v>
      </c>
      <c r="K14" s="36">
        <f t="shared" si="0"/>
        <v>2673.9986000000004</v>
      </c>
      <c r="L14" s="36">
        <f t="shared" si="1"/>
        <v>3139.4986000000004</v>
      </c>
      <c r="M14" s="28">
        <f>IF('[23]Calculo ISR '!$R$34&lt;0,0,'[23]Calculo ISR '!$R$34)</f>
        <v>41.497959680000037</v>
      </c>
      <c r="N14" s="38">
        <f>E14*P4</f>
        <v>265.62900000000002</v>
      </c>
      <c r="O14" s="38">
        <v>816</v>
      </c>
      <c r="P14" s="38">
        <f>'[1]HT-ADMINISTRATIVOS'!Q16</f>
        <v>0</v>
      </c>
      <c r="Q14" s="38">
        <f>'[1]HT-ADMINISTRATIVOS'!R16</f>
        <v>0</v>
      </c>
      <c r="R14" s="38">
        <f>E14*O4</f>
        <v>25.298000000000002</v>
      </c>
      <c r="S14" s="36">
        <f t="shared" si="4"/>
        <v>1148.42495968</v>
      </c>
      <c r="T14" s="28">
        <f>IF('[1]Calculo ISR '!$R$34&gt;0,0,'[1]Calculo ISR '!$R$34)*-1</f>
        <v>0</v>
      </c>
      <c r="U14" s="36">
        <f t="shared" si="2"/>
        <v>1525.5736403200003</v>
      </c>
      <c r="V14" s="36">
        <f t="shared" si="3"/>
        <v>465.5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553.13</v>
      </c>
      <c r="E15" s="36">
        <v>8296.9699999999993</v>
      </c>
      <c r="F15" s="36"/>
      <c r="G15" s="36">
        <v>465.5</v>
      </c>
      <c r="H15" s="36">
        <f>'[1]HT-ADMINISTRATIVOS'!H17</f>
        <v>0</v>
      </c>
      <c r="I15" s="36">
        <f>'[1]HT-ADMINISTRATIVOS'!J17</f>
        <v>0</v>
      </c>
      <c r="J15" s="37">
        <f>E15*Q4</f>
        <v>315.28485999999998</v>
      </c>
      <c r="K15" s="36">
        <f t="shared" si="0"/>
        <v>8612.2548599999991</v>
      </c>
      <c r="L15" s="36">
        <f t="shared" si="1"/>
        <v>9077.7548599999991</v>
      </c>
      <c r="M15" s="28">
        <f>IF('[23]Calculo ISR '!$S$34&lt;0,0,'[23]Calculo ISR '!$S$34)</f>
        <v>1292.3884620959998</v>
      </c>
      <c r="N15" s="38">
        <f>E15*P4</f>
        <v>871.18184999999994</v>
      </c>
      <c r="O15" s="38">
        <v>2675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4"/>
        <v>4838.5703120959997</v>
      </c>
      <c r="T15" s="28">
        <f>IF('[1]Calculo ISR '!$S$34&gt;0,0,'[1]Calculo ISR '!$S$34)*-1</f>
        <v>0</v>
      </c>
      <c r="U15" s="36">
        <f t="shared" si="2"/>
        <v>3773.6845479039994</v>
      </c>
      <c r="V15" s="36">
        <f t="shared" si="3"/>
        <v>465.5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276.45</v>
      </c>
      <c r="E16" s="36">
        <v>4146.7700000000004</v>
      </c>
      <c r="F16" s="36"/>
      <c r="G16" s="36">
        <v>465.5</v>
      </c>
      <c r="H16" s="36">
        <f>'[1]HT-ADMINISTRATIVOS'!H18</f>
        <v>0</v>
      </c>
      <c r="I16" s="36">
        <f>'[1]HT-ADMINISTRATIVOS'!J18</f>
        <v>0</v>
      </c>
      <c r="J16" s="37">
        <f>E16*Q4</f>
        <v>157.57726000000002</v>
      </c>
      <c r="K16" s="36">
        <f t="shared" si="0"/>
        <v>4304.3472600000005</v>
      </c>
      <c r="L16" s="36">
        <f t="shared" si="1"/>
        <v>4769.8472600000005</v>
      </c>
      <c r="M16" s="28">
        <f>IF('[23]Calculo ISR '!$T$34&lt;0,0,'[23]Calculo ISR '!$T$34)</f>
        <v>398.84451699200014</v>
      </c>
      <c r="N16" s="38">
        <f>E16*P4</f>
        <v>435.41085000000004</v>
      </c>
      <c r="O16" s="38">
        <v>1337</v>
      </c>
      <c r="P16" s="38"/>
      <c r="Q16" s="38"/>
      <c r="R16" s="38">
        <f>E16*O4</f>
        <v>41.467700000000008</v>
      </c>
      <c r="S16" s="36">
        <f>M16+N16+O16+Q16+R16+P16</f>
        <v>2212.7230669920004</v>
      </c>
      <c r="T16" s="28">
        <f>IF('[1]Calculo ISR '!$T$34&gt;0,0,'[1]Calculo ISR '!$T$34)*-1</f>
        <v>0</v>
      </c>
      <c r="U16" s="36">
        <f>K16-S16</f>
        <v>2091.624193008</v>
      </c>
      <c r="V16" s="36">
        <f t="shared" si="3"/>
        <v>465.5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238.18</v>
      </c>
      <c r="E17" s="36">
        <v>3572.72</v>
      </c>
      <c r="F17" s="36"/>
      <c r="G17" s="36">
        <v>465.5</v>
      </c>
      <c r="H17" s="36">
        <v>521.5</v>
      </c>
      <c r="I17" s="36">
        <f>'[1]HT-ADMINISTRATIVOS'!J19</f>
        <v>0</v>
      </c>
      <c r="J17" s="37">
        <f>E17*Q4</f>
        <v>135.76335999999998</v>
      </c>
      <c r="K17" s="36">
        <f t="shared" si="0"/>
        <v>4229.9833600000002</v>
      </c>
      <c r="L17" s="36">
        <f t="shared" si="1"/>
        <v>4695.4833600000002</v>
      </c>
      <c r="M17" s="28">
        <f>IF('[23]Calculo ISR '!$U$34&lt;0,0,'[23]Calculo ISR '!$U$34)</f>
        <v>385.88573759999997</v>
      </c>
      <c r="N17" s="38">
        <f>E17*P4</f>
        <v>375.13559999999995</v>
      </c>
      <c r="O17" s="38">
        <v>1152</v>
      </c>
      <c r="P17" s="38">
        <f>'[1]HT-ADMINISTRATIVOS'!Q19</f>
        <v>0</v>
      </c>
      <c r="Q17" s="38">
        <f>'[1]HT-ADMINISTRATIVOS'!R19</f>
        <v>0</v>
      </c>
      <c r="R17" s="38">
        <f>E17*O4</f>
        <v>35.727199999999996</v>
      </c>
      <c r="S17" s="36">
        <f t="shared" si="4"/>
        <v>1948.7485376</v>
      </c>
      <c r="T17" s="28">
        <f>IF('[1]Calculo ISR '!$U$34&gt;0,0,'[1]Calculo ISR '!$U$34)*-1</f>
        <v>0</v>
      </c>
      <c r="U17" s="36">
        <f t="shared" ref="U17:U25" si="5">K17-S17+T17</f>
        <v>2281.2348224000002</v>
      </c>
      <c r="V17" s="36">
        <f t="shared" si="3"/>
        <v>465.5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902.7</v>
      </c>
      <c r="E18" s="36">
        <v>13540.55</v>
      </c>
      <c r="F18" s="36"/>
      <c r="G18" s="36">
        <v>465.5</v>
      </c>
      <c r="H18" s="36">
        <f>'[1]HT-ADMINISTRATIVOS'!H20</f>
        <v>0</v>
      </c>
      <c r="I18" s="36">
        <f>'[1]HT-ADMINISTRATIVOS'!J20</f>
        <v>0</v>
      </c>
      <c r="J18" s="37">
        <f>E18*Q4</f>
        <v>514.54089999999997</v>
      </c>
      <c r="K18" s="36">
        <f t="shared" si="0"/>
        <v>14055.090899999999</v>
      </c>
      <c r="L18" s="36">
        <f t="shared" si="1"/>
        <v>14520.590899999999</v>
      </c>
      <c r="M18" s="28">
        <f>IF('[23]Calculo ISR '!$V$34&lt;0,0,'[23]Calculo ISR '!$V$34)</f>
        <v>2537.06958768</v>
      </c>
      <c r="N18" s="38">
        <f>E18*P4</f>
        <v>1421.7577499999998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4"/>
        <v>3958.8273376799998</v>
      </c>
      <c r="T18" s="28">
        <f>IF('[1]Calculo ISR '!$V$34&gt;0,0,'[1]Calculo ISR '!$V$34)*-1</f>
        <v>0</v>
      </c>
      <c r="U18" s="36">
        <f t="shared" si="5"/>
        <v>10096.26356232</v>
      </c>
      <c r="V18" s="36">
        <f t="shared" si="3"/>
        <v>465.5</v>
      </c>
      <c r="W18" s="46"/>
      <c r="X18" s="47"/>
    </row>
    <row r="19" spans="1:24" s="48" customFormat="1" ht="45" customHeight="1">
      <c r="A19" s="53" t="s">
        <v>51</v>
      </c>
      <c r="B19" s="33" t="s">
        <v>52</v>
      </c>
      <c r="C19" s="34">
        <v>15</v>
      </c>
      <c r="D19" s="50">
        <v>226.68</v>
      </c>
      <c r="E19" s="36">
        <v>3400.25</v>
      </c>
      <c r="F19" s="36"/>
      <c r="G19" s="36">
        <v>465.5</v>
      </c>
      <c r="H19" s="36">
        <f>'[1]HT-ADMINISTRATIVOS'!H21</f>
        <v>0</v>
      </c>
      <c r="I19" s="36">
        <f>'[1]HT-ADMINISTRATIVOS'!J21</f>
        <v>0</v>
      </c>
      <c r="J19" s="37">
        <f>E19*L4</f>
        <v>64.604749999999996</v>
      </c>
      <c r="K19" s="36">
        <f t="shared" si="0"/>
        <v>3464.85475</v>
      </c>
      <c r="L19" s="36">
        <f t="shared" si="1"/>
        <v>3930.35475</v>
      </c>
      <c r="M19" s="28">
        <f>IF('[23]Calculo ISR '!$W$34&lt;0,0,'[23]Calculo ISR '!$W$34)</f>
        <v>147.7931088</v>
      </c>
      <c r="N19" s="38">
        <f>E19*P4</f>
        <v>357.02625</v>
      </c>
      <c r="O19" s="38">
        <v>1097</v>
      </c>
      <c r="P19" s="38">
        <f>'[1]HT-ADMINISTRATIVOS'!Q21</f>
        <v>0</v>
      </c>
      <c r="Q19" s="38">
        <f>'[1]HT-ADMINISTRATIVOS'!R21</f>
        <v>0</v>
      </c>
      <c r="R19" s="38">
        <f>E19*O4</f>
        <v>34.002499999999998</v>
      </c>
      <c r="S19" s="36">
        <f t="shared" si="4"/>
        <v>1635.8218588</v>
      </c>
      <c r="T19" s="28">
        <f>IF('[1]Calculo ISR '!$W$34&gt;0,0,'[1]Calculo ISR '!$W$34)*-1</f>
        <v>0</v>
      </c>
      <c r="U19" s="36">
        <f t="shared" si="5"/>
        <v>1829.0328912</v>
      </c>
      <c r="V19" s="36">
        <f t="shared" si="3"/>
        <v>465.5</v>
      </c>
      <c r="W19" s="46"/>
      <c r="X19" s="47"/>
    </row>
    <row r="20" spans="1:24" s="48" customFormat="1" ht="45" customHeight="1">
      <c r="A20" s="53" t="s">
        <v>53</v>
      </c>
      <c r="B20" s="33" t="s">
        <v>54</v>
      </c>
      <c r="C20" s="34">
        <v>15</v>
      </c>
      <c r="D20" s="50">
        <v>153.16</v>
      </c>
      <c r="E20" s="36">
        <v>2297.42</v>
      </c>
      <c r="F20" s="36"/>
      <c r="G20" s="36">
        <v>465.5</v>
      </c>
      <c r="H20" s="36">
        <f>'[1]HT-ADMINISTRATIVOS'!H22</f>
        <v>0</v>
      </c>
      <c r="I20" s="36">
        <f>'[1]HT-ADMINISTRATIVOS'!J22</f>
        <v>0</v>
      </c>
      <c r="J20" s="37">
        <f>E20*L4</f>
        <v>43.650979999999997</v>
      </c>
      <c r="K20" s="36">
        <f t="shared" si="0"/>
        <v>2341.07098</v>
      </c>
      <c r="L20" s="36">
        <f t="shared" si="1"/>
        <v>2806.57098</v>
      </c>
      <c r="M20" s="28">
        <f>IF('[23]Calculo ISR '!$X$34&lt;0,0,'[23]Calculo ISR '!$X$34)</f>
        <v>0</v>
      </c>
      <c r="N20" s="38">
        <f>E20*P4</f>
        <v>241.22909999999999</v>
      </c>
      <c r="O20" s="38">
        <v>741</v>
      </c>
      <c r="P20" s="38">
        <f>'[1]HT-ADMINISTRATIVOS'!Q22</f>
        <v>0</v>
      </c>
      <c r="Q20" s="38">
        <f>'[1]HT-ADMINISTRATIVOS'!R22</f>
        <v>0</v>
      </c>
      <c r="R20" s="38">
        <f>E20*O4</f>
        <v>22.9742</v>
      </c>
      <c r="S20" s="36">
        <f t="shared" si="4"/>
        <v>1005.2033</v>
      </c>
      <c r="T20" s="28">
        <f>IF('[23]Calculo ISR '!$X$34&gt;0,0,('[23]Calculo ISR '!$X$34)*-1)</f>
        <v>9.7245653760000152</v>
      </c>
      <c r="U20" s="36">
        <f t="shared" si="5"/>
        <v>1345.5922453759999</v>
      </c>
      <c r="V20" s="36">
        <f t="shared" si="3"/>
        <v>465.5</v>
      </c>
      <c r="W20" s="46"/>
      <c r="X20" s="47"/>
    </row>
    <row r="21" spans="1:24" s="48" customFormat="1" ht="45" customHeight="1">
      <c r="A21" s="53" t="s">
        <v>55</v>
      </c>
      <c r="B21" s="33" t="s">
        <v>56</v>
      </c>
      <c r="C21" s="34">
        <v>15</v>
      </c>
      <c r="D21" s="50">
        <v>153.16</v>
      </c>
      <c r="E21" s="36">
        <v>2297.42</v>
      </c>
      <c r="F21" s="36"/>
      <c r="G21" s="36">
        <v>465.5</v>
      </c>
      <c r="H21" s="36">
        <v>521.5</v>
      </c>
      <c r="I21" s="36">
        <f>'[1]HT-ADMINISTRATIVOS'!J23</f>
        <v>0</v>
      </c>
      <c r="J21" s="37">
        <f>E21*L4</f>
        <v>43.650979999999997</v>
      </c>
      <c r="K21" s="36">
        <f t="shared" si="0"/>
        <v>2862.57098</v>
      </c>
      <c r="L21" s="36">
        <f t="shared" si="1"/>
        <v>3328.07098</v>
      </c>
      <c r="M21" s="28">
        <f>IF('[23]Calculo ISR '!$Y$34&lt;0,0,'[23]Calculo ISR '!$Y$34)</f>
        <v>62.014634623999967</v>
      </c>
      <c r="N21" s="38">
        <f>E21*P4</f>
        <v>241.22909999999999</v>
      </c>
      <c r="O21" s="38">
        <v>597</v>
      </c>
      <c r="P21" s="38">
        <f>'[1]HT-ADMINISTRATIVOS'!Q23</f>
        <v>0</v>
      </c>
      <c r="Q21" s="38">
        <f>'[1]HT-ADMINISTRATIVOS'!R23</f>
        <v>0</v>
      </c>
      <c r="R21" s="38">
        <f>E21*O4</f>
        <v>22.9742</v>
      </c>
      <c r="S21" s="36">
        <f t="shared" si="4"/>
        <v>923.21793462399989</v>
      </c>
      <c r="T21" s="28">
        <f>IF('[1]Calculo ISR '!$Y$34&gt;0,0,'[1]Calculo ISR '!$Y$34)*-1</f>
        <v>0</v>
      </c>
      <c r="U21" s="36">
        <f t="shared" si="5"/>
        <v>1939.353045376</v>
      </c>
      <c r="V21" s="36">
        <f t="shared" si="3"/>
        <v>465.5</v>
      </c>
      <c r="W21" s="46"/>
      <c r="X21" s="47"/>
    </row>
    <row r="22" spans="1:24" s="48" customFormat="1" ht="45" customHeight="1">
      <c r="A22" s="54" t="s">
        <v>61</v>
      </c>
      <c r="B22" s="166" t="s">
        <v>62</v>
      </c>
      <c r="C22" s="34">
        <v>15</v>
      </c>
      <c r="D22" s="50">
        <v>205.61</v>
      </c>
      <c r="E22" s="36">
        <f t="shared" ref="E22:E42" si="6">C22*D22</f>
        <v>3084.15</v>
      </c>
      <c r="F22" s="43"/>
      <c r="G22" s="36">
        <v>465.5</v>
      </c>
      <c r="H22" s="36">
        <v>521.5</v>
      </c>
      <c r="I22" s="36">
        <f>'[1]HT-ADMINISTRATIVOS'!J28</f>
        <v>0</v>
      </c>
      <c r="J22" s="37">
        <f>'[1]HT-ADMINISTRATIVOS'!I28</f>
        <v>0</v>
      </c>
      <c r="K22" s="36">
        <f t="shared" si="0"/>
        <v>3605.65</v>
      </c>
      <c r="L22" s="36">
        <f t="shared" si="1"/>
        <v>4071.15</v>
      </c>
      <c r="M22" s="28">
        <f>IF('[23]Calculo ISR '!$AB$34&lt;0,0,'[23]Calculo ISR '!$AB$34)</f>
        <v>180.81163199999995</v>
      </c>
      <c r="N22" s="38">
        <f>E22*P4</f>
        <v>323.83575000000002</v>
      </c>
      <c r="O22" s="38">
        <v>0</v>
      </c>
      <c r="P22" s="38">
        <f>'[1]HT-ADMINISTRATIVOS'!Q28</f>
        <v>0</v>
      </c>
      <c r="Q22" s="38">
        <f>'[1]HT-ADMINISTRATIVOS'!R28</f>
        <v>0</v>
      </c>
      <c r="R22" s="38">
        <f>E22*O4</f>
        <v>30.8415</v>
      </c>
      <c r="S22" s="36">
        <f t="shared" si="4"/>
        <v>535.48888199999999</v>
      </c>
      <c r="T22" s="28">
        <f>IF('[1]Calculo ISR '!$AB$34&gt;0,0,'[1]Calculo ISR '!$AB$34)*-1</f>
        <v>0</v>
      </c>
      <c r="U22" s="36">
        <f t="shared" si="5"/>
        <v>3070.161118</v>
      </c>
      <c r="V22" s="36">
        <f t="shared" si="3"/>
        <v>465.5</v>
      </c>
      <c r="W22" s="46"/>
      <c r="X22" s="47"/>
    </row>
    <row r="23" spans="1:24" s="48" customFormat="1" ht="45" customHeight="1">
      <c r="A23" s="54" t="s">
        <v>63</v>
      </c>
      <c r="B23" s="166" t="s">
        <v>64</v>
      </c>
      <c r="C23" s="34">
        <v>15</v>
      </c>
      <c r="D23" s="50">
        <v>186.24</v>
      </c>
      <c r="E23" s="36">
        <v>2793.65</v>
      </c>
      <c r="F23" s="43"/>
      <c r="G23" s="36">
        <v>465.5</v>
      </c>
      <c r="H23" s="36">
        <v>1043</v>
      </c>
      <c r="I23" s="36">
        <f>'[1]HT-ADMINISTRATIVOS'!J29</f>
        <v>0</v>
      </c>
      <c r="J23" s="37">
        <f>'[1]HT-ADMINISTRATIVOS'!I29</f>
        <v>0</v>
      </c>
      <c r="K23" s="36">
        <f t="shared" si="0"/>
        <v>3836.65</v>
      </c>
      <c r="L23" s="36">
        <f t="shared" si="1"/>
        <v>4302.1499999999996</v>
      </c>
      <c r="M23" s="28">
        <f>IF('[23]Calculo ISR '!$AC$34&lt;0,0,'[23]Calculo ISR '!$AC$34)</f>
        <v>180.81163199999995</v>
      </c>
      <c r="N23" s="38">
        <f>E23*P4</f>
        <v>293.33325000000002</v>
      </c>
      <c r="O23" s="38">
        <v>1081</v>
      </c>
      <c r="P23" s="38">
        <f>'[1]HT-ADMINISTRATIVOS'!Q29</f>
        <v>0</v>
      </c>
      <c r="Q23" s="38">
        <f>'[1]HT-ADMINISTRATIVOS'!R29</f>
        <v>0</v>
      </c>
      <c r="R23" s="38">
        <f>E23*O4</f>
        <v>27.936500000000002</v>
      </c>
      <c r="S23" s="36">
        <f t="shared" si="4"/>
        <v>1583.0813820000001</v>
      </c>
      <c r="T23" s="28">
        <f>IF('[1]Calculo ISR '!$AC$34&gt;0,0,'[1]Calculo ISR '!$AC$34)*-1</f>
        <v>0</v>
      </c>
      <c r="U23" s="36">
        <f t="shared" si="5"/>
        <v>2253.5686180000002</v>
      </c>
      <c r="V23" s="36">
        <f t="shared" si="3"/>
        <v>465.5</v>
      </c>
      <c r="W23" s="46"/>
      <c r="X23" s="47"/>
    </row>
    <row r="24" spans="1:24" s="48" customFormat="1" ht="45" customHeight="1">
      <c r="A24" s="56" t="s">
        <v>65</v>
      </c>
      <c r="B24" s="166" t="s">
        <v>66</v>
      </c>
      <c r="C24" s="34">
        <v>15</v>
      </c>
      <c r="D24" s="50">
        <v>146.38999999999999</v>
      </c>
      <c r="E24" s="36">
        <v>2195.92</v>
      </c>
      <c r="F24" s="43"/>
      <c r="G24" s="36">
        <v>465.5</v>
      </c>
      <c r="H24" s="36">
        <v>521.5</v>
      </c>
      <c r="I24" s="36">
        <f>'[1]HT-ADMINISTRATIVOS'!J31</f>
        <v>0</v>
      </c>
      <c r="J24" s="37">
        <f>'[1]HT-ADMINISTRATIVOS'!I31</f>
        <v>0</v>
      </c>
      <c r="K24" s="36">
        <f t="shared" si="0"/>
        <v>2717.42</v>
      </c>
      <c r="L24" s="36">
        <f t="shared" si="1"/>
        <v>3182.92</v>
      </c>
      <c r="M24" s="28">
        <f>IF('[23]Calculo ISR '!$AD$34&lt;0,0,'[23]Calculo ISR '!$AD$34)</f>
        <v>46.222207999999995</v>
      </c>
      <c r="N24" s="38">
        <f>E24*P4</f>
        <v>230.57159999999999</v>
      </c>
      <c r="O24" s="38">
        <f>'[1]HT-ADMINISTRATIVOS'!P31</f>
        <v>0</v>
      </c>
      <c r="P24" s="38">
        <f>'[1]HT-ADMINISTRATIVOS'!Q31</f>
        <v>0</v>
      </c>
      <c r="Q24" s="38">
        <f>'[1]HT-ADMINISTRATIVOS'!R31</f>
        <v>0</v>
      </c>
      <c r="R24" s="38">
        <f>E24*O4</f>
        <v>21.959200000000003</v>
      </c>
      <c r="S24" s="36">
        <f t="shared" si="4"/>
        <v>298.75300800000002</v>
      </c>
      <c r="T24" s="28">
        <f>IF('[1]Calculo ISR '!$AD$34&gt;0,0,'[1]Calculo ISR '!$AD$34)*-1</f>
        <v>0</v>
      </c>
      <c r="U24" s="36">
        <f t="shared" si="5"/>
        <v>2418.6669919999999</v>
      </c>
      <c r="V24" s="36">
        <f t="shared" si="3"/>
        <v>465.5</v>
      </c>
      <c r="W24" s="46"/>
      <c r="X24" s="47"/>
    </row>
    <row r="25" spans="1:24" s="48" customFormat="1" ht="45" customHeight="1">
      <c r="A25" s="56" t="s">
        <v>67</v>
      </c>
      <c r="B25" s="167" t="s">
        <v>68</v>
      </c>
      <c r="C25" s="34">
        <v>15</v>
      </c>
      <c r="D25" s="50">
        <v>553.13</v>
      </c>
      <c r="E25" s="36">
        <v>8296.9699999999993</v>
      </c>
      <c r="F25" s="43"/>
      <c r="G25" s="36">
        <v>465.5</v>
      </c>
      <c r="H25" s="36">
        <f>'[1]HT-ADMINISTRATIVOS'!H32</f>
        <v>0</v>
      </c>
      <c r="I25" s="36">
        <f>'[1]HT-ADMINISTRATIVOS'!J32</f>
        <v>0</v>
      </c>
      <c r="J25" s="37">
        <f>E25*Q4</f>
        <v>315.28485999999998</v>
      </c>
      <c r="K25" s="36">
        <f t="shared" si="0"/>
        <v>8612.2548599999991</v>
      </c>
      <c r="L25" s="36">
        <f t="shared" si="1"/>
        <v>9077.7548599999991</v>
      </c>
      <c r="M25" s="28">
        <f>IF('[23]Calculo ISR '!$AE$34&lt;0,0,'[23]Calculo ISR '!$AE$34)</f>
        <v>1292.3884620959998</v>
      </c>
      <c r="N25" s="38">
        <f>E25*P4</f>
        <v>871.18184999999994</v>
      </c>
      <c r="O25" s="38">
        <v>2150.31</v>
      </c>
      <c r="P25" s="38">
        <f>'[1]HT-ADMINISTRATIVOS'!Q32</f>
        <v>0</v>
      </c>
      <c r="Q25" s="38">
        <f>'[1]HT-ADMINISTRATIVOS'!R32</f>
        <v>0</v>
      </c>
      <c r="R25" s="38">
        <f>'[1]HT-ADMINISTRATIVOS'!S32</f>
        <v>0</v>
      </c>
      <c r="S25" s="36">
        <f t="shared" si="4"/>
        <v>4313.8803120960001</v>
      </c>
      <c r="T25" s="28">
        <f>IF('[1]Calculo ISR '!$AE$34&gt;0,0,'[1]Calculo ISR '!$AE$34)*-1</f>
        <v>0</v>
      </c>
      <c r="U25" s="36">
        <f t="shared" si="5"/>
        <v>4298.374547903999</v>
      </c>
      <c r="V25" s="36">
        <f t="shared" si="3"/>
        <v>465.5</v>
      </c>
      <c r="W25" s="46"/>
      <c r="X25" s="47"/>
    </row>
    <row r="26" spans="1:24" s="48" customFormat="1" ht="45" customHeight="1">
      <c r="A26" s="58" t="s">
        <v>69</v>
      </c>
      <c r="B26" s="168" t="s">
        <v>70</v>
      </c>
      <c r="C26" s="34">
        <v>15</v>
      </c>
      <c r="D26" s="50">
        <v>238.18</v>
      </c>
      <c r="E26" s="36">
        <v>3572.72</v>
      </c>
      <c r="F26" s="43"/>
      <c r="G26" s="36">
        <v>465.5</v>
      </c>
      <c r="H26" s="36">
        <f>'[1]HT-ADMINISTRATIVOS'!H33</f>
        <v>0</v>
      </c>
      <c r="I26" s="36">
        <f>'[1]HT-ADMINISTRATIVOS'!J33</f>
        <v>0</v>
      </c>
      <c r="J26" s="37">
        <f>'[1]HT-ADMINISTRATIVOS'!I33</f>
        <v>0</v>
      </c>
      <c r="K26" s="36">
        <f t="shared" si="0"/>
        <v>3572.72</v>
      </c>
      <c r="L26" s="36">
        <f t="shared" si="1"/>
        <v>4038.22</v>
      </c>
      <c r="M26" s="28">
        <f>IF('[23]Calculo ISR '!$AF$34&lt;0,0,'[23]Calculo ISR '!$AF$34)</f>
        <v>177.22884799999994</v>
      </c>
      <c r="N26" s="38">
        <f>E26*P4</f>
        <v>375.13559999999995</v>
      </c>
      <c r="O26" s="38">
        <v>689.44</v>
      </c>
      <c r="P26" s="143"/>
      <c r="Q26" s="38"/>
      <c r="R26" s="38">
        <f>E26*O4</f>
        <v>35.727199999999996</v>
      </c>
      <c r="S26" s="36">
        <f>M26+N26+O26+R26+P26+Q26</f>
        <v>1277.5316479999999</v>
      </c>
      <c r="T26" s="28">
        <f>IF('[1]Calculo ISR '!$AF$34&gt;0,0,'[1]Calculo ISR '!$AF$34)*-1</f>
        <v>0</v>
      </c>
      <c r="U26" s="36">
        <f>K26-S26+T26</f>
        <v>2295.1883520000001</v>
      </c>
      <c r="V26" s="36">
        <f t="shared" si="3"/>
        <v>465.5</v>
      </c>
      <c r="W26" s="46"/>
      <c r="X26" s="47"/>
    </row>
    <row r="27" spans="1:24" s="48" customFormat="1" ht="45" customHeight="1">
      <c r="A27" s="60" t="s">
        <v>71</v>
      </c>
      <c r="B27" s="169" t="s">
        <v>72</v>
      </c>
      <c r="C27" s="66">
        <v>15</v>
      </c>
      <c r="D27" s="50">
        <v>146.38999999999999</v>
      </c>
      <c r="E27" s="36">
        <v>2195.92</v>
      </c>
      <c r="F27" s="43"/>
      <c r="G27" s="36">
        <v>465.5</v>
      </c>
      <c r="H27" s="36">
        <f>'[1]HT-ADMINISTRATIVOS'!H35</f>
        <v>0</v>
      </c>
      <c r="I27" s="36">
        <f>'[1]HT-ADMINISTRATIVOS'!J35</f>
        <v>0</v>
      </c>
      <c r="J27" s="37">
        <f>'[1]HT-ADMINISTRATIVOS'!I35</f>
        <v>0</v>
      </c>
      <c r="K27" s="36">
        <f t="shared" si="0"/>
        <v>2195.92</v>
      </c>
      <c r="L27" s="36">
        <f t="shared" si="1"/>
        <v>2661.42</v>
      </c>
      <c r="M27" s="28">
        <f>IF('[23]Calculo ISR '!$AG$34&lt;0,0,'[23]Calculo ISR '!$AG$34)</f>
        <v>0</v>
      </c>
      <c r="N27" s="38">
        <f>E27*P4</f>
        <v>230.57159999999999</v>
      </c>
      <c r="O27" s="38">
        <v>300</v>
      </c>
      <c r="P27" s="38">
        <f>'[1]HT-ADMINISTRATIVOS'!Q35</f>
        <v>0</v>
      </c>
      <c r="Q27" s="38">
        <f>'[1]HT-ADMINISTRATIVOS'!R35</f>
        <v>0</v>
      </c>
      <c r="R27" s="38">
        <f>E27*O4</f>
        <v>21.959200000000003</v>
      </c>
      <c r="S27" s="36">
        <f t="shared" si="4"/>
        <v>552.5308</v>
      </c>
      <c r="T27" s="28">
        <f>IF('[23]Calculo ISR '!$AG$34&gt;0,0,'[23]Calculo ISR '!$AG$34)*-1</f>
        <v>39.916992000000022</v>
      </c>
      <c r="U27" s="36">
        <f>K27-S27+T27</f>
        <v>1683.306192</v>
      </c>
      <c r="V27" s="36">
        <f t="shared" si="3"/>
        <v>465.5</v>
      </c>
      <c r="W27" s="67"/>
      <c r="X27" s="47"/>
    </row>
    <row r="28" spans="1:24" s="48" customFormat="1" ht="45" customHeight="1">
      <c r="A28" s="53" t="s">
        <v>73</v>
      </c>
      <c r="B28" s="169" t="s">
        <v>74</v>
      </c>
      <c r="C28" s="66">
        <v>15</v>
      </c>
      <c r="D28" s="50">
        <v>553.13</v>
      </c>
      <c r="E28" s="36">
        <v>8296.9699999999993</v>
      </c>
      <c r="F28" s="43"/>
      <c r="G28" s="36">
        <v>465.5</v>
      </c>
      <c r="H28" s="36">
        <f>'[1]HT-ADMINISTRATIVOS'!H36</f>
        <v>0</v>
      </c>
      <c r="I28" s="36">
        <f>'[1]HT-ADMINISTRATIVOS'!J36</f>
        <v>0</v>
      </c>
      <c r="J28" s="37">
        <f>'[1]HT-ADMINISTRATIVOS'!I36</f>
        <v>0</v>
      </c>
      <c r="K28" s="36">
        <f t="shared" si="0"/>
        <v>8296.9699999999993</v>
      </c>
      <c r="L28" s="36">
        <f t="shared" si="1"/>
        <v>8762.4699999999993</v>
      </c>
      <c r="M28" s="28">
        <f>IF('[23]Calculo ISR '!$AH$34&lt;0,0,'[23]Calculo ISR '!$AH$34)</f>
        <v>1225.0436159999999</v>
      </c>
      <c r="N28" s="38">
        <f>E28*P4</f>
        <v>871.18184999999994</v>
      </c>
      <c r="O28" s="38">
        <f>'[1]HT-ADMINISTRATIVOS'!P36</f>
        <v>0</v>
      </c>
      <c r="P28" s="38">
        <f>'[1]HT-ADMINISTRATIVOS'!Q36</f>
        <v>0</v>
      </c>
      <c r="Q28" s="38">
        <f>'[1]HT-ADMINISTRATIVOS'!R36</f>
        <v>0</v>
      </c>
      <c r="R28" s="38">
        <f>'[1]HT-ADMINISTRATIVOS'!S36</f>
        <v>0</v>
      </c>
      <c r="S28" s="36">
        <f t="shared" si="4"/>
        <v>2096.2254659999999</v>
      </c>
      <c r="T28" s="28">
        <f>IF('[1]Calculo ISR '!$AH$34&gt;0,0,'[1]Calculo ISR '!$AH$34)*-1</f>
        <v>0</v>
      </c>
      <c r="U28" s="36">
        <f>K28-S28+T28</f>
        <v>6200.7445339999995</v>
      </c>
      <c r="V28" s="36">
        <f t="shared" si="3"/>
        <v>465.5</v>
      </c>
      <c r="W28" s="67"/>
      <c r="X28" s="47"/>
    </row>
    <row r="29" spans="1:24" s="48" customFormat="1" ht="45" customHeight="1">
      <c r="A29" s="68" t="s">
        <v>75</v>
      </c>
      <c r="B29" s="169" t="s">
        <v>76</v>
      </c>
      <c r="C29" s="66">
        <v>15</v>
      </c>
      <c r="D29" s="50">
        <v>146.38999999999999</v>
      </c>
      <c r="E29" s="36">
        <v>2195.92</v>
      </c>
      <c r="F29" s="43"/>
      <c r="G29" s="36">
        <v>465.5</v>
      </c>
      <c r="H29" s="36">
        <f>'[1]HT-ADMINISTRATIVOS'!H37</f>
        <v>0</v>
      </c>
      <c r="I29" s="36">
        <f>'[1]HT-ADMINISTRATIVOS'!J37</f>
        <v>0</v>
      </c>
      <c r="J29" s="37">
        <f>'[1]HT-ADMINISTRATIVOS'!I37</f>
        <v>0</v>
      </c>
      <c r="K29" s="36">
        <f t="shared" si="0"/>
        <v>2195.92</v>
      </c>
      <c r="L29" s="36">
        <f t="shared" si="1"/>
        <v>2661.42</v>
      </c>
      <c r="M29" s="28">
        <f>IF('[23]Calculo ISR '!$AI$34&lt;0,0,'[23]Calculo ISR '!$AI$34)</f>
        <v>0</v>
      </c>
      <c r="N29" s="38">
        <f>E29*P4</f>
        <v>230.57159999999999</v>
      </c>
      <c r="O29" s="38">
        <f>'[1]HT-ADMINISTRATIVOS'!P37</f>
        <v>0</v>
      </c>
      <c r="P29" s="38">
        <f>'[1]HT-ADMINISTRATIVOS'!Q37</f>
        <v>0</v>
      </c>
      <c r="Q29" s="38">
        <f>'[1]HT-ADMINISTRATIVOS'!R37</f>
        <v>0</v>
      </c>
      <c r="R29" s="38">
        <f>E29*O4</f>
        <v>21.959200000000003</v>
      </c>
      <c r="S29" s="36">
        <f t="shared" si="4"/>
        <v>252.5308</v>
      </c>
      <c r="T29" s="28">
        <f>IF('[23]Calculo ISR '!$AI$34&gt;0,0,'[23]Calculo ISR '!$AI$34)*-1</f>
        <v>39.916992000000022</v>
      </c>
      <c r="U29" s="36">
        <f>K29-S29+T29</f>
        <v>1983.306192</v>
      </c>
      <c r="V29" s="36">
        <f t="shared" si="3"/>
        <v>465.5</v>
      </c>
      <c r="W29" s="67"/>
      <c r="X29" s="47"/>
    </row>
    <row r="30" spans="1:24" s="81" customFormat="1" ht="45" customHeight="1">
      <c r="A30" s="53" t="s">
        <v>79</v>
      </c>
      <c r="B30" s="169" t="s">
        <v>80</v>
      </c>
      <c r="C30" s="66">
        <v>15</v>
      </c>
      <c r="D30" s="76">
        <v>553.13</v>
      </c>
      <c r="E30" s="36">
        <v>8296.9699999999993</v>
      </c>
      <c r="F30" s="50"/>
      <c r="G30" s="36">
        <v>465.5</v>
      </c>
      <c r="H30" s="50"/>
      <c r="I30" s="50"/>
      <c r="J30" s="50"/>
      <c r="K30" s="36">
        <f t="shared" si="0"/>
        <v>8296.9699999999993</v>
      </c>
      <c r="L30" s="36">
        <f t="shared" si="1"/>
        <v>8762.4699999999993</v>
      </c>
      <c r="M30" s="28">
        <f>IF('[23]Calculo ISR '!$AK$34&lt;0,0,'[23]Calculo ISR '!$AK$34)</f>
        <v>1225.0436159999999</v>
      </c>
      <c r="N30" s="79">
        <f>E30*P4</f>
        <v>871.18184999999994</v>
      </c>
      <c r="O30" s="78"/>
      <c r="P30" s="50"/>
      <c r="Q30" s="78"/>
      <c r="R30" s="50"/>
      <c r="S30" s="50">
        <f t="shared" ref="S30:S41" si="7">M30+N30+O30+P30+Q30+R30</f>
        <v>2096.2254659999999</v>
      </c>
      <c r="T30" s="28">
        <f>IF('[1]Calculo ISR '!$AK$34&gt;0,0,'[1]Calculo ISR '!$AK$34)*-1</f>
        <v>0</v>
      </c>
      <c r="U30" s="79">
        <f>K30-S30</f>
        <v>6200.7445339999995</v>
      </c>
      <c r="V30" s="36">
        <f t="shared" si="3"/>
        <v>465.5</v>
      </c>
      <c r="W30" s="80"/>
      <c r="X30" s="47"/>
    </row>
    <row r="31" spans="1:24" s="81" customFormat="1" ht="45" customHeight="1">
      <c r="A31" s="91" t="s">
        <v>83</v>
      </c>
      <c r="B31" s="137" t="s">
        <v>84</v>
      </c>
      <c r="C31" s="66">
        <v>15</v>
      </c>
      <c r="D31" s="76">
        <v>186.24</v>
      </c>
      <c r="E31" s="36">
        <v>2793.65</v>
      </c>
      <c r="F31" s="50"/>
      <c r="G31" s="36">
        <v>465.5</v>
      </c>
      <c r="H31" s="50">
        <v>1043</v>
      </c>
      <c r="I31" s="50"/>
      <c r="J31" s="50"/>
      <c r="K31" s="36">
        <f t="shared" si="0"/>
        <v>3836.65</v>
      </c>
      <c r="L31" s="36">
        <f t="shared" si="1"/>
        <v>4302.1499999999996</v>
      </c>
      <c r="M31" s="28">
        <f>IF('[23]Calculo ISR '!$AM$34&lt;0,0,'[23]Calculo ISR '!$AM$34)</f>
        <v>322.95239999999995</v>
      </c>
      <c r="N31" s="92">
        <f>E31*P4</f>
        <v>293.33325000000002</v>
      </c>
      <c r="O31" s="78"/>
      <c r="P31" s="50"/>
      <c r="Q31" s="78"/>
      <c r="R31" s="50">
        <f>E31*O4</f>
        <v>27.936500000000002</v>
      </c>
      <c r="S31" s="50">
        <f>M31+N31+O31+P31+Q31+R31</f>
        <v>644.22215000000006</v>
      </c>
      <c r="T31" s="28">
        <f>IF('[1]Calculo ISR '!$AM$34&gt;0,0,'[1]Calculo ISR '!$AM$34)*-1</f>
        <v>0</v>
      </c>
      <c r="U31" s="79">
        <f t="shared" ref="U31:U44" si="8">K31-S31+T31</f>
        <v>3192.42785</v>
      </c>
      <c r="V31" s="36">
        <f t="shared" si="3"/>
        <v>465.5</v>
      </c>
      <c r="W31" s="80"/>
      <c r="X31" s="47"/>
    </row>
    <row r="32" spans="1:24" s="81" customFormat="1" ht="45" customHeight="1">
      <c r="A32" s="91" t="s">
        <v>85</v>
      </c>
      <c r="B32" s="137" t="s">
        <v>86</v>
      </c>
      <c r="C32" s="66">
        <v>15</v>
      </c>
      <c r="D32" s="76">
        <v>226.68</v>
      </c>
      <c r="E32" s="36">
        <v>3400.25</v>
      </c>
      <c r="F32" s="50"/>
      <c r="G32" s="36">
        <v>465.5</v>
      </c>
      <c r="H32" s="50"/>
      <c r="I32" s="50"/>
      <c r="J32" s="50"/>
      <c r="K32" s="36">
        <f t="shared" si="0"/>
        <v>3400.25</v>
      </c>
      <c r="L32" s="36">
        <f t="shared" si="1"/>
        <v>3865.75</v>
      </c>
      <c r="M32" s="28">
        <f>IF('[23]Calculo ISR '!$AN$34&lt;0,0,'[23]Calculo ISR '!$AN$34)</f>
        <v>140.76411199999998</v>
      </c>
      <c r="N32" s="92">
        <f>E32*P4</f>
        <v>357.02625</v>
      </c>
      <c r="O32" s="78"/>
      <c r="P32" s="50"/>
      <c r="Q32" s="78"/>
      <c r="R32" s="50">
        <v>0</v>
      </c>
      <c r="S32" s="50">
        <f t="shared" si="7"/>
        <v>497.79036199999996</v>
      </c>
      <c r="T32" s="28">
        <f>IF('[1]Calculo ISR '!$AN$34&gt;0,0,'[1]Calculo ISR '!$AN$34)*-1</f>
        <v>0</v>
      </c>
      <c r="U32" s="79">
        <f t="shared" si="8"/>
        <v>2902.4596380000003</v>
      </c>
      <c r="V32" s="36">
        <f t="shared" si="3"/>
        <v>465.5</v>
      </c>
      <c r="W32" s="80"/>
      <c r="X32" s="47"/>
    </row>
    <row r="33" spans="1:26" s="81" customFormat="1" ht="45" customHeight="1">
      <c r="A33" s="91" t="s">
        <v>87</v>
      </c>
      <c r="B33" s="170" t="s">
        <v>88</v>
      </c>
      <c r="C33" s="66">
        <v>15</v>
      </c>
      <c r="D33" s="76">
        <v>553.13</v>
      </c>
      <c r="E33" s="36">
        <v>8296.9699999999993</v>
      </c>
      <c r="F33" s="50"/>
      <c r="G33" s="36">
        <v>465.5</v>
      </c>
      <c r="H33" s="50"/>
      <c r="I33" s="50"/>
      <c r="J33" s="50"/>
      <c r="K33" s="36">
        <f t="shared" si="0"/>
        <v>8296.9699999999993</v>
      </c>
      <c r="L33" s="36">
        <f t="shared" si="1"/>
        <v>8762.4699999999993</v>
      </c>
      <c r="M33" s="28">
        <f>IF('[23]Calculo ISR '!$AO$34&lt;0,0,'[23]Calculo ISR '!$AO$34)</f>
        <v>1225.0436159999999</v>
      </c>
      <c r="N33" s="92">
        <f>E33*P4</f>
        <v>871.18184999999994</v>
      </c>
      <c r="O33" s="78">
        <v>1338</v>
      </c>
      <c r="P33" s="50"/>
      <c r="Q33" s="78"/>
      <c r="R33" s="50"/>
      <c r="S33" s="50">
        <f t="shared" si="7"/>
        <v>3434.2254659999999</v>
      </c>
      <c r="T33" s="28">
        <f>IF('[1]Calculo ISR '!$AO$34&gt;0,0,'[1]Calculo ISR '!$AO$34)*-1</f>
        <v>0</v>
      </c>
      <c r="U33" s="79">
        <f t="shared" si="8"/>
        <v>4862.7445339999995</v>
      </c>
      <c r="V33" s="36">
        <f t="shared" si="3"/>
        <v>465.5</v>
      </c>
      <c r="W33" s="80"/>
      <c r="X33" s="47"/>
    </row>
    <row r="34" spans="1:26" s="81" customFormat="1" ht="45" customHeight="1">
      <c r="A34" s="91" t="s">
        <v>89</v>
      </c>
      <c r="B34" s="170" t="s">
        <v>90</v>
      </c>
      <c r="C34" s="66">
        <v>15</v>
      </c>
      <c r="D34" s="76">
        <v>177.16</v>
      </c>
      <c r="E34" s="36">
        <v>2657.47</v>
      </c>
      <c r="F34" s="50"/>
      <c r="G34" s="36">
        <v>465.5</v>
      </c>
      <c r="H34" s="50"/>
      <c r="I34" s="50"/>
      <c r="J34" s="50"/>
      <c r="K34" s="36">
        <f t="shared" si="0"/>
        <v>2657.47</v>
      </c>
      <c r="L34" s="36">
        <f t="shared" si="1"/>
        <v>3122.97</v>
      </c>
      <c r="M34" s="28">
        <f>IF('[23]Calculo ISR '!$AP$34&lt;0,0,'[23]Calculo ISR '!$AP$34)</f>
        <v>39.699647999999968</v>
      </c>
      <c r="N34" s="92">
        <f>E34*P4</f>
        <v>279.03434999999996</v>
      </c>
      <c r="O34" s="78"/>
      <c r="P34" s="50"/>
      <c r="Q34" s="78"/>
      <c r="R34" s="50"/>
      <c r="S34" s="50">
        <f t="shared" si="7"/>
        <v>318.73399799999993</v>
      </c>
      <c r="T34" s="28">
        <f>IF('[1]Calculo ISR '!$AP$34&gt;0,0,'[1]Calculo ISR '!$AP$34)*-1</f>
        <v>0</v>
      </c>
      <c r="U34" s="79">
        <f t="shared" si="8"/>
        <v>2338.7360019999996</v>
      </c>
      <c r="V34" s="36">
        <f t="shared" si="3"/>
        <v>465.5</v>
      </c>
      <c r="W34" s="80"/>
      <c r="X34" s="47"/>
    </row>
    <row r="35" spans="1:26" s="81" customFormat="1" ht="45" customHeight="1">
      <c r="A35" s="91" t="s">
        <v>91</v>
      </c>
      <c r="B35" s="170" t="s">
        <v>92</v>
      </c>
      <c r="C35" s="66">
        <v>15</v>
      </c>
      <c r="D35" s="76">
        <v>135.83000000000001</v>
      </c>
      <c r="E35" s="36">
        <v>2037.52</v>
      </c>
      <c r="F35" s="50"/>
      <c r="G35" s="36">
        <v>465.5</v>
      </c>
      <c r="H35" s="50"/>
      <c r="I35" s="50"/>
      <c r="J35" s="50"/>
      <c r="K35" s="36">
        <f t="shared" si="0"/>
        <v>2037.52</v>
      </c>
      <c r="L35" s="36">
        <f t="shared" si="1"/>
        <v>2503.02</v>
      </c>
      <c r="M35" s="28">
        <f>IF('[23]Calculo ISR '!$AQ$34&lt;0,0,'[23]Calculo ISR '!$AQ$34)</f>
        <v>0</v>
      </c>
      <c r="N35" s="92">
        <f>E35*P4</f>
        <v>213.93959999999998</v>
      </c>
      <c r="O35" s="78">
        <v>679</v>
      </c>
      <c r="P35" s="50"/>
      <c r="Q35" s="78"/>
      <c r="R35" s="50">
        <f>E35*O4</f>
        <v>20.3752</v>
      </c>
      <c r="S35" s="50">
        <f t="shared" si="7"/>
        <v>913.31479999999988</v>
      </c>
      <c r="T35" s="28">
        <f>IF('[23]Calculo ISR '!$AQ$34&gt;0,0,'[23]Calculo ISR '!$AQ$34)*-1</f>
        <v>69.316559999999981</v>
      </c>
      <c r="U35" s="79">
        <f t="shared" si="8"/>
        <v>1193.5217600000001</v>
      </c>
      <c r="V35" s="36">
        <f t="shared" si="3"/>
        <v>465.5</v>
      </c>
      <c r="W35" s="80"/>
      <c r="X35" s="47"/>
    </row>
    <row r="36" spans="1:26" s="81" customFormat="1" ht="45" customHeight="1">
      <c r="A36" s="91" t="s">
        <v>93</v>
      </c>
      <c r="B36" s="170" t="s">
        <v>94</v>
      </c>
      <c r="C36" s="66">
        <v>15</v>
      </c>
      <c r="D36" s="76">
        <v>135.83000000000001</v>
      </c>
      <c r="E36" s="36">
        <v>2037.52</v>
      </c>
      <c r="F36" s="50"/>
      <c r="G36" s="36">
        <v>465.5</v>
      </c>
      <c r="H36" s="50"/>
      <c r="I36" s="50"/>
      <c r="J36" s="50"/>
      <c r="K36" s="36">
        <f t="shared" si="0"/>
        <v>2037.52</v>
      </c>
      <c r="L36" s="36">
        <f t="shared" si="1"/>
        <v>2503.02</v>
      </c>
      <c r="M36" s="28">
        <f>IF('[23]Calculo ISR '!$AR$34&lt;0,0,'[23]Calculo ISR '!$AR$34)</f>
        <v>0</v>
      </c>
      <c r="N36" s="92">
        <f>E36*P4</f>
        <v>213.93959999999998</v>
      </c>
      <c r="O36" s="78"/>
      <c r="P36" s="50"/>
      <c r="Q36" s="78"/>
      <c r="R36" s="50">
        <f>E36*O4</f>
        <v>20.3752</v>
      </c>
      <c r="S36" s="50">
        <f t="shared" si="7"/>
        <v>234.31479999999999</v>
      </c>
      <c r="T36" s="28">
        <f>IF('[23]Calculo ISR '!$AR$34&gt;0,0,'[23]Calculo ISR '!$AR$34)*-1</f>
        <v>69.316559999999981</v>
      </c>
      <c r="U36" s="79">
        <f t="shared" si="8"/>
        <v>1872.5217599999999</v>
      </c>
      <c r="V36" s="36">
        <f t="shared" si="3"/>
        <v>465.5</v>
      </c>
      <c r="W36" s="80"/>
      <c r="X36" s="47"/>
    </row>
    <row r="37" spans="1:26" s="81" customFormat="1" ht="45" customHeight="1">
      <c r="A37" s="91" t="s">
        <v>95</v>
      </c>
      <c r="B37" s="170" t="s">
        <v>96</v>
      </c>
      <c r="C37" s="66">
        <v>15</v>
      </c>
      <c r="D37" s="76">
        <v>780.2</v>
      </c>
      <c r="E37" s="36">
        <f t="shared" si="6"/>
        <v>11703</v>
      </c>
      <c r="F37" s="50"/>
      <c r="G37" s="36">
        <v>465.5</v>
      </c>
      <c r="H37" s="50"/>
      <c r="I37" s="50"/>
      <c r="J37" s="50"/>
      <c r="K37" s="36">
        <f t="shared" si="0"/>
        <v>11703</v>
      </c>
      <c r="L37" s="36">
        <f t="shared" si="1"/>
        <v>12168.5</v>
      </c>
      <c r="M37" s="28">
        <f>IF('[23]Calculo ISR '!$AS$34&lt;0,0,'[23]Calculo ISR '!$AS$34)</f>
        <v>1983.8578080000002</v>
      </c>
      <c r="N37" s="92">
        <f>E37*P4</f>
        <v>1228.8150000000001</v>
      </c>
      <c r="O37" s="78"/>
      <c r="P37" s="50"/>
      <c r="Q37" s="78"/>
      <c r="R37" s="50"/>
      <c r="S37" s="50">
        <f t="shared" si="7"/>
        <v>3212.6728080000003</v>
      </c>
      <c r="T37" s="28">
        <f>IF('[1]Calculo ISR '!$AS$34&gt;0,0,'[1]Calculo ISR '!$AS$34)*-1</f>
        <v>0</v>
      </c>
      <c r="U37" s="79">
        <f t="shared" si="8"/>
        <v>8490.3271920000007</v>
      </c>
      <c r="V37" s="36">
        <f t="shared" si="3"/>
        <v>465.5</v>
      </c>
      <c r="W37" s="80"/>
      <c r="X37" s="47"/>
    </row>
    <row r="38" spans="1:26" s="81" customFormat="1" ht="45" customHeight="1">
      <c r="A38" s="91" t="s">
        <v>99</v>
      </c>
      <c r="B38" s="170" t="s">
        <v>100</v>
      </c>
      <c r="C38" s="66">
        <v>15</v>
      </c>
      <c r="D38" s="76">
        <v>177.16</v>
      </c>
      <c r="E38" s="36">
        <v>2657.47</v>
      </c>
      <c r="F38" s="50"/>
      <c r="G38" s="36">
        <v>465.5</v>
      </c>
      <c r="H38" s="50"/>
      <c r="I38" s="50"/>
      <c r="J38" s="50"/>
      <c r="K38" s="36">
        <f t="shared" si="0"/>
        <v>2657.47</v>
      </c>
      <c r="L38" s="36">
        <f t="shared" si="1"/>
        <v>3122.97</v>
      </c>
      <c r="M38" s="28">
        <f>IF('[23]Calculo ISR '!$AU$34&lt;0,0,'[23]Calculo ISR '!$AU$34)</f>
        <v>39.699647999999968</v>
      </c>
      <c r="N38" s="92">
        <f>E38*P4</f>
        <v>279.03434999999996</v>
      </c>
      <c r="O38" s="78"/>
      <c r="P38" s="50"/>
      <c r="Q38" s="78"/>
      <c r="R38" s="50"/>
      <c r="S38" s="50">
        <f t="shared" si="7"/>
        <v>318.73399799999993</v>
      </c>
      <c r="T38" s="28">
        <f>IF('[1]Calculo ISR '!$AU$34&gt;0,0,'[1]Calculo ISR '!$AU$34)*-1</f>
        <v>0</v>
      </c>
      <c r="U38" s="79">
        <f t="shared" si="8"/>
        <v>2338.7360019999996</v>
      </c>
      <c r="V38" s="36">
        <f t="shared" si="3"/>
        <v>465.5</v>
      </c>
      <c r="W38" s="80"/>
      <c r="X38" s="47"/>
    </row>
    <row r="39" spans="1:26" s="81" customFormat="1" ht="45" customHeight="1">
      <c r="A39" s="91" t="s">
        <v>101</v>
      </c>
      <c r="B39" s="170" t="s">
        <v>121</v>
      </c>
      <c r="C39" s="66">
        <v>15</v>
      </c>
      <c r="D39" s="76">
        <v>780.2</v>
      </c>
      <c r="E39" s="36">
        <f t="shared" si="6"/>
        <v>11703</v>
      </c>
      <c r="F39" s="50"/>
      <c r="G39" s="36">
        <v>465.5</v>
      </c>
      <c r="H39" s="50"/>
      <c r="I39" s="50"/>
      <c r="J39" s="50"/>
      <c r="K39" s="36">
        <f t="shared" si="0"/>
        <v>11703</v>
      </c>
      <c r="L39" s="36">
        <f t="shared" si="1"/>
        <v>12168.5</v>
      </c>
      <c r="M39" s="28">
        <f>IF('[23]Calculo ISR '!$AV$34&lt;0,0,'[23]Calculo ISR '!$AV$34)</f>
        <v>1983.8578080000002</v>
      </c>
      <c r="N39" s="92">
        <f>E39*P4</f>
        <v>1228.8150000000001</v>
      </c>
      <c r="O39" s="78">
        <v>1887</v>
      </c>
      <c r="P39" s="50"/>
      <c r="Q39" s="78"/>
      <c r="R39" s="50"/>
      <c r="S39" s="50">
        <f t="shared" si="7"/>
        <v>5099.6728080000003</v>
      </c>
      <c r="T39" s="28">
        <f>IF('[1]Calculo ISR '!$AV$34&gt;0,0,'[1]Calculo ISR '!$AV$34)*-1</f>
        <v>0</v>
      </c>
      <c r="U39" s="79">
        <f t="shared" si="8"/>
        <v>6603.3271919999997</v>
      </c>
      <c r="V39" s="36">
        <f t="shared" si="3"/>
        <v>465.5</v>
      </c>
      <c r="W39" s="80"/>
      <c r="X39" s="47"/>
    </row>
    <row r="40" spans="1:26" s="81" customFormat="1" ht="45" customHeight="1">
      <c r="A40" s="91" t="s">
        <v>103</v>
      </c>
      <c r="B40" s="170" t="s">
        <v>122</v>
      </c>
      <c r="C40" s="66">
        <v>15</v>
      </c>
      <c r="D40" s="76">
        <v>177.16</v>
      </c>
      <c r="E40" s="36">
        <v>2657.47</v>
      </c>
      <c r="F40" s="50"/>
      <c r="G40" s="36">
        <v>465.5</v>
      </c>
      <c r="H40" s="50"/>
      <c r="I40" s="50"/>
      <c r="J40" s="50"/>
      <c r="K40" s="36">
        <f t="shared" si="0"/>
        <v>2657.47</v>
      </c>
      <c r="L40" s="36">
        <f t="shared" si="1"/>
        <v>3122.97</v>
      </c>
      <c r="M40" s="28">
        <f>IF('[23]Calculo ISR '!$AW$34&lt;0,0,'[23]Calculo ISR '!$AW$34)</f>
        <v>39.699647999999968</v>
      </c>
      <c r="N40" s="92">
        <f>E40*P4</f>
        <v>279.03434999999996</v>
      </c>
      <c r="O40" s="78"/>
      <c r="P40" s="50"/>
      <c r="Q40" s="78"/>
      <c r="R40" s="50"/>
      <c r="S40" s="50">
        <f t="shared" si="7"/>
        <v>318.73399799999993</v>
      </c>
      <c r="T40" s="28"/>
      <c r="U40" s="79">
        <f t="shared" si="8"/>
        <v>2338.7360019999996</v>
      </c>
      <c r="V40" s="36">
        <f t="shared" si="3"/>
        <v>465.5</v>
      </c>
      <c r="W40" s="80"/>
      <c r="X40" s="47"/>
    </row>
    <row r="41" spans="1:26" s="81" customFormat="1" ht="45" customHeight="1">
      <c r="A41" s="91" t="s">
        <v>139</v>
      </c>
      <c r="B41" s="170" t="s">
        <v>140</v>
      </c>
      <c r="C41" s="66">
        <v>15</v>
      </c>
      <c r="D41" s="76">
        <v>177.16</v>
      </c>
      <c r="E41" s="36">
        <v>2657.47</v>
      </c>
      <c r="F41" s="50"/>
      <c r="G41" s="36">
        <v>465.5</v>
      </c>
      <c r="H41" s="50"/>
      <c r="I41" s="50"/>
      <c r="J41" s="50"/>
      <c r="K41" s="36">
        <f t="shared" si="0"/>
        <v>2657.47</v>
      </c>
      <c r="L41" s="36">
        <f t="shared" si="1"/>
        <v>3122.97</v>
      </c>
      <c r="M41" s="28">
        <f>IF('[23]Calculo ISR '!$AX$34&lt;0,0,'[23]Calculo ISR '!$AX$34)</f>
        <v>39.699647999999968</v>
      </c>
      <c r="N41" s="92">
        <f>E41*P4</f>
        <v>279.03434999999996</v>
      </c>
      <c r="O41" s="78"/>
      <c r="P41" s="50"/>
      <c r="Q41" s="78"/>
      <c r="R41" s="50"/>
      <c r="S41" s="50">
        <f t="shared" si="7"/>
        <v>318.73399799999993</v>
      </c>
      <c r="T41" s="28"/>
      <c r="U41" s="79">
        <f t="shared" si="8"/>
        <v>2338.7360019999996</v>
      </c>
      <c r="V41" s="36">
        <f t="shared" si="3"/>
        <v>465.5</v>
      </c>
      <c r="W41" s="80"/>
      <c r="X41" s="47"/>
    </row>
    <row r="42" spans="1:26" s="81" customFormat="1" ht="45" customHeight="1">
      <c r="A42" s="91" t="s">
        <v>150</v>
      </c>
      <c r="B42" s="170" t="s">
        <v>142</v>
      </c>
      <c r="C42" s="66">
        <v>15</v>
      </c>
      <c r="D42" s="76">
        <v>205.61</v>
      </c>
      <c r="E42" s="36">
        <f t="shared" si="6"/>
        <v>3084.15</v>
      </c>
      <c r="F42" s="50"/>
      <c r="G42" s="36">
        <v>465.5</v>
      </c>
      <c r="H42" s="50">
        <v>521.5</v>
      </c>
      <c r="I42" s="50"/>
      <c r="J42" s="50"/>
      <c r="K42" s="36">
        <f t="shared" si="0"/>
        <v>3605.65</v>
      </c>
      <c r="L42" s="36">
        <f t="shared" si="1"/>
        <v>4071.15</v>
      </c>
      <c r="M42" s="28">
        <f>IF('[23]Calculo ISR '!$AY$34&lt;0,0,'[23]Calculo ISR '!$AY$34)</f>
        <v>180.81163199999995</v>
      </c>
      <c r="N42" s="92">
        <f>E42*P4</f>
        <v>323.83575000000002</v>
      </c>
      <c r="O42" s="78"/>
      <c r="P42" s="50"/>
      <c r="Q42" s="78"/>
      <c r="R42" s="50"/>
      <c r="S42" s="50">
        <f>SUM(M42+N42+O42+P42+Q42+R42)</f>
        <v>504.64738199999999</v>
      </c>
      <c r="T42" s="28"/>
      <c r="U42" s="79">
        <f t="shared" si="8"/>
        <v>3101.002618</v>
      </c>
      <c r="V42" s="36">
        <f t="shared" si="3"/>
        <v>465.5</v>
      </c>
      <c r="W42" s="80"/>
      <c r="X42" s="47"/>
    </row>
    <row r="43" spans="1:26" s="81" customFormat="1" ht="45" customHeight="1">
      <c r="A43" s="91" t="s">
        <v>151</v>
      </c>
      <c r="B43" s="170" t="s">
        <v>152</v>
      </c>
      <c r="C43" s="66">
        <v>15</v>
      </c>
      <c r="D43" s="76">
        <v>238.18</v>
      </c>
      <c r="E43" s="36">
        <v>3572.72</v>
      </c>
      <c r="F43" s="50"/>
      <c r="G43" s="36">
        <v>465.5</v>
      </c>
      <c r="H43" s="50"/>
      <c r="I43" s="50"/>
      <c r="J43" s="50"/>
      <c r="K43" s="36">
        <f t="shared" si="0"/>
        <v>3572.72</v>
      </c>
      <c r="L43" s="36">
        <f t="shared" si="1"/>
        <v>4038.22</v>
      </c>
      <c r="M43" s="28">
        <f>IF('[23]Calculo ISR '!$AZ$34&lt;0,0,'[23]Calculo ISR '!$AZ$34)</f>
        <v>177.22884799999994</v>
      </c>
      <c r="N43" s="92">
        <f>E43*P4</f>
        <v>375.13559999999995</v>
      </c>
      <c r="O43" s="78"/>
      <c r="P43" s="50"/>
      <c r="Q43" s="78"/>
      <c r="R43" s="50"/>
      <c r="S43" s="50">
        <f>SUM(M43+N43+O43+P43+Q43+R43)</f>
        <v>552.36444799999992</v>
      </c>
      <c r="T43" s="28"/>
      <c r="U43" s="79">
        <f t="shared" si="8"/>
        <v>3020.355552</v>
      </c>
      <c r="V43" s="36">
        <f t="shared" si="3"/>
        <v>465.5</v>
      </c>
      <c r="W43" s="80"/>
      <c r="X43" s="47"/>
    </row>
    <row r="44" spans="1:26" s="81" customFormat="1" ht="45" customHeight="1">
      <c r="A44" s="91" t="s">
        <v>161</v>
      </c>
      <c r="B44" s="170" t="s">
        <v>162</v>
      </c>
      <c r="C44" s="66">
        <v>15</v>
      </c>
      <c r="D44" s="76">
        <v>902.7</v>
      </c>
      <c r="E44" s="36">
        <f>C44*D44</f>
        <v>13540.5</v>
      </c>
      <c r="F44" s="50"/>
      <c r="G44" s="36">
        <v>465.5</v>
      </c>
      <c r="H44" s="50"/>
      <c r="I44" s="50"/>
      <c r="J44" s="50"/>
      <c r="K44" s="36">
        <f t="shared" si="0"/>
        <v>13540.5</v>
      </c>
      <c r="L44" s="36">
        <f t="shared" si="1"/>
        <v>14006</v>
      </c>
      <c r="M44" s="28">
        <f>IF('[23]Calculo ISR '!$BA$34&lt;0,0,'[23]Calculo ISR '!$BA$34)</f>
        <v>2416.037808</v>
      </c>
      <c r="N44" s="92">
        <v>1421.76</v>
      </c>
      <c r="O44" s="78"/>
      <c r="P44" s="50"/>
      <c r="Q44" s="78"/>
      <c r="R44" s="50"/>
      <c r="S44" s="50">
        <f>SUM(M44+N44+O44+P44+Q44+R44)</f>
        <v>3837.7978080000003</v>
      </c>
      <c r="T44" s="28"/>
      <c r="U44" s="79">
        <f t="shared" si="8"/>
        <v>9702.7021920000007</v>
      </c>
      <c r="V44" s="36">
        <f t="shared" si="3"/>
        <v>465.5</v>
      </c>
      <c r="W44" s="80"/>
      <c r="X44" s="47"/>
    </row>
    <row r="45" spans="1:26" s="99" customFormat="1" ht="21.95" customHeight="1">
      <c r="A45" s="93"/>
      <c r="B45" s="94">
        <v>38</v>
      </c>
      <c r="C45" s="95">
        <f>SUM(C8:C44)</f>
        <v>555</v>
      </c>
      <c r="D45" s="95">
        <f>SUM(D8:D44)</f>
        <v>12176.816666666669</v>
      </c>
      <c r="E45" s="95">
        <f t="shared" ref="E45:V45" si="9">SUM(E7:E44)</f>
        <v>200168.75999999998</v>
      </c>
      <c r="F45" s="95">
        <f t="shared" si="9"/>
        <v>6040.32</v>
      </c>
      <c r="G45" s="95">
        <f t="shared" si="9"/>
        <v>18183.5</v>
      </c>
      <c r="H45" s="95">
        <f t="shared" si="9"/>
        <v>5215</v>
      </c>
      <c r="I45" s="95">
        <f t="shared" si="9"/>
        <v>688</v>
      </c>
      <c r="J45" s="95">
        <f t="shared" si="9"/>
        <v>3378.6212299999997</v>
      </c>
      <c r="K45" s="95">
        <f t="shared" si="9"/>
        <v>215490.70122999998</v>
      </c>
      <c r="L45" s="95">
        <f t="shared" si="9"/>
        <v>233674.20122999998</v>
      </c>
      <c r="M45" s="96">
        <f t="shared" si="9"/>
        <v>26740.837651520011</v>
      </c>
      <c r="N45" s="95">
        <f t="shared" si="9"/>
        <v>21017.727299999999</v>
      </c>
      <c r="O45" s="95">
        <f t="shared" si="9"/>
        <v>21229.97</v>
      </c>
      <c r="P45" s="95">
        <f t="shared" si="9"/>
        <v>0</v>
      </c>
      <c r="Q45" s="95">
        <f t="shared" si="9"/>
        <v>0</v>
      </c>
      <c r="R45" s="95">
        <f t="shared" si="9"/>
        <v>582.91589999999997</v>
      </c>
      <c r="S45" s="95">
        <f t="shared" si="9"/>
        <v>69571.450851520014</v>
      </c>
      <c r="T45" s="95">
        <f t="shared" si="9"/>
        <v>228.19166937600002</v>
      </c>
      <c r="U45" s="95">
        <f t="shared" si="9"/>
        <v>146147.44204785599</v>
      </c>
      <c r="V45" s="95">
        <f t="shared" si="9"/>
        <v>18183.5</v>
      </c>
      <c r="W45" s="97"/>
      <c r="X45" s="98"/>
    </row>
    <row r="46" spans="1:26" s="6" customFormat="1" ht="9" customHeight="1">
      <c r="A46" s="122"/>
      <c r="B46" s="123">
        <v>38</v>
      </c>
      <c r="C46" s="124"/>
      <c r="D46" s="101"/>
      <c r="E46" s="101"/>
      <c r="F46" s="101"/>
      <c r="G46" s="125"/>
      <c r="H46" s="125"/>
      <c r="I46" s="101"/>
      <c r="J46" s="101"/>
      <c r="K46" s="101"/>
      <c r="L46" s="101"/>
      <c r="N46" s="101">
        <f>N45+'[23]HT-DOCENTE FIRMA'!R38+'[23]HT-PTC FIRMAS '!K15</f>
        <v>37524.473849999995</v>
      </c>
      <c r="O46" s="101">
        <f>O45+'[23]HT-DOCENTE FIRMA'!S38+'[23]HT-PTC FIRMAS '!L15</f>
        <v>33754.97</v>
      </c>
      <c r="P46" s="101"/>
      <c r="Q46" s="101"/>
      <c r="R46" s="101"/>
      <c r="S46" s="101"/>
      <c r="T46" s="101"/>
      <c r="U46" s="101"/>
      <c r="V46" s="101"/>
      <c r="W46" s="126"/>
      <c r="X46" s="5"/>
    </row>
    <row r="47" spans="1:26" s="6" customFormat="1" ht="9" customHeight="1">
      <c r="A47" s="122"/>
      <c r="B47" s="123">
        <f>B46+'[23]HT-DOCENTE FIRMA'!B39+'[23]HT-PTC FIRMAS '!B16</f>
        <v>71</v>
      </c>
      <c r="C47" s="124"/>
      <c r="D47" s="101"/>
      <c r="E47" s="101">
        <f>E45+'[23]HT-DOCENTE FIRMA'!I38+'[23]HT-PTC FIRMAS '!D15</f>
        <v>357375.87</v>
      </c>
      <c r="F47" s="101"/>
      <c r="G47" s="125"/>
      <c r="H47" s="125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26"/>
      <c r="X47" s="5"/>
      <c r="Z47" s="5"/>
    </row>
    <row r="48" spans="1:26" s="6" customFormat="1" ht="9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26"/>
      <c r="X48" s="5"/>
    </row>
    <row r="49" spans="1:24" s="6" customFormat="1" ht="9" customHeight="1">
      <c r="A49" s="129"/>
      <c r="B49" s="130"/>
      <c r="C49" s="131"/>
      <c r="D49" s="132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5"/>
    </row>
    <row r="50" spans="1:24" ht="15" customHeight="1">
      <c r="A50" s="110" t="s">
        <v>105</v>
      </c>
      <c r="B50" s="110"/>
      <c r="C50" s="110"/>
      <c r="D50" s="111"/>
      <c r="E50" s="109"/>
      <c r="F50" s="109"/>
      <c r="H50" s="113" t="s">
        <v>106</v>
      </c>
      <c r="I50" s="112"/>
      <c r="K50" s="113"/>
      <c r="L50" s="114"/>
      <c r="O50" s="115"/>
      <c r="P50" s="115"/>
      <c r="Q50" s="115"/>
      <c r="R50" s="115"/>
      <c r="S50" s="111" t="s">
        <v>107</v>
      </c>
      <c r="T50" s="111"/>
      <c r="U50" s="111"/>
      <c r="V50" s="111"/>
      <c r="W50" s="111"/>
      <c r="X50" s="100"/>
    </row>
    <row r="51" spans="1:24" hidden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03"/>
      <c r="L51" s="103"/>
      <c r="O51" s="103"/>
      <c r="P51" s="115"/>
      <c r="Q51" s="103"/>
      <c r="R51" s="103"/>
      <c r="S51" s="111"/>
      <c r="T51" s="111"/>
      <c r="U51" s="111"/>
      <c r="V51" s="111"/>
      <c r="W51" s="111"/>
      <c r="X51" s="100"/>
    </row>
    <row r="52" spans="1:24" hidden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09"/>
      <c r="L52" s="109"/>
      <c r="O52" s="109"/>
      <c r="P52" s="109"/>
      <c r="Q52" s="109"/>
      <c r="R52" s="109"/>
      <c r="S52" s="111"/>
      <c r="T52" s="111"/>
      <c r="U52" s="111"/>
      <c r="V52" s="111"/>
      <c r="W52" s="111"/>
      <c r="X52" s="100"/>
    </row>
    <row r="53" spans="1:24" ht="21.75" customHeight="1">
      <c r="A53" s="111"/>
      <c r="B53" s="113" t="s">
        <v>168</v>
      </c>
      <c r="C53" s="112"/>
      <c r="D53" s="111"/>
      <c r="E53" s="116"/>
      <c r="F53" s="116"/>
      <c r="H53" s="118" t="s">
        <v>109</v>
      </c>
      <c r="I53" s="117"/>
      <c r="K53" s="118"/>
      <c r="L53" s="118"/>
      <c r="O53" s="109"/>
      <c r="P53" s="109"/>
      <c r="R53" s="109"/>
      <c r="S53" s="145" t="s">
        <v>110</v>
      </c>
      <c r="T53" s="117"/>
      <c r="U53" s="117"/>
      <c r="V53" s="117"/>
      <c r="W53" s="111"/>
      <c r="X53" s="100"/>
    </row>
    <row r="54" spans="1:24" ht="15" customHeight="1">
      <c r="A54" s="112" t="s">
        <v>167</v>
      </c>
      <c r="B54" s="112"/>
      <c r="C54" s="112"/>
      <c r="D54" s="112"/>
      <c r="E54" s="171"/>
      <c r="F54" s="109"/>
      <c r="H54" s="118" t="s">
        <v>112</v>
      </c>
      <c r="I54" s="117"/>
      <c r="K54" s="118"/>
      <c r="L54" s="118"/>
      <c r="O54" s="109"/>
      <c r="P54" s="109"/>
      <c r="Q54" s="109"/>
      <c r="R54" s="119" t="s">
        <v>113</v>
      </c>
      <c r="S54" s="119"/>
      <c r="T54" s="119"/>
      <c r="U54" s="119"/>
      <c r="V54" s="119"/>
      <c r="W54" s="111"/>
      <c r="X54" s="100"/>
    </row>
    <row r="55" spans="1:24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16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307" spans="99:99">
      <c r="CU307" s="1" t="s">
        <v>114</v>
      </c>
    </row>
  </sheetData>
  <mergeCells count="2">
    <mergeCell ref="A50:C50"/>
    <mergeCell ref="R54:V54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V307"/>
  <sheetViews>
    <sheetView zoomScale="80" zoomScaleNormal="80" workbookViewId="0">
      <pane xSplit="2" ySplit="6" topLeftCell="C43" activePane="bottomRight" state="frozen"/>
      <selection activeCell="S28" sqref="S28"/>
      <selection pane="topRight" activeCell="S28" sqref="S28"/>
      <selection pane="bottomLeft" activeCell="S28" sqref="S28"/>
      <selection pane="bottomRight" activeCell="H59" sqref="H59"/>
    </sheetView>
  </sheetViews>
  <sheetFormatPr baseColWidth="10" defaultRowHeight="12.75"/>
  <cols>
    <col min="1" max="1" width="12.42578125" style="1" customWidth="1"/>
    <col min="2" max="2" width="20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8" width="12.42578125" style="1" customWidth="1"/>
    <col min="9" max="9" width="9.28515625" style="1" customWidth="1"/>
    <col min="10" max="10" width="10.85546875" style="1" customWidth="1"/>
    <col min="11" max="11" width="10.140625" style="1" customWidth="1"/>
    <col min="12" max="12" width="12.28515625" style="1" customWidth="1"/>
    <col min="13" max="13" width="11.7109375" style="1" customWidth="1"/>
    <col min="14" max="16" width="11.140625" style="1" hidden="1" customWidth="1"/>
    <col min="17" max="17" width="8.5703125" style="1" hidden="1" customWidth="1"/>
    <col min="18" max="18" width="7.28515625" style="1" hidden="1" customWidth="1"/>
    <col min="19" max="19" width="8.28515625" style="1" hidden="1" customWidth="1"/>
    <col min="20" max="20" width="11.140625" style="1" customWidth="1"/>
    <col min="21" max="21" width="9.42578125" style="1" customWidth="1"/>
    <col min="22" max="22" width="14.42578125" style="1" customWidth="1"/>
    <col min="23" max="23" width="12.85546875" style="1" hidden="1" customWidth="1"/>
    <col min="24" max="24" width="35.42578125" style="1" hidden="1" customWidth="1"/>
    <col min="25" max="16384" width="11.42578125" style="1"/>
  </cols>
  <sheetData>
    <row r="1" spans="1:27">
      <c r="C1" s="3"/>
      <c r="D1" s="3"/>
      <c r="E1" s="3"/>
      <c r="F1" s="3"/>
      <c r="G1" s="3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3"/>
      <c r="X1" s="3"/>
      <c r="Y1" s="3"/>
    </row>
    <row r="2" spans="1:27" s="3" customFormat="1"/>
    <row r="3" spans="1:27" s="3" customFormat="1" ht="22.5">
      <c r="L3" s="5"/>
      <c r="M3" s="5" t="s">
        <v>0</v>
      </c>
      <c r="N3" s="6"/>
      <c r="O3" s="6"/>
      <c r="P3" s="6" t="s">
        <v>137</v>
      </c>
      <c r="Q3" s="135" t="s">
        <v>132</v>
      </c>
      <c r="R3" s="6" t="s">
        <v>1</v>
      </c>
      <c r="S3" s="6" t="s">
        <v>133</v>
      </c>
    </row>
    <row r="4" spans="1:27" s="3" customFormat="1">
      <c r="L4" s="6"/>
      <c r="M4" s="7">
        <v>1.9E-2</v>
      </c>
      <c r="N4" s="6"/>
      <c r="O4" s="6"/>
      <c r="P4" s="8">
        <v>0.01</v>
      </c>
      <c r="Q4" s="121">
        <v>0.105</v>
      </c>
      <c r="R4" s="9">
        <v>3.7999999999999999E-2</v>
      </c>
      <c r="S4" s="121">
        <v>5.7000000000000002E-2</v>
      </c>
    </row>
    <row r="5" spans="1:27" s="3" customFormat="1" ht="13.5" thickBot="1">
      <c r="B5" s="10" t="s">
        <v>2</v>
      </c>
      <c r="H5" s="10" t="s">
        <v>169</v>
      </c>
    </row>
    <row r="6" spans="1:27" s="25" customFormat="1" ht="10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9" t="s">
        <v>170</v>
      </c>
      <c r="K6" s="18" t="s">
        <v>13</v>
      </c>
      <c r="L6" s="18" t="s">
        <v>14</v>
      </c>
      <c r="M6" s="19" t="s">
        <v>15</v>
      </c>
      <c r="N6" s="20" t="s">
        <v>16</v>
      </c>
      <c r="O6" s="20" t="s">
        <v>17</v>
      </c>
      <c r="P6" s="20" t="s">
        <v>18</v>
      </c>
      <c r="Q6" s="20" t="s">
        <v>19</v>
      </c>
      <c r="R6" s="20" t="s">
        <v>20</v>
      </c>
      <c r="S6" s="20" t="s">
        <v>21</v>
      </c>
      <c r="T6" s="20" t="s">
        <v>22</v>
      </c>
      <c r="U6" s="21" t="s">
        <v>23</v>
      </c>
      <c r="V6" s="22" t="s">
        <v>24</v>
      </c>
      <c r="W6" s="23" t="s">
        <v>25</v>
      </c>
      <c r="X6" s="24" t="s">
        <v>26</v>
      </c>
    </row>
    <row r="7" spans="1:27" s="30" customFormat="1" ht="56.25" customHeight="1">
      <c r="A7" s="26" t="s">
        <v>27</v>
      </c>
      <c r="B7" s="27" t="s">
        <v>28</v>
      </c>
      <c r="C7" s="142">
        <v>15</v>
      </c>
      <c r="D7" s="28">
        <v>1129.1099999999999</v>
      </c>
      <c r="E7" s="28">
        <v>17515.27</v>
      </c>
      <c r="F7" s="28">
        <v>6040.32</v>
      </c>
      <c r="G7" s="28">
        <v>727.25</v>
      </c>
      <c r="H7" s="28"/>
      <c r="I7" s="28">
        <v>688</v>
      </c>
      <c r="J7" s="28">
        <v>0</v>
      </c>
      <c r="K7" s="28"/>
      <c r="L7" s="28">
        <f>SUM(E7+F7+I7+K7)</f>
        <v>24243.59</v>
      </c>
      <c r="M7" s="28">
        <f>SUM(L7+G7)</f>
        <v>24970.84</v>
      </c>
      <c r="N7" s="28">
        <f>IF('[24]Calculo ISR '!$K$34&lt;0,0,'[24]Calculo ISR '!$K$34)</f>
        <v>5457.759</v>
      </c>
      <c r="O7" s="28">
        <f>E7*Q4</f>
        <v>1839.1033500000001</v>
      </c>
      <c r="P7" s="28"/>
      <c r="Q7" s="28"/>
      <c r="R7" s="28"/>
      <c r="S7" s="28"/>
      <c r="T7" s="28">
        <f>SUM(N7+O7+P7+Q7+R7+S7)</f>
        <v>7296.8623500000003</v>
      </c>
      <c r="U7" s="28"/>
      <c r="V7" s="36">
        <f>L7-T7</f>
        <v>16946.727650000001</v>
      </c>
      <c r="W7" s="28">
        <f>G7</f>
        <v>727.25</v>
      </c>
      <c r="X7" s="29"/>
      <c r="AA7" s="31"/>
    </row>
    <row r="8" spans="1:27" s="136" customFormat="1" ht="45" customHeight="1">
      <c r="A8" s="32" t="s">
        <v>29</v>
      </c>
      <c r="B8" s="33" t="s">
        <v>30</v>
      </c>
      <c r="C8" s="34">
        <v>15</v>
      </c>
      <c r="D8" s="35">
        <v>780.2</v>
      </c>
      <c r="E8" s="36">
        <f>C8*D8</f>
        <v>11703</v>
      </c>
      <c r="F8" s="36"/>
      <c r="G8" s="36"/>
      <c r="H8" s="36"/>
      <c r="I8" s="36">
        <f>'[1]HT-ADMINISTRATIVOS'!J10</f>
        <v>0</v>
      </c>
      <c r="J8" s="36">
        <v>0</v>
      </c>
      <c r="K8" s="37"/>
      <c r="L8" s="36">
        <f>E8+F8+H8+I8+K8</f>
        <v>11703</v>
      </c>
      <c r="M8" s="36">
        <f>L8+G8</f>
        <v>11703</v>
      </c>
      <c r="N8" s="28">
        <f>IF('[24]Calculo ISR '!$L$34&lt;0,0,'[24]Calculo ISR '!$L$34)</f>
        <v>1983.8578080000002</v>
      </c>
      <c r="O8" s="38">
        <f>E8*Q4</f>
        <v>1228.8150000000001</v>
      </c>
      <c r="P8" s="38"/>
      <c r="Q8" s="38">
        <f>'[1]HT-ADMINISTRATIVOS'!Q10</f>
        <v>0</v>
      </c>
      <c r="R8" s="38"/>
      <c r="S8" s="38">
        <f>'[1]HT-ADMINISTRATIVOS'!S10</f>
        <v>0</v>
      </c>
      <c r="T8" s="36">
        <f>N8+O8+P8+Q8+R8+S8</f>
        <v>3212.6728080000003</v>
      </c>
      <c r="U8" s="28">
        <f>IF('[24]Calculo ISR '!$L$34&gt;0,0,'[24]Calculo ISR '!$L$34)*-1</f>
        <v>0</v>
      </c>
      <c r="V8" s="36">
        <f>L8-T8</f>
        <v>8490.3271920000007</v>
      </c>
      <c r="W8" s="36">
        <f>G8</f>
        <v>0</v>
      </c>
      <c r="X8" s="46"/>
      <c r="Y8" s="47"/>
    </row>
    <row r="9" spans="1:27" s="48" customFormat="1" ht="45" customHeight="1">
      <c r="A9" s="32" t="s">
        <v>31</v>
      </c>
      <c r="B9" s="43" t="s">
        <v>32</v>
      </c>
      <c r="C9" s="34">
        <v>15</v>
      </c>
      <c r="D9" s="35">
        <v>238.18</v>
      </c>
      <c r="E9" s="36">
        <v>3572.72</v>
      </c>
      <c r="F9" s="36"/>
      <c r="G9" s="36">
        <v>465.5</v>
      </c>
      <c r="H9" s="36"/>
      <c r="I9" s="36">
        <f>'[1]HT-ADMINISTRATIVOS'!J11</f>
        <v>0</v>
      </c>
      <c r="J9" s="36">
        <v>2500</v>
      </c>
      <c r="K9" s="37">
        <f>E9*S4</f>
        <v>203.64503999999999</v>
      </c>
      <c r="L9" s="36">
        <f>E9+F9+H9+I9+K9+J9</f>
        <v>6276.3650399999997</v>
      </c>
      <c r="M9" s="36">
        <f>L9+G9</f>
        <v>6741.8650399999997</v>
      </c>
      <c r="N9" s="28">
        <f>IF('[24]Calculo ISR '!$M$34&lt;0,0,'[24]Calculo ISR '!$M$34)</f>
        <v>793.44239654400008</v>
      </c>
      <c r="O9" s="38">
        <f>E9*Q4</f>
        <v>375.13559999999995</v>
      </c>
      <c r="P9" s="38">
        <v>800</v>
      </c>
      <c r="Q9" s="38">
        <f>'[1]HT-ADMINISTRATIVOS'!Q11</f>
        <v>0</v>
      </c>
      <c r="R9" s="38">
        <f>'[1]HT-ADMINISTRATIVOS'!R11</f>
        <v>0</v>
      </c>
      <c r="S9" s="38">
        <f>E9*P4</f>
        <v>35.727199999999996</v>
      </c>
      <c r="T9" s="36">
        <f>N9+O9+P9+Q9+R9+S9</f>
        <v>2004.3051965440002</v>
      </c>
      <c r="U9" s="28">
        <f>IF('[24]Calculo ISR '!$M$34&gt;0,0,'[24]Calculo ISR '!$M$34)*-1</f>
        <v>0</v>
      </c>
      <c r="V9" s="36">
        <f t="shared" ref="V9:V15" si="0">L9-T9+U9</f>
        <v>4272.0598434559997</v>
      </c>
      <c r="W9" s="36">
        <f t="shared" ref="W9:W44" si="1">G9</f>
        <v>465.5</v>
      </c>
      <c r="X9" s="46"/>
      <c r="Y9" s="47"/>
    </row>
    <row r="10" spans="1:27" s="48" customFormat="1" ht="45" customHeight="1">
      <c r="A10" s="32" t="s">
        <v>33</v>
      </c>
      <c r="B10" s="45" t="s">
        <v>34</v>
      </c>
      <c r="C10" s="34">
        <v>15</v>
      </c>
      <c r="D10" s="35">
        <f>E10/C10</f>
        <v>250.32666666666668</v>
      </c>
      <c r="E10" s="36">
        <v>3754.9</v>
      </c>
      <c r="F10" s="36"/>
      <c r="G10" s="36">
        <v>465.5</v>
      </c>
      <c r="H10" s="36"/>
      <c r="I10" s="36">
        <f>'[1]HT-ADMINISTRATIVOS'!J12</f>
        <v>0</v>
      </c>
      <c r="J10" s="36">
        <v>2500</v>
      </c>
      <c r="K10" s="37">
        <f>E10*S4</f>
        <v>214.02930000000001</v>
      </c>
      <c r="L10" s="36">
        <f t="shared" ref="L10:L44" si="2">E10+F10+H10+I10+K10+J10</f>
        <v>6468.9292999999998</v>
      </c>
      <c r="M10" s="36">
        <f t="shared" ref="M10:M44" si="3">L10+G10</f>
        <v>6934.4292999999998</v>
      </c>
      <c r="N10" s="28">
        <f>IF('[24]Calculo ISR '!$N$34&lt;0,0,'[24]Calculo ISR '!$N$34)</f>
        <v>834.57412248000003</v>
      </c>
      <c r="O10" s="38">
        <f>E10*Q4</f>
        <v>394.2645</v>
      </c>
      <c r="P10" s="38">
        <v>650</v>
      </c>
      <c r="Q10" s="38">
        <f>'[1]HT-ADMINISTRATIVOS'!Q12</f>
        <v>0</v>
      </c>
      <c r="R10" s="38">
        <f>'[1]HT-ADMINISTRATIVOS'!R12</f>
        <v>0</v>
      </c>
      <c r="S10" s="38">
        <f>E10*P4</f>
        <v>37.548999999999999</v>
      </c>
      <c r="T10" s="36">
        <f t="shared" ref="T10:T29" si="4">N10+O10+P10+S10+Q10+R10</f>
        <v>1916.3876224800001</v>
      </c>
      <c r="U10" s="28">
        <f>IF('[1]Calculo ISR '!$N$34&gt;0,0,'[21]Calculo ISR '!$N$34)*-1</f>
        <v>0</v>
      </c>
      <c r="V10" s="36">
        <f t="shared" si="0"/>
        <v>4552.5416775199992</v>
      </c>
      <c r="W10" s="36">
        <f t="shared" si="1"/>
        <v>465.5</v>
      </c>
      <c r="X10" s="46"/>
      <c r="Y10" s="47"/>
    </row>
    <row r="11" spans="1:27" s="48" customFormat="1" ht="45" customHeight="1">
      <c r="A11" s="32" t="s">
        <v>35</v>
      </c>
      <c r="B11" s="43" t="s">
        <v>36</v>
      </c>
      <c r="C11" s="34">
        <v>15</v>
      </c>
      <c r="D11" s="35">
        <v>226.68</v>
      </c>
      <c r="E11" s="36">
        <v>3400.25</v>
      </c>
      <c r="F11" s="36"/>
      <c r="G11" s="36">
        <v>465.5</v>
      </c>
      <c r="H11" s="36"/>
      <c r="I11" s="36">
        <f>'[1]HT-ADMINISTRATIVOS'!J13</f>
        <v>0</v>
      </c>
      <c r="J11" s="36">
        <v>2500</v>
      </c>
      <c r="K11" s="37">
        <f>E11*S4</f>
        <v>193.81425000000002</v>
      </c>
      <c r="L11" s="36">
        <f t="shared" si="2"/>
        <v>6094.0642499999994</v>
      </c>
      <c r="M11" s="36">
        <f t="shared" si="3"/>
        <v>6559.5642499999994</v>
      </c>
      <c r="N11" s="28">
        <f>IF('[24]Calculo ISR '!$O$34&lt;0,0,'[24]Calculo ISR '!$O$34)</f>
        <v>754.5029477999999</v>
      </c>
      <c r="O11" s="38">
        <f>E11*Q4</f>
        <v>357.02625</v>
      </c>
      <c r="P11" s="38">
        <v>1462.22</v>
      </c>
      <c r="Q11" s="38">
        <f>'[1]HT-ADMINISTRATIVOS'!Q13</f>
        <v>0</v>
      </c>
      <c r="R11" s="38">
        <f>'[1]HT-ADMINISTRATIVOS'!R13</f>
        <v>0</v>
      </c>
      <c r="S11" s="38">
        <f>E11*P4</f>
        <v>34.002499999999998</v>
      </c>
      <c r="T11" s="36">
        <f t="shared" si="4"/>
        <v>2607.7516977999999</v>
      </c>
      <c r="U11" s="28">
        <f>IF('[1]Calculo ISR '!$O$34&gt;0,0,'[1]Calculo ISR '!$O$34)*-1</f>
        <v>0</v>
      </c>
      <c r="V11" s="36">
        <f t="shared" si="0"/>
        <v>3486.3125521999996</v>
      </c>
      <c r="W11" s="36">
        <f t="shared" si="1"/>
        <v>465.5</v>
      </c>
      <c r="X11" s="46"/>
      <c r="Y11" s="47"/>
    </row>
    <row r="12" spans="1:27" s="48" customFormat="1" ht="45" customHeight="1">
      <c r="A12" s="32" t="s">
        <v>37</v>
      </c>
      <c r="B12" s="43" t="s">
        <v>38</v>
      </c>
      <c r="C12" s="34">
        <v>15</v>
      </c>
      <c r="D12" s="49">
        <v>250.33</v>
      </c>
      <c r="E12" s="36">
        <v>3754.9</v>
      </c>
      <c r="F12" s="36"/>
      <c r="G12" s="36">
        <v>465.5</v>
      </c>
      <c r="H12" s="36"/>
      <c r="I12" s="36">
        <f>'[1]HT-ADMINISTRATIVOS'!J14</f>
        <v>0</v>
      </c>
      <c r="J12" s="36">
        <v>2500</v>
      </c>
      <c r="K12" s="37">
        <f>E12*S4</f>
        <v>214.02930000000001</v>
      </c>
      <c r="L12" s="36">
        <f t="shared" si="2"/>
        <v>6468.9292999999998</v>
      </c>
      <c r="M12" s="36">
        <f t="shared" si="3"/>
        <v>6934.4292999999998</v>
      </c>
      <c r="N12" s="28">
        <f>IF('[24]Calculo ISR '!$P$34&lt;0,0,'[24]Calculo ISR '!$P$34)</f>
        <v>834.57412248000003</v>
      </c>
      <c r="O12" s="38">
        <f>E12*Q4</f>
        <v>394.2645</v>
      </c>
      <c r="P12" s="38">
        <v>1211</v>
      </c>
      <c r="Q12" s="38">
        <f>'[1]HT-ADMINISTRATIVOS'!Q14</f>
        <v>0</v>
      </c>
      <c r="R12" s="38">
        <f>'[1]HT-ADMINISTRATIVOS'!R14</f>
        <v>0</v>
      </c>
      <c r="S12" s="38">
        <f>E12*P4</f>
        <v>37.548999999999999</v>
      </c>
      <c r="T12" s="36">
        <f t="shared" si="4"/>
        <v>2477.3876224800001</v>
      </c>
      <c r="U12" s="28">
        <f>IF('[1]Calculo ISR '!$P$34&gt;0,0,'[1]Calculo ISR '!$P$34)*-1</f>
        <v>0</v>
      </c>
      <c r="V12" s="36">
        <f t="shared" si="0"/>
        <v>3991.5416775199997</v>
      </c>
      <c r="W12" s="36">
        <f t="shared" si="1"/>
        <v>465.5</v>
      </c>
      <c r="X12" s="46"/>
      <c r="Y12" s="47"/>
    </row>
    <row r="13" spans="1:27" s="48" customFormat="1" ht="45" customHeight="1">
      <c r="A13" s="32" t="s">
        <v>39</v>
      </c>
      <c r="B13" s="43" t="s">
        <v>40</v>
      </c>
      <c r="C13" s="34">
        <v>15</v>
      </c>
      <c r="D13" s="50">
        <v>177.16</v>
      </c>
      <c r="E13" s="36">
        <v>2657.47</v>
      </c>
      <c r="F13" s="36"/>
      <c r="G13" s="36">
        <v>465.5</v>
      </c>
      <c r="H13" s="36"/>
      <c r="I13" s="36">
        <f>'[1]HT-ADMINISTRATIVOS'!J15</f>
        <v>0</v>
      </c>
      <c r="J13" s="36">
        <v>2500</v>
      </c>
      <c r="K13" s="37">
        <f>E13*S4</f>
        <v>151.47578999999999</v>
      </c>
      <c r="L13" s="36">
        <f t="shared" si="2"/>
        <v>5308.9457899999998</v>
      </c>
      <c r="M13" s="36">
        <f t="shared" si="3"/>
        <v>5774.4457899999998</v>
      </c>
      <c r="N13" s="28">
        <f>IF('[24]Calculo ISR '!$Q$34&lt;0,0,'[24]Calculo ISR '!$Q$34)</f>
        <v>586.80164474399999</v>
      </c>
      <c r="O13" s="38">
        <f>E13*Q4</f>
        <v>279.03434999999996</v>
      </c>
      <c r="P13" s="38">
        <v>886</v>
      </c>
      <c r="Q13" s="38">
        <f>'[1]HT-ADMINISTRATIVOS'!Q15</f>
        <v>0</v>
      </c>
      <c r="R13" s="38">
        <f>'[1]HT-ADMINISTRATIVOS'!R15</f>
        <v>0</v>
      </c>
      <c r="S13" s="38">
        <f>E13*P4</f>
        <v>26.5747</v>
      </c>
      <c r="T13" s="36">
        <f t="shared" si="4"/>
        <v>1778.4106947439998</v>
      </c>
      <c r="U13" s="28">
        <f>IF('[1]Calculo ISR '!$Q$34&gt;0,0,'[1]Calculo ISR '!$Q$34)</f>
        <v>0</v>
      </c>
      <c r="V13" s="36">
        <f t="shared" si="0"/>
        <v>3530.5350952560002</v>
      </c>
      <c r="W13" s="36">
        <f t="shared" si="1"/>
        <v>465.5</v>
      </c>
      <c r="X13" s="46"/>
      <c r="Y13" s="47"/>
    </row>
    <row r="14" spans="1:27" s="48" customFormat="1" ht="45" customHeight="1">
      <c r="A14" s="32" t="s">
        <v>41</v>
      </c>
      <c r="B14" s="43" t="s">
        <v>42</v>
      </c>
      <c r="C14" s="34">
        <v>15</v>
      </c>
      <c r="D14" s="50">
        <v>168.65</v>
      </c>
      <c r="E14" s="36">
        <v>2529.8000000000002</v>
      </c>
      <c r="F14" s="36"/>
      <c r="G14" s="36">
        <v>465.5</v>
      </c>
      <c r="H14" s="36"/>
      <c r="I14" s="36">
        <f>'[1]HT-ADMINISTRATIVOS'!J16</f>
        <v>0</v>
      </c>
      <c r="J14" s="36">
        <v>2500</v>
      </c>
      <c r="K14" s="37">
        <f>E14*S4</f>
        <v>144.19860000000003</v>
      </c>
      <c r="L14" s="36">
        <f t="shared" si="2"/>
        <v>5173.9986000000008</v>
      </c>
      <c r="M14" s="36">
        <f t="shared" si="3"/>
        <v>5639.4986000000008</v>
      </c>
      <c r="N14" s="28">
        <f>IF('[24]Calculo ISR '!$R$34&lt;0,0,'[24]Calculo ISR '!$R$34)</f>
        <v>557.97692496000025</v>
      </c>
      <c r="O14" s="38">
        <f>E14*Q4</f>
        <v>265.62900000000002</v>
      </c>
      <c r="P14" s="38">
        <v>816</v>
      </c>
      <c r="Q14" s="38">
        <f>'[1]HT-ADMINISTRATIVOS'!Q16</f>
        <v>0</v>
      </c>
      <c r="R14" s="38">
        <f>'[1]HT-ADMINISTRATIVOS'!R16</f>
        <v>0</v>
      </c>
      <c r="S14" s="38">
        <f>E14*P4</f>
        <v>25.298000000000002</v>
      </c>
      <c r="T14" s="36">
        <f t="shared" si="4"/>
        <v>1664.9039249600003</v>
      </c>
      <c r="U14" s="28">
        <f>IF('[1]Calculo ISR '!$R$34&gt;0,0,'[1]Calculo ISR '!$R$34)*-1</f>
        <v>0</v>
      </c>
      <c r="V14" s="36">
        <f t="shared" si="0"/>
        <v>3509.0946750400008</v>
      </c>
      <c r="W14" s="36">
        <f t="shared" si="1"/>
        <v>465.5</v>
      </c>
      <c r="X14" s="46"/>
      <c r="Y14" s="47"/>
    </row>
    <row r="15" spans="1:27" s="48" customFormat="1" ht="45" customHeight="1">
      <c r="A15" s="33" t="s">
        <v>43</v>
      </c>
      <c r="B15" s="43" t="s">
        <v>44</v>
      </c>
      <c r="C15" s="34">
        <v>15</v>
      </c>
      <c r="D15" s="50">
        <v>553.13</v>
      </c>
      <c r="E15" s="36">
        <v>8296.9699999999993</v>
      </c>
      <c r="F15" s="36"/>
      <c r="G15" s="36"/>
      <c r="H15" s="36"/>
      <c r="I15" s="36">
        <f>'[1]HT-ADMINISTRATIVOS'!J17</f>
        <v>0</v>
      </c>
      <c r="J15" s="36">
        <v>0</v>
      </c>
      <c r="K15" s="37"/>
      <c r="L15" s="36">
        <f t="shared" si="2"/>
        <v>8296.9699999999993</v>
      </c>
      <c r="M15" s="36">
        <f t="shared" si="3"/>
        <v>8296.9699999999993</v>
      </c>
      <c r="N15" s="28">
        <f>IF('[24]Calculo ISR '!$S$34&lt;0,0,'[24]Calculo ISR '!$S$34)</f>
        <v>1225.0436159999999</v>
      </c>
      <c r="O15" s="38">
        <f>E15*Q4</f>
        <v>871.18184999999994</v>
      </c>
      <c r="P15" s="38">
        <v>2675</v>
      </c>
      <c r="Q15" s="38">
        <f>'[1]HT-ADMINISTRATIVOS'!Q17</f>
        <v>0</v>
      </c>
      <c r="R15" s="38">
        <f>'[1]HT-ADMINISTRATIVOS'!R17</f>
        <v>0</v>
      </c>
      <c r="S15" s="38">
        <f>'[1]HT-ADMINISTRATIVOS'!S17</f>
        <v>0</v>
      </c>
      <c r="T15" s="36">
        <f t="shared" si="4"/>
        <v>4771.2254659999999</v>
      </c>
      <c r="U15" s="28">
        <f>IF('[1]Calculo ISR '!$S$34&gt;0,0,'[1]Calculo ISR '!$S$34)*-1</f>
        <v>0</v>
      </c>
      <c r="V15" s="36">
        <f t="shared" si="0"/>
        <v>3525.7445339999995</v>
      </c>
      <c r="W15" s="36">
        <f t="shared" si="1"/>
        <v>0</v>
      </c>
      <c r="X15" s="51"/>
      <c r="Y15" s="52"/>
    </row>
    <row r="16" spans="1:27" s="48" customFormat="1" ht="45" customHeight="1">
      <c r="A16" s="33" t="s">
        <v>45</v>
      </c>
      <c r="B16" s="43" t="s">
        <v>46</v>
      </c>
      <c r="C16" s="34">
        <v>15</v>
      </c>
      <c r="D16" s="50">
        <v>276.45</v>
      </c>
      <c r="E16" s="36">
        <v>4146.7700000000004</v>
      </c>
      <c r="F16" s="36"/>
      <c r="G16" s="36">
        <v>465.5</v>
      </c>
      <c r="H16" s="36"/>
      <c r="I16" s="36">
        <f>'[1]HT-ADMINISTRATIVOS'!J18</f>
        <v>0</v>
      </c>
      <c r="J16" s="36">
        <v>2500</v>
      </c>
      <c r="K16" s="37">
        <f>E16*R4</f>
        <v>157.57726000000002</v>
      </c>
      <c r="L16" s="36">
        <f t="shared" si="2"/>
        <v>6804.3472600000005</v>
      </c>
      <c r="M16" s="36">
        <f t="shared" si="3"/>
        <v>7269.8472600000005</v>
      </c>
      <c r="N16" s="28">
        <f>IF('[24]Calculo ISR '!$T$34&lt;0,0,'[24]Calculo ISR '!$T$34)</f>
        <v>906.21939873600013</v>
      </c>
      <c r="O16" s="38">
        <f>E16*Q4</f>
        <v>435.41085000000004</v>
      </c>
      <c r="P16" s="38">
        <v>1337</v>
      </c>
      <c r="Q16" s="38"/>
      <c r="R16" s="38"/>
      <c r="S16" s="38">
        <f>E16*P4</f>
        <v>41.467700000000008</v>
      </c>
      <c r="T16" s="36">
        <f>N16+O16+P16+R16+S16+Q16</f>
        <v>2720.097948736</v>
      </c>
      <c r="U16" s="28">
        <f>IF('[1]Calculo ISR '!$T$34&gt;0,0,'[1]Calculo ISR '!$T$34)*-1</f>
        <v>0</v>
      </c>
      <c r="V16" s="36">
        <f>L16-T16</f>
        <v>4084.2493112640004</v>
      </c>
      <c r="W16" s="36">
        <f t="shared" si="1"/>
        <v>465.5</v>
      </c>
      <c r="X16" s="51"/>
      <c r="Y16" s="52"/>
    </row>
    <row r="17" spans="1:25" s="48" customFormat="1" ht="45" customHeight="1">
      <c r="A17" s="33" t="s">
        <v>47</v>
      </c>
      <c r="B17" s="43" t="s">
        <v>48</v>
      </c>
      <c r="C17" s="34">
        <v>15</v>
      </c>
      <c r="D17" s="50">
        <v>238.18</v>
      </c>
      <c r="E17" s="36">
        <v>3572.72</v>
      </c>
      <c r="F17" s="36"/>
      <c r="G17" s="36">
        <v>465.5</v>
      </c>
      <c r="H17" s="36">
        <v>521.5</v>
      </c>
      <c r="I17" s="36">
        <f>'[1]HT-ADMINISTRATIVOS'!J19</f>
        <v>0</v>
      </c>
      <c r="J17" s="36">
        <v>2500</v>
      </c>
      <c r="K17" s="37">
        <f>E17*R4</f>
        <v>135.76335999999998</v>
      </c>
      <c r="L17" s="36">
        <f t="shared" si="2"/>
        <v>6729.9833600000002</v>
      </c>
      <c r="M17" s="36">
        <f t="shared" si="3"/>
        <v>7195.4833600000002</v>
      </c>
      <c r="N17" s="28">
        <f>IF('[24]Calculo ISR '!$U$34&lt;0,0,'[24]Calculo ISR '!$U$34)</f>
        <v>890.33526969600007</v>
      </c>
      <c r="O17" s="38">
        <f>E17*Q4</f>
        <v>375.13559999999995</v>
      </c>
      <c r="P17" s="38">
        <v>1152</v>
      </c>
      <c r="Q17" s="38">
        <f>'[1]HT-ADMINISTRATIVOS'!Q19</f>
        <v>0</v>
      </c>
      <c r="R17" s="38">
        <f>'[1]HT-ADMINISTRATIVOS'!R19</f>
        <v>0</v>
      </c>
      <c r="S17" s="38">
        <f>E17*P4</f>
        <v>35.727199999999996</v>
      </c>
      <c r="T17" s="36">
        <f t="shared" si="4"/>
        <v>2453.1980696959999</v>
      </c>
      <c r="U17" s="28">
        <f>IF('[1]Calculo ISR '!$U$34&gt;0,0,'[1]Calculo ISR '!$U$34)*-1</f>
        <v>0</v>
      </c>
      <c r="V17" s="36">
        <f t="shared" ref="V17:V25" si="5">L17-T17+U17</f>
        <v>4276.7852903040002</v>
      </c>
      <c r="W17" s="36">
        <f t="shared" si="1"/>
        <v>465.5</v>
      </c>
      <c r="X17" s="51"/>
      <c r="Y17" s="52"/>
    </row>
    <row r="18" spans="1:25" s="48" customFormat="1" ht="45" customHeight="1">
      <c r="A18" s="33" t="s">
        <v>49</v>
      </c>
      <c r="B18" s="43" t="s">
        <v>50</v>
      </c>
      <c r="C18" s="34">
        <v>15</v>
      </c>
      <c r="D18" s="50">
        <v>902.7</v>
      </c>
      <c r="E18" s="36">
        <v>13540.55</v>
      </c>
      <c r="F18" s="36"/>
      <c r="G18" s="36"/>
      <c r="H18" s="36"/>
      <c r="I18" s="36">
        <f>'[1]HT-ADMINISTRATIVOS'!J20</f>
        <v>0</v>
      </c>
      <c r="J18" s="36">
        <v>0</v>
      </c>
      <c r="K18" s="37"/>
      <c r="L18" s="36">
        <f t="shared" si="2"/>
        <v>13540.55</v>
      </c>
      <c r="M18" s="36">
        <f t="shared" si="3"/>
        <v>13540.55</v>
      </c>
      <c r="N18" s="28">
        <f>IF('[24]Calculo ISR '!$V$34&lt;0,0,'[24]Calculo ISR '!$V$34)</f>
        <v>2416.0495679999999</v>
      </c>
      <c r="O18" s="38">
        <f>E18*Q4</f>
        <v>1421.7577499999998</v>
      </c>
      <c r="P18" s="38">
        <f>'[1]HT-ADMINISTRATIVOS'!P20</f>
        <v>0</v>
      </c>
      <c r="Q18" s="38">
        <f>'[1]HT-ADMINISTRATIVOS'!Q20</f>
        <v>0</v>
      </c>
      <c r="R18" s="38">
        <f>'[1]HT-ADMINISTRATIVOS'!R20</f>
        <v>0</v>
      </c>
      <c r="S18" s="38">
        <f>'[1]HT-ADMINISTRATIVOS'!S20</f>
        <v>0</v>
      </c>
      <c r="T18" s="36">
        <f t="shared" si="4"/>
        <v>3837.8073179999997</v>
      </c>
      <c r="U18" s="28">
        <f>IF('[1]Calculo ISR '!$V$34&gt;0,0,'[1]Calculo ISR '!$V$34)*-1</f>
        <v>0</v>
      </c>
      <c r="V18" s="36">
        <f t="shared" si="5"/>
        <v>9702.7426820000001</v>
      </c>
      <c r="W18" s="36">
        <f t="shared" si="1"/>
        <v>0</v>
      </c>
      <c r="X18" s="46"/>
      <c r="Y18" s="47"/>
    </row>
    <row r="19" spans="1:25" s="48" customFormat="1" ht="45" customHeight="1">
      <c r="A19" s="53" t="s">
        <v>51</v>
      </c>
      <c r="B19" s="33" t="s">
        <v>52</v>
      </c>
      <c r="C19" s="34">
        <v>15</v>
      </c>
      <c r="D19" s="50">
        <v>226.68</v>
      </c>
      <c r="E19" s="36">
        <v>3400.25</v>
      </c>
      <c r="F19" s="36"/>
      <c r="G19" s="36">
        <v>465.5</v>
      </c>
      <c r="H19" s="36"/>
      <c r="I19" s="36">
        <f>'[1]HT-ADMINISTRATIVOS'!J21</f>
        <v>0</v>
      </c>
      <c r="J19" s="36">
        <v>2500</v>
      </c>
      <c r="K19" s="37">
        <f>E19*M4</f>
        <v>64.604749999999996</v>
      </c>
      <c r="L19" s="36">
        <f t="shared" si="2"/>
        <v>5964.8547500000004</v>
      </c>
      <c r="M19" s="36">
        <f t="shared" si="3"/>
        <v>6430.3547500000004</v>
      </c>
      <c r="N19" s="28">
        <f>IF('[24]Calculo ISR '!$W$34&lt;0,0,'[24]Calculo ISR '!$W$34)</f>
        <v>726.90379860000019</v>
      </c>
      <c r="O19" s="38">
        <f>E19*Q4</f>
        <v>357.02625</v>
      </c>
      <c r="P19" s="38">
        <v>1097</v>
      </c>
      <c r="Q19" s="38">
        <f>'[1]HT-ADMINISTRATIVOS'!Q21</f>
        <v>0</v>
      </c>
      <c r="R19" s="38">
        <f>'[1]HT-ADMINISTRATIVOS'!R21</f>
        <v>0</v>
      </c>
      <c r="S19" s="38">
        <f>E19*P4</f>
        <v>34.002499999999998</v>
      </c>
      <c r="T19" s="36">
        <f t="shared" si="4"/>
        <v>2214.9325486000002</v>
      </c>
      <c r="U19" s="28">
        <f>IF('[1]Calculo ISR '!$W$34&gt;0,0,'[1]Calculo ISR '!$W$34)*-1</f>
        <v>0</v>
      </c>
      <c r="V19" s="36">
        <f t="shared" si="5"/>
        <v>3749.9222014000002</v>
      </c>
      <c r="W19" s="36">
        <f t="shared" si="1"/>
        <v>465.5</v>
      </c>
      <c r="X19" s="46"/>
      <c r="Y19" s="47"/>
    </row>
    <row r="20" spans="1:25" s="48" customFormat="1" ht="45" customHeight="1">
      <c r="A20" s="53" t="s">
        <v>53</v>
      </c>
      <c r="B20" s="33" t="s">
        <v>54</v>
      </c>
      <c r="C20" s="34">
        <v>15</v>
      </c>
      <c r="D20" s="50">
        <v>153.16</v>
      </c>
      <c r="E20" s="36">
        <v>2297.42</v>
      </c>
      <c r="F20" s="36"/>
      <c r="G20" s="36">
        <v>465.5</v>
      </c>
      <c r="H20" s="36"/>
      <c r="I20" s="36">
        <f>'[1]HT-ADMINISTRATIVOS'!J22</f>
        <v>0</v>
      </c>
      <c r="J20" s="36">
        <v>2500</v>
      </c>
      <c r="K20" s="37">
        <f>E20*M4</f>
        <v>43.650979999999997</v>
      </c>
      <c r="L20" s="36">
        <f t="shared" si="2"/>
        <v>4841.0709800000004</v>
      </c>
      <c r="M20" s="36">
        <f t="shared" si="3"/>
        <v>5306.5709800000004</v>
      </c>
      <c r="N20" s="28">
        <f>IF('[24]Calculo ISR '!$X$34&lt;0,0,'[24]Calculo ISR '!$X$34)</f>
        <v>495.02540761600017</v>
      </c>
      <c r="O20" s="38">
        <f>E20*Q4</f>
        <v>241.22909999999999</v>
      </c>
      <c r="P20" s="38">
        <v>741</v>
      </c>
      <c r="Q20" s="38">
        <f>'[1]HT-ADMINISTRATIVOS'!Q22</f>
        <v>0</v>
      </c>
      <c r="R20" s="38">
        <f>'[1]HT-ADMINISTRATIVOS'!R22</f>
        <v>0</v>
      </c>
      <c r="S20" s="38">
        <f>E20*P4</f>
        <v>22.9742</v>
      </c>
      <c r="T20" s="36">
        <f t="shared" si="4"/>
        <v>1500.2287076160003</v>
      </c>
      <c r="U20" s="28">
        <f>IF('[24]Calculo ISR '!$X$34&gt;0,0,('[24]Calculo ISR '!$X$34)*-1)</f>
        <v>0</v>
      </c>
      <c r="V20" s="36">
        <f t="shared" si="5"/>
        <v>3340.8422723840004</v>
      </c>
      <c r="W20" s="36">
        <f t="shared" si="1"/>
        <v>465.5</v>
      </c>
      <c r="X20" s="46"/>
      <c r="Y20" s="47"/>
    </row>
    <row r="21" spans="1:25" s="48" customFormat="1" ht="45" customHeight="1">
      <c r="A21" s="53" t="s">
        <v>55</v>
      </c>
      <c r="B21" s="33" t="s">
        <v>56</v>
      </c>
      <c r="C21" s="34">
        <v>15</v>
      </c>
      <c r="D21" s="50">
        <v>153.16</v>
      </c>
      <c r="E21" s="36">
        <v>2297.42</v>
      </c>
      <c r="F21" s="36"/>
      <c r="G21" s="36">
        <v>465.5</v>
      </c>
      <c r="H21" s="36">
        <v>521.5</v>
      </c>
      <c r="I21" s="36">
        <f>'[1]HT-ADMINISTRATIVOS'!J23</f>
        <v>0</v>
      </c>
      <c r="J21" s="36">
        <v>2500</v>
      </c>
      <c r="K21" s="37">
        <f>E21*M4</f>
        <v>43.650979999999997</v>
      </c>
      <c r="L21" s="36">
        <f t="shared" si="2"/>
        <v>5362.5709800000004</v>
      </c>
      <c r="M21" s="36">
        <f t="shared" si="3"/>
        <v>5828.0709800000004</v>
      </c>
      <c r="N21" s="28">
        <f>IF('[24]Calculo ISR '!$Y$34&lt;0,0,'[24]Calculo ISR '!$Y$34)</f>
        <v>598.25598532800018</v>
      </c>
      <c r="O21" s="38">
        <f>E21*Q4</f>
        <v>241.22909999999999</v>
      </c>
      <c r="P21" s="38">
        <v>597</v>
      </c>
      <c r="Q21" s="38">
        <f>'[1]HT-ADMINISTRATIVOS'!Q23</f>
        <v>0</v>
      </c>
      <c r="R21" s="38">
        <f>'[1]HT-ADMINISTRATIVOS'!R23</f>
        <v>0</v>
      </c>
      <c r="S21" s="38">
        <f>E21*P4</f>
        <v>22.9742</v>
      </c>
      <c r="T21" s="36">
        <f t="shared" si="4"/>
        <v>1459.4592853280003</v>
      </c>
      <c r="U21" s="28">
        <f>IF('[1]Calculo ISR '!$Y$34&gt;0,0,'[1]Calculo ISR '!$Y$34)*-1</f>
        <v>0</v>
      </c>
      <c r="V21" s="36">
        <f t="shared" si="5"/>
        <v>3903.1116946720003</v>
      </c>
      <c r="W21" s="36">
        <f t="shared" si="1"/>
        <v>465.5</v>
      </c>
      <c r="X21" s="46"/>
      <c r="Y21" s="47"/>
    </row>
    <row r="22" spans="1:25" s="48" customFormat="1" ht="45" customHeight="1">
      <c r="A22" s="54" t="s">
        <v>61</v>
      </c>
      <c r="B22" s="166" t="s">
        <v>62</v>
      </c>
      <c r="C22" s="34">
        <v>15</v>
      </c>
      <c r="D22" s="50">
        <v>205.61</v>
      </c>
      <c r="E22" s="36">
        <f t="shared" ref="E22:E42" si="6">C22*D22</f>
        <v>3084.15</v>
      </c>
      <c r="F22" s="43"/>
      <c r="G22" s="36">
        <v>465.5</v>
      </c>
      <c r="H22" s="36">
        <v>521.5</v>
      </c>
      <c r="I22" s="36">
        <f>'[1]HT-ADMINISTRATIVOS'!J28</f>
        <v>0</v>
      </c>
      <c r="J22" s="36">
        <v>2500</v>
      </c>
      <c r="K22" s="37">
        <f>'[1]HT-ADMINISTRATIVOS'!I28</f>
        <v>0</v>
      </c>
      <c r="L22" s="36">
        <f t="shared" si="2"/>
        <v>6105.65</v>
      </c>
      <c r="M22" s="36">
        <f t="shared" si="3"/>
        <v>6571.15</v>
      </c>
      <c r="N22" s="28">
        <f>IF('[24]Calculo ISR '!$AB$34&lt;0,0,'[24]Calculo ISR '!$AB$34)</f>
        <v>756.977664</v>
      </c>
      <c r="O22" s="38">
        <f>E22*Q4</f>
        <v>323.83575000000002</v>
      </c>
      <c r="P22" s="38">
        <v>0</v>
      </c>
      <c r="Q22" s="38">
        <f>'[1]HT-ADMINISTRATIVOS'!Q28</f>
        <v>0</v>
      </c>
      <c r="R22" s="38">
        <f>'[1]HT-ADMINISTRATIVOS'!R28</f>
        <v>0</v>
      </c>
      <c r="S22" s="38">
        <f>E22*P4</f>
        <v>30.8415</v>
      </c>
      <c r="T22" s="36">
        <f t="shared" si="4"/>
        <v>1111.654914</v>
      </c>
      <c r="U22" s="28">
        <f>IF('[1]Calculo ISR '!$AB$34&gt;0,0,'[1]Calculo ISR '!$AB$34)*-1</f>
        <v>0</v>
      </c>
      <c r="V22" s="36">
        <f t="shared" si="5"/>
        <v>4993.9950859999999</v>
      </c>
      <c r="W22" s="36">
        <f t="shared" si="1"/>
        <v>465.5</v>
      </c>
      <c r="X22" s="46"/>
      <c r="Y22" s="47"/>
    </row>
    <row r="23" spans="1:25" s="48" customFormat="1" ht="45" customHeight="1">
      <c r="A23" s="54" t="s">
        <v>63</v>
      </c>
      <c r="B23" s="166" t="s">
        <v>64</v>
      </c>
      <c r="C23" s="34">
        <v>15</v>
      </c>
      <c r="D23" s="50">
        <v>186.24</v>
      </c>
      <c r="E23" s="36">
        <v>2793.65</v>
      </c>
      <c r="F23" s="43"/>
      <c r="G23" s="36">
        <v>465.5</v>
      </c>
      <c r="H23" s="36">
        <v>1043</v>
      </c>
      <c r="I23" s="36">
        <f>'[1]HT-ADMINISTRATIVOS'!J29</f>
        <v>0</v>
      </c>
      <c r="J23" s="36">
        <v>2500</v>
      </c>
      <c r="K23" s="37">
        <f>'[1]HT-ADMINISTRATIVOS'!I29</f>
        <v>0</v>
      </c>
      <c r="L23" s="36">
        <f t="shared" si="2"/>
        <v>6336.65</v>
      </c>
      <c r="M23" s="36">
        <f t="shared" si="3"/>
        <v>6802.15</v>
      </c>
      <c r="N23" s="28">
        <f>IF('[24]Calculo ISR '!$AC$34&lt;0,0,'[24]Calculo ISR '!$AC$34)</f>
        <v>806.31926399999998</v>
      </c>
      <c r="O23" s="38">
        <f>E23*Q4</f>
        <v>293.33325000000002</v>
      </c>
      <c r="P23" s="38">
        <v>1081</v>
      </c>
      <c r="Q23" s="38">
        <f>'[1]HT-ADMINISTRATIVOS'!Q29</f>
        <v>0</v>
      </c>
      <c r="R23" s="38">
        <f>'[1]HT-ADMINISTRATIVOS'!R29</f>
        <v>0</v>
      </c>
      <c r="S23" s="38">
        <f>E23*P4</f>
        <v>27.936500000000002</v>
      </c>
      <c r="T23" s="36">
        <f t="shared" si="4"/>
        <v>2208.5890139999997</v>
      </c>
      <c r="U23" s="28">
        <f>IF('[1]Calculo ISR '!$AC$34&gt;0,0,'[1]Calculo ISR '!$AC$34)*-1</f>
        <v>0</v>
      </c>
      <c r="V23" s="36">
        <f t="shared" si="5"/>
        <v>4128.0609860000004</v>
      </c>
      <c r="W23" s="36">
        <f t="shared" si="1"/>
        <v>465.5</v>
      </c>
      <c r="X23" s="46"/>
      <c r="Y23" s="47"/>
    </row>
    <row r="24" spans="1:25" s="48" customFormat="1" ht="45" customHeight="1">
      <c r="A24" s="56" t="s">
        <v>65</v>
      </c>
      <c r="B24" s="166" t="s">
        <v>66</v>
      </c>
      <c r="C24" s="34">
        <v>15</v>
      </c>
      <c r="D24" s="50">
        <v>146.38999999999999</v>
      </c>
      <c r="E24" s="36">
        <v>2195.92</v>
      </c>
      <c r="F24" s="43"/>
      <c r="G24" s="36">
        <v>465.5</v>
      </c>
      <c r="H24" s="36">
        <v>521.5</v>
      </c>
      <c r="I24" s="36">
        <f>'[1]HT-ADMINISTRATIVOS'!J31</f>
        <v>0</v>
      </c>
      <c r="J24" s="36">
        <v>2500</v>
      </c>
      <c r="K24" s="37">
        <f>'[1]HT-ADMINISTRATIVOS'!I31</f>
        <v>0</v>
      </c>
      <c r="L24" s="36">
        <f>E24+F24+H24+I24+K24+J24</f>
        <v>5217.42</v>
      </c>
      <c r="M24" s="36">
        <f t="shared" si="3"/>
        <v>5682.92</v>
      </c>
      <c r="N24" s="28">
        <f>IF('[24]Calculo ISR '!$AD$34&lt;0,0,'[24]Calculo ISR '!$AD$34)</f>
        <v>567.25173600000005</v>
      </c>
      <c r="O24" s="38">
        <f>E24*Q4</f>
        <v>230.57159999999999</v>
      </c>
      <c r="P24" s="38">
        <f>'[1]HT-ADMINISTRATIVOS'!P31</f>
        <v>0</v>
      </c>
      <c r="Q24" s="38">
        <f>'[1]HT-ADMINISTRATIVOS'!Q31</f>
        <v>0</v>
      </c>
      <c r="R24" s="38">
        <f>'[1]HT-ADMINISTRATIVOS'!R31</f>
        <v>0</v>
      </c>
      <c r="S24" s="38">
        <f>E24*P4</f>
        <v>21.959200000000003</v>
      </c>
      <c r="T24" s="36">
        <f t="shared" si="4"/>
        <v>819.78253600000005</v>
      </c>
      <c r="U24" s="28">
        <f>IF('[1]Calculo ISR '!$AD$34&gt;0,0,'[1]Calculo ISR '!$AD$34)*-1</f>
        <v>0</v>
      </c>
      <c r="V24" s="36">
        <f t="shared" si="5"/>
        <v>4397.6374640000004</v>
      </c>
      <c r="W24" s="36">
        <f t="shared" si="1"/>
        <v>465.5</v>
      </c>
      <c r="X24" s="46"/>
      <c r="Y24" s="47"/>
    </row>
    <row r="25" spans="1:25" s="48" customFormat="1" ht="45" customHeight="1">
      <c r="A25" s="56" t="s">
        <v>67</v>
      </c>
      <c r="B25" s="167" t="s">
        <v>68</v>
      </c>
      <c r="C25" s="34">
        <v>15</v>
      </c>
      <c r="D25" s="50">
        <v>553.13</v>
      </c>
      <c r="E25" s="36">
        <v>8296.9699999999993</v>
      </c>
      <c r="F25" s="43"/>
      <c r="G25" s="36"/>
      <c r="H25" s="36"/>
      <c r="I25" s="36">
        <f>'[1]HT-ADMINISTRATIVOS'!J32</f>
        <v>0</v>
      </c>
      <c r="J25" s="36"/>
      <c r="K25" s="37"/>
      <c r="L25" s="36">
        <f t="shared" si="2"/>
        <v>8296.9699999999993</v>
      </c>
      <c r="M25" s="36">
        <f t="shared" si="3"/>
        <v>8296.9699999999993</v>
      </c>
      <c r="N25" s="28">
        <f>IF('[24]Calculo ISR '!$AE$34&lt;0,0,'[24]Calculo ISR '!$AE$34)</f>
        <v>1225.0436159999999</v>
      </c>
      <c r="O25" s="38">
        <f>E25*Q4</f>
        <v>871.18184999999994</v>
      </c>
      <c r="P25" s="38">
        <v>2150.31</v>
      </c>
      <c r="Q25" s="38">
        <f>'[1]HT-ADMINISTRATIVOS'!Q32</f>
        <v>0</v>
      </c>
      <c r="R25" s="38">
        <f>'[1]HT-ADMINISTRATIVOS'!R32</f>
        <v>0</v>
      </c>
      <c r="S25" s="38">
        <f>'[1]HT-ADMINISTRATIVOS'!S32</f>
        <v>0</v>
      </c>
      <c r="T25" s="36">
        <f t="shared" si="4"/>
        <v>4246.5354659999994</v>
      </c>
      <c r="U25" s="28">
        <f>IF('[1]Calculo ISR '!$AE$34&gt;0,0,'[1]Calculo ISR '!$AE$34)*-1</f>
        <v>0</v>
      </c>
      <c r="V25" s="36">
        <f t="shared" si="5"/>
        <v>4050.434534</v>
      </c>
      <c r="W25" s="36">
        <f t="shared" si="1"/>
        <v>0</v>
      </c>
      <c r="X25" s="46"/>
      <c r="Y25" s="47"/>
    </row>
    <row r="26" spans="1:25" s="48" customFormat="1" ht="45" customHeight="1">
      <c r="A26" s="58" t="s">
        <v>69</v>
      </c>
      <c r="B26" s="168" t="s">
        <v>70</v>
      </c>
      <c r="C26" s="34">
        <v>15</v>
      </c>
      <c r="D26" s="50">
        <v>238.18</v>
      </c>
      <c r="E26" s="36">
        <v>3572.72</v>
      </c>
      <c r="F26" s="43"/>
      <c r="G26" s="36">
        <v>465.5</v>
      </c>
      <c r="H26" s="36"/>
      <c r="I26" s="36">
        <f>'[1]HT-ADMINISTRATIVOS'!J33</f>
        <v>0</v>
      </c>
      <c r="J26" s="36">
        <v>2500</v>
      </c>
      <c r="K26" s="37">
        <f>'[1]HT-ADMINISTRATIVOS'!I33</f>
        <v>0</v>
      </c>
      <c r="L26" s="36">
        <f t="shared" si="2"/>
        <v>6072.7199999999993</v>
      </c>
      <c r="M26" s="36">
        <f t="shared" si="3"/>
        <v>6538.2199999999993</v>
      </c>
      <c r="N26" s="28">
        <f>IF('[24]Calculo ISR '!$AF$34&lt;0,0,'[24]Calculo ISR '!$AF$34)</f>
        <v>749.94381599999997</v>
      </c>
      <c r="O26" s="38">
        <f>E26*Q4</f>
        <v>375.13559999999995</v>
      </c>
      <c r="P26" s="38">
        <v>689.44</v>
      </c>
      <c r="Q26" s="143"/>
      <c r="R26" s="38"/>
      <c r="S26" s="38">
        <f>E26*P4</f>
        <v>35.727199999999996</v>
      </c>
      <c r="T26" s="36">
        <f>N26+O26+P26+S26+Q26+R26</f>
        <v>1850.2466160000001</v>
      </c>
      <c r="U26" s="28">
        <f>IF('[1]Calculo ISR '!$AF$34&gt;0,0,'[1]Calculo ISR '!$AF$34)*-1</f>
        <v>0</v>
      </c>
      <c r="V26" s="36">
        <f>L26-T26+U26</f>
        <v>4222.473383999999</v>
      </c>
      <c r="W26" s="36">
        <f t="shared" si="1"/>
        <v>465.5</v>
      </c>
      <c r="X26" s="46"/>
      <c r="Y26" s="47"/>
    </row>
    <row r="27" spans="1:25" s="48" customFormat="1" ht="45" customHeight="1">
      <c r="A27" s="60" t="s">
        <v>71</v>
      </c>
      <c r="B27" s="169" t="s">
        <v>72</v>
      </c>
      <c r="C27" s="66">
        <v>15</v>
      </c>
      <c r="D27" s="50">
        <v>146.38999999999999</v>
      </c>
      <c r="E27" s="36">
        <v>2195.92</v>
      </c>
      <c r="F27" s="43"/>
      <c r="G27" s="36">
        <v>465.5</v>
      </c>
      <c r="H27" s="36"/>
      <c r="I27" s="36">
        <f>'[1]HT-ADMINISTRATIVOS'!J35</f>
        <v>0</v>
      </c>
      <c r="J27" s="36">
        <v>2500</v>
      </c>
      <c r="K27" s="37">
        <f>'[1]HT-ADMINISTRATIVOS'!I35</f>
        <v>0</v>
      </c>
      <c r="L27" s="36">
        <f t="shared" si="2"/>
        <v>4695.92</v>
      </c>
      <c r="M27" s="36">
        <f t="shared" si="3"/>
        <v>5161.42</v>
      </c>
      <c r="N27" s="28">
        <f>IF('[24]Calculo ISR '!$AG$34&lt;0,0,'[24]Calculo ISR '!$AG$34)</f>
        <v>469.01435200000009</v>
      </c>
      <c r="O27" s="38">
        <f>E27*Q4</f>
        <v>230.57159999999999</v>
      </c>
      <c r="P27" s="38">
        <v>610</v>
      </c>
      <c r="Q27" s="38">
        <f>'[1]HT-ADMINISTRATIVOS'!Q35</f>
        <v>0</v>
      </c>
      <c r="R27" s="38">
        <f>'[1]HT-ADMINISTRATIVOS'!R35</f>
        <v>0</v>
      </c>
      <c r="S27" s="38">
        <f>E27*P4</f>
        <v>21.959200000000003</v>
      </c>
      <c r="T27" s="36">
        <f t="shared" si="4"/>
        <v>1331.5451520000001</v>
      </c>
      <c r="U27" s="28">
        <f>IF('[24]Calculo ISR '!$AG$34&gt;0,0,'[24]Calculo ISR '!$AG$34)*-1</f>
        <v>0</v>
      </c>
      <c r="V27" s="36">
        <f>L27-T27+U27</f>
        <v>3364.3748479999999</v>
      </c>
      <c r="W27" s="36">
        <f t="shared" si="1"/>
        <v>465.5</v>
      </c>
      <c r="X27" s="67"/>
      <c r="Y27" s="47"/>
    </row>
    <row r="28" spans="1:25" s="48" customFormat="1" ht="45" customHeight="1">
      <c r="A28" s="53" t="s">
        <v>73</v>
      </c>
      <c r="B28" s="169" t="s">
        <v>74</v>
      </c>
      <c r="C28" s="66">
        <v>15</v>
      </c>
      <c r="D28" s="50">
        <v>553.13</v>
      </c>
      <c r="E28" s="36">
        <v>8296.9699999999993</v>
      </c>
      <c r="F28" s="43"/>
      <c r="G28" s="36"/>
      <c r="H28" s="36"/>
      <c r="I28" s="36">
        <f>'[1]HT-ADMINISTRATIVOS'!J36</f>
        <v>0</v>
      </c>
      <c r="J28" s="36">
        <v>0</v>
      </c>
      <c r="K28" s="37">
        <f>'[1]HT-ADMINISTRATIVOS'!I36</f>
        <v>0</v>
      </c>
      <c r="L28" s="36">
        <f t="shared" si="2"/>
        <v>8296.9699999999993</v>
      </c>
      <c r="M28" s="36">
        <f t="shared" si="3"/>
        <v>8296.9699999999993</v>
      </c>
      <c r="N28" s="28">
        <f>IF('[24]Calculo ISR '!$AH$34&lt;0,0,'[24]Calculo ISR '!$AH$34)</f>
        <v>1225.0436159999999</v>
      </c>
      <c r="O28" s="38">
        <f>E28*Q4</f>
        <v>871.18184999999994</v>
      </c>
      <c r="P28" s="38">
        <f>'[1]HT-ADMINISTRATIVOS'!P36</f>
        <v>0</v>
      </c>
      <c r="Q28" s="38">
        <f>'[1]HT-ADMINISTRATIVOS'!Q36</f>
        <v>0</v>
      </c>
      <c r="R28" s="38">
        <f>'[1]HT-ADMINISTRATIVOS'!R36</f>
        <v>0</v>
      </c>
      <c r="S28" s="38">
        <f>'[1]HT-ADMINISTRATIVOS'!S36</f>
        <v>0</v>
      </c>
      <c r="T28" s="36">
        <f t="shared" si="4"/>
        <v>2096.2254659999999</v>
      </c>
      <c r="U28" s="28">
        <f>IF('[1]Calculo ISR '!$AH$34&gt;0,0,'[1]Calculo ISR '!$AH$34)*-1</f>
        <v>0</v>
      </c>
      <c r="V28" s="36">
        <f>L28-T28+U28</f>
        <v>6200.7445339999995</v>
      </c>
      <c r="W28" s="36">
        <f t="shared" si="1"/>
        <v>0</v>
      </c>
      <c r="X28" s="67"/>
      <c r="Y28" s="47"/>
    </row>
    <row r="29" spans="1:25" s="48" customFormat="1" ht="45" customHeight="1">
      <c r="A29" s="68" t="s">
        <v>75</v>
      </c>
      <c r="B29" s="169" t="s">
        <v>76</v>
      </c>
      <c r="C29" s="66">
        <v>15</v>
      </c>
      <c r="D29" s="50">
        <v>146.38999999999999</v>
      </c>
      <c r="E29" s="36">
        <v>2195.92</v>
      </c>
      <c r="F29" s="43"/>
      <c r="G29" s="36">
        <v>465.5</v>
      </c>
      <c r="H29" s="36"/>
      <c r="I29" s="36">
        <f>'[1]HT-ADMINISTRATIVOS'!J37</f>
        <v>0</v>
      </c>
      <c r="J29" s="36"/>
      <c r="K29" s="37">
        <f>'[1]HT-ADMINISTRATIVOS'!I37</f>
        <v>0</v>
      </c>
      <c r="L29" s="36">
        <f t="shared" si="2"/>
        <v>2195.92</v>
      </c>
      <c r="M29" s="36">
        <f t="shared" si="3"/>
        <v>2661.42</v>
      </c>
      <c r="N29" s="28">
        <f>IF('[24]Calculo ISR '!$AI$34&lt;0,0,'[24]Calculo ISR '!$AI$34)</f>
        <v>0</v>
      </c>
      <c r="O29" s="38">
        <f>E29*Q4</f>
        <v>230.57159999999999</v>
      </c>
      <c r="P29" s="38">
        <f>'[1]HT-ADMINISTRATIVOS'!P37</f>
        <v>0</v>
      </c>
      <c r="Q29" s="38">
        <f>'[1]HT-ADMINISTRATIVOS'!Q37</f>
        <v>0</v>
      </c>
      <c r="R29" s="38">
        <f>'[1]HT-ADMINISTRATIVOS'!R37</f>
        <v>0</v>
      </c>
      <c r="S29" s="38">
        <f>E29*P4</f>
        <v>21.959200000000003</v>
      </c>
      <c r="T29" s="36">
        <f t="shared" si="4"/>
        <v>252.5308</v>
      </c>
      <c r="U29" s="28">
        <f>IF('[24]Calculo ISR '!$AI$34&gt;0,0,'[24]Calculo ISR '!$AI$34)*-1</f>
        <v>39.916992000000022</v>
      </c>
      <c r="V29" s="36">
        <f>L29-T29+U29</f>
        <v>1983.306192</v>
      </c>
      <c r="W29" s="36">
        <f t="shared" si="1"/>
        <v>465.5</v>
      </c>
      <c r="X29" s="67"/>
      <c r="Y29" s="47"/>
    </row>
    <row r="30" spans="1:25" s="81" customFormat="1" ht="45" customHeight="1">
      <c r="A30" s="53" t="s">
        <v>79</v>
      </c>
      <c r="B30" s="169" t="s">
        <v>80</v>
      </c>
      <c r="C30" s="66">
        <v>15</v>
      </c>
      <c r="D30" s="76">
        <v>553.13</v>
      </c>
      <c r="E30" s="36">
        <v>8296.9699999999993</v>
      </c>
      <c r="F30" s="50"/>
      <c r="G30" s="36"/>
      <c r="H30" s="50"/>
      <c r="I30" s="50"/>
      <c r="J30" s="50">
        <v>0</v>
      </c>
      <c r="K30" s="50"/>
      <c r="L30" s="36">
        <f t="shared" si="2"/>
        <v>8296.9699999999993</v>
      </c>
      <c r="M30" s="36">
        <f t="shared" si="3"/>
        <v>8296.9699999999993</v>
      </c>
      <c r="N30" s="28">
        <f>IF('[24]Calculo ISR '!$AK$34&lt;0,0,'[24]Calculo ISR '!$AK$34)</f>
        <v>1225.0436159999999</v>
      </c>
      <c r="O30" s="79">
        <f>E30*Q4</f>
        <v>871.18184999999994</v>
      </c>
      <c r="P30" s="78"/>
      <c r="Q30" s="50"/>
      <c r="R30" s="78"/>
      <c r="S30" s="50"/>
      <c r="T30" s="50">
        <f t="shared" ref="T30:T41" si="7">N30+O30+P30+Q30+R30+S30</f>
        <v>2096.2254659999999</v>
      </c>
      <c r="U30" s="28">
        <f>IF('[1]Calculo ISR '!$AK$34&gt;0,0,'[1]Calculo ISR '!$AK$34)*-1</f>
        <v>0</v>
      </c>
      <c r="V30" s="79">
        <f>L30-T30</f>
        <v>6200.7445339999995</v>
      </c>
      <c r="W30" s="36">
        <f t="shared" si="1"/>
        <v>0</v>
      </c>
      <c r="X30" s="80"/>
      <c r="Y30" s="47"/>
    </row>
    <row r="31" spans="1:25" s="81" customFormat="1" ht="45" customHeight="1">
      <c r="A31" s="91" t="s">
        <v>83</v>
      </c>
      <c r="B31" s="137" t="s">
        <v>84</v>
      </c>
      <c r="C31" s="66">
        <v>15</v>
      </c>
      <c r="D31" s="76">
        <v>186.24</v>
      </c>
      <c r="E31" s="36">
        <v>2793.65</v>
      </c>
      <c r="F31" s="50"/>
      <c r="G31" s="36">
        <v>465.5</v>
      </c>
      <c r="H31" s="50">
        <v>1043</v>
      </c>
      <c r="I31" s="50"/>
      <c r="J31" s="50">
        <v>2500</v>
      </c>
      <c r="K31" s="50"/>
      <c r="L31" s="36">
        <f t="shared" si="2"/>
        <v>6336.65</v>
      </c>
      <c r="M31" s="36">
        <f t="shared" si="3"/>
        <v>6802.15</v>
      </c>
      <c r="N31" s="28">
        <f>IF('[24]Calculo ISR '!$AM$34&lt;0,0,'[24]Calculo ISR '!$AM$34)</f>
        <v>806.31926399999998</v>
      </c>
      <c r="O31" s="92">
        <f>E31*Q4</f>
        <v>293.33325000000002</v>
      </c>
      <c r="P31" s="78"/>
      <c r="Q31" s="50"/>
      <c r="R31" s="78"/>
      <c r="S31" s="50">
        <f>E31*P4</f>
        <v>27.936500000000002</v>
      </c>
      <c r="T31" s="50">
        <f>N31+O31+P31+Q31+R31+S31</f>
        <v>1127.5890139999999</v>
      </c>
      <c r="U31" s="28">
        <f>IF('[1]Calculo ISR '!$AM$34&gt;0,0,'[1]Calculo ISR '!$AM$34)*-1</f>
        <v>0</v>
      </c>
      <c r="V31" s="79">
        <f t="shared" ref="V31:V44" si="8">L31-T31+U31</f>
        <v>5209.0609859999995</v>
      </c>
      <c r="W31" s="36">
        <f t="shared" si="1"/>
        <v>465.5</v>
      </c>
      <c r="X31" s="80"/>
      <c r="Y31" s="47"/>
    </row>
    <row r="32" spans="1:25" s="81" customFormat="1" ht="45" customHeight="1">
      <c r="A32" s="91" t="s">
        <v>85</v>
      </c>
      <c r="B32" s="137" t="s">
        <v>86</v>
      </c>
      <c r="C32" s="66">
        <v>15</v>
      </c>
      <c r="D32" s="76">
        <v>226.68</v>
      </c>
      <c r="E32" s="36">
        <v>3400.25</v>
      </c>
      <c r="F32" s="50"/>
      <c r="G32" s="36">
        <v>465.5</v>
      </c>
      <c r="H32" s="50"/>
      <c r="I32" s="50"/>
      <c r="J32" s="50">
        <v>2500</v>
      </c>
      <c r="K32" s="50"/>
      <c r="L32" s="36">
        <f t="shared" si="2"/>
        <v>5900.25</v>
      </c>
      <c r="M32" s="36">
        <f t="shared" si="3"/>
        <v>6365.75</v>
      </c>
      <c r="N32" s="28">
        <f>IF('[24]Calculo ISR '!$AN$34&lt;0,0,'[24]Calculo ISR '!$AN$34)</f>
        <v>713.10422400000004</v>
      </c>
      <c r="O32" s="92">
        <f>E32*Q4</f>
        <v>357.02625</v>
      </c>
      <c r="P32" s="78"/>
      <c r="Q32" s="50"/>
      <c r="R32" s="78"/>
      <c r="S32" s="50">
        <v>0</v>
      </c>
      <c r="T32" s="50">
        <f t="shared" si="7"/>
        <v>1070.130474</v>
      </c>
      <c r="U32" s="28">
        <f>IF('[1]Calculo ISR '!$AN$34&gt;0,0,'[1]Calculo ISR '!$AN$34)*-1</f>
        <v>0</v>
      </c>
      <c r="V32" s="79">
        <f t="shared" si="8"/>
        <v>4830.1195260000004</v>
      </c>
      <c r="W32" s="36">
        <f t="shared" si="1"/>
        <v>465.5</v>
      </c>
      <c r="X32" s="80"/>
      <c r="Y32" s="47"/>
    </row>
    <row r="33" spans="1:27" s="81" customFormat="1" ht="45" customHeight="1">
      <c r="A33" s="91" t="s">
        <v>87</v>
      </c>
      <c r="B33" s="170" t="s">
        <v>88</v>
      </c>
      <c r="C33" s="66">
        <v>15</v>
      </c>
      <c r="D33" s="76">
        <v>553.13</v>
      </c>
      <c r="E33" s="36">
        <v>8296.9699999999993</v>
      </c>
      <c r="F33" s="50"/>
      <c r="G33" s="36"/>
      <c r="H33" s="50"/>
      <c r="I33" s="50"/>
      <c r="J33" s="50">
        <v>0</v>
      </c>
      <c r="K33" s="50"/>
      <c r="L33" s="36">
        <f t="shared" si="2"/>
        <v>8296.9699999999993</v>
      </c>
      <c r="M33" s="36">
        <f t="shared" si="3"/>
        <v>8296.9699999999993</v>
      </c>
      <c r="N33" s="28">
        <f>IF('[24]Calculo ISR '!$AO$34&lt;0,0,'[24]Calculo ISR '!$AO$34)</f>
        <v>1225.0436159999999</v>
      </c>
      <c r="O33" s="92">
        <f>E33*Q4</f>
        <v>871.18184999999994</v>
      </c>
      <c r="P33" s="78">
        <v>1338</v>
      </c>
      <c r="Q33" s="50"/>
      <c r="R33" s="78"/>
      <c r="S33" s="50"/>
      <c r="T33" s="50">
        <f t="shared" si="7"/>
        <v>3434.2254659999999</v>
      </c>
      <c r="U33" s="28">
        <f>IF('[1]Calculo ISR '!$AO$34&gt;0,0,'[1]Calculo ISR '!$AO$34)*-1</f>
        <v>0</v>
      </c>
      <c r="V33" s="79">
        <f t="shared" si="8"/>
        <v>4862.7445339999995</v>
      </c>
      <c r="W33" s="36">
        <f t="shared" si="1"/>
        <v>0</v>
      </c>
      <c r="X33" s="80"/>
      <c r="Y33" s="47"/>
    </row>
    <row r="34" spans="1:27" s="81" customFormat="1" ht="45" customHeight="1">
      <c r="A34" s="91" t="s">
        <v>89</v>
      </c>
      <c r="B34" s="170" t="s">
        <v>90</v>
      </c>
      <c r="C34" s="66">
        <v>15</v>
      </c>
      <c r="D34" s="76">
        <v>177.16</v>
      </c>
      <c r="E34" s="36">
        <v>2657.47</v>
      </c>
      <c r="F34" s="50"/>
      <c r="G34" s="36">
        <v>465.5</v>
      </c>
      <c r="H34" s="50"/>
      <c r="I34" s="50"/>
      <c r="J34" s="50">
        <v>2500</v>
      </c>
      <c r="K34" s="50"/>
      <c r="L34" s="36">
        <f t="shared" si="2"/>
        <v>5157.4699999999993</v>
      </c>
      <c r="M34" s="36">
        <f t="shared" si="3"/>
        <v>5622.9699999999993</v>
      </c>
      <c r="N34" s="28">
        <f>IF('[24]Calculo ISR '!$AP$34&lt;0,0,'[24]Calculo ISR '!$AP$34)</f>
        <v>554.44641599999989</v>
      </c>
      <c r="O34" s="92">
        <f>E34*Q4</f>
        <v>279.03434999999996</v>
      </c>
      <c r="P34" s="78"/>
      <c r="Q34" s="50"/>
      <c r="R34" s="78"/>
      <c r="S34" s="50"/>
      <c r="T34" s="50">
        <f t="shared" si="7"/>
        <v>833.4807659999999</v>
      </c>
      <c r="U34" s="28">
        <f>IF('[1]Calculo ISR '!$AP$34&gt;0,0,'[1]Calculo ISR '!$AP$34)*-1</f>
        <v>0</v>
      </c>
      <c r="V34" s="79">
        <f t="shared" si="8"/>
        <v>4323.9892339999997</v>
      </c>
      <c r="W34" s="36">
        <f t="shared" si="1"/>
        <v>465.5</v>
      </c>
      <c r="X34" s="80"/>
      <c r="Y34" s="47"/>
    </row>
    <row r="35" spans="1:27" s="81" customFormat="1" ht="45" customHeight="1">
      <c r="A35" s="91" t="s">
        <v>91</v>
      </c>
      <c r="B35" s="170" t="s">
        <v>92</v>
      </c>
      <c r="C35" s="66">
        <v>15</v>
      </c>
      <c r="D35" s="76">
        <v>135.83000000000001</v>
      </c>
      <c r="E35" s="36">
        <v>2037.52</v>
      </c>
      <c r="F35" s="50"/>
      <c r="G35" s="36">
        <v>465.5</v>
      </c>
      <c r="H35" s="50"/>
      <c r="I35" s="50"/>
      <c r="J35" s="50">
        <v>2500</v>
      </c>
      <c r="K35" s="50"/>
      <c r="L35" s="36">
        <f t="shared" si="2"/>
        <v>4537.5200000000004</v>
      </c>
      <c r="M35" s="36">
        <f t="shared" si="3"/>
        <v>5003.0200000000004</v>
      </c>
      <c r="N35" s="28">
        <f>IF('[24]Calculo ISR '!$AQ$34&lt;0,0,'[24]Calculo ISR '!$AQ$34)</f>
        <v>440.62907200000018</v>
      </c>
      <c r="O35" s="92">
        <f>E35*Q4</f>
        <v>213.93959999999998</v>
      </c>
      <c r="P35" s="78">
        <v>679</v>
      </c>
      <c r="Q35" s="50"/>
      <c r="R35" s="78"/>
      <c r="S35" s="50">
        <f>E35*P4</f>
        <v>20.3752</v>
      </c>
      <c r="T35" s="50">
        <f t="shared" si="7"/>
        <v>1353.9438720000001</v>
      </c>
      <c r="U35" s="28">
        <f>IF('[24]Calculo ISR '!$AQ$34&gt;0,0,'[24]Calculo ISR '!$AQ$34)*-1</f>
        <v>0</v>
      </c>
      <c r="V35" s="79">
        <f t="shared" si="8"/>
        <v>3183.5761280000006</v>
      </c>
      <c r="W35" s="36">
        <f t="shared" si="1"/>
        <v>465.5</v>
      </c>
      <c r="X35" s="80"/>
      <c r="Y35" s="47"/>
    </row>
    <row r="36" spans="1:27" s="81" customFormat="1" ht="45" customHeight="1">
      <c r="A36" s="91" t="s">
        <v>93</v>
      </c>
      <c r="B36" s="170" t="s">
        <v>94</v>
      </c>
      <c r="C36" s="66">
        <v>15</v>
      </c>
      <c r="D36" s="76">
        <v>135.83000000000001</v>
      </c>
      <c r="E36" s="36">
        <v>2037.52</v>
      </c>
      <c r="F36" s="50"/>
      <c r="G36" s="36">
        <v>465.5</v>
      </c>
      <c r="H36" s="50"/>
      <c r="I36" s="50"/>
      <c r="J36" s="50">
        <v>2500</v>
      </c>
      <c r="K36" s="50"/>
      <c r="L36" s="36">
        <f t="shared" si="2"/>
        <v>4537.5200000000004</v>
      </c>
      <c r="M36" s="36">
        <f t="shared" si="3"/>
        <v>5003.0200000000004</v>
      </c>
      <c r="N36" s="28">
        <f>IF('[24]Calculo ISR '!$AR$34&lt;0,0,'[24]Calculo ISR '!$AR$34)</f>
        <v>440.62907200000018</v>
      </c>
      <c r="O36" s="92">
        <f>E36*Q4</f>
        <v>213.93959999999998</v>
      </c>
      <c r="P36" s="78"/>
      <c r="Q36" s="50"/>
      <c r="R36" s="78"/>
      <c r="S36" s="50">
        <f>E36*P4</f>
        <v>20.3752</v>
      </c>
      <c r="T36" s="50">
        <f t="shared" si="7"/>
        <v>674.94387200000006</v>
      </c>
      <c r="U36" s="28">
        <f>IF('[24]Calculo ISR '!$AR$34&gt;0,0,'[24]Calculo ISR '!$AR$34)*-1</f>
        <v>0</v>
      </c>
      <c r="V36" s="79">
        <f t="shared" si="8"/>
        <v>3862.5761280000006</v>
      </c>
      <c r="W36" s="36">
        <f t="shared" si="1"/>
        <v>465.5</v>
      </c>
      <c r="X36" s="80"/>
      <c r="Y36" s="47"/>
    </row>
    <row r="37" spans="1:27" s="81" customFormat="1" ht="45" customHeight="1">
      <c r="A37" s="91" t="s">
        <v>95</v>
      </c>
      <c r="B37" s="170" t="s">
        <v>96</v>
      </c>
      <c r="C37" s="66">
        <v>15</v>
      </c>
      <c r="D37" s="76">
        <v>780.2</v>
      </c>
      <c r="E37" s="36">
        <f t="shared" si="6"/>
        <v>11703</v>
      </c>
      <c r="F37" s="50"/>
      <c r="G37" s="36"/>
      <c r="H37" s="50"/>
      <c r="I37" s="50"/>
      <c r="J37" s="50">
        <v>0</v>
      </c>
      <c r="K37" s="50"/>
      <c r="L37" s="36">
        <f t="shared" si="2"/>
        <v>11703</v>
      </c>
      <c r="M37" s="36">
        <f t="shared" si="3"/>
        <v>11703</v>
      </c>
      <c r="N37" s="28">
        <f>IF('[24]Calculo ISR '!$AS$34&lt;0,0,'[24]Calculo ISR '!$AS$34)</f>
        <v>1983.8578080000002</v>
      </c>
      <c r="O37" s="92">
        <f>E37*Q4</f>
        <v>1228.8150000000001</v>
      </c>
      <c r="P37" s="78"/>
      <c r="Q37" s="50"/>
      <c r="R37" s="78"/>
      <c r="S37" s="50"/>
      <c r="T37" s="50">
        <f t="shared" si="7"/>
        <v>3212.6728080000003</v>
      </c>
      <c r="U37" s="28">
        <f>IF('[1]Calculo ISR '!$AS$34&gt;0,0,'[1]Calculo ISR '!$AS$34)*-1</f>
        <v>0</v>
      </c>
      <c r="V37" s="79">
        <f t="shared" si="8"/>
        <v>8490.3271920000007</v>
      </c>
      <c r="W37" s="36">
        <f t="shared" si="1"/>
        <v>0</v>
      </c>
      <c r="X37" s="80"/>
      <c r="Y37" s="47"/>
    </row>
    <row r="38" spans="1:27" s="81" customFormat="1" ht="45" customHeight="1">
      <c r="A38" s="91" t="s">
        <v>99</v>
      </c>
      <c r="B38" s="170" t="s">
        <v>100</v>
      </c>
      <c r="C38" s="66">
        <v>15</v>
      </c>
      <c r="D38" s="76">
        <v>177.16</v>
      </c>
      <c r="E38" s="36">
        <v>2657.47</v>
      </c>
      <c r="F38" s="50"/>
      <c r="G38" s="36">
        <v>465.5</v>
      </c>
      <c r="H38" s="50"/>
      <c r="I38" s="50"/>
      <c r="J38" s="50">
        <v>0</v>
      </c>
      <c r="K38" s="50"/>
      <c r="L38" s="36">
        <f t="shared" si="2"/>
        <v>2657.47</v>
      </c>
      <c r="M38" s="36">
        <f t="shared" si="3"/>
        <v>3122.97</v>
      </c>
      <c r="N38" s="28">
        <f>IF('[24]Calculo ISR '!$AU$34&lt;0,0,'[24]Calculo ISR '!$AU$34)</f>
        <v>39.699647999999968</v>
      </c>
      <c r="O38" s="92">
        <f>E38*Q4</f>
        <v>279.03434999999996</v>
      </c>
      <c r="P38" s="78"/>
      <c r="Q38" s="50"/>
      <c r="R38" s="78"/>
      <c r="S38" s="50"/>
      <c r="T38" s="50">
        <f t="shared" si="7"/>
        <v>318.73399799999993</v>
      </c>
      <c r="U38" s="28">
        <f>IF('[1]Calculo ISR '!$AU$34&gt;0,0,'[1]Calculo ISR '!$AU$34)*-1</f>
        <v>0</v>
      </c>
      <c r="V38" s="79">
        <f t="shared" si="8"/>
        <v>2338.7360019999996</v>
      </c>
      <c r="W38" s="36">
        <f t="shared" si="1"/>
        <v>465.5</v>
      </c>
      <c r="X38" s="80"/>
      <c r="Y38" s="47"/>
    </row>
    <row r="39" spans="1:27" s="81" customFormat="1" ht="45" customHeight="1">
      <c r="A39" s="91" t="s">
        <v>101</v>
      </c>
      <c r="B39" s="170" t="s">
        <v>121</v>
      </c>
      <c r="C39" s="66">
        <v>15</v>
      </c>
      <c r="D39" s="76">
        <v>780.2</v>
      </c>
      <c r="E39" s="36">
        <f t="shared" si="6"/>
        <v>11703</v>
      </c>
      <c r="F39" s="50"/>
      <c r="G39" s="36"/>
      <c r="H39" s="50"/>
      <c r="I39" s="50"/>
      <c r="J39" s="50">
        <v>0</v>
      </c>
      <c r="K39" s="50"/>
      <c r="L39" s="36">
        <f t="shared" si="2"/>
        <v>11703</v>
      </c>
      <c r="M39" s="36">
        <f t="shared" si="3"/>
        <v>11703</v>
      </c>
      <c r="N39" s="28">
        <f>IF('[24]Calculo ISR '!$AV$34&lt;0,0,'[24]Calculo ISR '!$AV$34)</f>
        <v>1983.8578080000002</v>
      </c>
      <c r="O39" s="92">
        <f>E39*Q4</f>
        <v>1228.8150000000001</v>
      </c>
      <c r="P39" s="78">
        <v>1887</v>
      </c>
      <c r="Q39" s="50"/>
      <c r="R39" s="78"/>
      <c r="S39" s="50"/>
      <c r="T39" s="50">
        <f t="shared" si="7"/>
        <v>5099.6728080000003</v>
      </c>
      <c r="U39" s="28">
        <f>IF('[1]Calculo ISR '!$AV$34&gt;0,0,'[1]Calculo ISR '!$AV$34)*-1</f>
        <v>0</v>
      </c>
      <c r="V39" s="79">
        <f t="shared" si="8"/>
        <v>6603.3271919999997</v>
      </c>
      <c r="W39" s="36">
        <f t="shared" si="1"/>
        <v>0</v>
      </c>
      <c r="X39" s="80"/>
      <c r="Y39" s="47"/>
    </row>
    <row r="40" spans="1:27" s="81" customFormat="1" ht="45" customHeight="1">
      <c r="A40" s="91" t="s">
        <v>103</v>
      </c>
      <c r="B40" s="170" t="s">
        <v>122</v>
      </c>
      <c r="C40" s="66">
        <v>15</v>
      </c>
      <c r="D40" s="76">
        <v>177.16</v>
      </c>
      <c r="E40" s="36">
        <v>2657.47</v>
      </c>
      <c r="F40" s="50"/>
      <c r="G40" s="36">
        <v>465.5</v>
      </c>
      <c r="H40" s="50"/>
      <c r="I40" s="50"/>
      <c r="J40" s="50">
        <v>0</v>
      </c>
      <c r="K40" s="50"/>
      <c r="L40" s="36">
        <f t="shared" si="2"/>
        <v>2657.47</v>
      </c>
      <c r="M40" s="36">
        <f t="shared" si="3"/>
        <v>3122.97</v>
      </c>
      <c r="N40" s="28">
        <f>IF('[24]Calculo ISR '!$AW$34&lt;0,0,'[24]Calculo ISR '!$AW$34)</f>
        <v>39.699647999999968</v>
      </c>
      <c r="O40" s="92">
        <f>E40*Q4</f>
        <v>279.03434999999996</v>
      </c>
      <c r="P40" s="78"/>
      <c r="Q40" s="50"/>
      <c r="R40" s="78"/>
      <c r="S40" s="50"/>
      <c r="T40" s="50">
        <f t="shared" si="7"/>
        <v>318.73399799999993</v>
      </c>
      <c r="U40" s="28"/>
      <c r="V40" s="79">
        <f t="shared" si="8"/>
        <v>2338.7360019999996</v>
      </c>
      <c r="W40" s="36">
        <f t="shared" si="1"/>
        <v>465.5</v>
      </c>
      <c r="X40" s="80"/>
      <c r="Y40" s="47"/>
    </row>
    <row r="41" spans="1:27" s="81" customFormat="1" ht="45" customHeight="1">
      <c r="A41" s="91" t="s">
        <v>139</v>
      </c>
      <c r="B41" s="170" t="s">
        <v>140</v>
      </c>
      <c r="C41" s="66">
        <v>15</v>
      </c>
      <c r="D41" s="76">
        <v>177.16</v>
      </c>
      <c r="E41" s="36">
        <v>2657.47</v>
      </c>
      <c r="F41" s="50"/>
      <c r="G41" s="36">
        <v>465.5</v>
      </c>
      <c r="H41" s="50"/>
      <c r="I41" s="50"/>
      <c r="J41" s="50">
        <v>2500</v>
      </c>
      <c r="K41" s="50"/>
      <c r="L41" s="36">
        <f t="shared" si="2"/>
        <v>5157.4699999999993</v>
      </c>
      <c r="M41" s="36">
        <f t="shared" si="3"/>
        <v>5622.9699999999993</v>
      </c>
      <c r="N41" s="28">
        <f>IF('[24]Calculo ISR '!$AX$34&lt;0,0,'[24]Calculo ISR '!$AX$34)</f>
        <v>554.44641599999989</v>
      </c>
      <c r="O41" s="92">
        <f>E41*Q4</f>
        <v>279.03434999999996</v>
      </c>
      <c r="P41" s="78"/>
      <c r="Q41" s="50"/>
      <c r="R41" s="78"/>
      <c r="S41" s="50"/>
      <c r="T41" s="50">
        <f t="shared" si="7"/>
        <v>833.4807659999999</v>
      </c>
      <c r="U41" s="28"/>
      <c r="V41" s="79">
        <f t="shared" si="8"/>
        <v>4323.9892339999997</v>
      </c>
      <c r="W41" s="36">
        <f t="shared" si="1"/>
        <v>465.5</v>
      </c>
      <c r="X41" s="80"/>
      <c r="Y41" s="47"/>
    </row>
    <row r="42" spans="1:27" s="81" customFormat="1" ht="45" customHeight="1">
      <c r="A42" s="91" t="s">
        <v>150</v>
      </c>
      <c r="B42" s="170" t="s">
        <v>142</v>
      </c>
      <c r="C42" s="66">
        <v>15</v>
      </c>
      <c r="D42" s="76">
        <v>205.61</v>
      </c>
      <c r="E42" s="36">
        <f t="shared" si="6"/>
        <v>3084.15</v>
      </c>
      <c r="F42" s="50"/>
      <c r="G42" s="36">
        <v>465.5</v>
      </c>
      <c r="H42" s="50">
        <v>521.5</v>
      </c>
      <c r="I42" s="50"/>
      <c r="J42" s="50">
        <v>2500</v>
      </c>
      <c r="K42" s="50"/>
      <c r="L42" s="36">
        <f t="shared" si="2"/>
        <v>6105.65</v>
      </c>
      <c r="M42" s="36">
        <f t="shared" si="3"/>
        <v>6571.15</v>
      </c>
      <c r="N42" s="28">
        <f>IF('[24]Calculo ISR '!$AY$34&lt;0,0,'[24]Calculo ISR '!$AY$34)</f>
        <v>756.977664</v>
      </c>
      <c r="O42" s="92">
        <f>E42*Q4</f>
        <v>323.83575000000002</v>
      </c>
      <c r="P42" s="78"/>
      <c r="Q42" s="50"/>
      <c r="R42" s="78"/>
      <c r="S42" s="50"/>
      <c r="T42" s="50">
        <f>SUM(N42+O42+P42+Q42+R42+S42)</f>
        <v>1080.813414</v>
      </c>
      <c r="U42" s="28"/>
      <c r="V42" s="79">
        <f t="shared" si="8"/>
        <v>5024.8365859999994</v>
      </c>
      <c r="W42" s="36">
        <f t="shared" si="1"/>
        <v>465.5</v>
      </c>
      <c r="X42" s="80"/>
      <c r="Y42" s="47"/>
    </row>
    <row r="43" spans="1:27" s="81" customFormat="1" ht="45" customHeight="1">
      <c r="A43" s="91" t="s">
        <v>151</v>
      </c>
      <c r="B43" s="170" t="s">
        <v>152</v>
      </c>
      <c r="C43" s="66">
        <v>15</v>
      </c>
      <c r="D43" s="76">
        <v>238.18</v>
      </c>
      <c r="E43" s="36">
        <v>3572.72</v>
      </c>
      <c r="F43" s="50"/>
      <c r="G43" s="36">
        <v>465.5</v>
      </c>
      <c r="H43" s="50"/>
      <c r="I43" s="50"/>
      <c r="J43" s="50">
        <v>2500</v>
      </c>
      <c r="K43" s="50"/>
      <c r="L43" s="36">
        <f t="shared" si="2"/>
        <v>6072.7199999999993</v>
      </c>
      <c r="M43" s="36">
        <f t="shared" si="3"/>
        <v>6538.2199999999993</v>
      </c>
      <c r="N43" s="28">
        <f>IF('[24]Calculo ISR '!$AZ$34&lt;0,0,'[24]Calculo ISR '!$AZ$34)</f>
        <v>749.94381599999997</v>
      </c>
      <c r="O43" s="92">
        <f>E43*Q4</f>
        <v>375.13559999999995</v>
      </c>
      <c r="P43" s="78"/>
      <c r="Q43" s="50"/>
      <c r="R43" s="78"/>
      <c r="S43" s="50"/>
      <c r="T43" s="50">
        <f>SUM(N43+O43+P43+Q43+R43+S43)</f>
        <v>1125.079416</v>
      </c>
      <c r="U43" s="28"/>
      <c r="V43" s="79">
        <f t="shared" si="8"/>
        <v>4947.6405839999989</v>
      </c>
      <c r="W43" s="36">
        <f t="shared" si="1"/>
        <v>465.5</v>
      </c>
      <c r="X43" s="80"/>
      <c r="Y43" s="47"/>
    </row>
    <row r="44" spans="1:27" s="81" customFormat="1" ht="45" customHeight="1">
      <c r="A44" s="91" t="s">
        <v>161</v>
      </c>
      <c r="B44" s="170" t="s">
        <v>162</v>
      </c>
      <c r="C44" s="66">
        <v>15</v>
      </c>
      <c r="D44" s="76">
        <v>902.7</v>
      </c>
      <c r="E44" s="36">
        <f>C44*D44</f>
        <v>13540.5</v>
      </c>
      <c r="F44" s="50"/>
      <c r="G44" s="36"/>
      <c r="H44" s="50"/>
      <c r="I44" s="50"/>
      <c r="J44" s="50">
        <v>0</v>
      </c>
      <c r="K44" s="50"/>
      <c r="L44" s="36">
        <f t="shared" si="2"/>
        <v>13540.5</v>
      </c>
      <c r="M44" s="36">
        <f t="shared" si="3"/>
        <v>13540.5</v>
      </c>
      <c r="N44" s="28">
        <f>IF('[24]Calculo ISR '!$BA$34&lt;0,0,'[24]Calculo ISR '!$BA$34)</f>
        <v>2416.037808</v>
      </c>
      <c r="O44" s="92">
        <v>1421.76</v>
      </c>
      <c r="P44" s="78"/>
      <c r="Q44" s="50"/>
      <c r="R44" s="78"/>
      <c r="S44" s="50"/>
      <c r="T44" s="50">
        <f>SUM(N44+O44+P44+Q44+R44+S44)</f>
        <v>3837.7978080000003</v>
      </c>
      <c r="U44" s="28"/>
      <c r="V44" s="79">
        <f t="shared" si="8"/>
        <v>9702.7021920000007</v>
      </c>
      <c r="W44" s="36">
        <f t="shared" si="1"/>
        <v>0</v>
      </c>
      <c r="X44" s="80"/>
      <c r="Y44" s="47"/>
    </row>
    <row r="45" spans="1:27" s="99" customFormat="1" ht="21.95" customHeight="1">
      <c r="A45" s="93"/>
      <c r="B45" s="94">
        <v>38</v>
      </c>
      <c r="C45" s="95">
        <f>SUM(C8:C44)</f>
        <v>555</v>
      </c>
      <c r="D45" s="95">
        <f>SUM(D8:D44)</f>
        <v>12176.816666666669</v>
      </c>
      <c r="E45" s="95">
        <f t="shared" ref="E45:W45" si="9">SUM(E7:E44)</f>
        <v>200168.75999999998</v>
      </c>
      <c r="F45" s="95">
        <f t="shared" si="9"/>
        <v>6040.32</v>
      </c>
      <c r="G45" s="95">
        <f t="shared" si="9"/>
        <v>13295.75</v>
      </c>
      <c r="H45" s="95">
        <f t="shared" si="9"/>
        <v>4693.5</v>
      </c>
      <c r="I45" s="95">
        <f t="shared" si="9"/>
        <v>688</v>
      </c>
      <c r="J45" s="95">
        <f>SUM(J7:J44)</f>
        <v>60000</v>
      </c>
      <c r="K45" s="95">
        <f t="shared" si="9"/>
        <v>1566.4396099999997</v>
      </c>
      <c r="L45" s="95">
        <f t="shared" si="9"/>
        <v>273157.01961000002</v>
      </c>
      <c r="M45" s="95">
        <f t="shared" si="9"/>
        <v>286452.76961000002</v>
      </c>
      <c r="N45" s="96">
        <f t="shared" si="9"/>
        <v>38790.651970983992</v>
      </c>
      <c r="O45" s="95">
        <f t="shared" si="9"/>
        <v>21017.727299999999</v>
      </c>
      <c r="P45" s="95">
        <f t="shared" si="9"/>
        <v>21858.97</v>
      </c>
      <c r="Q45" s="95">
        <f t="shared" si="9"/>
        <v>0</v>
      </c>
      <c r="R45" s="95">
        <f t="shared" si="9"/>
        <v>0</v>
      </c>
      <c r="S45" s="95">
        <f t="shared" si="9"/>
        <v>582.91589999999997</v>
      </c>
      <c r="T45" s="95">
        <f t="shared" si="9"/>
        <v>82250.26517098397</v>
      </c>
      <c r="U45" s="95">
        <f t="shared" si="9"/>
        <v>39.916992000000022</v>
      </c>
      <c r="V45" s="95">
        <f t="shared" si="9"/>
        <v>190946.67143101594</v>
      </c>
      <c r="W45" s="95">
        <f t="shared" si="9"/>
        <v>13295.75</v>
      </c>
      <c r="X45" s="97"/>
      <c r="Y45" s="98"/>
    </row>
    <row r="46" spans="1:27" s="6" customFormat="1" ht="6" customHeight="1">
      <c r="A46" s="122"/>
      <c r="B46" s="123">
        <v>38</v>
      </c>
      <c r="C46" s="124"/>
      <c r="D46" s="101"/>
      <c r="E46" s="101"/>
      <c r="F46" s="101"/>
      <c r="G46" s="125"/>
      <c r="H46" s="125">
        <f>H45+'[24]HT-DOCENTE FIRMA'!M38</f>
        <v>6532.1399999999994</v>
      </c>
      <c r="I46" s="101"/>
      <c r="J46" s="101">
        <f>J45+'[24]HT-DOCENTE FIRMA'!N38+'[24]HT-PTC FIRMAS '!H15</f>
        <v>90000</v>
      </c>
      <c r="K46" s="101"/>
      <c r="L46" s="101"/>
      <c r="M46" s="101"/>
      <c r="O46" s="101">
        <f>O45+'[24]HT-DOCENTE FIRMA'!S38+'[24]HT-PTC FIRMAS '!M15</f>
        <v>37524.473849999995</v>
      </c>
      <c r="P46" s="101">
        <f>P45+'[24]HT-DOCENTE FIRMA'!T38+'[24]HT-PTC FIRMAS '!N15</f>
        <v>34383.97</v>
      </c>
      <c r="Q46" s="101"/>
      <c r="R46" s="101"/>
      <c r="S46" s="101"/>
      <c r="T46" s="101"/>
      <c r="U46" s="101"/>
      <c r="V46" s="101"/>
      <c r="W46" s="101"/>
      <c r="X46" s="126"/>
      <c r="Y46" s="5"/>
    </row>
    <row r="47" spans="1:27" s="6" customFormat="1" ht="6" customHeight="1">
      <c r="A47" s="122"/>
      <c r="B47" s="123">
        <f>B46+'[24]HT-DOCENTE FIRMA'!B39+'[24]HT-PTC FIRMAS '!B16</f>
        <v>71</v>
      </c>
      <c r="C47" s="124"/>
      <c r="D47" s="101"/>
      <c r="E47" s="101">
        <f>E45+'[24]HT-DOCENTE FIRMA'!I38+'[24]HT-PTC FIRMAS '!D15</f>
        <v>357375.87</v>
      </c>
      <c r="F47" s="101"/>
      <c r="G47" s="125"/>
      <c r="H47" s="125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26"/>
      <c r="Y47" s="5"/>
      <c r="AA47" s="5"/>
    </row>
    <row r="48" spans="1:27" s="6" customFormat="1" ht="6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26"/>
      <c r="Y48" s="5"/>
    </row>
    <row r="49" spans="1:25" s="6" customFormat="1" ht="6" customHeight="1">
      <c r="A49" s="129"/>
      <c r="B49" s="130"/>
      <c r="C49" s="131"/>
      <c r="D49" s="132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5"/>
      <c r="Y49" s="5"/>
    </row>
    <row r="50" spans="1:25" ht="15" customHeight="1">
      <c r="A50" s="110" t="s">
        <v>105</v>
      </c>
      <c r="B50" s="110"/>
      <c r="C50" s="110"/>
      <c r="D50" s="111"/>
      <c r="E50" s="109"/>
      <c r="F50" s="109"/>
      <c r="G50" s="112"/>
      <c r="H50" s="113" t="s">
        <v>106</v>
      </c>
      <c r="I50" s="112"/>
      <c r="J50" s="112"/>
      <c r="L50" s="113"/>
      <c r="M50" s="114"/>
      <c r="P50" s="115"/>
      <c r="Q50" s="115"/>
      <c r="R50" s="115"/>
      <c r="S50" s="115"/>
      <c r="T50" s="111" t="s">
        <v>107</v>
      </c>
      <c r="U50" s="111"/>
      <c r="V50" s="111"/>
      <c r="W50" s="111"/>
      <c r="X50" s="111"/>
      <c r="Y50" s="100"/>
    </row>
    <row r="51" spans="1:25" hidden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11"/>
      <c r="L51" s="103"/>
      <c r="M51" s="103"/>
      <c r="P51" s="103"/>
      <c r="Q51" s="115"/>
      <c r="R51" s="103"/>
      <c r="S51" s="103"/>
      <c r="T51" s="111"/>
      <c r="U51" s="111"/>
      <c r="V51" s="111"/>
      <c r="W51" s="111"/>
      <c r="X51" s="111"/>
      <c r="Y51" s="100"/>
    </row>
    <row r="52" spans="1:25" hidden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11"/>
      <c r="L52" s="109"/>
      <c r="M52" s="109"/>
      <c r="P52" s="109"/>
      <c r="Q52" s="109"/>
      <c r="R52" s="109"/>
      <c r="S52" s="109"/>
      <c r="T52" s="111"/>
      <c r="U52" s="111"/>
      <c r="V52" s="111"/>
      <c r="W52" s="111"/>
      <c r="X52" s="111"/>
      <c r="Y52" s="100"/>
    </row>
    <row r="53" spans="1:25" ht="21.75" customHeight="1">
      <c r="A53" s="111"/>
      <c r="B53" s="113" t="s">
        <v>164</v>
      </c>
      <c r="C53" s="112"/>
      <c r="D53" s="111"/>
      <c r="E53" s="116"/>
      <c r="F53" s="116"/>
      <c r="G53" s="117"/>
      <c r="H53" s="118" t="s">
        <v>109</v>
      </c>
      <c r="I53" s="117"/>
      <c r="J53" s="117"/>
      <c r="L53" s="118"/>
      <c r="M53" s="118"/>
      <c r="P53" s="109"/>
      <c r="Q53" s="109"/>
      <c r="S53" s="109"/>
      <c r="T53" s="144" t="s">
        <v>110</v>
      </c>
      <c r="U53" s="117"/>
      <c r="V53" s="117"/>
      <c r="W53" s="117"/>
      <c r="X53" s="111"/>
      <c r="Y53" s="100"/>
    </row>
    <row r="54" spans="1:25" ht="15" customHeight="1">
      <c r="A54" s="112" t="s">
        <v>167</v>
      </c>
      <c r="B54" s="112"/>
      <c r="C54" s="112"/>
      <c r="D54" s="112"/>
      <c r="E54" s="171"/>
      <c r="F54" s="109"/>
      <c r="G54" s="117"/>
      <c r="H54" s="118" t="s">
        <v>112</v>
      </c>
      <c r="I54" s="117"/>
      <c r="J54" s="117"/>
      <c r="L54" s="118"/>
      <c r="M54" s="118"/>
      <c r="P54" s="109"/>
      <c r="Q54" s="109"/>
      <c r="R54" s="109"/>
      <c r="S54" s="119" t="s">
        <v>113</v>
      </c>
      <c r="T54" s="119"/>
      <c r="U54" s="119"/>
      <c r="V54" s="119"/>
      <c r="W54" s="119"/>
      <c r="X54" s="111"/>
      <c r="Y54" s="100"/>
    </row>
    <row r="55" spans="1:25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0"/>
    </row>
    <row r="56" spans="1:25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0"/>
    </row>
    <row r="57" spans="1:25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16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0"/>
    </row>
    <row r="58" spans="1:25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0"/>
    </row>
    <row r="59" spans="1:25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00"/>
    </row>
    <row r="60" spans="1:25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00"/>
    </row>
    <row r="61" spans="1:25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00"/>
    </row>
    <row r="62" spans="1:25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00"/>
    </row>
    <row r="63" spans="1:25">
      <c r="Y63" s="100"/>
    </row>
    <row r="64" spans="1:25">
      <c r="Y64" s="100"/>
    </row>
    <row r="65" spans="1:25">
      <c r="Y65" s="100"/>
    </row>
    <row r="66" spans="1:25">
      <c r="Y66" s="100"/>
    </row>
    <row r="67" spans="1:25">
      <c r="Y67" s="100"/>
    </row>
    <row r="68" spans="1:25">
      <c r="Y68" s="100"/>
    </row>
    <row r="69" spans="1:25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5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5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5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5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5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5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5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5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5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5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5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307" spans="100:100">
      <c r="CV307" s="1" t="s">
        <v>114</v>
      </c>
    </row>
  </sheetData>
  <mergeCells count="2">
    <mergeCell ref="A50:C50"/>
    <mergeCell ref="S54:W54"/>
  </mergeCells>
  <printOptions horizontalCentered="1" verticalCentered="1"/>
  <pageMargins left="0.74803149606299213" right="0.19685039370078741" top="0.19685039370078741" bottom="0.39370078740157483" header="0" footer="0"/>
  <pageSetup paperSize="5" scale="5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U307"/>
  <sheetViews>
    <sheetView zoomScale="80" zoomScaleNormal="80" workbookViewId="0">
      <pane xSplit="2" ySplit="6" topLeftCell="C40" activePane="bottomRight" state="frozen"/>
      <selection activeCell="S28" sqref="S28"/>
      <selection pane="topRight" activeCell="S28" sqref="S28"/>
      <selection pane="bottomLeft" activeCell="S28" sqref="S28"/>
      <selection pane="bottomRight" activeCell="B46" sqref="B46"/>
    </sheetView>
  </sheetViews>
  <sheetFormatPr baseColWidth="10" defaultRowHeight="12.75"/>
  <cols>
    <col min="1" max="1" width="12.42578125" style="1" customWidth="1"/>
    <col min="2" max="2" width="20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8" width="12.4257812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7.2851562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7.710937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1" spans="1:26">
      <c r="C1" s="3"/>
      <c r="D1" s="3"/>
      <c r="E1" s="3"/>
      <c r="F1" s="3"/>
      <c r="G1" s="3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3"/>
      <c r="W1" s="3"/>
      <c r="X1" s="3"/>
    </row>
    <row r="2" spans="1:26" s="3" customFormat="1"/>
    <row r="3" spans="1:26" s="3" customFormat="1" ht="22.5">
      <c r="K3" s="5"/>
      <c r="L3" s="5" t="s">
        <v>0</v>
      </c>
      <c r="M3" s="6"/>
      <c r="N3" s="6"/>
      <c r="O3" s="6" t="s">
        <v>137</v>
      </c>
      <c r="P3" s="135" t="s">
        <v>132</v>
      </c>
      <c r="Q3" s="6" t="s">
        <v>1</v>
      </c>
      <c r="R3" s="6" t="s">
        <v>133</v>
      </c>
    </row>
    <row r="4" spans="1:26" s="3" customFormat="1">
      <c r="K4" s="6"/>
      <c r="L4" s="7">
        <v>1.9E-2</v>
      </c>
      <c r="M4" s="6"/>
      <c r="N4" s="6"/>
      <c r="O4" s="8">
        <v>0.01</v>
      </c>
      <c r="P4" s="121">
        <v>0.105</v>
      </c>
      <c r="Q4" s="9">
        <v>3.7999999999999999E-2</v>
      </c>
      <c r="R4" s="121">
        <v>5.7000000000000002E-2</v>
      </c>
    </row>
    <row r="5" spans="1:26" s="3" customFormat="1" ht="13.5" thickBot="1">
      <c r="B5" s="10" t="s">
        <v>2</v>
      </c>
      <c r="G5" s="10" t="s">
        <v>171</v>
      </c>
    </row>
    <row r="6" spans="1:26" s="25" customFormat="1" ht="10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142">
        <v>15</v>
      </c>
      <c r="D7" s="28">
        <v>1129.1099999999999</v>
      </c>
      <c r="E7" s="28">
        <v>17515.27</v>
      </c>
      <c r="F7" s="28">
        <v>6040.32</v>
      </c>
      <c r="G7" s="28">
        <v>727.25</v>
      </c>
      <c r="H7" s="28"/>
      <c r="I7" s="28">
        <v>688</v>
      </c>
      <c r="J7" s="28"/>
      <c r="K7" s="28">
        <f>SUM(E7+F7+I7+J7)</f>
        <v>24243.59</v>
      </c>
      <c r="L7" s="28">
        <f>SUM(K7+G7)</f>
        <v>24970.84</v>
      </c>
      <c r="M7" s="28">
        <f>IF('[25]Calculo ISR '!$K$34&lt;0,0,'[25]Calculo ISR '!$K$34)</f>
        <v>5457.759</v>
      </c>
      <c r="N7" s="28">
        <f>E7*P4</f>
        <v>1839.1033500000001</v>
      </c>
      <c r="O7" s="28"/>
      <c r="P7" s="28"/>
      <c r="Q7" s="28"/>
      <c r="R7" s="28"/>
      <c r="S7" s="28">
        <f>SUM(M7+N7+O7+P7+Q7+R7)</f>
        <v>7296.8623500000003</v>
      </c>
      <c r="T7" s="28"/>
      <c r="U7" s="36">
        <f>K7-S7</f>
        <v>16946.727650000001</v>
      </c>
      <c r="V7" s="28">
        <f>G7</f>
        <v>727.25</v>
      </c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780.2</v>
      </c>
      <c r="E8" s="36">
        <f>C8*D8</f>
        <v>11703</v>
      </c>
      <c r="F8" s="36"/>
      <c r="G8" s="36"/>
      <c r="H8" s="36"/>
      <c r="I8" s="36">
        <f>'[1]HT-ADMINISTRATIVOS'!J10</f>
        <v>0</v>
      </c>
      <c r="J8" s="37"/>
      <c r="K8" s="36">
        <f>E8+F8+H8+I8+J8</f>
        <v>11703</v>
      </c>
      <c r="L8" s="36">
        <f t="shared" ref="L8:L44" si="0">K8+G8</f>
        <v>11703</v>
      </c>
      <c r="M8" s="28">
        <f>IF('[25]Calculo ISR '!$L$34&lt;0,0,'[25]Calculo ISR '!$L$34)</f>
        <v>1983.8578080000002</v>
      </c>
      <c r="N8" s="38">
        <f>E8*P4</f>
        <v>1228.8150000000001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3212.6728080000003</v>
      </c>
      <c r="T8" s="28">
        <f>IF('[25]Calculo ISR '!$L$34&gt;0,0,'[25]Calculo ISR '!$L$34)*-1</f>
        <v>0</v>
      </c>
      <c r="U8" s="36">
        <f>K8-S8</f>
        <v>8490.3271920000007</v>
      </c>
      <c r="V8" s="36">
        <f>G8</f>
        <v>0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238.18</v>
      </c>
      <c r="E9" s="36">
        <v>3572.72</v>
      </c>
      <c r="F9" s="36"/>
      <c r="G9" s="36">
        <v>465.5</v>
      </c>
      <c r="H9" s="36"/>
      <c r="I9" s="36">
        <f>'[1]HT-ADMINISTRATIVOS'!J11</f>
        <v>0</v>
      </c>
      <c r="J9" s="37">
        <f>E9*R4</f>
        <v>203.64503999999999</v>
      </c>
      <c r="K9" s="36">
        <f>E9+F9+H9+I9+J9</f>
        <v>3776.3650399999997</v>
      </c>
      <c r="L9" s="36">
        <f t="shared" si="0"/>
        <v>4241.8650399999997</v>
      </c>
      <c r="M9" s="28">
        <f>IF('[25]Calculo ISR '!$M$34&lt;0,0,'[25]Calculo ISR '!$M$34)</f>
        <v>313.30680639999991</v>
      </c>
      <c r="N9" s="38">
        <f>E9*P4</f>
        <v>375.13559999999995</v>
      </c>
      <c r="O9" s="38">
        <v>800</v>
      </c>
      <c r="P9" s="38">
        <f>'[1]HT-ADMINISTRATIVOS'!Q11</f>
        <v>0</v>
      </c>
      <c r="Q9" s="38">
        <f>'[1]HT-ADMINISTRATIVOS'!R11</f>
        <v>0</v>
      </c>
      <c r="R9" s="38">
        <f>E9*O4</f>
        <v>35.727199999999996</v>
      </c>
      <c r="S9" s="36">
        <f>M9+N9+O9+P9+Q9+R9</f>
        <v>1524.1696064</v>
      </c>
      <c r="T9" s="28">
        <f>IF('[25]Calculo ISR '!$M$34&gt;0,0,'[25]Calculo ISR '!$M$34)*-1</f>
        <v>0</v>
      </c>
      <c r="U9" s="36">
        <f t="shared" ref="U9:U15" si="1">K9-S9+T9</f>
        <v>2252.1954335999999</v>
      </c>
      <c r="V9" s="36">
        <f t="shared" ref="V9:V44" si="2">G9</f>
        <v>465.5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f>E10/C10</f>
        <v>250.32666666666668</v>
      </c>
      <c r="E10" s="36">
        <v>3754.9</v>
      </c>
      <c r="F10" s="36"/>
      <c r="G10" s="36">
        <v>465.5</v>
      </c>
      <c r="H10" s="36"/>
      <c r="I10" s="36">
        <f>'[1]HT-ADMINISTRATIVOS'!J12</f>
        <v>0</v>
      </c>
      <c r="J10" s="37">
        <f>E10*R4</f>
        <v>214.02930000000001</v>
      </c>
      <c r="K10" s="36">
        <f t="shared" ref="K10:K44" si="3">E10+F10+H10+I10+J10</f>
        <v>3968.9293000000002</v>
      </c>
      <c r="L10" s="36">
        <f t="shared" si="0"/>
        <v>4434.4292999999998</v>
      </c>
      <c r="M10" s="28">
        <f>IF('[25]Calculo ISR '!$N$34&lt;0,0,'[25]Calculo ISR '!$N$34)</f>
        <v>344.11708800000002</v>
      </c>
      <c r="N10" s="38">
        <f>E10*P4</f>
        <v>394.2645</v>
      </c>
      <c r="O10" s="38">
        <v>650</v>
      </c>
      <c r="P10" s="38">
        <f>'[1]HT-ADMINISTRATIVOS'!Q12</f>
        <v>0</v>
      </c>
      <c r="Q10" s="38">
        <f>'[1]HT-ADMINISTRATIVOS'!R12</f>
        <v>0</v>
      </c>
      <c r="R10" s="38">
        <f>E10*O4</f>
        <v>37.548999999999999</v>
      </c>
      <c r="S10" s="36">
        <f t="shared" ref="S10:S29" si="4">M10+N10+O10+R10+P10+Q10</f>
        <v>1425.9305879999999</v>
      </c>
      <c r="T10" s="28">
        <f>IF('[1]Calculo ISR '!$N$34&gt;0,0,'[21]Calculo ISR '!$N$34)*-1</f>
        <v>0</v>
      </c>
      <c r="U10" s="36">
        <f t="shared" si="1"/>
        <v>2542.9987120000005</v>
      </c>
      <c r="V10" s="36">
        <f t="shared" si="2"/>
        <v>465.5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226.68</v>
      </c>
      <c r="E11" s="36">
        <v>3400.25</v>
      </c>
      <c r="F11" s="36"/>
      <c r="G11" s="36">
        <v>465.5</v>
      </c>
      <c r="H11" s="36"/>
      <c r="I11" s="36">
        <f>'[1]HT-ADMINISTRATIVOS'!J13</f>
        <v>0</v>
      </c>
      <c r="J11" s="37">
        <f>E11*R4</f>
        <v>193.81425000000002</v>
      </c>
      <c r="K11" s="36">
        <f t="shared" si="3"/>
        <v>3594.0642499999999</v>
      </c>
      <c r="L11" s="36">
        <f t="shared" si="0"/>
        <v>4059.5642499999999</v>
      </c>
      <c r="M11" s="28">
        <f>IF('[25]Calculo ISR '!$O$34&lt;0,0,'[25]Calculo ISR '!$O$34)</f>
        <v>179.55110239999996</v>
      </c>
      <c r="N11" s="38">
        <f>E11*P4</f>
        <v>357.02625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34.002499999999998</v>
      </c>
      <c r="S11" s="36">
        <f t="shared" si="4"/>
        <v>2032.7998524</v>
      </c>
      <c r="T11" s="28">
        <f>IF('[1]Calculo ISR '!$O$34&gt;0,0,'[1]Calculo ISR '!$O$34)*-1</f>
        <v>0</v>
      </c>
      <c r="U11" s="36">
        <f t="shared" si="1"/>
        <v>1561.2643975999999</v>
      </c>
      <c r="V11" s="36">
        <f t="shared" si="2"/>
        <v>465.5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250.33</v>
      </c>
      <c r="E12" s="36">
        <v>3754.9</v>
      </c>
      <c r="F12" s="36"/>
      <c r="G12" s="36">
        <v>465.5</v>
      </c>
      <c r="H12" s="36"/>
      <c r="I12" s="36">
        <f>'[1]HT-ADMINISTRATIVOS'!J14</f>
        <v>0</v>
      </c>
      <c r="J12" s="37">
        <f>E12*R4</f>
        <v>214.02930000000001</v>
      </c>
      <c r="K12" s="36">
        <f t="shared" si="3"/>
        <v>3968.9293000000002</v>
      </c>
      <c r="L12" s="36">
        <f t="shared" si="0"/>
        <v>4434.4292999999998</v>
      </c>
      <c r="M12" s="28">
        <f>IF('[25]Calculo ISR '!$P$34&lt;0,0,'[25]Calculo ISR '!$P$34)</f>
        <v>344.11708800000002</v>
      </c>
      <c r="N12" s="38">
        <f>E12*P4</f>
        <v>394.2645</v>
      </c>
      <c r="O12" s="38">
        <v>1211</v>
      </c>
      <c r="P12" s="38">
        <f>'[1]HT-ADMINISTRATIVOS'!Q14</f>
        <v>0</v>
      </c>
      <c r="Q12" s="38">
        <f>'[1]HT-ADMINISTRATIVOS'!R14</f>
        <v>0</v>
      </c>
      <c r="R12" s="38">
        <f>E12*O4</f>
        <v>37.548999999999999</v>
      </c>
      <c r="S12" s="36">
        <f t="shared" si="4"/>
        <v>1986.9305879999999</v>
      </c>
      <c r="T12" s="28">
        <f>IF('[1]Calculo ISR '!$P$34&gt;0,0,'[1]Calculo ISR '!$P$34)*-1</f>
        <v>0</v>
      </c>
      <c r="U12" s="36">
        <f t="shared" si="1"/>
        <v>1981.9987120000003</v>
      </c>
      <c r="V12" s="36">
        <f t="shared" si="2"/>
        <v>465.5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177.16</v>
      </c>
      <c r="E13" s="36">
        <v>2657.47</v>
      </c>
      <c r="F13" s="36"/>
      <c r="G13" s="36">
        <v>465.5</v>
      </c>
      <c r="H13" s="36"/>
      <c r="I13" s="36">
        <f>'[1]HT-ADMINISTRATIVOS'!J15</f>
        <v>0</v>
      </c>
      <c r="J13" s="37">
        <f>E13*R4</f>
        <v>151.47578999999999</v>
      </c>
      <c r="K13" s="36">
        <f t="shared" si="3"/>
        <v>2808.9457899999998</v>
      </c>
      <c r="L13" s="36">
        <f t="shared" si="0"/>
        <v>3274.4457899999998</v>
      </c>
      <c r="M13" s="28">
        <f>IF('[25]Calculo ISR '!$Q$34&lt;0,0,'[25]Calculo ISR '!$Q$34)</f>
        <v>56.180213951999946</v>
      </c>
      <c r="N13" s="38">
        <f>E13*P4</f>
        <v>279.03434999999996</v>
      </c>
      <c r="O13" s="38">
        <v>886</v>
      </c>
      <c r="P13" s="38">
        <f>'[1]HT-ADMINISTRATIVOS'!Q15</f>
        <v>0</v>
      </c>
      <c r="Q13" s="38">
        <f>'[1]HT-ADMINISTRATIVOS'!R15</f>
        <v>0</v>
      </c>
      <c r="R13" s="38">
        <f>E13*O4</f>
        <v>26.5747</v>
      </c>
      <c r="S13" s="36">
        <f t="shared" si="4"/>
        <v>1247.7892639519998</v>
      </c>
      <c r="T13" s="28">
        <f>IF('[1]Calculo ISR '!$Q$34&gt;0,0,'[1]Calculo ISR '!$Q$34)</f>
        <v>0</v>
      </c>
      <c r="U13" s="36">
        <f t="shared" si="1"/>
        <v>1561.1565260479999</v>
      </c>
      <c r="V13" s="36">
        <f t="shared" si="2"/>
        <v>465.5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168.65</v>
      </c>
      <c r="E14" s="36">
        <v>2529.8000000000002</v>
      </c>
      <c r="F14" s="36"/>
      <c r="G14" s="36">
        <v>465.5</v>
      </c>
      <c r="H14" s="36"/>
      <c r="I14" s="36">
        <f>'[1]HT-ADMINISTRATIVOS'!J16</f>
        <v>0</v>
      </c>
      <c r="J14" s="37">
        <f>E14*R4</f>
        <v>144.19860000000003</v>
      </c>
      <c r="K14" s="36">
        <f t="shared" si="3"/>
        <v>2673.9986000000004</v>
      </c>
      <c r="L14" s="36">
        <f t="shared" si="0"/>
        <v>3139.4986000000004</v>
      </c>
      <c r="M14" s="28">
        <f>IF('[25]Calculo ISR '!$R$34&lt;0,0,'[25]Calculo ISR '!$R$34)</f>
        <v>41.497959680000037</v>
      </c>
      <c r="N14" s="38">
        <f>E14*P4</f>
        <v>265.62900000000002</v>
      </c>
      <c r="O14" s="38">
        <v>816</v>
      </c>
      <c r="P14" s="38">
        <f>'[1]HT-ADMINISTRATIVOS'!Q16</f>
        <v>0</v>
      </c>
      <c r="Q14" s="38">
        <f>'[1]HT-ADMINISTRATIVOS'!R16</f>
        <v>0</v>
      </c>
      <c r="R14" s="38">
        <f>E14*O4</f>
        <v>25.298000000000002</v>
      </c>
      <c r="S14" s="36">
        <f t="shared" si="4"/>
        <v>1148.42495968</v>
      </c>
      <c r="T14" s="28">
        <f>IF('[1]Calculo ISR '!$R$34&gt;0,0,'[1]Calculo ISR '!$R$34)*-1</f>
        <v>0</v>
      </c>
      <c r="U14" s="36">
        <f t="shared" si="1"/>
        <v>1525.5736403200003</v>
      </c>
      <c r="V14" s="36">
        <f t="shared" si="2"/>
        <v>465.5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553.13</v>
      </c>
      <c r="E15" s="36">
        <v>8296.9699999999993</v>
      </c>
      <c r="F15" s="36"/>
      <c r="G15" s="36"/>
      <c r="H15" s="36"/>
      <c r="I15" s="36">
        <f>'[1]HT-ADMINISTRATIVOS'!J17</f>
        <v>0</v>
      </c>
      <c r="J15" s="37"/>
      <c r="K15" s="36">
        <f t="shared" si="3"/>
        <v>8296.9699999999993</v>
      </c>
      <c r="L15" s="36">
        <f t="shared" si="0"/>
        <v>8296.9699999999993</v>
      </c>
      <c r="M15" s="28">
        <f>IF('[25]Calculo ISR '!$S$34&lt;0,0,'[25]Calculo ISR '!$S$34)</f>
        <v>1225.0436159999999</v>
      </c>
      <c r="N15" s="38">
        <f>E15*P4</f>
        <v>871.18184999999994</v>
      </c>
      <c r="O15" s="38">
        <v>2766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4"/>
        <v>4862.2254659999999</v>
      </c>
      <c r="T15" s="28">
        <f>IF('[1]Calculo ISR '!$S$34&gt;0,0,'[1]Calculo ISR '!$S$34)*-1</f>
        <v>0</v>
      </c>
      <c r="U15" s="36">
        <f t="shared" si="1"/>
        <v>3434.7445339999995</v>
      </c>
      <c r="V15" s="36">
        <f t="shared" si="2"/>
        <v>0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276.45</v>
      </c>
      <c r="E16" s="36">
        <v>4146.7700000000004</v>
      </c>
      <c r="F16" s="36"/>
      <c r="G16" s="36">
        <v>465.5</v>
      </c>
      <c r="H16" s="36"/>
      <c r="I16" s="36">
        <f>'[1]HT-ADMINISTRATIVOS'!J18</f>
        <v>0</v>
      </c>
      <c r="J16" s="37">
        <f>E16*Q4</f>
        <v>157.57726000000002</v>
      </c>
      <c r="K16" s="36">
        <f t="shared" si="3"/>
        <v>4304.3472600000005</v>
      </c>
      <c r="L16" s="36">
        <f t="shared" si="0"/>
        <v>4769.8472600000005</v>
      </c>
      <c r="M16" s="28">
        <f>IF('[25]Calculo ISR '!$T$34&lt;0,0,'[25]Calculo ISR '!$T$34)</f>
        <v>398.84451699200014</v>
      </c>
      <c r="N16" s="38">
        <f>E16*P4</f>
        <v>435.41085000000004</v>
      </c>
      <c r="O16" s="38">
        <v>1337</v>
      </c>
      <c r="P16" s="38"/>
      <c r="Q16" s="38"/>
      <c r="R16" s="38">
        <f>E16*O4</f>
        <v>41.467700000000008</v>
      </c>
      <c r="S16" s="36">
        <f>M16+N16+O16+Q16+R16+P16</f>
        <v>2212.7230669920004</v>
      </c>
      <c r="T16" s="28">
        <f>IF('[1]Calculo ISR '!$T$34&gt;0,0,'[1]Calculo ISR '!$T$34)*-1</f>
        <v>0</v>
      </c>
      <c r="U16" s="36">
        <f>K16-S16</f>
        <v>2091.624193008</v>
      </c>
      <c r="V16" s="36">
        <f t="shared" si="2"/>
        <v>465.5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238.18</v>
      </c>
      <c r="E17" s="36">
        <v>3572.72</v>
      </c>
      <c r="F17" s="36"/>
      <c r="G17" s="36">
        <v>465.5</v>
      </c>
      <c r="H17" s="36">
        <v>521.5</v>
      </c>
      <c r="I17" s="36">
        <f>'[1]HT-ADMINISTRATIVOS'!J19</f>
        <v>0</v>
      </c>
      <c r="J17" s="37">
        <f>E17*Q4</f>
        <v>135.76335999999998</v>
      </c>
      <c r="K17" s="36">
        <f t="shared" si="3"/>
        <v>4229.9833600000002</v>
      </c>
      <c r="L17" s="36">
        <f t="shared" si="0"/>
        <v>4695.4833600000002</v>
      </c>
      <c r="M17" s="28">
        <f>IF('[25]Calculo ISR '!$U$34&lt;0,0,'[25]Calculo ISR '!$U$34)</f>
        <v>385.88573759999997</v>
      </c>
      <c r="N17" s="38">
        <f>E17*P4</f>
        <v>375.13559999999995</v>
      </c>
      <c r="O17" s="38">
        <v>1152</v>
      </c>
      <c r="P17" s="38">
        <f>'[1]HT-ADMINISTRATIVOS'!Q19</f>
        <v>0</v>
      </c>
      <c r="Q17" s="38">
        <f>'[1]HT-ADMINISTRATIVOS'!R19</f>
        <v>0</v>
      </c>
      <c r="R17" s="38">
        <f>E17*O4</f>
        <v>35.727199999999996</v>
      </c>
      <c r="S17" s="36">
        <f t="shared" si="4"/>
        <v>1948.7485376</v>
      </c>
      <c r="T17" s="28">
        <f>IF('[1]Calculo ISR '!$U$34&gt;0,0,'[1]Calculo ISR '!$U$34)*-1</f>
        <v>0</v>
      </c>
      <c r="U17" s="36">
        <f t="shared" ref="U17:U25" si="5">K17-S17+T17</f>
        <v>2281.2348224000002</v>
      </c>
      <c r="V17" s="36">
        <f t="shared" si="2"/>
        <v>465.5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902.7</v>
      </c>
      <c r="E18" s="36">
        <v>13540.55</v>
      </c>
      <c r="F18" s="36"/>
      <c r="G18" s="36"/>
      <c r="H18" s="36"/>
      <c r="I18" s="36">
        <f>'[1]HT-ADMINISTRATIVOS'!J20</f>
        <v>0</v>
      </c>
      <c r="J18" s="37"/>
      <c r="K18" s="36">
        <f t="shared" si="3"/>
        <v>13540.55</v>
      </c>
      <c r="L18" s="36">
        <f t="shared" si="0"/>
        <v>13540.55</v>
      </c>
      <c r="M18" s="28">
        <f>IF('[25]Calculo ISR '!$V$34&lt;0,0,'[25]Calculo ISR '!$V$34)</f>
        <v>2416.0495679999999</v>
      </c>
      <c r="N18" s="38">
        <f>E18*P4</f>
        <v>1421.7577499999998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4"/>
        <v>3837.8073179999997</v>
      </c>
      <c r="T18" s="28">
        <f>IF('[1]Calculo ISR '!$V$34&gt;0,0,'[1]Calculo ISR '!$V$34)*-1</f>
        <v>0</v>
      </c>
      <c r="U18" s="36">
        <f t="shared" si="5"/>
        <v>9702.7426820000001</v>
      </c>
      <c r="V18" s="36">
        <f t="shared" si="2"/>
        <v>0</v>
      </c>
      <c r="W18" s="46"/>
      <c r="X18" s="47"/>
    </row>
    <row r="19" spans="1:24" s="48" customFormat="1" ht="45" customHeight="1">
      <c r="A19" s="53" t="s">
        <v>51</v>
      </c>
      <c r="B19" s="33" t="s">
        <v>52</v>
      </c>
      <c r="C19" s="34">
        <v>15</v>
      </c>
      <c r="D19" s="50">
        <v>226.68</v>
      </c>
      <c r="E19" s="36">
        <v>3400.25</v>
      </c>
      <c r="F19" s="36"/>
      <c r="G19" s="36">
        <v>465.5</v>
      </c>
      <c r="H19" s="36"/>
      <c r="I19" s="36">
        <f>'[1]HT-ADMINISTRATIVOS'!J21</f>
        <v>0</v>
      </c>
      <c r="J19" s="37">
        <f>E19*L4</f>
        <v>64.604749999999996</v>
      </c>
      <c r="K19" s="36">
        <f t="shared" si="3"/>
        <v>3464.85475</v>
      </c>
      <c r="L19" s="36">
        <f t="shared" si="0"/>
        <v>3930.35475</v>
      </c>
      <c r="M19" s="28">
        <f>IF('[25]Calculo ISR '!$W$34&lt;0,0,'[25]Calculo ISR '!$W$34)</f>
        <v>147.7931088</v>
      </c>
      <c r="N19" s="38">
        <f>E19*P4</f>
        <v>357.02625</v>
      </c>
      <c r="O19" s="38">
        <v>1097</v>
      </c>
      <c r="P19" s="38">
        <f>'[1]HT-ADMINISTRATIVOS'!Q21</f>
        <v>0</v>
      </c>
      <c r="Q19" s="38">
        <f>'[1]HT-ADMINISTRATIVOS'!R21</f>
        <v>0</v>
      </c>
      <c r="R19" s="38">
        <f>E19*O4</f>
        <v>34.002499999999998</v>
      </c>
      <c r="S19" s="36">
        <f t="shared" si="4"/>
        <v>1635.8218588</v>
      </c>
      <c r="T19" s="28">
        <f>IF('[1]Calculo ISR '!$W$34&gt;0,0,'[1]Calculo ISR '!$W$34)*-1</f>
        <v>0</v>
      </c>
      <c r="U19" s="36">
        <f t="shared" si="5"/>
        <v>1829.0328912</v>
      </c>
      <c r="V19" s="36">
        <f t="shared" si="2"/>
        <v>465.5</v>
      </c>
      <c r="W19" s="46"/>
      <c r="X19" s="47"/>
    </row>
    <row r="20" spans="1:24" s="48" customFormat="1" ht="45" customHeight="1">
      <c r="A20" s="53" t="s">
        <v>53</v>
      </c>
      <c r="B20" s="33" t="s">
        <v>54</v>
      </c>
      <c r="C20" s="34">
        <v>15</v>
      </c>
      <c r="D20" s="50">
        <v>153.16</v>
      </c>
      <c r="E20" s="36">
        <v>2297.42</v>
      </c>
      <c r="F20" s="36"/>
      <c r="G20" s="36">
        <v>465.5</v>
      </c>
      <c r="H20" s="36"/>
      <c r="I20" s="36">
        <f>'[1]HT-ADMINISTRATIVOS'!J22</f>
        <v>0</v>
      </c>
      <c r="J20" s="37">
        <f>E20*L4</f>
        <v>43.650979999999997</v>
      </c>
      <c r="K20" s="36">
        <f t="shared" si="3"/>
        <v>2341.07098</v>
      </c>
      <c r="L20" s="36">
        <f t="shared" si="0"/>
        <v>2806.57098</v>
      </c>
      <c r="M20" s="28">
        <f>IF('[25]Calculo ISR '!$X$34&lt;0,0,'[25]Calculo ISR '!$X$34)</f>
        <v>0</v>
      </c>
      <c r="N20" s="38">
        <f>E20*P4</f>
        <v>241.22909999999999</v>
      </c>
      <c r="O20" s="38">
        <v>741</v>
      </c>
      <c r="P20" s="38">
        <f>'[1]HT-ADMINISTRATIVOS'!Q22</f>
        <v>0</v>
      </c>
      <c r="Q20" s="38">
        <f>'[1]HT-ADMINISTRATIVOS'!R22</f>
        <v>0</v>
      </c>
      <c r="R20" s="38">
        <f>E20*O4</f>
        <v>22.9742</v>
      </c>
      <c r="S20" s="36">
        <f t="shared" si="4"/>
        <v>1005.2033</v>
      </c>
      <c r="T20" s="28">
        <f>IF('[25]Calculo ISR '!$X$34&gt;0,0,('[25]Calculo ISR '!$X$34)*-1)</f>
        <v>9.7245653760000152</v>
      </c>
      <c r="U20" s="36">
        <f t="shared" si="5"/>
        <v>1345.5922453759999</v>
      </c>
      <c r="V20" s="36">
        <f t="shared" si="2"/>
        <v>465.5</v>
      </c>
      <c r="W20" s="46"/>
      <c r="X20" s="47"/>
    </row>
    <row r="21" spans="1:24" s="48" customFormat="1" ht="45" customHeight="1">
      <c r="A21" s="53" t="s">
        <v>55</v>
      </c>
      <c r="B21" s="33" t="s">
        <v>56</v>
      </c>
      <c r="C21" s="34">
        <v>15</v>
      </c>
      <c r="D21" s="50">
        <v>153.16</v>
      </c>
      <c r="E21" s="36">
        <v>2297.42</v>
      </c>
      <c r="F21" s="36"/>
      <c r="G21" s="36">
        <v>465.5</v>
      </c>
      <c r="H21" s="36">
        <v>521.5</v>
      </c>
      <c r="I21" s="36">
        <f>'[1]HT-ADMINISTRATIVOS'!J23</f>
        <v>0</v>
      </c>
      <c r="J21" s="37">
        <f>E21*L4</f>
        <v>43.650979999999997</v>
      </c>
      <c r="K21" s="36">
        <f t="shared" si="3"/>
        <v>2862.57098</v>
      </c>
      <c r="L21" s="36">
        <f t="shared" si="0"/>
        <v>3328.07098</v>
      </c>
      <c r="M21" s="28">
        <f>IF('[25]Calculo ISR '!$Y$34&lt;0,0,'[25]Calculo ISR '!$Y$34)</f>
        <v>62.014634623999967</v>
      </c>
      <c r="N21" s="38">
        <f>E21*P4</f>
        <v>241.22909999999999</v>
      </c>
      <c r="O21" s="38">
        <v>597</v>
      </c>
      <c r="P21" s="38">
        <f>'[1]HT-ADMINISTRATIVOS'!Q23</f>
        <v>0</v>
      </c>
      <c r="Q21" s="38">
        <f>'[1]HT-ADMINISTRATIVOS'!R23</f>
        <v>0</v>
      </c>
      <c r="R21" s="38">
        <f>E21*O4</f>
        <v>22.9742</v>
      </c>
      <c r="S21" s="36">
        <f t="shared" si="4"/>
        <v>923.21793462399989</v>
      </c>
      <c r="T21" s="28">
        <f>IF('[1]Calculo ISR '!$Y$34&gt;0,0,'[1]Calculo ISR '!$Y$34)*-1</f>
        <v>0</v>
      </c>
      <c r="U21" s="36">
        <f t="shared" si="5"/>
        <v>1939.353045376</v>
      </c>
      <c r="V21" s="36">
        <f t="shared" si="2"/>
        <v>465.5</v>
      </c>
      <c r="W21" s="46"/>
      <c r="X21" s="47"/>
    </row>
    <row r="22" spans="1:24" s="48" customFormat="1" ht="45" customHeight="1">
      <c r="A22" s="54" t="s">
        <v>61</v>
      </c>
      <c r="B22" s="166" t="s">
        <v>62</v>
      </c>
      <c r="C22" s="34">
        <v>15</v>
      </c>
      <c r="D22" s="50">
        <v>205.61</v>
      </c>
      <c r="E22" s="36">
        <f t="shared" ref="E22:E42" si="6">C22*D22</f>
        <v>3084.15</v>
      </c>
      <c r="F22" s="43"/>
      <c r="G22" s="36">
        <v>465.5</v>
      </c>
      <c r="H22" s="36">
        <v>521.5</v>
      </c>
      <c r="I22" s="36">
        <f>'[1]HT-ADMINISTRATIVOS'!J28</f>
        <v>0</v>
      </c>
      <c r="J22" s="37">
        <f>'[1]HT-ADMINISTRATIVOS'!I28</f>
        <v>0</v>
      </c>
      <c r="K22" s="36">
        <f t="shared" si="3"/>
        <v>3605.65</v>
      </c>
      <c r="L22" s="36">
        <f t="shared" si="0"/>
        <v>4071.15</v>
      </c>
      <c r="M22" s="28">
        <f>IF('[25]Calculo ISR '!$AB$34&lt;0,0,'[25]Calculo ISR '!$AB$34)</f>
        <v>180.81163199999995</v>
      </c>
      <c r="N22" s="38">
        <f>E22*P4</f>
        <v>323.83575000000002</v>
      </c>
      <c r="O22" s="38">
        <v>0</v>
      </c>
      <c r="P22" s="38">
        <f>'[1]HT-ADMINISTRATIVOS'!Q28</f>
        <v>0</v>
      </c>
      <c r="Q22" s="38">
        <f>'[1]HT-ADMINISTRATIVOS'!R28</f>
        <v>0</v>
      </c>
      <c r="R22" s="38">
        <f>E22*O4</f>
        <v>30.8415</v>
      </c>
      <c r="S22" s="36">
        <f t="shared" si="4"/>
        <v>535.48888199999999</v>
      </c>
      <c r="T22" s="28">
        <f>IF('[1]Calculo ISR '!$AB$34&gt;0,0,'[1]Calculo ISR '!$AB$34)*-1</f>
        <v>0</v>
      </c>
      <c r="U22" s="36">
        <f t="shared" si="5"/>
        <v>3070.161118</v>
      </c>
      <c r="V22" s="36">
        <f t="shared" si="2"/>
        <v>465.5</v>
      </c>
      <c r="W22" s="46"/>
      <c r="X22" s="47"/>
    </row>
    <row r="23" spans="1:24" s="48" customFormat="1" ht="45" customHeight="1">
      <c r="A23" s="54" t="s">
        <v>63</v>
      </c>
      <c r="B23" s="166" t="s">
        <v>64</v>
      </c>
      <c r="C23" s="34">
        <v>15</v>
      </c>
      <c r="D23" s="50">
        <v>186.24</v>
      </c>
      <c r="E23" s="36">
        <v>2793.65</v>
      </c>
      <c r="F23" s="43"/>
      <c r="G23" s="36">
        <v>465.5</v>
      </c>
      <c r="H23" s="36">
        <v>1043</v>
      </c>
      <c r="I23" s="36">
        <f>'[1]HT-ADMINISTRATIVOS'!J29</f>
        <v>0</v>
      </c>
      <c r="J23" s="37">
        <f>'[1]HT-ADMINISTRATIVOS'!I29</f>
        <v>0</v>
      </c>
      <c r="K23" s="36">
        <f t="shared" si="3"/>
        <v>3836.65</v>
      </c>
      <c r="L23" s="36">
        <f t="shared" si="0"/>
        <v>4302.1499999999996</v>
      </c>
      <c r="M23" s="28">
        <f>IF('[25]Calculo ISR '!$AC$34&lt;0,0,'[25]Calculo ISR '!$AC$34)</f>
        <v>322.95239999999995</v>
      </c>
      <c r="N23" s="38">
        <f>E23*P4</f>
        <v>293.33325000000002</v>
      </c>
      <c r="O23" s="38">
        <v>1081</v>
      </c>
      <c r="P23" s="38">
        <f>'[1]HT-ADMINISTRATIVOS'!Q29</f>
        <v>0</v>
      </c>
      <c r="Q23" s="38">
        <f>'[1]HT-ADMINISTRATIVOS'!R29</f>
        <v>0</v>
      </c>
      <c r="R23" s="38">
        <f>E23*O4</f>
        <v>27.936500000000002</v>
      </c>
      <c r="S23" s="36">
        <f t="shared" si="4"/>
        <v>1725.2221500000001</v>
      </c>
      <c r="T23" s="28">
        <f>IF('[1]Calculo ISR '!$AC$34&gt;0,0,'[1]Calculo ISR '!$AC$34)*-1</f>
        <v>0</v>
      </c>
      <c r="U23" s="36">
        <f t="shared" si="5"/>
        <v>2111.42785</v>
      </c>
      <c r="V23" s="36">
        <f t="shared" si="2"/>
        <v>465.5</v>
      </c>
      <c r="W23" s="46"/>
      <c r="X23" s="47"/>
    </row>
    <row r="24" spans="1:24" s="48" customFormat="1" ht="45" customHeight="1">
      <c r="A24" s="56" t="s">
        <v>65</v>
      </c>
      <c r="B24" s="166" t="s">
        <v>66</v>
      </c>
      <c r="C24" s="34">
        <v>15</v>
      </c>
      <c r="D24" s="50">
        <v>146.38999999999999</v>
      </c>
      <c r="E24" s="36">
        <v>2195.92</v>
      </c>
      <c r="F24" s="43"/>
      <c r="G24" s="36">
        <v>465.5</v>
      </c>
      <c r="H24" s="36">
        <v>521.5</v>
      </c>
      <c r="I24" s="36">
        <f>'[1]HT-ADMINISTRATIVOS'!J31</f>
        <v>0</v>
      </c>
      <c r="J24" s="37">
        <f>'[1]HT-ADMINISTRATIVOS'!I31</f>
        <v>0</v>
      </c>
      <c r="K24" s="36">
        <f t="shared" si="3"/>
        <v>2717.42</v>
      </c>
      <c r="L24" s="36">
        <f t="shared" si="0"/>
        <v>3182.92</v>
      </c>
      <c r="M24" s="28">
        <f>IF('[25]Calculo ISR '!$AD$34&lt;0,0,'[25]Calculo ISR '!$AD$34)</f>
        <v>46.222207999999995</v>
      </c>
      <c r="N24" s="38">
        <f>E24*P4</f>
        <v>230.57159999999999</v>
      </c>
      <c r="O24" s="38">
        <v>0</v>
      </c>
      <c r="P24" s="38">
        <f>'[1]HT-ADMINISTRATIVOS'!Q31</f>
        <v>0</v>
      </c>
      <c r="Q24" s="38">
        <f>'[1]HT-ADMINISTRATIVOS'!R31</f>
        <v>0</v>
      </c>
      <c r="R24" s="38">
        <f>E24*O4</f>
        <v>21.959200000000003</v>
      </c>
      <c r="S24" s="36">
        <f t="shared" si="4"/>
        <v>298.75300800000002</v>
      </c>
      <c r="T24" s="28">
        <f>IF('[1]Calculo ISR '!$AD$34&gt;0,0,'[1]Calculo ISR '!$AD$34)*-1</f>
        <v>0</v>
      </c>
      <c r="U24" s="36">
        <f t="shared" si="5"/>
        <v>2418.6669919999999</v>
      </c>
      <c r="V24" s="36">
        <f t="shared" si="2"/>
        <v>465.5</v>
      </c>
      <c r="W24" s="46"/>
      <c r="X24" s="47"/>
    </row>
    <row r="25" spans="1:24" s="48" customFormat="1" ht="45" customHeight="1">
      <c r="A25" s="56" t="s">
        <v>67</v>
      </c>
      <c r="B25" s="167" t="s">
        <v>68</v>
      </c>
      <c r="C25" s="34">
        <v>15</v>
      </c>
      <c r="D25" s="50">
        <v>553.13</v>
      </c>
      <c r="E25" s="36">
        <v>8296.9699999999993</v>
      </c>
      <c r="F25" s="43"/>
      <c r="G25" s="36"/>
      <c r="H25" s="36"/>
      <c r="I25" s="36">
        <f>'[1]HT-ADMINISTRATIVOS'!J32</f>
        <v>0</v>
      </c>
      <c r="J25" s="37"/>
      <c r="K25" s="36">
        <f t="shared" si="3"/>
        <v>8296.9699999999993</v>
      </c>
      <c r="L25" s="36">
        <f t="shared" si="0"/>
        <v>8296.9699999999993</v>
      </c>
      <c r="M25" s="28">
        <f>IF('[25]Calculo ISR '!$AE$34&lt;0,0,'[25]Calculo ISR '!$AE$34)</f>
        <v>1225.0436159999999</v>
      </c>
      <c r="N25" s="38">
        <f>E25*P4</f>
        <v>871.18184999999994</v>
      </c>
      <c r="O25" s="38">
        <v>2150.31</v>
      </c>
      <c r="P25" s="38">
        <f>'[1]HT-ADMINISTRATIVOS'!Q32</f>
        <v>0</v>
      </c>
      <c r="Q25" s="38">
        <f>'[1]HT-ADMINISTRATIVOS'!R32</f>
        <v>0</v>
      </c>
      <c r="R25" s="38">
        <f>'[1]HT-ADMINISTRATIVOS'!S32</f>
        <v>0</v>
      </c>
      <c r="S25" s="36">
        <f t="shared" si="4"/>
        <v>4246.5354659999994</v>
      </c>
      <c r="T25" s="28">
        <f>IF('[1]Calculo ISR '!$AE$34&gt;0,0,'[1]Calculo ISR '!$AE$34)*-1</f>
        <v>0</v>
      </c>
      <c r="U25" s="36">
        <f t="shared" si="5"/>
        <v>4050.434534</v>
      </c>
      <c r="V25" s="36">
        <f t="shared" si="2"/>
        <v>0</v>
      </c>
      <c r="W25" s="46"/>
      <c r="X25" s="47"/>
    </row>
    <row r="26" spans="1:24" s="48" customFormat="1" ht="45" customHeight="1">
      <c r="A26" s="58" t="s">
        <v>69</v>
      </c>
      <c r="B26" s="168" t="s">
        <v>70</v>
      </c>
      <c r="C26" s="34">
        <v>15</v>
      </c>
      <c r="D26" s="50">
        <v>238.18</v>
      </c>
      <c r="E26" s="36">
        <v>3572.72</v>
      </c>
      <c r="F26" s="43"/>
      <c r="G26" s="36">
        <v>465.5</v>
      </c>
      <c r="H26" s="36"/>
      <c r="I26" s="36">
        <f>'[1]HT-ADMINISTRATIVOS'!J33</f>
        <v>0</v>
      </c>
      <c r="J26" s="37">
        <f>'[1]HT-ADMINISTRATIVOS'!I33</f>
        <v>0</v>
      </c>
      <c r="K26" s="36">
        <f t="shared" si="3"/>
        <v>3572.72</v>
      </c>
      <c r="L26" s="36">
        <f t="shared" si="0"/>
        <v>4038.22</v>
      </c>
      <c r="M26" s="28">
        <f>IF('[25]Calculo ISR '!$AF$34&lt;0,0,'[25]Calculo ISR '!$AF$34)</f>
        <v>177.22884799999994</v>
      </c>
      <c r="N26" s="38">
        <f>E26*P4</f>
        <v>375.13559999999995</v>
      </c>
      <c r="O26" s="38">
        <v>689.44</v>
      </c>
      <c r="P26" s="143"/>
      <c r="Q26" s="38"/>
      <c r="R26" s="38">
        <f>E26*O4</f>
        <v>35.727199999999996</v>
      </c>
      <c r="S26" s="36">
        <f>M26+N26+O26+R26+P26+Q26</f>
        <v>1277.5316479999999</v>
      </c>
      <c r="T26" s="28">
        <f>IF('[1]Calculo ISR '!$AF$34&gt;0,0,'[1]Calculo ISR '!$AF$34)*-1</f>
        <v>0</v>
      </c>
      <c r="U26" s="36">
        <f>K26-S26+T26</f>
        <v>2295.1883520000001</v>
      </c>
      <c r="V26" s="36">
        <f t="shared" si="2"/>
        <v>465.5</v>
      </c>
      <c r="W26" s="46"/>
      <c r="X26" s="47"/>
    </row>
    <row r="27" spans="1:24" s="48" customFormat="1" ht="45" customHeight="1">
      <c r="A27" s="60" t="s">
        <v>71</v>
      </c>
      <c r="B27" s="169" t="s">
        <v>72</v>
      </c>
      <c r="C27" s="66">
        <v>15</v>
      </c>
      <c r="D27" s="50">
        <v>146.38999999999999</v>
      </c>
      <c r="E27" s="36">
        <v>2195.92</v>
      </c>
      <c r="F27" s="43"/>
      <c r="G27" s="36">
        <v>465.5</v>
      </c>
      <c r="H27" s="36"/>
      <c r="I27" s="36">
        <f>'[1]HT-ADMINISTRATIVOS'!J35</f>
        <v>0</v>
      </c>
      <c r="J27" s="37">
        <f>'[1]HT-ADMINISTRATIVOS'!I35</f>
        <v>0</v>
      </c>
      <c r="K27" s="36">
        <f t="shared" si="3"/>
        <v>2195.92</v>
      </c>
      <c r="L27" s="36">
        <f t="shared" si="0"/>
        <v>2661.42</v>
      </c>
      <c r="M27" s="28">
        <f>IF('[25]Calculo ISR '!$AG$34&lt;0,0,'[25]Calculo ISR '!$AG$34)</f>
        <v>0</v>
      </c>
      <c r="N27" s="38">
        <f>E27*P4</f>
        <v>230.57159999999999</v>
      </c>
      <c r="O27" s="38">
        <v>610</v>
      </c>
      <c r="P27" s="38">
        <f>'[1]HT-ADMINISTRATIVOS'!Q35</f>
        <v>0</v>
      </c>
      <c r="Q27" s="38">
        <f>'[1]HT-ADMINISTRATIVOS'!R35</f>
        <v>0</v>
      </c>
      <c r="R27" s="38">
        <f>E27*O4</f>
        <v>21.959200000000003</v>
      </c>
      <c r="S27" s="36">
        <f t="shared" si="4"/>
        <v>862.5308</v>
      </c>
      <c r="T27" s="28">
        <f>IF('[25]Calculo ISR '!$AG$34&gt;0,0,'[25]Calculo ISR '!$AG$34)*-1</f>
        <v>39.916992000000022</v>
      </c>
      <c r="U27" s="36">
        <f>K27-S27+T27</f>
        <v>1373.306192</v>
      </c>
      <c r="V27" s="36">
        <f t="shared" si="2"/>
        <v>465.5</v>
      </c>
      <c r="W27" s="67"/>
      <c r="X27" s="47"/>
    </row>
    <row r="28" spans="1:24" s="48" customFormat="1" ht="45" customHeight="1">
      <c r="A28" s="53" t="s">
        <v>73</v>
      </c>
      <c r="B28" s="169" t="s">
        <v>74</v>
      </c>
      <c r="C28" s="66">
        <v>15</v>
      </c>
      <c r="D28" s="50">
        <v>553.13</v>
      </c>
      <c r="E28" s="36">
        <v>8296.9699999999993</v>
      </c>
      <c r="F28" s="43"/>
      <c r="G28" s="36"/>
      <c r="H28" s="36"/>
      <c r="I28" s="36">
        <f>'[1]HT-ADMINISTRATIVOS'!J36</f>
        <v>0</v>
      </c>
      <c r="J28" s="37">
        <f>'[1]HT-ADMINISTRATIVOS'!I36</f>
        <v>0</v>
      </c>
      <c r="K28" s="36">
        <f t="shared" si="3"/>
        <v>8296.9699999999993</v>
      </c>
      <c r="L28" s="36">
        <f t="shared" si="0"/>
        <v>8296.9699999999993</v>
      </c>
      <c r="M28" s="28">
        <f>IF('[25]Calculo ISR '!$AH$34&lt;0,0,'[25]Calculo ISR '!$AH$34)</f>
        <v>1225.0436159999999</v>
      </c>
      <c r="N28" s="38">
        <f>E28*P4</f>
        <v>871.18184999999994</v>
      </c>
      <c r="O28" s="38">
        <v>0</v>
      </c>
      <c r="P28" s="38">
        <f>'[1]HT-ADMINISTRATIVOS'!Q36</f>
        <v>0</v>
      </c>
      <c r="Q28" s="38">
        <f>'[1]HT-ADMINISTRATIVOS'!R36</f>
        <v>0</v>
      </c>
      <c r="R28" s="38">
        <f>'[1]HT-ADMINISTRATIVOS'!S36</f>
        <v>0</v>
      </c>
      <c r="S28" s="36">
        <f t="shared" si="4"/>
        <v>2096.2254659999999</v>
      </c>
      <c r="T28" s="28">
        <f>IF('[1]Calculo ISR '!$AH$34&gt;0,0,'[1]Calculo ISR '!$AH$34)*-1</f>
        <v>0</v>
      </c>
      <c r="U28" s="36">
        <f>K28-S28+T28</f>
        <v>6200.7445339999995</v>
      </c>
      <c r="V28" s="36">
        <f t="shared" si="2"/>
        <v>0</v>
      </c>
      <c r="W28" s="67"/>
      <c r="X28" s="47"/>
    </row>
    <row r="29" spans="1:24" s="48" customFormat="1" ht="45" customHeight="1">
      <c r="A29" s="68" t="s">
        <v>75</v>
      </c>
      <c r="B29" s="169" t="s">
        <v>76</v>
      </c>
      <c r="C29" s="66">
        <v>15</v>
      </c>
      <c r="D29" s="50">
        <v>146.38999999999999</v>
      </c>
      <c r="E29" s="36">
        <v>2195.92</v>
      </c>
      <c r="F29" s="43"/>
      <c r="G29" s="36">
        <v>465.5</v>
      </c>
      <c r="H29" s="36"/>
      <c r="I29" s="36">
        <f>'[1]HT-ADMINISTRATIVOS'!J37</f>
        <v>0</v>
      </c>
      <c r="J29" s="37">
        <f>'[1]HT-ADMINISTRATIVOS'!I37</f>
        <v>0</v>
      </c>
      <c r="K29" s="36">
        <f t="shared" si="3"/>
        <v>2195.92</v>
      </c>
      <c r="L29" s="36">
        <f t="shared" si="0"/>
        <v>2661.42</v>
      </c>
      <c r="M29" s="28">
        <f>IF('[25]Calculo ISR '!$AI$34&lt;0,0,'[25]Calculo ISR '!$AI$34)</f>
        <v>0</v>
      </c>
      <c r="N29" s="38">
        <f>E29*P4</f>
        <v>230.57159999999999</v>
      </c>
      <c r="O29" s="38">
        <v>0</v>
      </c>
      <c r="P29" s="38">
        <f>'[1]HT-ADMINISTRATIVOS'!Q37</f>
        <v>0</v>
      </c>
      <c r="Q29" s="38">
        <f>'[1]HT-ADMINISTRATIVOS'!R37</f>
        <v>0</v>
      </c>
      <c r="R29" s="38">
        <f>E29*O4</f>
        <v>21.959200000000003</v>
      </c>
      <c r="S29" s="36">
        <f t="shared" si="4"/>
        <v>252.5308</v>
      </c>
      <c r="T29" s="28">
        <f>IF('[25]Calculo ISR '!$AI$34&gt;0,0,'[25]Calculo ISR '!$AI$34)*-1</f>
        <v>39.916992000000022</v>
      </c>
      <c r="U29" s="36">
        <f>K29-S29+T29</f>
        <v>1983.306192</v>
      </c>
      <c r="V29" s="36">
        <f t="shared" si="2"/>
        <v>465.5</v>
      </c>
      <c r="W29" s="67"/>
      <c r="X29" s="47"/>
    </row>
    <row r="30" spans="1:24" s="81" customFormat="1" ht="45" customHeight="1">
      <c r="A30" s="53" t="s">
        <v>79</v>
      </c>
      <c r="B30" s="169" t="s">
        <v>80</v>
      </c>
      <c r="C30" s="66">
        <v>15</v>
      </c>
      <c r="D30" s="76">
        <v>553.13</v>
      </c>
      <c r="E30" s="36">
        <v>8296.9699999999993</v>
      </c>
      <c r="F30" s="50"/>
      <c r="G30" s="36"/>
      <c r="H30" s="50"/>
      <c r="I30" s="50"/>
      <c r="J30" s="50"/>
      <c r="K30" s="36">
        <f t="shared" si="3"/>
        <v>8296.9699999999993</v>
      </c>
      <c r="L30" s="36">
        <f t="shared" si="0"/>
        <v>8296.9699999999993</v>
      </c>
      <c r="M30" s="28">
        <f>IF('[25]Calculo ISR '!$AK$34&lt;0,0,'[25]Calculo ISR '!$AK$34)</f>
        <v>1225.0436159999999</v>
      </c>
      <c r="N30" s="79">
        <f>E30*P4</f>
        <v>871.18184999999994</v>
      </c>
      <c r="O30" s="78"/>
      <c r="P30" s="50"/>
      <c r="Q30" s="78"/>
      <c r="R30" s="50"/>
      <c r="S30" s="50">
        <f t="shared" ref="S30:S41" si="7">M30+N30+O30+P30+Q30+R30</f>
        <v>2096.2254659999999</v>
      </c>
      <c r="T30" s="28">
        <f>IF('[1]Calculo ISR '!$AK$34&gt;0,0,'[1]Calculo ISR '!$AK$34)*-1</f>
        <v>0</v>
      </c>
      <c r="U30" s="79">
        <f>K30-S30</f>
        <v>6200.7445339999995</v>
      </c>
      <c r="V30" s="36">
        <f t="shared" si="2"/>
        <v>0</v>
      </c>
      <c r="W30" s="80"/>
      <c r="X30" s="47"/>
    </row>
    <row r="31" spans="1:24" s="81" customFormat="1" ht="45" customHeight="1">
      <c r="A31" s="91" t="s">
        <v>83</v>
      </c>
      <c r="B31" s="137" t="s">
        <v>84</v>
      </c>
      <c r="C31" s="66">
        <v>15</v>
      </c>
      <c r="D31" s="76">
        <v>186.24</v>
      </c>
      <c r="E31" s="36">
        <v>2793.65</v>
      </c>
      <c r="F31" s="50"/>
      <c r="G31" s="36">
        <v>465.5</v>
      </c>
      <c r="H31" s="50">
        <v>1043</v>
      </c>
      <c r="I31" s="50"/>
      <c r="J31" s="50"/>
      <c r="K31" s="36">
        <f t="shared" si="3"/>
        <v>3836.65</v>
      </c>
      <c r="L31" s="36">
        <f t="shared" si="0"/>
        <v>4302.1499999999996</v>
      </c>
      <c r="M31" s="28">
        <f>IF('[25]Calculo ISR '!$AM$34&lt;0,0,'[25]Calculo ISR '!$AM$34)</f>
        <v>322.95239999999995</v>
      </c>
      <c r="N31" s="92">
        <f>E31*P4</f>
        <v>293.33325000000002</v>
      </c>
      <c r="O31" s="78">
        <v>0</v>
      </c>
      <c r="P31" s="50"/>
      <c r="Q31" s="78"/>
      <c r="R31" s="50">
        <f>E31*O4</f>
        <v>27.936500000000002</v>
      </c>
      <c r="S31" s="50">
        <f>M31+N31+O31+P31+Q31+R31</f>
        <v>644.22215000000006</v>
      </c>
      <c r="T31" s="28">
        <f>IF('[1]Calculo ISR '!$AM$34&gt;0,0,'[1]Calculo ISR '!$AM$34)*-1</f>
        <v>0</v>
      </c>
      <c r="U31" s="79">
        <f t="shared" ref="U31:U44" si="8">K31-S31+T31</f>
        <v>3192.42785</v>
      </c>
      <c r="V31" s="36">
        <f t="shared" si="2"/>
        <v>465.5</v>
      </c>
      <c r="W31" s="80"/>
      <c r="X31" s="47"/>
    </row>
    <row r="32" spans="1:24" s="81" customFormat="1" ht="45" customHeight="1">
      <c r="A32" s="91" t="s">
        <v>85</v>
      </c>
      <c r="B32" s="137" t="s">
        <v>86</v>
      </c>
      <c r="C32" s="66">
        <v>15</v>
      </c>
      <c r="D32" s="76">
        <v>226.68</v>
      </c>
      <c r="E32" s="36">
        <v>3400.25</v>
      </c>
      <c r="F32" s="50"/>
      <c r="G32" s="36">
        <v>465.5</v>
      </c>
      <c r="H32" s="50"/>
      <c r="I32" s="50"/>
      <c r="J32" s="50"/>
      <c r="K32" s="36">
        <f t="shared" si="3"/>
        <v>3400.25</v>
      </c>
      <c r="L32" s="36">
        <f t="shared" si="0"/>
        <v>3865.75</v>
      </c>
      <c r="M32" s="28">
        <f>IF('[25]Calculo ISR '!$AN$34&lt;0,0,'[25]Calculo ISR '!$AN$34)</f>
        <v>140.76411199999998</v>
      </c>
      <c r="N32" s="92">
        <f>E32*P4</f>
        <v>357.02625</v>
      </c>
      <c r="O32" s="78">
        <v>0</v>
      </c>
      <c r="P32" s="50"/>
      <c r="Q32" s="78"/>
      <c r="R32" s="50">
        <v>0</v>
      </c>
      <c r="S32" s="50">
        <f t="shared" si="7"/>
        <v>497.79036199999996</v>
      </c>
      <c r="T32" s="28">
        <f>IF('[1]Calculo ISR '!$AN$34&gt;0,0,'[1]Calculo ISR '!$AN$34)*-1</f>
        <v>0</v>
      </c>
      <c r="U32" s="79">
        <f t="shared" si="8"/>
        <v>2902.4596380000003</v>
      </c>
      <c r="V32" s="36">
        <f t="shared" si="2"/>
        <v>465.5</v>
      </c>
      <c r="W32" s="80"/>
      <c r="X32" s="47"/>
    </row>
    <row r="33" spans="1:26" s="81" customFormat="1" ht="45" customHeight="1">
      <c r="A33" s="91" t="s">
        <v>87</v>
      </c>
      <c r="B33" s="170" t="s">
        <v>88</v>
      </c>
      <c r="C33" s="66">
        <v>15</v>
      </c>
      <c r="D33" s="76">
        <v>553.13</v>
      </c>
      <c r="E33" s="36">
        <v>8296.9699999999993</v>
      </c>
      <c r="F33" s="50"/>
      <c r="G33" s="36"/>
      <c r="H33" s="50"/>
      <c r="I33" s="50"/>
      <c r="J33" s="50"/>
      <c r="K33" s="36">
        <f t="shared" si="3"/>
        <v>8296.9699999999993</v>
      </c>
      <c r="L33" s="36">
        <f t="shared" si="0"/>
        <v>8296.9699999999993</v>
      </c>
      <c r="M33" s="28">
        <f>IF('[25]Calculo ISR '!$AO$34&lt;0,0,'[25]Calculo ISR '!$AO$34)</f>
        <v>1225.0436159999999</v>
      </c>
      <c r="N33" s="92">
        <f>E33*P4</f>
        <v>871.18184999999994</v>
      </c>
      <c r="O33" s="78">
        <v>1338</v>
      </c>
      <c r="P33" s="50"/>
      <c r="Q33" s="78"/>
      <c r="R33" s="50"/>
      <c r="S33" s="50">
        <f t="shared" si="7"/>
        <v>3434.2254659999999</v>
      </c>
      <c r="T33" s="28">
        <f>IF('[1]Calculo ISR '!$AO$34&gt;0,0,'[1]Calculo ISR '!$AO$34)*-1</f>
        <v>0</v>
      </c>
      <c r="U33" s="79">
        <f t="shared" si="8"/>
        <v>4862.7445339999995</v>
      </c>
      <c r="V33" s="36">
        <f t="shared" si="2"/>
        <v>0</v>
      </c>
      <c r="W33" s="80"/>
      <c r="X33" s="47"/>
    </row>
    <row r="34" spans="1:26" s="81" customFormat="1" ht="45" customHeight="1">
      <c r="A34" s="91" t="s">
        <v>89</v>
      </c>
      <c r="B34" s="170" t="s">
        <v>90</v>
      </c>
      <c r="C34" s="66">
        <v>15</v>
      </c>
      <c r="D34" s="76">
        <v>177.16</v>
      </c>
      <c r="E34" s="36">
        <v>2657.47</v>
      </c>
      <c r="F34" s="50"/>
      <c r="G34" s="36">
        <v>465.5</v>
      </c>
      <c r="H34" s="50"/>
      <c r="I34" s="50"/>
      <c r="J34" s="50"/>
      <c r="K34" s="36">
        <f t="shared" si="3"/>
        <v>2657.47</v>
      </c>
      <c r="L34" s="36">
        <f t="shared" si="0"/>
        <v>3122.97</v>
      </c>
      <c r="M34" s="28">
        <f>IF('[25]Calculo ISR '!$AP$34&lt;0,0,'[25]Calculo ISR '!$AP$34)</f>
        <v>39.699647999999968</v>
      </c>
      <c r="N34" s="92">
        <f>E34*P4</f>
        <v>279.03434999999996</v>
      </c>
      <c r="O34" s="78">
        <v>0</v>
      </c>
      <c r="P34" s="50"/>
      <c r="Q34" s="78"/>
      <c r="R34" s="50"/>
      <c r="S34" s="50">
        <f t="shared" si="7"/>
        <v>318.73399799999993</v>
      </c>
      <c r="T34" s="28">
        <f>IF('[1]Calculo ISR '!$AP$34&gt;0,0,'[1]Calculo ISR '!$AP$34)*-1</f>
        <v>0</v>
      </c>
      <c r="U34" s="79">
        <f t="shared" si="8"/>
        <v>2338.7360019999996</v>
      </c>
      <c r="V34" s="36">
        <f t="shared" si="2"/>
        <v>465.5</v>
      </c>
      <c r="W34" s="80"/>
      <c r="X34" s="47"/>
    </row>
    <row r="35" spans="1:26" s="81" customFormat="1" ht="45" customHeight="1">
      <c r="A35" s="91" t="s">
        <v>91</v>
      </c>
      <c r="B35" s="170" t="s">
        <v>92</v>
      </c>
      <c r="C35" s="66">
        <v>15</v>
      </c>
      <c r="D35" s="76">
        <v>135.83000000000001</v>
      </c>
      <c r="E35" s="36">
        <v>2037.52</v>
      </c>
      <c r="F35" s="50"/>
      <c r="G35" s="36">
        <v>465.5</v>
      </c>
      <c r="H35" s="50"/>
      <c r="I35" s="50"/>
      <c r="J35" s="50"/>
      <c r="K35" s="36">
        <f t="shared" si="3"/>
        <v>2037.52</v>
      </c>
      <c r="L35" s="36">
        <f t="shared" si="0"/>
        <v>2503.02</v>
      </c>
      <c r="M35" s="28">
        <f>IF('[25]Calculo ISR '!$AQ$34&lt;0,0,'[25]Calculo ISR '!$AQ$34)</f>
        <v>0</v>
      </c>
      <c r="N35" s="92">
        <f>E35*P4</f>
        <v>213.93959999999998</v>
      </c>
      <c r="O35" s="78">
        <v>679</v>
      </c>
      <c r="P35" s="50"/>
      <c r="Q35" s="78"/>
      <c r="R35" s="50">
        <f>E35*O4</f>
        <v>20.3752</v>
      </c>
      <c r="S35" s="50">
        <f t="shared" si="7"/>
        <v>913.31479999999988</v>
      </c>
      <c r="T35" s="28">
        <f>IF('[25]Calculo ISR '!$AQ$34&gt;0,0,'[25]Calculo ISR '!$AQ$34)*-1</f>
        <v>69.316559999999981</v>
      </c>
      <c r="U35" s="79">
        <f t="shared" si="8"/>
        <v>1193.5217600000001</v>
      </c>
      <c r="V35" s="36">
        <f t="shared" si="2"/>
        <v>465.5</v>
      </c>
      <c r="W35" s="80"/>
      <c r="X35" s="47"/>
    </row>
    <row r="36" spans="1:26" s="81" customFormat="1" ht="45" customHeight="1">
      <c r="A36" s="91" t="s">
        <v>93</v>
      </c>
      <c r="B36" s="170" t="s">
        <v>94</v>
      </c>
      <c r="C36" s="66">
        <v>15</v>
      </c>
      <c r="D36" s="76">
        <v>135.83000000000001</v>
      </c>
      <c r="E36" s="36">
        <v>2037.52</v>
      </c>
      <c r="F36" s="50"/>
      <c r="G36" s="36">
        <v>465.5</v>
      </c>
      <c r="H36" s="50"/>
      <c r="I36" s="50"/>
      <c r="J36" s="50"/>
      <c r="K36" s="36">
        <f t="shared" si="3"/>
        <v>2037.52</v>
      </c>
      <c r="L36" s="36">
        <f t="shared" si="0"/>
        <v>2503.02</v>
      </c>
      <c r="M36" s="28">
        <f>IF('[25]Calculo ISR '!$AR$34&lt;0,0,'[25]Calculo ISR '!$AR$34)</f>
        <v>0</v>
      </c>
      <c r="N36" s="92">
        <f>E36*P4</f>
        <v>213.93959999999998</v>
      </c>
      <c r="O36" s="78">
        <v>0</v>
      </c>
      <c r="P36" s="50"/>
      <c r="Q36" s="78"/>
      <c r="R36" s="50">
        <f>E36*O4</f>
        <v>20.3752</v>
      </c>
      <c r="S36" s="50">
        <f t="shared" si="7"/>
        <v>234.31479999999999</v>
      </c>
      <c r="T36" s="28">
        <f>IF('[25]Calculo ISR '!$AR$34&gt;0,0,'[25]Calculo ISR '!$AR$34)*-1</f>
        <v>69.316559999999981</v>
      </c>
      <c r="U36" s="79">
        <f t="shared" si="8"/>
        <v>1872.5217599999999</v>
      </c>
      <c r="V36" s="36">
        <f t="shared" si="2"/>
        <v>465.5</v>
      </c>
      <c r="W36" s="80"/>
      <c r="X36" s="47"/>
    </row>
    <row r="37" spans="1:26" s="81" customFormat="1" ht="45" customHeight="1">
      <c r="A37" s="91" t="s">
        <v>95</v>
      </c>
      <c r="B37" s="170" t="s">
        <v>96</v>
      </c>
      <c r="C37" s="66">
        <v>15</v>
      </c>
      <c r="D37" s="76">
        <v>780.2</v>
      </c>
      <c r="E37" s="36">
        <f t="shared" si="6"/>
        <v>11703</v>
      </c>
      <c r="F37" s="50"/>
      <c r="G37" s="36"/>
      <c r="H37" s="50"/>
      <c r="I37" s="50"/>
      <c r="J37" s="50"/>
      <c r="K37" s="36">
        <f t="shared" si="3"/>
        <v>11703</v>
      </c>
      <c r="L37" s="36">
        <f t="shared" si="0"/>
        <v>11703</v>
      </c>
      <c r="M37" s="28">
        <f>IF('[25]Calculo ISR '!$AS$34&lt;0,0,'[25]Calculo ISR '!$AS$34)</f>
        <v>1983.8578080000002</v>
      </c>
      <c r="N37" s="92">
        <f>E37*P4</f>
        <v>1228.8150000000001</v>
      </c>
      <c r="O37" s="78">
        <v>0</v>
      </c>
      <c r="P37" s="50"/>
      <c r="Q37" s="78"/>
      <c r="R37" s="50"/>
      <c r="S37" s="50">
        <f t="shared" si="7"/>
        <v>3212.6728080000003</v>
      </c>
      <c r="T37" s="28">
        <f>IF('[1]Calculo ISR '!$AS$34&gt;0,0,'[1]Calculo ISR '!$AS$34)*-1</f>
        <v>0</v>
      </c>
      <c r="U37" s="79">
        <f t="shared" si="8"/>
        <v>8490.3271920000007</v>
      </c>
      <c r="V37" s="36">
        <f t="shared" si="2"/>
        <v>0</v>
      </c>
      <c r="W37" s="80"/>
      <c r="X37" s="47"/>
    </row>
    <row r="38" spans="1:26" s="81" customFormat="1" ht="45" customHeight="1">
      <c r="A38" s="91" t="s">
        <v>99</v>
      </c>
      <c r="B38" s="170" t="s">
        <v>100</v>
      </c>
      <c r="C38" s="66">
        <v>15</v>
      </c>
      <c r="D38" s="76">
        <v>177.16</v>
      </c>
      <c r="E38" s="36">
        <v>2657.47</v>
      </c>
      <c r="F38" s="50"/>
      <c r="G38" s="36">
        <v>465.5</v>
      </c>
      <c r="H38" s="50"/>
      <c r="I38" s="50"/>
      <c r="J38" s="50"/>
      <c r="K38" s="36">
        <f t="shared" si="3"/>
        <v>2657.47</v>
      </c>
      <c r="L38" s="36">
        <f t="shared" si="0"/>
        <v>3122.97</v>
      </c>
      <c r="M38" s="28">
        <f>IF('[25]Calculo ISR '!$AU$34&lt;0,0,'[25]Calculo ISR '!$AU$34)</f>
        <v>39.699647999999968</v>
      </c>
      <c r="N38" s="92">
        <f>E38*P4</f>
        <v>279.03434999999996</v>
      </c>
      <c r="O38" s="78">
        <v>0</v>
      </c>
      <c r="P38" s="50"/>
      <c r="Q38" s="78"/>
      <c r="R38" s="50"/>
      <c r="S38" s="50">
        <f t="shared" si="7"/>
        <v>318.73399799999993</v>
      </c>
      <c r="T38" s="28">
        <f>IF('[1]Calculo ISR '!$AU$34&gt;0,0,'[1]Calculo ISR '!$AU$34)*-1</f>
        <v>0</v>
      </c>
      <c r="U38" s="79">
        <f t="shared" si="8"/>
        <v>2338.7360019999996</v>
      </c>
      <c r="V38" s="36">
        <f t="shared" si="2"/>
        <v>465.5</v>
      </c>
      <c r="W38" s="80"/>
      <c r="X38" s="47"/>
    </row>
    <row r="39" spans="1:26" s="81" customFormat="1" ht="45" customHeight="1">
      <c r="A39" s="91" t="s">
        <v>101</v>
      </c>
      <c r="B39" s="170" t="s">
        <v>121</v>
      </c>
      <c r="C39" s="66">
        <v>15</v>
      </c>
      <c r="D39" s="76">
        <v>780.2</v>
      </c>
      <c r="E39" s="36">
        <f t="shared" si="6"/>
        <v>11703</v>
      </c>
      <c r="F39" s="50"/>
      <c r="G39" s="36"/>
      <c r="H39" s="50"/>
      <c r="I39" s="50"/>
      <c r="J39" s="50"/>
      <c r="K39" s="36">
        <f t="shared" si="3"/>
        <v>11703</v>
      </c>
      <c r="L39" s="36">
        <f t="shared" si="0"/>
        <v>11703</v>
      </c>
      <c r="M39" s="28">
        <f>IF('[25]Calculo ISR '!$AV$34&lt;0,0,'[25]Calculo ISR '!$AV$34)</f>
        <v>1983.8578080000002</v>
      </c>
      <c r="N39" s="92">
        <f>E39*P4</f>
        <v>1228.8150000000001</v>
      </c>
      <c r="O39" s="78">
        <v>1887</v>
      </c>
      <c r="P39" s="50"/>
      <c r="Q39" s="78"/>
      <c r="R39" s="50"/>
      <c r="S39" s="50">
        <f t="shared" si="7"/>
        <v>5099.6728080000003</v>
      </c>
      <c r="T39" s="28">
        <f>IF('[1]Calculo ISR '!$AV$34&gt;0,0,'[1]Calculo ISR '!$AV$34)*-1</f>
        <v>0</v>
      </c>
      <c r="U39" s="79">
        <f t="shared" si="8"/>
        <v>6603.3271919999997</v>
      </c>
      <c r="V39" s="36">
        <f t="shared" si="2"/>
        <v>0</v>
      </c>
      <c r="W39" s="80"/>
      <c r="X39" s="47"/>
    </row>
    <row r="40" spans="1:26" s="81" customFormat="1" ht="45" customHeight="1">
      <c r="A40" s="91" t="s">
        <v>103</v>
      </c>
      <c r="B40" s="170" t="s">
        <v>122</v>
      </c>
      <c r="C40" s="66">
        <v>15</v>
      </c>
      <c r="D40" s="76">
        <v>177.16</v>
      </c>
      <c r="E40" s="36">
        <v>2657.47</v>
      </c>
      <c r="F40" s="50"/>
      <c r="G40" s="36">
        <v>465.5</v>
      </c>
      <c r="H40" s="50"/>
      <c r="I40" s="50"/>
      <c r="J40" s="50"/>
      <c r="K40" s="36">
        <f t="shared" si="3"/>
        <v>2657.47</v>
      </c>
      <c r="L40" s="36">
        <f t="shared" si="0"/>
        <v>3122.97</v>
      </c>
      <c r="M40" s="28">
        <f>IF('[25]Calculo ISR '!$AW$34&lt;0,0,'[25]Calculo ISR '!$AW$34)</f>
        <v>39.699647999999968</v>
      </c>
      <c r="N40" s="92">
        <f>E40*P4</f>
        <v>279.03434999999996</v>
      </c>
      <c r="O40" s="78">
        <v>0</v>
      </c>
      <c r="P40" s="50"/>
      <c r="Q40" s="78"/>
      <c r="R40" s="50"/>
      <c r="S40" s="50">
        <f t="shared" si="7"/>
        <v>318.73399799999993</v>
      </c>
      <c r="T40" s="28"/>
      <c r="U40" s="79">
        <f t="shared" si="8"/>
        <v>2338.7360019999996</v>
      </c>
      <c r="V40" s="36">
        <f t="shared" si="2"/>
        <v>465.5</v>
      </c>
      <c r="W40" s="80"/>
      <c r="X40" s="47"/>
    </row>
    <row r="41" spans="1:26" s="81" customFormat="1" ht="45" customHeight="1">
      <c r="A41" s="91" t="s">
        <v>139</v>
      </c>
      <c r="B41" s="170" t="s">
        <v>140</v>
      </c>
      <c r="C41" s="66">
        <v>15</v>
      </c>
      <c r="D41" s="76">
        <v>177.16</v>
      </c>
      <c r="E41" s="36">
        <v>2657.47</v>
      </c>
      <c r="F41" s="50"/>
      <c r="G41" s="36">
        <v>465.5</v>
      </c>
      <c r="H41" s="50"/>
      <c r="I41" s="50"/>
      <c r="J41" s="50"/>
      <c r="K41" s="36">
        <f t="shared" si="3"/>
        <v>2657.47</v>
      </c>
      <c r="L41" s="36">
        <f t="shared" si="0"/>
        <v>3122.97</v>
      </c>
      <c r="M41" s="28">
        <f>IF('[25]Calculo ISR '!$AX$34&lt;0,0,'[25]Calculo ISR '!$AX$34)</f>
        <v>39.699647999999968</v>
      </c>
      <c r="N41" s="92">
        <f>E41*P4</f>
        <v>279.03434999999996</v>
      </c>
      <c r="O41" s="78"/>
      <c r="P41" s="50"/>
      <c r="Q41" s="78"/>
      <c r="R41" s="50"/>
      <c r="S41" s="50">
        <f t="shared" si="7"/>
        <v>318.73399799999993</v>
      </c>
      <c r="T41" s="28"/>
      <c r="U41" s="79">
        <f t="shared" si="8"/>
        <v>2338.7360019999996</v>
      </c>
      <c r="V41" s="36">
        <f t="shared" si="2"/>
        <v>465.5</v>
      </c>
      <c r="W41" s="80"/>
      <c r="X41" s="47"/>
    </row>
    <row r="42" spans="1:26" s="81" customFormat="1" ht="45" customHeight="1">
      <c r="A42" s="91" t="s">
        <v>150</v>
      </c>
      <c r="B42" s="170" t="s">
        <v>142</v>
      </c>
      <c r="C42" s="66">
        <v>15</v>
      </c>
      <c r="D42" s="76">
        <v>205.61</v>
      </c>
      <c r="E42" s="36">
        <f t="shared" si="6"/>
        <v>3084.15</v>
      </c>
      <c r="F42" s="50"/>
      <c r="G42" s="36">
        <v>465.5</v>
      </c>
      <c r="H42" s="50">
        <v>521.5</v>
      </c>
      <c r="I42" s="50"/>
      <c r="J42" s="50"/>
      <c r="K42" s="36">
        <f t="shared" si="3"/>
        <v>3605.65</v>
      </c>
      <c r="L42" s="36">
        <f t="shared" si="0"/>
        <v>4071.15</v>
      </c>
      <c r="M42" s="28">
        <f>IF('[25]Calculo ISR '!$AY$34&lt;0,0,'[25]Calculo ISR '!$AY$34)</f>
        <v>180.81163199999995</v>
      </c>
      <c r="N42" s="92">
        <f>E42*P4</f>
        <v>323.83575000000002</v>
      </c>
      <c r="O42" s="78"/>
      <c r="P42" s="50"/>
      <c r="Q42" s="78"/>
      <c r="R42" s="50"/>
      <c r="S42" s="50">
        <f>SUM(M42+N42+O42+P42+Q42+R42)</f>
        <v>504.64738199999999</v>
      </c>
      <c r="T42" s="28"/>
      <c r="U42" s="79">
        <f t="shared" si="8"/>
        <v>3101.002618</v>
      </c>
      <c r="V42" s="36">
        <f t="shared" si="2"/>
        <v>465.5</v>
      </c>
      <c r="W42" s="80"/>
      <c r="X42" s="47"/>
    </row>
    <row r="43" spans="1:26" s="81" customFormat="1" ht="45" customHeight="1">
      <c r="A43" s="91" t="s">
        <v>151</v>
      </c>
      <c r="B43" s="170" t="s">
        <v>152</v>
      </c>
      <c r="C43" s="66">
        <v>15</v>
      </c>
      <c r="D43" s="76">
        <v>238.18</v>
      </c>
      <c r="E43" s="36">
        <v>3572.72</v>
      </c>
      <c r="F43" s="50"/>
      <c r="G43" s="36">
        <v>465.5</v>
      </c>
      <c r="H43" s="50"/>
      <c r="I43" s="50"/>
      <c r="J43" s="50"/>
      <c r="K43" s="36">
        <f t="shared" si="3"/>
        <v>3572.72</v>
      </c>
      <c r="L43" s="36">
        <f t="shared" si="0"/>
        <v>4038.22</v>
      </c>
      <c r="M43" s="28">
        <f>IF('[25]Calculo ISR '!$AZ$34&lt;0,0,'[25]Calculo ISR '!$AZ$34)</f>
        <v>177.22884799999994</v>
      </c>
      <c r="N43" s="92">
        <f>E43*P4</f>
        <v>375.13559999999995</v>
      </c>
      <c r="O43" s="78"/>
      <c r="P43" s="50"/>
      <c r="Q43" s="78"/>
      <c r="R43" s="50"/>
      <c r="S43" s="50">
        <f>SUM(M43+N43+O43+P43+Q43+R43)</f>
        <v>552.36444799999992</v>
      </c>
      <c r="T43" s="28"/>
      <c r="U43" s="79">
        <f t="shared" si="8"/>
        <v>3020.355552</v>
      </c>
      <c r="V43" s="36">
        <f t="shared" si="2"/>
        <v>465.5</v>
      </c>
      <c r="W43" s="80"/>
      <c r="X43" s="47"/>
    </row>
    <row r="44" spans="1:26" s="81" customFormat="1" ht="45" customHeight="1">
      <c r="A44" s="91" t="s">
        <v>161</v>
      </c>
      <c r="B44" s="170" t="s">
        <v>162</v>
      </c>
      <c r="C44" s="66">
        <v>15</v>
      </c>
      <c r="D44" s="76">
        <v>902.7</v>
      </c>
      <c r="E44" s="36">
        <f>C44*D44</f>
        <v>13540.5</v>
      </c>
      <c r="F44" s="50"/>
      <c r="G44" s="36"/>
      <c r="H44" s="50"/>
      <c r="I44" s="50"/>
      <c r="J44" s="50"/>
      <c r="K44" s="36">
        <f t="shared" si="3"/>
        <v>13540.5</v>
      </c>
      <c r="L44" s="36">
        <f t="shared" si="0"/>
        <v>13540.5</v>
      </c>
      <c r="M44" s="28">
        <f>IF('[25]Calculo ISR '!$BA$34&lt;0,0,'[25]Calculo ISR '!$BA$34)</f>
        <v>2416.037808</v>
      </c>
      <c r="N44" s="92">
        <v>1421.76</v>
      </c>
      <c r="O44" s="78"/>
      <c r="P44" s="50"/>
      <c r="Q44" s="78"/>
      <c r="R44" s="50"/>
      <c r="S44" s="50">
        <f>SUM(M44+N44+O44+P44+Q44+R44)</f>
        <v>3837.7978080000003</v>
      </c>
      <c r="T44" s="28"/>
      <c r="U44" s="79">
        <f t="shared" si="8"/>
        <v>9702.7021920000007</v>
      </c>
      <c r="V44" s="36">
        <f t="shared" si="2"/>
        <v>0</v>
      </c>
      <c r="W44" s="80"/>
      <c r="X44" s="47"/>
    </row>
    <row r="45" spans="1:26" s="99" customFormat="1" ht="21.95" customHeight="1">
      <c r="A45" s="93"/>
      <c r="B45" s="94">
        <v>38</v>
      </c>
      <c r="C45" s="95">
        <f>SUM(C8:C44)</f>
        <v>555</v>
      </c>
      <c r="D45" s="95">
        <f>SUM(D8:D44)</f>
        <v>12176.816666666669</v>
      </c>
      <c r="E45" s="95">
        <f t="shared" ref="E45:V45" si="9">SUM(E7:E44)</f>
        <v>200168.75999999998</v>
      </c>
      <c r="F45" s="95">
        <f t="shared" si="9"/>
        <v>6040.32</v>
      </c>
      <c r="G45" s="95">
        <f t="shared" si="9"/>
        <v>13295.75</v>
      </c>
      <c r="H45" s="95">
        <f t="shared" si="9"/>
        <v>4693.5</v>
      </c>
      <c r="I45" s="95">
        <f t="shared" si="9"/>
        <v>688</v>
      </c>
      <c r="J45" s="95">
        <f t="shared" si="9"/>
        <v>1566.4396099999997</v>
      </c>
      <c r="K45" s="95">
        <f t="shared" si="9"/>
        <v>213157.01960999996</v>
      </c>
      <c r="L45" s="95">
        <f t="shared" si="9"/>
        <v>226452.76960999996</v>
      </c>
      <c r="M45" s="96">
        <f t="shared" si="9"/>
        <v>26347.716808448007</v>
      </c>
      <c r="N45" s="95">
        <f t="shared" si="9"/>
        <v>21017.727299999999</v>
      </c>
      <c r="O45" s="95">
        <f t="shared" si="9"/>
        <v>21949.97</v>
      </c>
      <c r="P45" s="95">
        <f t="shared" si="9"/>
        <v>0</v>
      </c>
      <c r="Q45" s="95">
        <f t="shared" si="9"/>
        <v>0</v>
      </c>
      <c r="R45" s="95">
        <f t="shared" si="9"/>
        <v>582.91589999999997</v>
      </c>
      <c r="S45" s="95">
        <f t="shared" si="9"/>
        <v>69898.330008448029</v>
      </c>
      <c r="T45" s="95">
        <f t="shared" si="9"/>
        <v>228.19166937600002</v>
      </c>
      <c r="U45" s="95">
        <f t="shared" si="9"/>
        <v>143486.88127092802</v>
      </c>
      <c r="V45" s="95">
        <f t="shared" si="9"/>
        <v>13295.75</v>
      </c>
      <c r="W45" s="97"/>
      <c r="X45" s="98"/>
    </row>
    <row r="46" spans="1:26" s="6" customFormat="1" ht="10.5" customHeight="1">
      <c r="A46" s="122"/>
      <c r="B46" s="123">
        <v>38</v>
      </c>
      <c r="C46" s="124"/>
      <c r="D46" s="101"/>
      <c r="E46" s="101"/>
      <c r="F46" s="101"/>
      <c r="G46" s="125"/>
      <c r="H46" s="125">
        <f>H45+'[25]HT-DOCENTE FIRMA'!M38</f>
        <v>6532.1399999999994</v>
      </c>
      <c r="I46" s="101"/>
      <c r="J46" s="101"/>
      <c r="K46" s="101"/>
      <c r="L46" s="101"/>
      <c r="N46" s="101">
        <f>N45+'[25]HT-DOCENTE FIRMA'!R38+'[25]HT-PTC FIRMAS '!L15</f>
        <v>37524.473849999995</v>
      </c>
      <c r="O46" s="101">
        <f>O45+'[25]HT-DOCENTE FIRMA'!S38+'[25]HT-PTC FIRMAS '!M15</f>
        <v>34474.97</v>
      </c>
      <c r="P46" s="101"/>
      <c r="Q46" s="101"/>
      <c r="R46" s="101"/>
      <c r="S46" s="101"/>
      <c r="T46" s="101"/>
      <c r="U46" s="101"/>
      <c r="V46" s="101"/>
      <c r="W46" s="126"/>
      <c r="X46" s="5"/>
    </row>
    <row r="47" spans="1:26" s="6" customFormat="1" ht="10.5" customHeight="1">
      <c r="A47" s="122"/>
      <c r="B47" s="123">
        <f>B46+'[25]HT-DOCENTE FIRMA'!B39+'[25]HT-PTC FIRMAS '!B16</f>
        <v>71</v>
      </c>
      <c r="C47" s="124"/>
      <c r="D47" s="101"/>
      <c r="E47" s="101">
        <f>E45+'[25]HT-DOCENTE FIRMA'!I38+'[25]HT-PTC FIRMAS '!D15</f>
        <v>357375.87</v>
      </c>
      <c r="F47" s="101"/>
      <c r="G47" s="125"/>
      <c r="H47" s="125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26"/>
      <c r="X47" s="5"/>
      <c r="Z47" s="5"/>
    </row>
    <row r="48" spans="1:26" s="6" customFormat="1" ht="10.5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26"/>
      <c r="X48" s="5"/>
    </row>
    <row r="49" spans="1:24" s="6" customFormat="1" ht="10.5" customHeight="1">
      <c r="A49" s="129"/>
      <c r="B49" s="130"/>
      <c r="C49" s="131"/>
      <c r="D49" s="132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5"/>
    </row>
    <row r="50" spans="1:24" ht="15" customHeight="1">
      <c r="A50" s="110" t="s">
        <v>105</v>
      </c>
      <c r="B50" s="110"/>
      <c r="C50" s="110"/>
      <c r="D50" s="111"/>
      <c r="E50" s="109"/>
      <c r="F50" s="109"/>
      <c r="G50" s="112"/>
      <c r="H50" s="112"/>
      <c r="I50" s="112"/>
      <c r="J50" s="113" t="s">
        <v>106</v>
      </c>
      <c r="K50" s="113"/>
      <c r="L50" s="114"/>
      <c r="O50" s="115"/>
      <c r="P50" s="115"/>
      <c r="Q50" s="115"/>
      <c r="R50" s="115"/>
      <c r="S50" s="111" t="s">
        <v>107</v>
      </c>
      <c r="T50" s="111"/>
      <c r="U50" s="111"/>
      <c r="V50" s="111"/>
      <c r="W50" s="111"/>
      <c r="X50" s="100"/>
    </row>
    <row r="51" spans="1:24" hidden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03"/>
      <c r="L51" s="103"/>
      <c r="O51" s="103"/>
      <c r="P51" s="115"/>
      <c r="Q51" s="103"/>
      <c r="R51" s="103"/>
      <c r="S51" s="111"/>
      <c r="T51" s="111"/>
      <c r="U51" s="111"/>
      <c r="V51" s="111"/>
      <c r="W51" s="111"/>
      <c r="X51" s="100"/>
    </row>
    <row r="52" spans="1:24" hidden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09"/>
      <c r="L52" s="109"/>
      <c r="O52" s="109"/>
      <c r="P52" s="109"/>
      <c r="Q52" s="109"/>
      <c r="R52" s="109"/>
      <c r="S52" s="111"/>
      <c r="T52" s="111"/>
      <c r="U52" s="111"/>
      <c r="V52" s="111"/>
      <c r="W52" s="111"/>
      <c r="X52" s="100"/>
    </row>
    <row r="53" spans="1:24" ht="21.75" customHeight="1">
      <c r="A53" s="111"/>
      <c r="B53" s="113" t="s">
        <v>159</v>
      </c>
      <c r="C53" s="112"/>
      <c r="D53" s="111"/>
      <c r="E53" s="116"/>
      <c r="F53" s="116"/>
      <c r="G53" s="117"/>
      <c r="H53" s="117"/>
      <c r="I53" s="117"/>
      <c r="J53" s="118" t="s">
        <v>109</v>
      </c>
      <c r="K53" s="118"/>
      <c r="L53" s="118"/>
      <c r="O53" s="109"/>
      <c r="P53" s="109"/>
      <c r="R53" s="109"/>
      <c r="S53" s="145" t="s">
        <v>110</v>
      </c>
      <c r="T53" s="117"/>
      <c r="U53" s="117"/>
      <c r="V53" s="117"/>
      <c r="W53" s="111"/>
      <c r="X53" s="100"/>
    </row>
    <row r="54" spans="1:24" ht="15" customHeight="1">
      <c r="A54" s="112" t="s">
        <v>160</v>
      </c>
      <c r="B54" s="112"/>
      <c r="C54" s="112"/>
      <c r="D54" s="112"/>
      <c r="E54" s="171"/>
      <c r="F54" s="109"/>
      <c r="G54" s="117"/>
      <c r="H54" s="117"/>
      <c r="I54" s="117"/>
      <c r="J54" s="118" t="s">
        <v>112</v>
      </c>
      <c r="K54" s="118"/>
      <c r="L54" s="118"/>
      <c r="O54" s="109"/>
      <c r="P54" s="109"/>
      <c r="Q54" s="109"/>
      <c r="R54" s="119" t="s">
        <v>113</v>
      </c>
      <c r="S54" s="119"/>
      <c r="T54" s="119"/>
      <c r="U54" s="119"/>
      <c r="V54" s="119"/>
      <c r="W54" s="111"/>
      <c r="X54" s="100"/>
    </row>
    <row r="55" spans="1:24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16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307" spans="99:99">
      <c r="CU307" s="1" t="s">
        <v>114</v>
      </c>
    </row>
  </sheetData>
  <mergeCells count="2">
    <mergeCell ref="A50:C50"/>
    <mergeCell ref="R54:V54"/>
  </mergeCells>
  <printOptions horizontalCentered="1" verticalCentered="1"/>
  <pageMargins left="0.74803149606299213" right="0.19685039370078741" top="0.19685039370078741" bottom="0.39370078740157483" header="0" footer="0"/>
  <pageSetup paperSize="5" scale="5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U309"/>
  <sheetViews>
    <sheetView tabSelected="1" zoomScale="80" zoomScaleNormal="80" workbookViewId="0">
      <pane xSplit="2" ySplit="6" topLeftCell="C42" activePane="bottomRight" state="frozen"/>
      <selection activeCell="S28" sqref="S28"/>
      <selection pane="topRight" activeCell="S28" sqref="S28"/>
      <selection pane="bottomLeft" activeCell="S28" sqref="S28"/>
      <selection pane="bottomRight" activeCell="C48" sqref="C48"/>
    </sheetView>
  </sheetViews>
  <sheetFormatPr baseColWidth="10" defaultRowHeight="12.75"/>
  <cols>
    <col min="1" max="1" width="12.42578125" style="1" customWidth="1"/>
    <col min="2" max="2" width="20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8" width="12.4257812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7.2851562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4.425781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1" spans="1:26">
      <c r="C1" s="3"/>
      <c r="D1" s="3"/>
      <c r="E1" s="3"/>
      <c r="F1" s="3"/>
      <c r="G1" s="3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3"/>
      <c r="W1" s="3"/>
      <c r="X1" s="3"/>
    </row>
    <row r="2" spans="1:26" s="3" customFormat="1"/>
    <row r="3" spans="1:26" s="3" customFormat="1" ht="22.5">
      <c r="K3" s="4"/>
      <c r="L3" s="5" t="s">
        <v>0</v>
      </c>
      <c r="M3" s="6"/>
      <c r="N3" s="6"/>
      <c r="O3" s="6" t="s">
        <v>137</v>
      </c>
      <c r="P3" s="135" t="s">
        <v>132</v>
      </c>
      <c r="Q3" s="6" t="s">
        <v>1</v>
      </c>
      <c r="R3" s="6" t="s">
        <v>133</v>
      </c>
    </row>
    <row r="4" spans="1:26" s="3" customFormat="1">
      <c r="L4" s="7">
        <v>1.9E-2</v>
      </c>
      <c r="M4" s="6"/>
      <c r="N4" s="6"/>
      <c r="O4" s="8">
        <v>0.01</v>
      </c>
      <c r="P4" s="121">
        <v>0.105</v>
      </c>
      <c r="Q4" s="9">
        <v>3.7999999999999999E-2</v>
      </c>
      <c r="R4" s="121">
        <v>5.7000000000000002E-2</v>
      </c>
    </row>
    <row r="5" spans="1:26" s="3" customFormat="1" ht="13.5" thickBot="1">
      <c r="B5" s="10" t="s">
        <v>2</v>
      </c>
      <c r="C5" s="2"/>
      <c r="D5" s="2"/>
      <c r="E5" s="2"/>
      <c r="F5" s="2"/>
      <c r="G5" s="2"/>
      <c r="H5" s="10" t="s">
        <v>172</v>
      </c>
      <c r="I5" s="2"/>
      <c r="J5" s="2"/>
      <c r="K5" s="2"/>
      <c r="M5" s="2"/>
      <c r="N5" s="2"/>
      <c r="O5" s="2"/>
    </row>
    <row r="6" spans="1:26" s="25" customFormat="1" ht="10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142">
        <v>15</v>
      </c>
      <c r="D7" s="28">
        <v>1129.1099999999999</v>
      </c>
      <c r="E7" s="28">
        <v>17515.27</v>
      </c>
      <c r="F7" s="28">
        <v>6040.32</v>
      </c>
      <c r="G7" s="28">
        <v>727.25</v>
      </c>
      <c r="H7" s="28"/>
      <c r="I7" s="28">
        <v>688</v>
      </c>
      <c r="J7" s="28"/>
      <c r="K7" s="28">
        <f>SUM(E7+F7+I7+J7)</f>
        <v>24243.59</v>
      </c>
      <c r="L7" s="28">
        <f>SUM(K7+G7)</f>
        <v>24970.84</v>
      </c>
      <c r="M7" s="28">
        <f>IF('[26]Calculo ISR '!$K$34&lt;0,0,'[26]Calculo ISR '!$K$34)</f>
        <v>5457.759</v>
      </c>
      <c r="N7" s="28">
        <f>E7*P4</f>
        <v>1839.1033500000001</v>
      </c>
      <c r="O7" s="28"/>
      <c r="P7" s="28"/>
      <c r="Q7" s="28"/>
      <c r="R7" s="28"/>
      <c r="S7" s="28">
        <f>SUM(M7+N7+O7+P7+Q7+R7)</f>
        <v>7296.8623500000003</v>
      </c>
      <c r="T7" s="28"/>
      <c r="U7" s="36">
        <f>K7-S7</f>
        <v>16946.727650000001</v>
      </c>
      <c r="V7" s="28">
        <f>G7</f>
        <v>727.25</v>
      </c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780.2</v>
      </c>
      <c r="E8" s="36">
        <f>C8*D8</f>
        <v>11703</v>
      </c>
      <c r="F8" s="36"/>
      <c r="G8" s="36"/>
      <c r="H8" s="36"/>
      <c r="I8" s="36">
        <f>'[1]HT-ADMINISTRATIVOS'!J10</f>
        <v>0</v>
      </c>
      <c r="J8" s="37"/>
      <c r="K8" s="36">
        <f>E8+F8+H8+I8+J8</f>
        <v>11703</v>
      </c>
      <c r="L8" s="36">
        <f t="shared" ref="L8:L46" si="0">K8+G8</f>
        <v>11703</v>
      </c>
      <c r="M8" s="28">
        <f>IF('[26]Calculo ISR '!$L$34&lt;0,0,'[26]Calculo ISR '!$L$34)</f>
        <v>1983.8578080000002</v>
      </c>
      <c r="N8" s="38">
        <f>E8*P4</f>
        <v>1228.8150000000001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3212.6728080000003</v>
      </c>
      <c r="T8" s="28">
        <f>IF('[26]Calculo ISR '!$L$34&gt;0,0,'[26]Calculo ISR '!$L$34)*-1</f>
        <v>0</v>
      </c>
      <c r="U8" s="36">
        <f>K8-S8</f>
        <v>8490.3271920000007</v>
      </c>
      <c r="V8" s="36">
        <f>G8</f>
        <v>0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238.18</v>
      </c>
      <c r="E9" s="36">
        <v>3572.72</v>
      </c>
      <c r="F9" s="36"/>
      <c r="G9" s="36">
        <v>465.5</v>
      </c>
      <c r="H9" s="36"/>
      <c r="I9" s="36">
        <f>'[1]HT-ADMINISTRATIVOS'!J11</f>
        <v>0</v>
      </c>
      <c r="J9" s="37">
        <f>E9*R4</f>
        <v>203.64503999999999</v>
      </c>
      <c r="K9" s="36">
        <f>E9+F9+H9+I9+J9</f>
        <v>3776.3650399999997</v>
      </c>
      <c r="L9" s="36">
        <f t="shared" si="0"/>
        <v>4241.8650399999997</v>
      </c>
      <c r="M9" s="28">
        <f>IF('[26]Calculo ISR '!$M$34&lt;0,0,'[26]Calculo ISR '!$M$34)</f>
        <v>313.30680639999991</v>
      </c>
      <c r="N9" s="38">
        <f>E9*P4</f>
        <v>375.13559999999995</v>
      </c>
      <c r="O9" s="38">
        <v>800</v>
      </c>
      <c r="P9" s="38">
        <f>'[1]HT-ADMINISTRATIVOS'!Q11</f>
        <v>0</v>
      </c>
      <c r="Q9" s="38">
        <f>'[1]HT-ADMINISTRATIVOS'!R11</f>
        <v>0</v>
      </c>
      <c r="R9" s="38">
        <f>E9*O4</f>
        <v>35.727199999999996</v>
      </c>
      <c r="S9" s="36">
        <f>M9+N9+O9+P9+Q9+R9</f>
        <v>1524.1696064</v>
      </c>
      <c r="T9" s="28">
        <f>IF('[26]Calculo ISR '!$M$34&gt;0,0,'[26]Calculo ISR '!$M$34)*-1</f>
        <v>0</v>
      </c>
      <c r="U9" s="36">
        <f t="shared" ref="U9:U15" si="1">K9-S9+T9</f>
        <v>2252.1954335999999</v>
      </c>
      <c r="V9" s="36">
        <f t="shared" ref="V9:V46" si="2">G9</f>
        <v>465.5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f>E10/C10</f>
        <v>250.32666666666668</v>
      </c>
      <c r="E10" s="36">
        <v>3754.9</v>
      </c>
      <c r="F10" s="36"/>
      <c r="G10" s="36">
        <v>465.5</v>
      </c>
      <c r="H10" s="36"/>
      <c r="I10" s="36">
        <f>'[1]HT-ADMINISTRATIVOS'!J12</f>
        <v>0</v>
      </c>
      <c r="J10" s="37">
        <f>E10*R4</f>
        <v>214.02930000000001</v>
      </c>
      <c r="K10" s="36">
        <f t="shared" ref="K10:K46" si="3">E10+F10+H10+I10+J10</f>
        <v>3968.9293000000002</v>
      </c>
      <c r="L10" s="36">
        <f t="shared" si="0"/>
        <v>4434.4292999999998</v>
      </c>
      <c r="M10" s="28">
        <f>IF('[26]Calculo ISR '!$N$34&lt;0,0,'[26]Calculo ISR '!$N$34)</f>
        <v>344.11708800000002</v>
      </c>
      <c r="N10" s="38">
        <f>E10*P4</f>
        <v>394.2645</v>
      </c>
      <c r="O10" s="38">
        <v>650</v>
      </c>
      <c r="P10" s="38">
        <f>'[1]HT-ADMINISTRATIVOS'!Q12</f>
        <v>0</v>
      </c>
      <c r="Q10" s="38">
        <f>'[1]HT-ADMINISTRATIVOS'!R12</f>
        <v>0</v>
      </c>
      <c r="R10" s="38">
        <f>E10*O4</f>
        <v>37.548999999999999</v>
      </c>
      <c r="S10" s="36">
        <f t="shared" ref="S10:S29" si="4">M10+N10+O10+R10+P10+Q10</f>
        <v>1425.9305879999999</v>
      </c>
      <c r="T10" s="28">
        <f>IF('[1]Calculo ISR '!$N$34&gt;0,0,'[21]Calculo ISR '!$N$34)*-1</f>
        <v>0</v>
      </c>
      <c r="U10" s="36">
        <f t="shared" si="1"/>
        <v>2542.9987120000005</v>
      </c>
      <c r="V10" s="36">
        <f t="shared" si="2"/>
        <v>465.5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226.68</v>
      </c>
      <c r="E11" s="36">
        <v>3400.25</v>
      </c>
      <c r="F11" s="36"/>
      <c r="G11" s="36">
        <v>465.5</v>
      </c>
      <c r="H11" s="36"/>
      <c r="I11" s="36">
        <f>'[1]HT-ADMINISTRATIVOS'!J13</f>
        <v>0</v>
      </c>
      <c r="J11" s="37">
        <f>E11*R4</f>
        <v>193.81425000000002</v>
      </c>
      <c r="K11" s="36">
        <f t="shared" si="3"/>
        <v>3594.0642499999999</v>
      </c>
      <c r="L11" s="36">
        <f t="shared" si="0"/>
        <v>4059.5642499999999</v>
      </c>
      <c r="M11" s="28">
        <f>IF('[26]Calculo ISR '!$O$34&lt;0,0,'[26]Calculo ISR '!$O$34)</f>
        <v>179.55110239999996</v>
      </c>
      <c r="N11" s="38">
        <f>E11*P4</f>
        <v>357.02625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34.002499999999998</v>
      </c>
      <c r="S11" s="36">
        <f t="shared" si="4"/>
        <v>2032.7998524</v>
      </c>
      <c r="T11" s="28">
        <f>IF('[1]Calculo ISR '!$O$34&gt;0,0,'[1]Calculo ISR '!$O$34)*-1</f>
        <v>0</v>
      </c>
      <c r="U11" s="36">
        <f t="shared" si="1"/>
        <v>1561.2643975999999</v>
      </c>
      <c r="V11" s="36">
        <f t="shared" si="2"/>
        <v>465.5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250.33</v>
      </c>
      <c r="E12" s="36">
        <v>3754.9</v>
      </c>
      <c r="F12" s="36"/>
      <c r="G12" s="36">
        <v>465.5</v>
      </c>
      <c r="H12" s="36"/>
      <c r="I12" s="36">
        <f>'[1]HT-ADMINISTRATIVOS'!J14</f>
        <v>0</v>
      </c>
      <c r="J12" s="37">
        <f>E12*R4</f>
        <v>214.02930000000001</v>
      </c>
      <c r="K12" s="36">
        <f t="shared" si="3"/>
        <v>3968.9293000000002</v>
      </c>
      <c r="L12" s="36">
        <f t="shared" si="0"/>
        <v>4434.4292999999998</v>
      </c>
      <c r="M12" s="28">
        <f>IF('[26]Calculo ISR '!$P$34&lt;0,0,'[26]Calculo ISR '!$P$34)</f>
        <v>344.11708800000002</v>
      </c>
      <c r="N12" s="38">
        <f>E12*P4</f>
        <v>394.2645</v>
      </c>
      <c r="O12" s="38">
        <v>1211</v>
      </c>
      <c r="P12" s="38">
        <f>'[1]HT-ADMINISTRATIVOS'!Q14</f>
        <v>0</v>
      </c>
      <c r="Q12" s="38">
        <f>'[1]HT-ADMINISTRATIVOS'!R14</f>
        <v>0</v>
      </c>
      <c r="R12" s="38">
        <f>E12*O4</f>
        <v>37.548999999999999</v>
      </c>
      <c r="S12" s="36">
        <f t="shared" si="4"/>
        <v>1986.9305879999999</v>
      </c>
      <c r="T12" s="28">
        <f>IF('[1]Calculo ISR '!$P$34&gt;0,0,'[1]Calculo ISR '!$P$34)*-1</f>
        <v>0</v>
      </c>
      <c r="U12" s="36">
        <f t="shared" si="1"/>
        <v>1981.9987120000003</v>
      </c>
      <c r="V12" s="36">
        <f t="shared" si="2"/>
        <v>465.5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177.16</v>
      </c>
      <c r="E13" s="36">
        <v>2657.47</v>
      </c>
      <c r="F13" s="36"/>
      <c r="G13" s="36">
        <v>465.5</v>
      </c>
      <c r="H13" s="36"/>
      <c r="I13" s="36">
        <f>'[1]HT-ADMINISTRATIVOS'!J15</f>
        <v>0</v>
      </c>
      <c r="J13" s="37">
        <f>E13*R4</f>
        <v>151.47578999999999</v>
      </c>
      <c r="K13" s="36">
        <f t="shared" si="3"/>
        <v>2808.9457899999998</v>
      </c>
      <c r="L13" s="36">
        <f t="shared" si="0"/>
        <v>3274.4457899999998</v>
      </c>
      <c r="M13" s="28">
        <f>IF('[26]Calculo ISR '!$Q$34&lt;0,0,'[26]Calculo ISR '!$Q$34)</f>
        <v>56.180213951999946</v>
      </c>
      <c r="N13" s="38">
        <f>E13*P4</f>
        <v>279.03434999999996</v>
      </c>
      <c r="O13" s="38">
        <v>886</v>
      </c>
      <c r="P13" s="38">
        <f>'[1]HT-ADMINISTRATIVOS'!Q15</f>
        <v>0</v>
      </c>
      <c r="Q13" s="38">
        <f>'[1]HT-ADMINISTRATIVOS'!R15</f>
        <v>0</v>
      </c>
      <c r="R13" s="38">
        <f>E13*O4</f>
        <v>26.5747</v>
      </c>
      <c r="S13" s="36">
        <f t="shared" si="4"/>
        <v>1247.7892639519998</v>
      </c>
      <c r="T13" s="28">
        <f>IF('[1]Calculo ISR '!$Q$34&gt;0,0,'[1]Calculo ISR '!$Q$34)</f>
        <v>0</v>
      </c>
      <c r="U13" s="36">
        <f t="shared" si="1"/>
        <v>1561.1565260479999</v>
      </c>
      <c r="V13" s="36">
        <f t="shared" si="2"/>
        <v>465.5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168.65</v>
      </c>
      <c r="E14" s="36">
        <v>2529.8000000000002</v>
      </c>
      <c r="F14" s="36"/>
      <c r="G14" s="36">
        <v>465.5</v>
      </c>
      <c r="H14" s="36"/>
      <c r="I14" s="36">
        <f>'[1]HT-ADMINISTRATIVOS'!J16</f>
        <v>0</v>
      </c>
      <c r="J14" s="37">
        <f>E14*R4</f>
        <v>144.19860000000003</v>
      </c>
      <c r="K14" s="36">
        <f t="shared" si="3"/>
        <v>2673.9986000000004</v>
      </c>
      <c r="L14" s="36">
        <f t="shared" si="0"/>
        <v>3139.4986000000004</v>
      </c>
      <c r="M14" s="28">
        <f>IF('[26]Calculo ISR '!$R$34&lt;0,0,'[26]Calculo ISR '!$R$34)</f>
        <v>41.497959680000037</v>
      </c>
      <c r="N14" s="38">
        <f>E14*P4</f>
        <v>265.62900000000002</v>
      </c>
      <c r="O14" s="38">
        <v>816</v>
      </c>
      <c r="P14" s="38">
        <f>'[1]HT-ADMINISTRATIVOS'!Q16</f>
        <v>0</v>
      </c>
      <c r="Q14" s="38">
        <f>'[1]HT-ADMINISTRATIVOS'!R16</f>
        <v>0</v>
      </c>
      <c r="R14" s="38">
        <f>E14*O4</f>
        <v>25.298000000000002</v>
      </c>
      <c r="S14" s="36">
        <f t="shared" si="4"/>
        <v>1148.42495968</v>
      </c>
      <c r="T14" s="28">
        <f>IF('[1]Calculo ISR '!$R$34&gt;0,0,'[1]Calculo ISR '!$R$34)*-1</f>
        <v>0</v>
      </c>
      <c r="U14" s="36">
        <f t="shared" si="1"/>
        <v>1525.5736403200003</v>
      </c>
      <c r="V14" s="36">
        <f t="shared" si="2"/>
        <v>465.5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553.13</v>
      </c>
      <c r="E15" s="36">
        <v>8296.9699999999993</v>
      </c>
      <c r="F15" s="36"/>
      <c r="G15" s="36"/>
      <c r="H15" s="36"/>
      <c r="I15" s="36">
        <f>'[1]HT-ADMINISTRATIVOS'!J17</f>
        <v>0</v>
      </c>
      <c r="J15" s="37"/>
      <c r="K15" s="36">
        <f t="shared" si="3"/>
        <v>8296.9699999999993</v>
      </c>
      <c r="L15" s="36">
        <f t="shared" si="0"/>
        <v>8296.9699999999993</v>
      </c>
      <c r="M15" s="28">
        <f>IF('[26]Calculo ISR '!$S$34&lt;0,0,'[26]Calculo ISR '!$S$34)</f>
        <v>1225.0436159999999</v>
      </c>
      <c r="N15" s="38">
        <f>E15*P4</f>
        <v>871.18184999999994</v>
      </c>
      <c r="O15" s="38">
        <v>2766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4"/>
        <v>4862.2254659999999</v>
      </c>
      <c r="T15" s="28">
        <f>IF('[1]Calculo ISR '!$S$34&gt;0,0,'[1]Calculo ISR '!$S$34)*-1</f>
        <v>0</v>
      </c>
      <c r="U15" s="36">
        <f t="shared" si="1"/>
        <v>3434.7445339999995</v>
      </c>
      <c r="V15" s="36">
        <f t="shared" si="2"/>
        <v>0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276.45</v>
      </c>
      <c r="E16" s="36">
        <v>4146.7700000000004</v>
      </c>
      <c r="F16" s="36"/>
      <c r="G16" s="36">
        <v>465.5</v>
      </c>
      <c r="H16" s="36"/>
      <c r="I16" s="36">
        <f>'[1]HT-ADMINISTRATIVOS'!J18</f>
        <v>0</v>
      </c>
      <c r="J16" s="37">
        <f>E16*Q4</f>
        <v>157.57726000000002</v>
      </c>
      <c r="K16" s="36">
        <f t="shared" si="3"/>
        <v>4304.3472600000005</v>
      </c>
      <c r="L16" s="36">
        <f t="shared" si="0"/>
        <v>4769.8472600000005</v>
      </c>
      <c r="M16" s="28">
        <f>IF('[26]Calculo ISR '!$T$34&lt;0,0,'[26]Calculo ISR '!$T$34)</f>
        <v>398.84451699200014</v>
      </c>
      <c r="N16" s="38">
        <f>E16*P4</f>
        <v>435.41085000000004</v>
      </c>
      <c r="O16" s="38">
        <v>1337</v>
      </c>
      <c r="P16" s="38"/>
      <c r="Q16" s="38"/>
      <c r="R16" s="38">
        <f>E16*O4</f>
        <v>41.467700000000008</v>
      </c>
      <c r="S16" s="36">
        <f>M16+N16+O16+Q16+R16+P16</f>
        <v>2212.7230669920004</v>
      </c>
      <c r="T16" s="28">
        <f>IF('[1]Calculo ISR '!$T$34&gt;0,0,'[1]Calculo ISR '!$T$34)*-1</f>
        <v>0</v>
      </c>
      <c r="U16" s="36">
        <f>K16-S16</f>
        <v>2091.624193008</v>
      </c>
      <c r="V16" s="36">
        <f t="shared" si="2"/>
        <v>465.5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238.18</v>
      </c>
      <c r="E17" s="36">
        <v>3572.72</v>
      </c>
      <c r="F17" s="36"/>
      <c r="G17" s="36">
        <v>465.5</v>
      </c>
      <c r="H17" s="36">
        <v>521.5</v>
      </c>
      <c r="I17" s="36">
        <f>'[1]HT-ADMINISTRATIVOS'!J19</f>
        <v>0</v>
      </c>
      <c r="J17" s="37">
        <f>E17*Q4</f>
        <v>135.76335999999998</v>
      </c>
      <c r="K17" s="36">
        <f t="shared" si="3"/>
        <v>4229.9833600000002</v>
      </c>
      <c r="L17" s="36">
        <f t="shared" si="0"/>
        <v>4695.4833600000002</v>
      </c>
      <c r="M17" s="28">
        <f>IF('[26]Calculo ISR '!$U$34&lt;0,0,'[26]Calculo ISR '!$U$34)</f>
        <v>385.88573759999997</v>
      </c>
      <c r="N17" s="38">
        <f>E17*P4</f>
        <v>375.13559999999995</v>
      </c>
      <c r="O17" s="38">
        <v>1152</v>
      </c>
      <c r="P17" s="38">
        <f>'[1]HT-ADMINISTRATIVOS'!Q19</f>
        <v>0</v>
      </c>
      <c r="Q17" s="38">
        <f>'[1]HT-ADMINISTRATIVOS'!R19</f>
        <v>0</v>
      </c>
      <c r="R17" s="38">
        <f>E17*O4</f>
        <v>35.727199999999996</v>
      </c>
      <c r="S17" s="36">
        <f t="shared" si="4"/>
        <v>1948.7485376</v>
      </c>
      <c r="T17" s="28">
        <f>IF('[1]Calculo ISR '!$U$34&gt;0,0,'[1]Calculo ISR '!$U$34)*-1</f>
        <v>0</v>
      </c>
      <c r="U17" s="36">
        <f t="shared" ref="U17:U25" si="5">K17-S17+T17</f>
        <v>2281.2348224000002</v>
      </c>
      <c r="V17" s="36">
        <f t="shared" si="2"/>
        <v>465.5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902.7</v>
      </c>
      <c r="E18" s="36">
        <v>13540.55</v>
      </c>
      <c r="F18" s="36"/>
      <c r="G18" s="36"/>
      <c r="H18" s="36"/>
      <c r="I18" s="36">
        <f>'[1]HT-ADMINISTRATIVOS'!J20</f>
        <v>0</v>
      </c>
      <c r="J18" s="37"/>
      <c r="K18" s="36">
        <f t="shared" si="3"/>
        <v>13540.55</v>
      </c>
      <c r="L18" s="36">
        <f t="shared" si="0"/>
        <v>13540.55</v>
      </c>
      <c r="M18" s="28">
        <f>IF('[26]Calculo ISR '!$V$34&lt;0,0,'[26]Calculo ISR '!$V$34)</f>
        <v>2416.0495679999999</v>
      </c>
      <c r="N18" s="38">
        <f>E18*P4</f>
        <v>1421.7577499999998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4"/>
        <v>3837.8073179999997</v>
      </c>
      <c r="T18" s="28">
        <f>IF('[1]Calculo ISR '!$V$34&gt;0,0,'[1]Calculo ISR '!$V$34)*-1</f>
        <v>0</v>
      </c>
      <c r="U18" s="36">
        <f t="shared" si="5"/>
        <v>9702.7426820000001</v>
      </c>
      <c r="V18" s="36">
        <f t="shared" si="2"/>
        <v>0</v>
      </c>
      <c r="W18" s="46"/>
      <c r="X18" s="47"/>
    </row>
    <row r="19" spans="1:24" s="48" customFormat="1" ht="45" customHeight="1">
      <c r="A19" s="53" t="s">
        <v>51</v>
      </c>
      <c r="B19" s="33" t="s">
        <v>52</v>
      </c>
      <c r="C19" s="34">
        <v>15</v>
      </c>
      <c r="D19" s="50">
        <v>226.68</v>
      </c>
      <c r="E19" s="36">
        <v>3400.25</v>
      </c>
      <c r="F19" s="36"/>
      <c r="G19" s="36">
        <v>465.5</v>
      </c>
      <c r="H19" s="36"/>
      <c r="I19" s="36">
        <f>'[1]HT-ADMINISTRATIVOS'!J21</f>
        <v>0</v>
      </c>
      <c r="J19" s="37">
        <f>E19*L4</f>
        <v>64.604749999999996</v>
      </c>
      <c r="K19" s="36">
        <f t="shared" si="3"/>
        <v>3464.85475</v>
      </c>
      <c r="L19" s="36">
        <f t="shared" si="0"/>
        <v>3930.35475</v>
      </c>
      <c r="M19" s="28">
        <f>IF('[26]Calculo ISR '!$W$34&lt;0,0,'[26]Calculo ISR '!$W$34)</f>
        <v>147.7931088</v>
      </c>
      <c r="N19" s="38">
        <f>E19*P4</f>
        <v>357.02625</v>
      </c>
      <c r="O19" s="38">
        <v>1097</v>
      </c>
      <c r="P19" s="38">
        <f>'[1]HT-ADMINISTRATIVOS'!Q21</f>
        <v>0</v>
      </c>
      <c r="Q19" s="38">
        <f>'[1]HT-ADMINISTRATIVOS'!R21</f>
        <v>0</v>
      </c>
      <c r="R19" s="38">
        <f>E19*O4</f>
        <v>34.002499999999998</v>
      </c>
      <c r="S19" s="36">
        <f t="shared" si="4"/>
        <v>1635.8218588</v>
      </c>
      <c r="T19" s="28">
        <f>IF('[1]Calculo ISR '!$W$34&gt;0,0,'[1]Calculo ISR '!$W$34)*-1</f>
        <v>0</v>
      </c>
      <c r="U19" s="36">
        <f t="shared" si="5"/>
        <v>1829.0328912</v>
      </c>
      <c r="V19" s="36">
        <f t="shared" si="2"/>
        <v>465.5</v>
      </c>
      <c r="W19" s="46"/>
      <c r="X19" s="47"/>
    </row>
    <row r="20" spans="1:24" s="48" customFormat="1" ht="45" customHeight="1">
      <c r="A20" s="53" t="s">
        <v>53</v>
      </c>
      <c r="B20" s="33" t="s">
        <v>54</v>
      </c>
      <c r="C20" s="34">
        <v>15</v>
      </c>
      <c r="D20" s="50">
        <v>153.16</v>
      </c>
      <c r="E20" s="36">
        <v>2297.42</v>
      </c>
      <c r="F20" s="36"/>
      <c r="G20" s="36">
        <v>465.5</v>
      </c>
      <c r="H20" s="36"/>
      <c r="I20" s="36">
        <f>'[1]HT-ADMINISTRATIVOS'!J22</f>
        <v>0</v>
      </c>
      <c r="J20" s="37">
        <f>E20*L4</f>
        <v>43.650979999999997</v>
      </c>
      <c r="K20" s="36">
        <f t="shared" si="3"/>
        <v>2341.07098</v>
      </c>
      <c r="L20" s="36">
        <f t="shared" si="0"/>
        <v>2806.57098</v>
      </c>
      <c r="M20" s="28">
        <f>IF('[26]Calculo ISR '!$X$34&lt;0,0,'[26]Calculo ISR '!$X$34)</f>
        <v>0</v>
      </c>
      <c r="N20" s="38">
        <f>E20*P4</f>
        <v>241.22909999999999</v>
      </c>
      <c r="O20" s="38">
        <v>766</v>
      </c>
      <c r="P20" s="38">
        <f>'[1]HT-ADMINISTRATIVOS'!Q22</f>
        <v>0</v>
      </c>
      <c r="Q20" s="38">
        <f>'[1]HT-ADMINISTRATIVOS'!R22</f>
        <v>0</v>
      </c>
      <c r="R20" s="38">
        <f>E20*O4</f>
        <v>22.9742</v>
      </c>
      <c r="S20" s="36">
        <f t="shared" si="4"/>
        <v>1030.2033000000001</v>
      </c>
      <c r="T20" s="28">
        <f>IF('[26]Calculo ISR '!$X$34&gt;0,0,('[26]Calculo ISR '!$X$34)*-1)</f>
        <v>9.7245653760000152</v>
      </c>
      <c r="U20" s="36">
        <f t="shared" si="5"/>
        <v>1320.5922453759999</v>
      </c>
      <c r="V20" s="36">
        <f t="shared" si="2"/>
        <v>465.5</v>
      </c>
      <c r="W20" s="46"/>
      <c r="X20" s="47"/>
    </row>
    <row r="21" spans="1:24" s="48" customFormat="1" ht="45" customHeight="1">
      <c r="A21" s="53" t="s">
        <v>55</v>
      </c>
      <c r="B21" s="33" t="s">
        <v>56</v>
      </c>
      <c r="C21" s="34">
        <v>15</v>
      </c>
      <c r="D21" s="50">
        <v>153.16</v>
      </c>
      <c r="E21" s="36">
        <v>2297.42</v>
      </c>
      <c r="F21" s="36"/>
      <c r="G21" s="36">
        <v>465.5</v>
      </c>
      <c r="H21" s="36">
        <v>521.5</v>
      </c>
      <c r="I21" s="36">
        <f>'[1]HT-ADMINISTRATIVOS'!J23</f>
        <v>0</v>
      </c>
      <c r="J21" s="37">
        <f>E21*L4</f>
        <v>43.650979999999997</v>
      </c>
      <c r="K21" s="36">
        <f t="shared" si="3"/>
        <v>2862.57098</v>
      </c>
      <c r="L21" s="36">
        <f t="shared" si="0"/>
        <v>3328.07098</v>
      </c>
      <c r="M21" s="28">
        <f>IF('[26]Calculo ISR '!$Y$34&lt;0,0,'[26]Calculo ISR '!$Y$34)</f>
        <v>62.014634623999967</v>
      </c>
      <c r="N21" s="38">
        <f>E21*P4</f>
        <v>241.22909999999999</v>
      </c>
      <c r="O21" s="38">
        <v>597</v>
      </c>
      <c r="P21" s="38">
        <f>'[1]HT-ADMINISTRATIVOS'!Q23</f>
        <v>0</v>
      </c>
      <c r="Q21" s="38">
        <f>'[1]HT-ADMINISTRATIVOS'!R23</f>
        <v>0</v>
      </c>
      <c r="R21" s="38">
        <f>E21*O4</f>
        <v>22.9742</v>
      </c>
      <c r="S21" s="36">
        <f t="shared" si="4"/>
        <v>923.21793462399989</v>
      </c>
      <c r="T21" s="28">
        <f>IF('[1]Calculo ISR '!$Y$34&gt;0,0,'[1]Calculo ISR '!$Y$34)*-1</f>
        <v>0</v>
      </c>
      <c r="U21" s="36">
        <f t="shared" si="5"/>
        <v>1939.353045376</v>
      </c>
      <c r="V21" s="36">
        <f t="shared" si="2"/>
        <v>465.5</v>
      </c>
      <c r="W21" s="46"/>
      <c r="X21" s="47"/>
    </row>
    <row r="22" spans="1:24" s="48" customFormat="1" ht="45" customHeight="1">
      <c r="A22" s="54" t="s">
        <v>61</v>
      </c>
      <c r="B22" s="166" t="s">
        <v>62</v>
      </c>
      <c r="C22" s="34">
        <v>15</v>
      </c>
      <c r="D22" s="50">
        <v>205.61</v>
      </c>
      <c r="E22" s="36">
        <f t="shared" ref="E22:E42" si="6">C22*D22</f>
        <v>3084.15</v>
      </c>
      <c r="F22" s="43"/>
      <c r="G22" s="36">
        <v>465.5</v>
      </c>
      <c r="H22" s="36">
        <v>521.5</v>
      </c>
      <c r="I22" s="36">
        <f>'[1]HT-ADMINISTRATIVOS'!J28</f>
        <v>0</v>
      </c>
      <c r="J22" s="37">
        <f>'[1]HT-ADMINISTRATIVOS'!I28</f>
        <v>0</v>
      </c>
      <c r="K22" s="36">
        <f t="shared" si="3"/>
        <v>3605.65</v>
      </c>
      <c r="L22" s="36">
        <f t="shared" si="0"/>
        <v>4071.15</v>
      </c>
      <c r="M22" s="28">
        <f>IF('[26]Calculo ISR '!$AB$34&lt;0,0,'[26]Calculo ISR '!$AB$34)</f>
        <v>180.81163199999995</v>
      </c>
      <c r="N22" s="38">
        <f>E22*P4</f>
        <v>323.83575000000002</v>
      </c>
      <c r="O22" s="38">
        <v>0</v>
      </c>
      <c r="P22" s="38">
        <f>'[1]HT-ADMINISTRATIVOS'!Q28</f>
        <v>0</v>
      </c>
      <c r="Q22" s="38">
        <f>'[1]HT-ADMINISTRATIVOS'!R28</f>
        <v>0</v>
      </c>
      <c r="R22" s="38">
        <f>E22*O4</f>
        <v>30.8415</v>
      </c>
      <c r="S22" s="36">
        <f t="shared" si="4"/>
        <v>535.48888199999999</v>
      </c>
      <c r="T22" s="28">
        <f>IF('[1]Calculo ISR '!$AB$34&gt;0,0,'[1]Calculo ISR '!$AB$34)*-1</f>
        <v>0</v>
      </c>
      <c r="U22" s="36">
        <f t="shared" si="5"/>
        <v>3070.161118</v>
      </c>
      <c r="V22" s="36">
        <f t="shared" si="2"/>
        <v>465.5</v>
      </c>
      <c r="W22" s="46"/>
      <c r="X22" s="47"/>
    </row>
    <row r="23" spans="1:24" s="48" customFormat="1" ht="45" customHeight="1">
      <c r="A23" s="54" t="s">
        <v>63</v>
      </c>
      <c r="B23" s="166" t="s">
        <v>64</v>
      </c>
      <c r="C23" s="34">
        <v>15</v>
      </c>
      <c r="D23" s="50">
        <v>186.24</v>
      </c>
      <c r="E23" s="36">
        <v>2793.65</v>
      </c>
      <c r="F23" s="43"/>
      <c r="G23" s="36">
        <v>465.5</v>
      </c>
      <c r="H23" s="36">
        <v>1043</v>
      </c>
      <c r="I23" s="36">
        <f>'[1]HT-ADMINISTRATIVOS'!J29</f>
        <v>0</v>
      </c>
      <c r="J23" s="37">
        <f>'[1]HT-ADMINISTRATIVOS'!I29</f>
        <v>0</v>
      </c>
      <c r="K23" s="36">
        <f t="shared" si="3"/>
        <v>3836.65</v>
      </c>
      <c r="L23" s="36">
        <f t="shared" si="0"/>
        <v>4302.1499999999996</v>
      </c>
      <c r="M23" s="28">
        <f>IF('[26]Calculo ISR '!$AC$34&lt;0,0,'[26]Calculo ISR '!$AC$34)</f>
        <v>322.95239999999995</v>
      </c>
      <c r="N23" s="38">
        <f>E23*P4</f>
        <v>293.33325000000002</v>
      </c>
      <c r="O23" s="38">
        <v>1081</v>
      </c>
      <c r="P23" s="38">
        <f>'[1]HT-ADMINISTRATIVOS'!Q29</f>
        <v>0</v>
      </c>
      <c r="Q23" s="38">
        <f>'[1]HT-ADMINISTRATIVOS'!R29</f>
        <v>0</v>
      </c>
      <c r="R23" s="38">
        <f>E23*O4</f>
        <v>27.936500000000002</v>
      </c>
      <c r="S23" s="36">
        <f t="shared" si="4"/>
        <v>1725.2221500000001</v>
      </c>
      <c r="T23" s="28">
        <f>IF('[1]Calculo ISR '!$AC$34&gt;0,0,'[1]Calculo ISR '!$AC$34)*-1</f>
        <v>0</v>
      </c>
      <c r="U23" s="36">
        <f t="shared" si="5"/>
        <v>2111.42785</v>
      </c>
      <c r="V23" s="36">
        <f t="shared" si="2"/>
        <v>465.5</v>
      </c>
      <c r="W23" s="46"/>
      <c r="X23" s="47"/>
    </row>
    <row r="24" spans="1:24" s="48" customFormat="1" ht="45" customHeight="1">
      <c r="A24" s="56" t="s">
        <v>65</v>
      </c>
      <c r="B24" s="166" t="s">
        <v>66</v>
      </c>
      <c r="C24" s="34">
        <v>15</v>
      </c>
      <c r="D24" s="50">
        <v>146.38999999999999</v>
      </c>
      <c r="E24" s="36">
        <v>2195.92</v>
      </c>
      <c r="F24" s="43"/>
      <c r="G24" s="36">
        <v>465.5</v>
      </c>
      <c r="H24" s="36">
        <v>521.5</v>
      </c>
      <c r="I24" s="36">
        <f>'[1]HT-ADMINISTRATIVOS'!J31</f>
        <v>0</v>
      </c>
      <c r="J24" s="37">
        <f>'[1]HT-ADMINISTRATIVOS'!I31</f>
        <v>0</v>
      </c>
      <c r="K24" s="36">
        <f t="shared" si="3"/>
        <v>2717.42</v>
      </c>
      <c r="L24" s="36">
        <f t="shared" si="0"/>
        <v>3182.92</v>
      </c>
      <c r="M24" s="28">
        <f>IF('[26]Calculo ISR '!$AD$34&lt;0,0,'[26]Calculo ISR '!$AD$34)</f>
        <v>46.222207999999995</v>
      </c>
      <c r="N24" s="38">
        <f>E24*P4</f>
        <v>230.57159999999999</v>
      </c>
      <c r="O24" s="38">
        <v>0</v>
      </c>
      <c r="P24" s="38">
        <f>'[1]HT-ADMINISTRATIVOS'!Q31</f>
        <v>0</v>
      </c>
      <c r="Q24" s="38">
        <f>'[1]HT-ADMINISTRATIVOS'!R31</f>
        <v>0</v>
      </c>
      <c r="R24" s="38">
        <f>E24*O4</f>
        <v>21.959200000000003</v>
      </c>
      <c r="S24" s="36">
        <f t="shared" si="4"/>
        <v>298.75300800000002</v>
      </c>
      <c r="T24" s="28">
        <f>IF('[1]Calculo ISR '!$AD$34&gt;0,0,'[1]Calculo ISR '!$AD$34)*-1</f>
        <v>0</v>
      </c>
      <c r="U24" s="36">
        <f t="shared" si="5"/>
        <v>2418.6669919999999</v>
      </c>
      <c r="V24" s="36">
        <f t="shared" si="2"/>
        <v>465.5</v>
      </c>
      <c r="W24" s="46"/>
      <c r="X24" s="47"/>
    </row>
    <row r="25" spans="1:24" s="48" customFormat="1" ht="45" customHeight="1">
      <c r="A25" s="56" t="s">
        <v>67</v>
      </c>
      <c r="B25" s="167" t="s">
        <v>68</v>
      </c>
      <c r="C25" s="34">
        <v>15</v>
      </c>
      <c r="D25" s="50">
        <v>553.13</v>
      </c>
      <c r="E25" s="36">
        <v>8296.9699999999993</v>
      </c>
      <c r="F25" s="43"/>
      <c r="G25" s="36"/>
      <c r="H25" s="36"/>
      <c r="I25" s="36">
        <f>'[1]HT-ADMINISTRATIVOS'!J32</f>
        <v>0</v>
      </c>
      <c r="J25" s="37"/>
      <c r="K25" s="36">
        <f t="shared" si="3"/>
        <v>8296.9699999999993</v>
      </c>
      <c r="L25" s="36">
        <f t="shared" si="0"/>
        <v>8296.9699999999993</v>
      </c>
      <c r="M25" s="28">
        <f>IF('[26]Calculo ISR '!$AE$34&lt;0,0,'[26]Calculo ISR '!$AE$34)</f>
        <v>1225.0436159999999</v>
      </c>
      <c r="N25" s="38">
        <f>E25*P4</f>
        <v>871.18184999999994</v>
      </c>
      <c r="O25" s="38">
        <v>2150.31</v>
      </c>
      <c r="P25" s="38">
        <f>'[1]HT-ADMINISTRATIVOS'!Q32</f>
        <v>0</v>
      </c>
      <c r="Q25" s="38">
        <f>'[1]HT-ADMINISTRATIVOS'!R32</f>
        <v>0</v>
      </c>
      <c r="R25" s="38">
        <f>'[1]HT-ADMINISTRATIVOS'!S32</f>
        <v>0</v>
      </c>
      <c r="S25" s="36">
        <f t="shared" si="4"/>
        <v>4246.5354659999994</v>
      </c>
      <c r="T25" s="28">
        <f>IF('[1]Calculo ISR '!$AE$34&gt;0,0,'[1]Calculo ISR '!$AE$34)*-1</f>
        <v>0</v>
      </c>
      <c r="U25" s="36">
        <f t="shared" si="5"/>
        <v>4050.434534</v>
      </c>
      <c r="V25" s="36">
        <f t="shared" si="2"/>
        <v>0</v>
      </c>
      <c r="W25" s="46"/>
      <c r="X25" s="47"/>
    </row>
    <row r="26" spans="1:24" s="48" customFormat="1" ht="45" customHeight="1">
      <c r="A26" s="58" t="s">
        <v>69</v>
      </c>
      <c r="B26" s="168" t="s">
        <v>70</v>
      </c>
      <c r="C26" s="34">
        <v>15</v>
      </c>
      <c r="D26" s="50">
        <v>238.18</v>
      </c>
      <c r="E26" s="36">
        <v>3572.72</v>
      </c>
      <c r="F26" s="43"/>
      <c r="G26" s="36">
        <v>465.5</v>
      </c>
      <c r="H26" s="36"/>
      <c r="I26" s="36">
        <f>'[1]HT-ADMINISTRATIVOS'!J33</f>
        <v>0</v>
      </c>
      <c r="J26" s="37">
        <f>'[1]HT-ADMINISTRATIVOS'!I33</f>
        <v>0</v>
      </c>
      <c r="K26" s="36">
        <f t="shared" si="3"/>
        <v>3572.72</v>
      </c>
      <c r="L26" s="36">
        <f t="shared" si="0"/>
        <v>4038.22</v>
      </c>
      <c r="M26" s="28">
        <f>IF('[26]Calculo ISR '!$AF$34&lt;0,0,'[26]Calculo ISR '!$AF$34)</f>
        <v>177.22884799999994</v>
      </c>
      <c r="N26" s="38">
        <f>E26*P4</f>
        <v>375.13559999999995</v>
      </c>
      <c r="O26" s="38">
        <v>689.44</v>
      </c>
      <c r="P26" s="143"/>
      <c r="Q26" s="38"/>
      <c r="R26" s="38">
        <f>E26*O4</f>
        <v>35.727199999999996</v>
      </c>
      <c r="S26" s="36">
        <f>M26+N26+O26+R26+P26+Q26</f>
        <v>1277.5316479999999</v>
      </c>
      <c r="T26" s="28">
        <f>IF('[1]Calculo ISR '!$AF$34&gt;0,0,'[1]Calculo ISR '!$AF$34)*-1</f>
        <v>0</v>
      </c>
      <c r="U26" s="36">
        <f>K26-S26+T26</f>
        <v>2295.1883520000001</v>
      </c>
      <c r="V26" s="36">
        <f t="shared" si="2"/>
        <v>465.5</v>
      </c>
      <c r="W26" s="46"/>
      <c r="X26" s="47"/>
    </row>
    <row r="27" spans="1:24" s="48" customFormat="1" ht="45" customHeight="1">
      <c r="A27" s="60" t="s">
        <v>71</v>
      </c>
      <c r="B27" s="169" t="s">
        <v>72</v>
      </c>
      <c r="C27" s="66">
        <v>15</v>
      </c>
      <c r="D27" s="50">
        <v>146.38999999999999</v>
      </c>
      <c r="E27" s="36">
        <v>2195.92</v>
      </c>
      <c r="F27" s="43"/>
      <c r="G27" s="36">
        <v>465.5</v>
      </c>
      <c r="H27" s="36"/>
      <c r="I27" s="36">
        <f>'[1]HT-ADMINISTRATIVOS'!J35</f>
        <v>0</v>
      </c>
      <c r="J27" s="37">
        <f>'[1]HT-ADMINISTRATIVOS'!I35</f>
        <v>0</v>
      </c>
      <c r="K27" s="36">
        <f t="shared" si="3"/>
        <v>2195.92</v>
      </c>
      <c r="L27" s="36">
        <f t="shared" si="0"/>
        <v>2661.42</v>
      </c>
      <c r="M27" s="28">
        <f>IF('[26]Calculo ISR '!$AG$34&lt;0,0,'[26]Calculo ISR '!$AG$34)</f>
        <v>0</v>
      </c>
      <c r="N27" s="38">
        <f>E27*P4</f>
        <v>230.57159999999999</v>
      </c>
      <c r="O27" s="38">
        <v>610</v>
      </c>
      <c r="P27" s="38">
        <f>'[1]HT-ADMINISTRATIVOS'!Q35</f>
        <v>0</v>
      </c>
      <c r="Q27" s="38">
        <f>'[1]HT-ADMINISTRATIVOS'!R35</f>
        <v>0</v>
      </c>
      <c r="R27" s="38">
        <f>E27*O4</f>
        <v>21.959200000000003</v>
      </c>
      <c r="S27" s="36">
        <f t="shared" si="4"/>
        <v>862.5308</v>
      </c>
      <c r="T27" s="28">
        <f>IF('[26]Calculo ISR '!$AG$34&gt;0,0,'[26]Calculo ISR '!$AG$34)*-1</f>
        <v>39.916992000000022</v>
      </c>
      <c r="U27" s="36">
        <f>K27-S27+T27</f>
        <v>1373.306192</v>
      </c>
      <c r="V27" s="36">
        <f t="shared" si="2"/>
        <v>465.5</v>
      </c>
      <c r="W27" s="67"/>
      <c r="X27" s="47"/>
    </row>
    <row r="28" spans="1:24" s="48" customFormat="1" ht="45" customHeight="1">
      <c r="A28" s="53" t="s">
        <v>73</v>
      </c>
      <c r="B28" s="169" t="s">
        <v>74</v>
      </c>
      <c r="C28" s="66">
        <v>15</v>
      </c>
      <c r="D28" s="50">
        <v>553.13</v>
      </c>
      <c r="E28" s="36">
        <v>8296.9699999999993</v>
      </c>
      <c r="F28" s="43"/>
      <c r="G28" s="36"/>
      <c r="H28" s="36"/>
      <c r="I28" s="36">
        <f>'[1]HT-ADMINISTRATIVOS'!J36</f>
        <v>0</v>
      </c>
      <c r="J28" s="37">
        <f>'[1]HT-ADMINISTRATIVOS'!I36</f>
        <v>0</v>
      </c>
      <c r="K28" s="36">
        <f t="shared" si="3"/>
        <v>8296.9699999999993</v>
      </c>
      <c r="L28" s="36">
        <f t="shared" si="0"/>
        <v>8296.9699999999993</v>
      </c>
      <c r="M28" s="28">
        <f>IF('[26]Calculo ISR '!$AH$34&lt;0,0,'[26]Calculo ISR '!$AH$34)</f>
        <v>1225.0436159999999</v>
      </c>
      <c r="N28" s="38">
        <f>E28*P4</f>
        <v>871.18184999999994</v>
      </c>
      <c r="O28" s="38">
        <v>0</v>
      </c>
      <c r="P28" s="38">
        <f>'[1]HT-ADMINISTRATIVOS'!Q36</f>
        <v>0</v>
      </c>
      <c r="Q28" s="38">
        <f>'[1]HT-ADMINISTRATIVOS'!R36</f>
        <v>0</v>
      </c>
      <c r="R28" s="38">
        <f>'[1]HT-ADMINISTRATIVOS'!S36</f>
        <v>0</v>
      </c>
      <c r="S28" s="36">
        <f t="shared" si="4"/>
        <v>2096.2254659999999</v>
      </c>
      <c r="T28" s="28">
        <f>IF('[1]Calculo ISR '!$AH$34&gt;0,0,'[1]Calculo ISR '!$AH$34)*-1</f>
        <v>0</v>
      </c>
      <c r="U28" s="36">
        <f>K28-S28+T28</f>
        <v>6200.7445339999995</v>
      </c>
      <c r="V28" s="36">
        <f t="shared" si="2"/>
        <v>0</v>
      </c>
      <c r="W28" s="67"/>
      <c r="X28" s="47"/>
    </row>
    <row r="29" spans="1:24" s="48" customFormat="1" ht="45" customHeight="1">
      <c r="A29" s="68" t="s">
        <v>75</v>
      </c>
      <c r="B29" s="169" t="s">
        <v>76</v>
      </c>
      <c r="C29" s="66">
        <v>15</v>
      </c>
      <c r="D29" s="50">
        <v>146.38999999999999</v>
      </c>
      <c r="E29" s="36">
        <v>2195.92</v>
      </c>
      <c r="F29" s="43"/>
      <c r="G29" s="36">
        <v>465.5</v>
      </c>
      <c r="H29" s="36"/>
      <c r="I29" s="36">
        <f>'[1]HT-ADMINISTRATIVOS'!J37</f>
        <v>0</v>
      </c>
      <c r="J29" s="37">
        <f>'[1]HT-ADMINISTRATIVOS'!I37</f>
        <v>0</v>
      </c>
      <c r="K29" s="36">
        <f t="shared" si="3"/>
        <v>2195.92</v>
      </c>
      <c r="L29" s="36">
        <f t="shared" si="0"/>
        <v>2661.42</v>
      </c>
      <c r="M29" s="28">
        <f>IF('[26]Calculo ISR '!$AI$34&lt;0,0,'[26]Calculo ISR '!$AI$34)</f>
        <v>0</v>
      </c>
      <c r="N29" s="38">
        <f>E29*P4</f>
        <v>230.57159999999999</v>
      </c>
      <c r="O29" s="38">
        <v>0</v>
      </c>
      <c r="P29" s="38">
        <f>'[1]HT-ADMINISTRATIVOS'!Q37</f>
        <v>0</v>
      </c>
      <c r="Q29" s="38">
        <f>'[1]HT-ADMINISTRATIVOS'!R37</f>
        <v>0</v>
      </c>
      <c r="R29" s="38">
        <f>E29*O4</f>
        <v>21.959200000000003</v>
      </c>
      <c r="S29" s="36">
        <f t="shared" si="4"/>
        <v>252.5308</v>
      </c>
      <c r="T29" s="28">
        <f>IF('[26]Calculo ISR '!$AI$34&gt;0,0,'[26]Calculo ISR '!$AI$34)*-1</f>
        <v>39.916992000000022</v>
      </c>
      <c r="U29" s="36">
        <f>K29-S29+T29</f>
        <v>1983.306192</v>
      </c>
      <c r="V29" s="36">
        <f t="shared" si="2"/>
        <v>465.5</v>
      </c>
      <c r="W29" s="67"/>
      <c r="X29" s="47"/>
    </row>
    <row r="30" spans="1:24" s="81" customFormat="1" ht="45" customHeight="1">
      <c r="A30" s="53" t="s">
        <v>79</v>
      </c>
      <c r="B30" s="169" t="s">
        <v>80</v>
      </c>
      <c r="C30" s="66">
        <v>15</v>
      </c>
      <c r="D30" s="76">
        <v>553.13</v>
      </c>
      <c r="E30" s="36">
        <v>8296.9699999999993</v>
      </c>
      <c r="F30" s="50"/>
      <c r="G30" s="36"/>
      <c r="H30" s="50"/>
      <c r="I30" s="50"/>
      <c r="J30" s="50"/>
      <c r="K30" s="36">
        <f t="shared" si="3"/>
        <v>8296.9699999999993</v>
      </c>
      <c r="L30" s="36">
        <f t="shared" si="0"/>
        <v>8296.9699999999993</v>
      </c>
      <c r="M30" s="28">
        <f>IF('[26]Calculo ISR '!$AK$34&lt;0,0,'[26]Calculo ISR '!$AK$34)</f>
        <v>1225.0436159999999</v>
      </c>
      <c r="N30" s="79">
        <f>E30*P4</f>
        <v>871.18184999999994</v>
      </c>
      <c r="O30" s="78"/>
      <c r="P30" s="50"/>
      <c r="Q30" s="78"/>
      <c r="R30" s="50"/>
      <c r="S30" s="50">
        <f t="shared" ref="S30:S41" si="7">M30+N30+O30+P30+Q30+R30</f>
        <v>2096.2254659999999</v>
      </c>
      <c r="T30" s="28">
        <f>IF('[1]Calculo ISR '!$AK$34&gt;0,0,'[1]Calculo ISR '!$AK$34)*-1</f>
        <v>0</v>
      </c>
      <c r="U30" s="79">
        <f>K30-S30</f>
        <v>6200.7445339999995</v>
      </c>
      <c r="V30" s="36">
        <f t="shared" si="2"/>
        <v>0</v>
      </c>
      <c r="W30" s="80"/>
      <c r="X30" s="47"/>
    </row>
    <row r="31" spans="1:24" s="81" customFormat="1" ht="45" customHeight="1">
      <c r="A31" s="91" t="s">
        <v>83</v>
      </c>
      <c r="B31" s="137" t="s">
        <v>84</v>
      </c>
      <c r="C31" s="66">
        <v>15</v>
      </c>
      <c r="D31" s="76">
        <v>186.24</v>
      </c>
      <c r="E31" s="36">
        <v>2793.65</v>
      </c>
      <c r="F31" s="50"/>
      <c r="G31" s="36">
        <v>465.5</v>
      </c>
      <c r="H31" s="50">
        <v>1043</v>
      </c>
      <c r="I31" s="50"/>
      <c r="J31" s="50"/>
      <c r="K31" s="36">
        <f t="shared" si="3"/>
        <v>3836.65</v>
      </c>
      <c r="L31" s="36">
        <f t="shared" si="0"/>
        <v>4302.1499999999996</v>
      </c>
      <c r="M31" s="28">
        <f>IF('[26]Calculo ISR '!$AM$34&lt;0,0,'[26]Calculo ISR '!$AM$34)</f>
        <v>322.95239999999995</v>
      </c>
      <c r="N31" s="92">
        <f>E31*P4</f>
        <v>293.33325000000002</v>
      </c>
      <c r="O31" s="78">
        <v>0</v>
      </c>
      <c r="P31" s="50"/>
      <c r="Q31" s="78"/>
      <c r="R31" s="50">
        <f>E31*O4</f>
        <v>27.936500000000002</v>
      </c>
      <c r="S31" s="50">
        <f>M31+N31+O31+P31+Q31+R31</f>
        <v>644.22215000000006</v>
      </c>
      <c r="T31" s="28">
        <f>IF('[1]Calculo ISR '!$AM$34&gt;0,0,'[1]Calculo ISR '!$AM$34)*-1</f>
        <v>0</v>
      </c>
      <c r="U31" s="79">
        <f t="shared" ref="U31:U46" si="8">K31-S31+T31</f>
        <v>3192.42785</v>
      </c>
      <c r="V31" s="36">
        <f t="shared" si="2"/>
        <v>465.5</v>
      </c>
      <c r="W31" s="80"/>
      <c r="X31" s="47"/>
    </row>
    <row r="32" spans="1:24" s="81" customFormat="1" ht="45" customHeight="1">
      <c r="A32" s="91" t="s">
        <v>85</v>
      </c>
      <c r="B32" s="137" t="s">
        <v>86</v>
      </c>
      <c r="C32" s="66">
        <v>15</v>
      </c>
      <c r="D32" s="76">
        <v>226.68</v>
      </c>
      <c r="E32" s="36">
        <v>3400.25</v>
      </c>
      <c r="F32" s="50"/>
      <c r="G32" s="36">
        <v>465.5</v>
      </c>
      <c r="H32" s="50"/>
      <c r="I32" s="50"/>
      <c r="J32" s="50"/>
      <c r="K32" s="36">
        <f t="shared" si="3"/>
        <v>3400.25</v>
      </c>
      <c r="L32" s="36">
        <f t="shared" si="0"/>
        <v>3865.75</v>
      </c>
      <c r="M32" s="28">
        <f>IF('[26]Calculo ISR '!$AN$34&lt;0,0,'[26]Calculo ISR '!$AN$34)</f>
        <v>140.76411199999998</v>
      </c>
      <c r="N32" s="92">
        <f>E32*P4</f>
        <v>357.02625</v>
      </c>
      <c r="O32" s="78">
        <v>0</v>
      </c>
      <c r="P32" s="50"/>
      <c r="Q32" s="78"/>
      <c r="R32" s="50">
        <v>0</v>
      </c>
      <c r="S32" s="50">
        <f t="shared" si="7"/>
        <v>497.79036199999996</v>
      </c>
      <c r="T32" s="28">
        <f>IF('[1]Calculo ISR '!$AN$34&gt;0,0,'[1]Calculo ISR '!$AN$34)*-1</f>
        <v>0</v>
      </c>
      <c r="U32" s="79">
        <f t="shared" si="8"/>
        <v>2902.4596380000003</v>
      </c>
      <c r="V32" s="36">
        <f t="shared" si="2"/>
        <v>465.5</v>
      </c>
      <c r="W32" s="80"/>
      <c r="X32" s="47"/>
    </row>
    <row r="33" spans="1:24" s="81" customFormat="1" ht="45" customHeight="1">
      <c r="A33" s="91" t="s">
        <v>87</v>
      </c>
      <c r="B33" s="170" t="s">
        <v>88</v>
      </c>
      <c r="C33" s="66">
        <v>15</v>
      </c>
      <c r="D33" s="76">
        <v>553.13</v>
      </c>
      <c r="E33" s="36">
        <v>8296.9699999999993</v>
      </c>
      <c r="F33" s="50"/>
      <c r="G33" s="36"/>
      <c r="H33" s="50"/>
      <c r="I33" s="50"/>
      <c r="J33" s="50"/>
      <c r="K33" s="36">
        <f t="shared" si="3"/>
        <v>8296.9699999999993</v>
      </c>
      <c r="L33" s="36">
        <f t="shared" si="0"/>
        <v>8296.9699999999993</v>
      </c>
      <c r="M33" s="28">
        <f>IF('[26]Calculo ISR '!$AO$34&lt;0,0,'[26]Calculo ISR '!$AO$34)</f>
        <v>1225.0436159999999</v>
      </c>
      <c r="N33" s="92">
        <f>E33*P4</f>
        <v>871.18184999999994</v>
      </c>
      <c r="O33" s="78">
        <v>1338</v>
      </c>
      <c r="P33" s="50"/>
      <c r="Q33" s="78"/>
      <c r="R33" s="50"/>
      <c r="S33" s="50">
        <f t="shared" si="7"/>
        <v>3434.2254659999999</v>
      </c>
      <c r="T33" s="28">
        <f>IF('[1]Calculo ISR '!$AO$34&gt;0,0,'[1]Calculo ISR '!$AO$34)*-1</f>
        <v>0</v>
      </c>
      <c r="U33" s="79">
        <f t="shared" si="8"/>
        <v>4862.7445339999995</v>
      </c>
      <c r="V33" s="36">
        <f t="shared" si="2"/>
        <v>0</v>
      </c>
      <c r="W33" s="80"/>
      <c r="X33" s="47"/>
    </row>
    <row r="34" spans="1:24" s="81" customFormat="1" ht="45" customHeight="1">
      <c r="A34" s="91" t="s">
        <v>89</v>
      </c>
      <c r="B34" s="170" t="s">
        <v>90</v>
      </c>
      <c r="C34" s="66">
        <v>15</v>
      </c>
      <c r="D34" s="76">
        <v>177.16</v>
      </c>
      <c r="E34" s="36">
        <v>2657.47</v>
      </c>
      <c r="F34" s="50"/>
      <c r="G34" s="36">
        <v>465.5</v>
      </c>
      <c r="H34" s="50"/>
      <c r="I34" s="50"/>
      <c r="J34" s="50"/>
      <c r="K34" s="36">
        <f t="shared" si="3"/>
        <v>2657.47</v>
      </c>
      <c r="L34" s="36">
        <f t="shared" si="0"/>
        <v>3122.97</v>
      </c>
      <c r="M34" s="28">
        <f>IF('[26]Calculo ISR '!$AP$34&lt;0,0,'[26]Calculo ISR '!$AP$34)</f>
        <v>39.699647999999968</v>
      </c>
      <c r="N34" s="92">
        <f>E34*P4</f>
        <v>279.03434999999996</v>
      </c>
      <c r="O34" s="78">
        <v>0</v>
      </c>
      <c r="P34" s="50"/>
      <c r="Q34" s="78"/>
      <c r="R34" s="50"/>
      <c r="S34" s="50">
        <f t="shared" si="7"/>
        <v>318.73399799999993</v>
      </c>
      <c r="T34" s="28">
        <f>IF('[1]Calculo ISR '!$AP$34&gt;0,0,'[1]Calculo ISR '!$AP$34)*-1</f>
        <v>0</v>
      </c>
      <c r="U34" s="79">
        <f t="shared" si="8"/>
        <v>2338.7360019999996</v>
      </c>
      <c r="V34" s="36">
        <f t="shared" si="2"/>
        <v>465.5</v>
      </c>
      <c r="W34" s="80"/>
      <c r="X34" s="47"/>
    </row>
    <row r="35" spans="1:24" s="81" customFormat="1" ht="45" customHeight="1">
      <c r="A35" s="91" t="s">
        <v>91</v>
      </c>
      <c r="B35" s="170" t="s">
        <v>92</v>
      </c>
      <c r="C35" s="66">
        <v>15</v>
      </c>
      <c r="D35" s="76">
        <v>135.83000000000001</v>
      </c>
      <c r="E35" s="36">
        <v>2037.52</v>
      </c>
      <c r="F35" s="50"/>
      <c r="G35" s="36">
        <v>465.5</v>
      </c>
      <c r="H35" s="50"/>
      <c r="I35" s="50"/>
      <c r="J35" s="50"/>
      <c r="K35" s="36">
        <f t="shared" si="3"/>
        <v>2037.52</v>
      </c>
      <c r="L35" s="36">
        <f t="shared" si="0"/>
        <v>2503.02</v>
      </c>
      <c r="M35" s="28">
        <f>IF('[26]Calculo ISR '!$AQ$34&lt;0,0,'[26]Calculo ISR '!$AQ$34)</f>
        <v>0</v>
      </c>
      <c r="N35" s="92">
        <f>E35*P4</f>
        <v>213.93959999999998</v>
      </c>
      <c r="O35" s="78">
        <v>679</v>
      </c>
      <c r="P35" s="50"/>
      <c r="Q35" s="78"/>
      <c r="R35" s="50">
        <f>E35*O4</f>
        <v>20.3752</v>
      </c>
      <c r="S35" s="50">
        <f t="shared" si="7"/>
        <v>913.31479999999988</v>
      </c>
      <c r="T35" s="28">
        <f>IF('[26]Calculo ISR '!$AQ$34&gt;0,0,'[26]Calculo ISR '!$AQ$34)*-1</f>
        <v>69.316559999999981</v>
      </c>
      <c r="U35" s="79">
        <f t="shared" si="8"/>
        <v>1193.5217600000001</v>
      </c>
      <c r="V35" s="36">
        <f t="shared" si="2"/>
        <v>465.5</v>
      </c>
      <c r="W35" s="80"/>
      <c r="X35" s="47"/>
    </row>
    <row r="36" spans="1:24" s="81" customFormat="1" ht="45" customHeight="1">
      <c r="A36" s="91" t="s">
        <v>93</v>
      </c>
      <c r="B36" s="170" t="s">
        <v>94</v>
      </c>
      <c r="C36" s="66">
        <v>15</v>
      </c>
      <c r="D36" s="76">
        <v>135.83000000000001</v>
      </c>
      <c r="E36" s="36">
        <v>2037.52</v>
      </c>
      <c r="F36" s="50"/>
      <c r="G36" s="36">
        <v>465.5</v>
      </c>
      <c r="H36" s="50"/>
      <c r="I36" s="50"/>
      <c r="J36" s="50"/>
      <c r="K36" s="36">
        <f t="shared" si="3"/>
        <v>2037.52</v>
      </c>
      <c r="L36" s="36">
        <f t="shared" si="0"/>
        <v>2503.02</v>
      </c>
      <c r="M36" s="28">
        <f>IF('[26]Calculo ISR '!$AR$34&lt;0,0,'[26]Calculo ISR '!$AR$34)</f>
        <v>0</v>
      </c>
      <c r="N36" s="92">
        <f>E36*P4</f>
        <v>213.93959999999998</v>
      </c>
      <c r="O36" s="78">
        <v>0</v>
      </c>
      <c r="P36" s="50"/>
      <c r="Q36" s="78"/>
      <c r="R36" s="50">
        <f>E36*O4</f>
        <v>20.3752</v>
      </c>
      <c r="S36" s="50">
        <f t="shared" si="7"/>
        <v>234.31479999999999</v>
      </c>
      <c r="T36" s="28">
        <f>IF('[26]Calculo ISR '!$AR$34&gt;0,0,'[26]Calculo ISR '!$AR$34)*-1</f>
        <v>69.316559999999981</v>
      </c>
      <c r="U36" s="79">
        <f t="shared" si="8"/>
        <v>1872.5217599999999</v>
      </c>
      <c r="V36" s="36">
        <f t="shared" si="2"/>
        <v>465.5</v>
      </c>
      <c r="W36" s="80"/>
      <c r="X36" s="47"/>
    </row>
    <row r="37" spans="1:24" s="81" customFormat="1" ht="45" customHeight="1">
      <c r="A37" s="91" t="s">
        <v>95</v>
      </c>
      <c r="B37" s="170" t="s">
        <v>96</v>
      </c>
      <c r="C37" s="66">
        <v>15</v>
      </c>
      <c r="D37" s="76">
        <v>780.2</v>
      </c>
      <c r="E37" s="36">
        <f t="shared" si="6"/>
        <v>11703</v>
      </c>
      <c r="F37" s="50"/>
      <c r="G37" s="36"/>
      <c r="H37" s="50"/>
      <c r="I37" s="50"/>
      <c r="J37" s="50"/>
      <c r="K37" s="36">
        <f t="shared" si="3"/>
        <v>11703</v>
      </c>
      <c r="L37" s="36">
        <f t="shared" si="0"/>
        <v>11703</v>
      </c>
      <c r="M37" s="28">
        <f>IF('[26]Calculo ISR '!$AS$34&lt;0,0,'[26]Calculo ISR '!$AS$34)</f>
        <v>1983.8578080000002</v>
      </c>
      <c r="N37" s="92">
        <f>E37*P4</f>
        <v>1228.8150000000001</v>
      </c>
      <c r="O37" s="78">
        <v>0</v>
      </c>
      <c r="P37" s="50"/>
      <c r="Q37" s="78"/>
      <c r="R37" s="50"/>
      <c r="S37" s="50">
        <f t="shared" si="7"/>
        <v>3212.6728080000003</v>
      </c>
      <c r="T37" s="28">
        <f>IF('[1]Calculo ISR '!$AS$34&gt;0,0,'[1]Calculo ISR '!$AS$34)*-1</f>
        <v>0</v>
      </c>
      <c r="U37" s="79">
        <f t="shared" si="8"/>
        <v>8490.3271920000007</v>
      </c>
      <c r="V37" s="36">
        <f t="shared" si="2"/>
        <v>0</v>
      </c>
      <c r="W37" s="80"/>
      <c r="X37" s="47"/>
    </row>
    <row r="38" spans="1:24" s="81" customFormat="1" ht="45" customHeight="1">
      <c r="A38" s="91" t="s">
        <v>99</v>
      </c>
      <c r="B38" s="170" t="s">
        <v>100</v>
      </c>
      <c r="C38" s="66">
        <v>15</v>
      </c>
      <c r="D38" s="76">
        <v>177.16</v>
      </c>
      <c r="E38" s="36">
        <v>2657.47</v>
      </c>
      <c r="F38" s="50"/>
      <c r="G38" s="36">
        <v>465.5</v>
      </c>
      <c r="H38" s="50"/>
      <c r="I38" s="50"/>
      <c r="J38" s="50"/>
      <c r="K38" s="36">
        <f t="shared" si="3"/>
        <v>2657.47</v>
      </c>
      <c r="L38" s="36">
        <f t="shared" si="0"/>
        <v>3122.97</v>
      </c>
      <c r="M38" s="28">
        <f>IF('[26]Calculo ISR '!$AU$34&lt;0,0,'[26]Calculo ISR '!$AU$34)</f>
        <v>39.699647999999968</v>
      </c>
      <c r="N38" s="92">
        <f>E38*P4</f>
        <v>279.03434999999996</v>
      </c>
      <c r="O38" s="78">
        <v>0</v>
      </c>
      <c r="P38" s="50"/>
      <c r="Q38" s="78"/>
      <c r="R38" s="50"/>
      <c r="S38" s="50">
        <f t="shared" si="7"/>
        <v>318.73399799999993</v>
      </c>
      <c r="T38" s="28">
        <f>IF('[1]Calculo ISR '!$AU$34&gt;0,0,'[1]Calculo ISR '!$AU$34)*-1</f>
        <v>0</v>
      </c>
      <c r="U38" s="79">
        <f t="shared" si="8"/>
        <v>2338.7360019999996</v>
      </c>
      <c r="V38" s="36">
        <f t="shared" si="2"/>
        <v>465.5</v>
      </c>
      <c r="W38" s="80"/>
      <c r="X38" s="47"/>
    </row>
    <row r="39" spans="1:24" s="81" customFormat="1" ht="45" customHeight="1">
      <c r="A39" s="91" t="s">
        <v>101</v>
      </c>
      <c r="B39" s="170" t="s">
        <v>121</v>
      </c>
      <c r="C39" s="66">
        <v>15</v>
      </c>
      <c r="D39" s="76">
        <v>780.2</v>
      </c>
      <c r="E39" s="36">
        <f t="shared" si="6"/>
        <v>11703</v>
      </c>
      <c r="F39" s="50"/>
      <c r="G39" s="36"/>
      <c r="H39" s="50"/>
      <c r="I39" s="50"/>
      <c r="J39" s="50"/>
      <c r="K39" s="36">
        <f t="shared" si="3"/>
        <v>11703</v>
      </c>
      <c r="L39" s="36">
        <f t="shared" si="0"/>
        <v>11703</v>
      </c>
      <c r="M39" s="28">
        <f>IF('[26]Calculo ISR '!$AV$34&lt;0,0,'[26]Calculo ISR '!$AV$34)</f>
        <v>1983.8578080000002</v>
      </c>
      <c r="N39" s="92">
        <f>E39*P4</f>
        <v>1228.8150000000001</v>
      </c>
      <c r="O39" s="78">
        <v>1887</v>
      </c>
      <c r="P39" s="50"/>
      <c r="Q39" s="78"/>
      <c r="R39" s="50"/>
      <c r="S39" s="50">
        <f t="shared" si="7"/>
        <v>5099.6728080000003</v>
      </c>
      <c r="T39" s="28">
        <f>IF('[1]Calculo ISR '!$AV$34&gt;0,0,'[1]Calculo ISR '!$AV$34)*-1</f>
        <v>0</v>
      </c>
      <c r="U39" s="79">
        <f t="shared" si="8"/>
        <v>6603.3271919999997</v>
      </c>
      <c r="V39" s="36">
        <f t="shared" si="2"/>
        <v>0</v>
      </c>
      <c r="W39" s="80"/>
      <c r="X39" s="47"/>
    </row>
    <row r="40" spans="1:24" s="81" customFormat="1" ht="45" customHeight="1">
      <c r="A40" s="91" t="s">
        <v>103</v>
      </c>
      <c r="B40" s="170" t="s">
        <v>122</v>
      </c>
      <c r="C40" s="66">
        <v>15</v>
      </c>
      <c r="D40" s="76">
        <v>177.16</v>
      </c>
      <c r="E40" s="36">
        <v>2657.47</v>
      </c>
      <c r="F40" s="50"/>
      <c r="G40" s="36">
        <v>465.5</v>
      </c>
      <c r="H40" s="50"/>
      <c r="I40" s="50"/>
      <c r="J40" s="50"/>
      <c r="K40" s="36">
        <f t="shared" si="3"/>
        <v>2657.47</v>
      </c>
      <c r="L40" s="36">
        <f t="shared" si="0"/>
        <v>3122.97</v>
      </c>
      <c r="M40" s="28">
        <f>IF('[26]Calculo ISR '!$AW$34&lt;0,0,'[26]Calculo ISR '!$AW$34)</f>
        <v>39.699647999999968</v>
      </c>
      <c r="N40" s="92">
        <f>E40*P4</f>
        <v>279.03434999999996</v>
      </c>
      <c r="O40" s="78">
        <v>0</v>
      </c>
      <c r="P40" s="50"/>
      <c r="Q40" s="78"/>
      <c r="R40" s="50"/>
      <c r="S40" s="50">
        <f t="shared" si="7"/>
        <v>318.73399799999993</v>
      </c>
      <c r="T40" s="28"/>
      <c r="U40" s="79">
        <f t="shared" si="8"/>
        <v>2338.7360019999996</v>
      </c>
      <c r="V40" s="36">
        <f t="shared" si="2"/>
        <v>465.5</v>
      </c>
      <c r="W40" s="80"/>
      <c r="X40" s="47"/>
    </row>
    <row r="41" spans="1:24" s="81" customFormat="1" ht="45" customHeight="1">
      <c r="A41" s="91" t="s">
        <v>139</v>
      </c>
      <c r="B41" s="170" t="s">
        <v>140</v>
      </c>
      <c r="C41" s="66">
        <v>15</v>
      </c>
      <c r="D41" s="76">
        <v>177.16</v>
      </c>
      <c r="E41" s="36">
        <v>2657.47</v>
      </c>
      <c r="F41" s="50"/>
      <c r="G41" s="36">
        <v>465.5</v>
      </c>
      <c r="H41" s="50"/>
      <c r="I41" s="50"/>
      <c r="J41" s="50"/>
      <c r="K41" s="36">
        <f t="shared" si="3"/>
        <v>2657.47</v>
      </c>
      <c r="L41" s="36">
        <f t="shared" si="0"/>
        <v>3122.97</v>
      </c>
      <c r="M41" s="28">
        <f>IF('[26]Calculo ISR '!$AX$34&lt;0,0,'[26]Calculo ISR '!$AX$34)</f>
        <v>39.699647999999968</v>
      </c>
      <c r="N41" s="92">
        <f>E41*P4</f>
        <v>279.03434999999996</v>
      </c>
      <c r="O41" s="78"/>
      <c r="P41" s="50"/>
      <c r="Q41" s="78"/>
      <c r="R41" s="50"/>
      <c r="S41" s="50">
        <f t="shared" si="7"/>
        <v>318.73399799999993</v>
      </c>
      <c r="T41" s="28"/>
      <c r="U41" s="79">
        <f t="shared" si="8"/>
        <v>2338.7360019999996</v>
      </c>
      <c r="V41" s="36">
        <f t="shared" si="2"/>
        <v>465.5</v>
      </c>
      <c r="W41" s="80"/>
      <c r="X41" s="47"/>
    </row>
    <row r="42" spans="1:24" s="81" customFormat="1" ht="45" customHeight="1">
      <c r="A42" s="91" t="s">
        <v>150</v>
      </c>
      <c r="B42" s="170" t="s">
        <v>142</v>
      </c>
      <c r="C42" s="66">
        <v>15</v>
      </c>
      <c r="D42" s="76">
        <v>205.61</v>
      </c>
      <c r="E42" s="36">
        <f t="shared" si="6"/>
        <v>3084.15</v>
      </c>
      <c r="F42" s="50"/>
      <c r="G42" s="36">
        <v>465.5</v>
      </c>
      <c r="H42" s="50">
        <v>521.5</v>
      </c>
      <c r="I42" s="50"/>
      <c r="J42" s="50"/>
      <c r="K42" s="36">
        <f t="shared" si="3"/>
        <v>3605.65</v>
      </c>
      <c r="L42" s="36">
        <f t="shared" si="0"/>
        <v>4071.15</v>
      </c>
      <c r="M42" s="28">
        <f>IF('[26]Calculo ISR '!$AY$34&lt;0,0,'[26]Calculo ISR '!$AY$34)</f>
        <v>180.81163199999995</v>
      </c>
      <c r="N42" s="92">
        <f>E42*P4</f>
        <v>323.83575000000002</v>
      </c>
      <c r="O42" s="78"/>
      <c r="P42" s="50"/>
      <c r="Q42" s="78"/>
      <c r="R42" s="50"/>
      <c r="S42" s="50">
        <f>SUM(M42+N42+O42+P42+Q42+R42)</f>
        <v>504.64738199999999</v>
      </c>
      <c r="T42" s="28"/>
      <c r="U42" s="79">
        <f t="shared" si="8"/>
        <v>3101.002618</v>
      </c>
      <c r="V42" s="36">
        <f t="shared" si="2"/>
        <v>465.5</v>
      </c>
      <c r="W42" s="80"/>
      <c r="X42" s="47"/>
    </row>
    <row r="43" spans="1:24" s="81" customFormat="1" ht="45" customHeight="1">
      <c r="A43" s="91" t="s">
        <v>151</v>
      </c>
      <c r="B43" s="170" t="s">
        <v>152</v>
      </c>
      <c r="C43" s="66">
        <v>15</v>
      </c>
      <c r="D43" s="76">
        <v>238.18</v>
      </c>
      <c r="E43" s="36">
        <v>3572.72</v>
      </c>
      <c r="F43" s="50"/>
      <c r="G43" s="36">
        <v>465.5</v>
      </c>
      <c r="H43" s="50"/>
      <c r="I43" s="50"/>
      <c r="J43" s="50"/>
      <c r="K43" s="36">
        <f t="shared" si="3"/>
        <v>3572.72</v>
      </c>
      <c r="L43" s="36">
        <f t="shared" si="0"/>
        <v>4038.22</v>
      </c>
      <c r="M43" s="28">
        <f>IF('[26]Calculo ISR '!$AZ$34&lt;0,0,'[26]Calculo ISR '!$AZ$34)</f>
        <v>177.22884799999994</v>
      </c>
      <c r="N43" s="92">
        <f>E43*P4</f>
        <v>375.13559999999995</v>
      </c>
      <c r="O43" s="78"/>
      <c r="P43" s="50"/>
      <c r="Q43" s="78"/>
      <c r="R43" s="50"/>
      <c r="S43" s="50">
        <f>SUM(M43+N43+O43+P43+Q43+R43)</f>
        <v>552.36444799999992</v>
      </c>
      <c r="T43" s="28"/>
      <c r="U43" s="79">
        <f t="shared" si="8"/>
        <v>3020.355552</v>
      </c>
      <c r="V43" s="36">
        <f t="shared" si="2"/>
        <v>465.5</v>
      </c>
      <c r="W43" s="80"/>
      <c r="X43" s="47"/>
    </row>
    <row r="44" spans="1:24" s="81" customFormat="1" ht="45" customHeight="1">
      <c r="A44" s="91" t="s">
        <v>161</v>
      </c>
      <c r="B44" s="170" t="s">
        <v>162</v>
      </c>
      <c r="C44" s="66">
        <v>15</v>
      </c>
      <c r="D44" s="76">
        <v>902.7</v>
      </c>
      <c r="E44" s="36">
        <f>C44*D44</f>
        <v>13540.5</v>
      </c>
      <c r="F44" s="50"/>
      <c r="G44" s="36"/>
      <c r="H44" s="50"/>
      <c r="I44" s="50"/>
      <c r="J44" s="50"/>
      <c r="K44" s="36">
        <f t="shared" si="3"/>
        <v>13540.5</v>
      </c>
      <c r="L44" s="36">
        <f t="shared" si="0"/>
        <v>13540.5</v>
      </c>
      <c r="M44" s="28">
        <f>IF('[26]Calculo ISR '!$BA$34&lt;0,0,'[26]Calculo ISR '!$BA$34)</f>
        <v>2416.037808</v>
      </c>
      <c r="N44" s="92">
        <v>1421.76</v>
      </c>
      <c r="O44" s="78"/>
      <c r="P44" s="50"/>
      <c r="Q44" s="78"/>
      <c r="R44" s="50"/>
      <c r="S44" s="50">
        <f>SUM(M44+N44+O44+P44+Q44+R44)</f>
        <v>3837.7978080000003</v>
      </c>
      <c r="T44" s="28"/>
      <c r="U44" s="79">
        <f t="shared" si="8"/>
        <v>9702.7021920000007</v>
      </c>
      <c r="V44" s="36">
        <f t="shared" si="2"/>
        <v>0</v>
      </c>
      <c r="W44" s="80"/>
      <c r="X44" s="47"/>
    </row>
    <row r="45" spans="1:24" s="81" customFormat="1" ht="45" customHeight="1">
      <c r="A45" s="91" t="s">
        <v>173</v>
      </c>
      <c r="B45" s="170" t="s">
        <v>174</v>
      </c>
      <c r="C45" s="66">
        <v>15</v>
      </c>
      <c r="D45" s="76">
        <v>160.69999999999999</v>
      </c>
      <c r="E45" s="36">
        <f>D45*C45</f>
        <v>2410.5</v>
      </c>
      <c r="F45" s="50"/>
      <c r="G45" s="36">
        <v>465.5</v>
      </c>
      <c r="H45" s="50">
        <v>0</v>
      </c>
      <c r="I45" s="50">
        <v>0</v>
      </c>
      <c r="J45" s="50">
        <v>0</v>
      </c>
      <c r="K45" s="36">
        <f t="shared" si="3"/>
        <v>2410.5</v>
      </c>
      <c r="L45" s="36">
        <f t="shared" si="0"/>
        <v>2876</v>
      </c>
      <c r="M45" s="28">
        <f>IF('[26]Calculo ISR '!$BB$34&lt;0,0,'[26]Calculo ISR '!$BB$34)</f>
        <v>0</v>
      </c>
      <c r="N45" s="92">
        <v>253.1</v>
      </c>
      <c r="O45" s="78"/>
      <c r="P45" s="50"/>
      <c r="Q45" s="78"/>
      <c r="R45" s="50"/>
      <c r="S45" s="50">
        <f t="shared" ref="S45:S46" si="9">SUM(M45+N45+O45+P45+Q45+R45)</f>
        <v>253.1</v>
      </c>
      <c r="T45" s="28">
        <v>2.17</v>
      </c>
      <c r="U45" s="79">
        <f t="shared" si="8"/>
        <v>2159.5700000000002</v>
      </c>
      <c r="V45" s="36">
        <f t="shared" si="2"/>
        <v>465.5</v>
      </c>
      <c r="W45" s="80"/>
      <c r="X45" s="47"/>
    </row>
    <row r="46" spans="1:24" s="81" customFormat="1" ht="45" customHeight="1">
      <c r="A46" s="91" t="s">
        <v>175</v>
      </c>
      <c r="B46" s="170" t="s">
        <v>176</v>
      </c>
      <c r="C46" s="66">
        <v>15</v>
      </c>
      <c r="D46" s="76">
        <v>780.2</v>
      </c>
      <c r="E46" s="36">
        <f>C46*D46</f>
        <v>11703</v>
      </c>
      <c r="F46" s="50">
        <v>0</v>
      </c>
      <c r="G46" s="36">
        <v>0</v>
      </c>
      <c r="H46" s="50">
        <v>0</v>
      </c>
      <c r="I46" s="50">
        <v>0</v>
      </c>
      <c r="J46" s="50"/>
      <c r="K46" s="36">
        <f t="shared" si="3"/>
        <v>11703</v>
      </c>
      <c r="L46" s="36">
        <f t="shared" si="0"/>
        <v>11703</v>
      </c>
      <c r="M46" s="28">
        <f>IF('[26]Calculo ISR '!$BC$34&lt;0,0,'[26]Calculo ISR '!$BC$34)</f>
        <v>1983.8578080000002</v>
      </c>
      <c r="N46" s="92">
        <v>1228.82</v>
      </c>
      <c r="O46" s="78"/>
      <c r="P46" s="50"/>
      <c r="Q46" s="78"/>
      <c r="R46" s="50"/>
      <c r="S46" s="50">
        <f t="shared" si="9"/>
        <v>3212.6778080000004</v>
      </c>
      <c r="T46" s="28"/>
      <c r="U46" s="79">
        <f t="shared" si="8"/>
        <v>8490.3221919999996</v>
      </c>
      <c r="V46" s="36">
        <f t="shared" si="2"/>
        <v>0</v>
      </c>
      <c r="W46" s="80"/>
      <c r="X46" s="47"/>
    </row>
    <row r="47" spans="1:24" s="99" customFormat="1" ht="21.95" customHeight="1">
      <c r="A47" s="93"/>
      <c r="B47" s="94">
        <v>40</v>
      </c>
      <c r="C47" s="95">
        <f>SUM(C8:C46)</f>
        <v>585</v>
      </c>
      <c r="D47" s="95">
        <f>SUM(D8:D46)</f>
        <v>13117.716666666671</v>
      </c>
      <c r="E47" s="95">
        <f t="shared" ref="E47:V47" si="10">SUM(E7:E46)</f>
        <v>214282.25999999998</v>
      </c>
      <c r="F47" s="95">
        <f t="shared" si="10"/>
        <v>6040.32</v>
      </c>
      <c r="G47" s="95">
        <f t="shared" si="10"/>
        <v>13761.25</v>
      </c>
      <c r="H47" s="95">
        <f t="shared" si="10"/>
        <v>4693.5</v>
      </c>
      <c r="I47" s="95">
        <f t="shared" si="10"/>
        <v>688</v>
      </c>
      <c r="J47" s="95">
        <f t="shared" si="10"/>
        <v>1566.4396099999997</v>
      </c>
      <c r="K47" s="95">
        <f t="shared" si="10"/>
        <v>227270.51960999996</v>
      </c>
      <c r="L47" s="95">
        <f t="shared" si="10"/>
        <v>241031.76960999996</v>
      </c>
      <c r="M47" s="96">
        <f t="shared" si="10"/>
        <v>28331.574616448008</v>
      </c>
      <c r="N47" s="95">
        <f t="shared" si="10"/>
        <v>22499.647299999997</v>
      </c>
      <c r="O47" s="95">
        <f t="shared" si="10"/>
        <v>21974.97</v>
      </c>
      <c r="P47" s="95">
        <f t="shared" si="10"/>
        <v>0</v>
      </c>
      <c r="Q47" s="95">
        <f t="shared" si="10"/>
        <v>0</v>
      </c>
      <c r="R47" s="95">
        <f t="shared" si="10"/>
        <v>582.91589999999997</v>
      </c>
      <c r="S47" s="95">
        <f t="shared" si="10"/>
        <v>73389.107816448028</v>
      </c>
      <c r="T47" s="95">
        <f t="shared" si="10"/>
        <v>230.36166937600001</v>
      </c>
      <c r="U47" s="95">
        <f t="shared" si="10"/>
        <v>154111.77346292802</v>
      </c>
      <c r="V47" s="95">
        <f t="shared" si="10"/>
        <v>13761.25</v>
      </c>
      <c r="W47" s="97"/>
      <c r="X47" s="98"/>
    </row>
    <row r="48" spans="1:24" s="6" customFormat="1" ht="7.5" customHeight="1">
      <c r="A48" s="122"/>
      <c r="B48" s="123">
        <v>40</v>
      </c>
      <c r="C48" s="124"/>
      <c r="D48" s="101"/>
      <c r="E48" s="101"/>
      <c r="F48" s="101"/>
      <c r="G48" s="125"/>
      <c r="H48" s="125">
        <f>H47+'[26]HT-DOCENTE FIRMA'!M38</f>
        <v>6532.1399999999994</v>
      </c>
      <c r="I48" s="101"/>
      <c r="J48" s="101"/>
      <c r="K48" s="101"/>
      <c r="L48" s="101"/>
      <c r="N48" s="101">
        <f>N47+'[26]HT-DOCENTE FIRMA'!R38+'[26]HT-PTC FIRMAS '!L15</f>
        <v>39006.393849999993</v>
      </c>
      <c r="O48" s="101">
        <f>O47+'[26]HT-DOCENTE FIRMA'!S38+'[26]HT-PTC FIRMAS '!M15</f>
        <v>34499.97</v>
      </c>
      <c r="P48" s="101"/>
      <c r="Q48" s="101"/>
      <c r="R48" s="101"/>
      <c r="S48" s="101"/>
      <c r="T48" s="101"/>
      <c r="U48" s="101"/>
      <c r="V48" s="101"/>
      <c r="W48" s="126"/>
      <c r="X48" s="5"/>
    </row>
    <row r="49" spans="1:26" s="6" customFormat="1" ht="7.5" customHeight="1">
      <c r="A49" s="122"/>
      <c r="B49" s="123">
        <f>B48+'[26]HT-DOCENTE FIRMA'!B39+'[26]HT-PTC FIRMAS '!B16</f>
        <v>73</v>
      </c>
      <c r="C49" s="124"/>
      <c r="D49" s="101"/>
      <c r="E49" s="101">
        <f>E47+'[26]HT-DOCENTE FIRMA'!I38+'[26]HT-PTC FIRMAS '!D15</f>
        <v>371489.37</v>
      </c>
      <c r="F49" s="101"/>
      <c r="G49" s="125"/>
      <c r="H49" s="125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26"/>
      <c r="X49" s="5"/>
      <c r="Z49" s="5"/>
    </row>
    <row r="50" spans="1:26" s="6" customFormat="1" ht="7.5" customHeight="1">
      <c r="A50" s="127"/>
      <c r="B50" s="123"/>
      <c r="C50" s="122"/>
      <c r="D50" s="128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26"/>
      <c r="X50" s="5"/>
    </row>
    <row r="51" spans="1:26" s="6" customFormat="1" ht="7.5" customHeight="1">
      <c r="A51" s="129"/>
      <c r="B51" s="130"/>
      <c r="C51" s="131"/>
      <c r="D51" s="132"/>
      <c r="E51" s="133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5"/>
      <c r="X51" s="5"/>
    </row>
    <row r="52" spans="1:26" ht="15" customHeight="1">
      <c r="A52" s="110" t="s">
        <v>105</v>
      </c>
      <c r="B52" s="110"/>
      <c r="C52" s="110"/>
      <c r="D52" s="111"/>
      <c r="E52" s="109"/>
      <c r="F52" s="109"/>
      <c r="G52" s="112"/>
      <c r="H52" s="113" t="s">
        <v>106</v>
      </c>
      <c r="I52" s="112"/>
      <c r="K52" s="113"/>
      <c r="L52" s="114"/>
      <c r="O52" s="115"/>
      <c r="P52" s="115"/>
      <c r="Q52" s="115"/>
      <c r="R52" s="115"/>
      <c r="S52" s="111" t="s">
        <v>107</v>
      </c>
      <c r="T52" s="111"/>
      <c r="U52" s="111"/>
      <c r="V52" s="111"/>
      <c r="W52" s="111"/>
      <c r="X52" s="100"/>
    </row>
    <row r="53" spans="1:26" hidden="1">
      <c r="A53" s="111"/>
      <c r="B53" s="111"/>
      <c r="C53" s="111"/>
      <c r="D53" s="111"/>
      <c r="E53" s="116"/>
      <c r="F53" s="116"/>
      <c r="G53" s="111"/>
      <c r="H53" s="111"/>
      <c r="I53" s="111"/>
      <c r="J53" s="111"/>
      <c r="K53" s="103"/>
      <c r="L53" s="103"/>
      <c r="O53" s="103"/>
      <c r="P53" s="115"/>
      <c r="Q53" s="103"/>
      <c r="R53" s="103"/>
      <c r="S53" s="111"/>
      <c r="T53" s="111"/>
      <c r="U53" s="111"/>
      <c r="V53" s="111"/>
      <c r="W53" s="111"/>
      <c r="X53" s="100"/>
    </row>
    <row r="54" spans="1:26" hidden="1">
      <c r="A54" s="111"/>
      <c r="B54" s="111"/>
      <c r="C54" s="111"/>
      <c r="D54" s="111"/>
      <c r="E54" s="109"/>
      <c r="F54" s="109"/>
      <c r="G54" s="111"/>
      <c r="H54" s="111"/>
      <c r="I54" s="111"/>
      <c r="J54" s="111"/>
      <c r="K54" s="109"/>
      <c r="L54" s="109"/>
      <c r="O54" s="109"/>
      <c r="P54" s="109"/>
      <c r="Q54" s="109"/>
      <c r="R54" s="109"/>
      <c r="S54" s="111"/>
      <c r="T54" s="111"/>
      <c r="U54" s="111"/>
      <c r="V54" s="111"/>
      <c r="W54" s="111"/>
      <c r="X54" s="100"/>
    </row>
    <row r="55" spans="1:26" ht="21.75" customHeight="1">
      <c r="A55" s="111"/>
      <c r="B55" s="113" t="s">
        <v>177</v>
      </c>
      <c r="C55" s="112"/>
      <c r="D55" s="111"/>
      <c r="E55" s="116"/>
      <c r="F55" s="116"/>
      <c r="G55" s="117"/>
      <c r="H55" s="118" t="s">
        <v>109</v>
      </c>
      <c r="I55" s="117"/>
      <c r="K55" s="118"/>
      <c r="L55" s="118"/>
      <c r="O55" s="109"/>
      <c r="P55" s="109"/>
      <c r="R55" s="109"/>
      <c r="S55" s="145" t="s">
        <v>110</v>
      </c>
      <c r="T55" s="117"/>
      <c r="U55" s="117"/>
      <c r="V55" s="117"/>
      <c r="W55" s="111"/>
      <c r="X55" s="100"/>
    </row>
    <row r="56" spans="1:26" ht="15" customHeight="1">
      <c r="A56" s="112" t="s">
        <v>178</v>
      </c>
      <c r="B56" s="112"/>
      <c r="C56" s="112"/>
      <c r="D56" s="112"/>
      <c r="E56" s="171"/>
      <c r="F56" s="109"/>
      <c r="G56" s="117"/>
      <c r="H56" s="118" t="s">
        <v>112</v>
      </c>
      <c r="I56" s="117"/>
      <c r="K56" s="118"/>
      <c r="L56" s="118"/>
      <c r="O56" s="109"/>
      <c r="P56" s="109"/>
      <c r="Q56" s="109"/>
      <c r="R56" s="119" t="s">
        <v>113</v>
      </c>
      <c r="S56" s="119"/>
      <c r="T56" s="119"/>
      <c r="U56" s="119"/>
      <c r="V56" s="119"/>
      <c r="W56" s="111"/>
      <c r="X56" s="100"/>
    </row>
    <row r="57" spans="1:26">
      <c r="A57" s="109"/>
      <c r="B57" s="120"/>
      <c r="C57" s="109"/>
      <c r="D57" s="109"/>
      <c r="E57" s="116"/>
      <c r="F57" s="116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6" s="2" customFormat="1">
      <c r="A58" s="109"/>
      <c r="B58" s="120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6" s="2" customFormat="1">
      <c r="A59" s="109"/>
      <c r="B59" s="120"/>
      <c r="C59" s="109"/>
      <c r="D59" s="109"/>
      <c r="E59" s="109"/>
      <c r="F59" s="109"/>
      <c r="G59" s="109"/>
      <c r="H59" s="109"/>
      <c r="I59" s="109"/>
      <c r="J59" s="109"/>
      <c r="K59" s="109"/>
      <c r="L59" s="116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0"/>
    </row>
    <row r="60" spans="1:26" s="2" customFormat="1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0"/>
    </row>
    <row r="61" spans="1:26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6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6" s="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00"/>
    </row>
    <row r="64" spans="1:26" s="2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>
      <c r="X69" s="100"/>
    </row>
    <row r="70" spans="1:24">
      <c r="X70" s="100"/>
    </row>
    <row r="71" spans="1:24" s="102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2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s="10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s="10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309" spans="99:99">
      <c r="CU309" s="1" t="s">
        <v>114</v>
      </c>
    </row>
  </sheetData>
  <mergeCells count="2">
    <mergeCell ref="A52:C52"/>
    <mergeCell ref="R56:V56"/>
  </mergeCells>
  <printOptions horizontalCentered="1" verticalCentered="1"/>
  <pageMargins left="0.74803149606299213" right="0.19685039370078741" top="0.19685039370078741" bottom="0.39370078740157483" header="0" footer="0"/>
  <pageSetup paperSize="5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CU307"/>
  <sheetViews>
    <sheetView zoomScale="80" zoomScaleNormal="80" workbookViewId="0">
      <pane xSplit="2" ySplit="6" topLeftCell="C40" activePane="bottomRight" state="frozen"/>
      <selection activeCell="S28" sqref="S28"/>
      <selection pane="topRight" activeCell="S28" sqref="S28"/>
      <selection pane="bottomLeft" activeCell="S28" sqref="S28"/>
      <selection pane="bottomRight" activeCell="B48" sqref="B48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7" width="12.85546875" style="1" customWidth="1"/>
    <col min="8" max="8" width="10.570312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5.285156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3" spans="1:26">
      <c r="B3" s="2"/>
      <c r="I3" s="3"/>
      <c r="J3" s="3"/>
      <c r="K3" s="4"/>
      <c r="L3" s="5" t="s">
        <v>0</v>
      </c>
      <c r="O3" s="6"/>
      <c r="P3" s="6"/>
      <c r="Q3" s="6" t="s">
        <v>1</v>
      </c>
    </row>
    <row r="4" spans="1:26">
      <c r="B4" s="2"/>
      <c r="C4" s="3"/>
      <c r="D4" s="3"/>
      <c r="E4" s="3"/>
      <c r="F4" s="3"/>
      <c r="I4" s="3"/>
      <c r="J4" s="3"/>
      <c r="K4" s="3"/>
      <c r="L4" s="7">
        <v>1.9E-2</v>
      </c>
      <c r="O4" s="8">
        <v>0.01</v>
      </c>
      <c r="P4" s="121">
        <v>0.105</v>
      </c>
      <c r="Q4" s="9">
        <v>3.7999999999999999E-2</v>
      </c>
    </row>
    <row r="5" spans="1:26" ht="13.5" thickBot="1">
      <c r="B5" s="10" t="s">
        <v>2</v>
      </c>
      <c r="C5" s="3"/>
      <c r="D5" s="3"/>
      <c r="E5" s="3"/>
      <c r="F5" s="3"/>
      <c r="G5" s="10" t="s">
        <v>116</v>
      </c>
      <c r="J5" s="3"/>
      <c r="K5" s="3"/>
    </row>
    <row r="6" spans="1:26" s="25" customFormat="1" ht="92.2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28">
        <f>'[1]HT-ADMINISTRATIVOS'!C8</f>
        <v>15</v>
      </c>
      <c r="D7" s="28">
        <f>E7/C7</f>
        <v>1129.1146666666668</v>
      </c>
      <c r="E7" s="28">
        <v>16936.72</v>
      </c>
      <c r="F7" s="28">
        <v>6616.24</v>
      </c>
      <c r="G7" s="28">
        <f>'[1]HT-ADMINISTRATIVOS'!G8</f>
        <v>960</v>
      </c>
      <c r="H7" s="28">
        <f>'[1]HT-ADMINISTRATIVOS'!H8</f>
        <v>0</v>
      </c>
      <c r="I7" s="28">
        <f>'[1]HT-ADMINISTRATIVOS'!J8</f>
        <v>688</v>
      </c>
      <c r="J7" s="28">
        <f>'[1]HT-ADMINISTRATIVOS'!I8</f>
        <v>0</v>
      </c>
      <c r="K7" s="28">
        <f>E7+F7+H7+I7+J7</f>
        <v>24240.959999999999</v>
      </c>
      <c r="L7" s="28">
        <f t="shared" ref="L7:L12" si="0">K7+G7</f>
        <v>25200.959999999999</v>
      </c>
      <c r="M7" s="28">
        <f>IF('[1]Calculo ISR '!$K$34&lt;0,0,'[1]Calculo ISR '!$K$34)</f>
        <v>5456.9699999999993</v>
      </c>
      <c r="N7" s="28">
        <f>E7*P4</f>
        <v>1778.3556000000001</v>
      </c>
      <c r="O7" s="28">
        <v>5250</v>
      </c>
      <c r="P7" s="28">
        <f>'[1]HT-ADMINISTRATIVOS'!Q8</f>
        <v>0</v>
      </c>
      <c r="Q7" s="28">
        <f>'[1]HT-ADMINISTRATIVOS'!R8</f>
        <v>0</v>
      </c>
      <c r="R7" s="28">
        <f>'[1]HT-ADMINISTRATIVOS'!S8</f>
        <v>0</v>
      </c>
      <c r="S7" s="28">
        <f>M7+N7+O7+P7+Q7+R7</f>
        <v>12485.3256</v>
      </c>
      <c r="T7" s="28"/>
      <c r="U7" s="28">
        <f>L7-S7-V7</f>
        <v>11755.634399999999</v>
      </c>
      <c r="V7" s="28">
        <f>'[1]HT-ADMINISTRATIVOS'!W8</f>
        <v>960</v>
      </c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754.53875970000001</v>
      </c>
      <c r="E8" s="36">
        <v>11318.081395499999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E8*Q4</f>
        <v>430.08709302899996</v>
      </c>
      <c r="K8" s="36">
        <f>E8+F8+H8+I8+J8</f>
        <v>12194.168488529</v>
      </c>
      <c r="L8" s="36">
        <f t="shared" si="0"/>
        <v>12579.668488529</v>
      </c>
      <c r="M8" s="28">
        <f>IF('[1]Calculo ISR '!$L$34&lt;0,0,'[1]Calculo ISR '!$L$34)</f>
        <v>2099.3806365020209</v>
      </c>
      <c r="N8" s="38">
        <f>E8*P4</f>
        <v>1188.3985465275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3287.7791830295209</v>
      </c>
      <c r="T8" s="28">
        <f>IF('[1]Calculo ISR '!$L$34&gt;0,0,'[1]Calculo ISR '!$L$34)*-1</f>
        <v>0</v>
      </c>
      <c r="U8" s="36">
        <f>K8-S8</f>
        <v>8906.3893054994787</v>
      </c>
      <c r="V8" s="36">
        <f t="shared" ref="V8:V27" si="1">G8</f>
        <v>385.5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230.34834514817072</v>
      </c>
      <c r="E9" s="36">
        <v>3455.2251772225609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E9*Q4</f>
        <v>131.29855673445732</v>
      </c>
      <c r="K9" s="36">
        <f>E9+F9+H9+I9+J9</f>
        <v>3586.5237339570181</v>
      </c>
      <c r="L9" s="36">
        <f t="shared" si="0"/>
        <v>3972.0237339570181</v>
      </c>
      <c r="M9" s="28">
        <f>IF('[1]Calculo ISR '!$M$34&lt;0,0,'[1]Calculo ISR '!$M$34)</f>
        <v>178.73069425452351</v>
      </c>
      <c r="N9" s="38">
        <f>E9*P4</f>
        <v>362.79864360836888</v>
      </c>
      <c r="O9" s="38">
        <v>959.26</v>
      </c>
      <c r="P9" s="38">
        <f>'[1]HT-ADMINISTRATIVOS'!Q11</f>
        <v>0</v>
      </c>
      <c r="Q9" s="38">
        <f>'[1]HT-ADMINISTRATIVOS'!R11</f>
        <v>0</v>
      </c>
      <c r="R9" s="38">
        <f>E9*O4</f>
        <v>34.55225177222561</v>
      </c>
      <c r="S9" s="36">
        <f>M9+N9+O9+P9+Q9+R9</f>
        <v>1535.341589635118</v>
      </c>
      <c r="T9" s="28">
        <f>IF('[1]Calculo ISR '!$M$34&gt;0,0,'[1]Calculo ISR '!$M$34)*-1</f>
        <v>0</v>
      </c>
      <c r="U9" s="36">
        <f t="shared" ref="U9:U15" si="2">K9-S9+T9</f>
        <v>2051.1821443219001</v>
      </c>
      <c r="V9" s="36">
        <f t="shared" si="1"/>
        <v>385.5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v>242.09274535320057</v>
      </c>
      <c r="E10" s="36">
        <v>3631.3911802980087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E10*Q4</f>
        <v>137.99286485132433</v>
      </c>
      <c r="K10" s="36">
        <f>E10+F10+I10+J10</f>
        <v>3769.3840451493329</v>
      </c>
      <c r="L10" s="36">
        <f t="shared" si="0"/>
        <v>4154.8840451493325</v>
      </c>
      <c r="M10" s="28">
        <f>IF('[1]Calculo ISR '!$N$34&lt;0,0,'[1]Calculo ISR '!$N$34)</f>
        <v>312.18984722389325</v>
      </c>
      <c r="N10" s="38">
        <f>E10*P4</f>
        <v>381.29607393129089</v>
      </c>
      <c r="O10" s="38">
        <v>1345.49</v>
      </c>
      <c r="P10" s="38">
        <f>'[1]HT-ADMINISTRATIVOS'!Q12</f>
        <v>0</v>
      </c>
      <c r="Q10" s="38">
        <f>'[1]HT-ADMINISTRATIVOS'!R12</f>
        <v>0</v>
      </c>
      <c r="R10" s="38">
        <f>E10*O4</f>
        <v>36.313911802980087</v>
      </c>
      <c r="S10" s="36">
        <f t="shared" ref="S10:S31" si="3">M10+N10+O10+R10+P10+Q10</f>
        <v>2075.289832958164</v>
      </c>
      <c r="T10" s="28">
        <f>IF('[1]Calculo ISR '!$N$34&gt;0,0,'[1]Calculo ISR '!$N$34)*-1</f>
        <v>0</v>
      </c>
      <c r="U10" s="36">
        <f t="shared" si="2"/>
        <v>1694.0942121911689</v>
      </c>
      <c r="V10" s="36">
        <f t="shared" si="1"/>
        <v>385.5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219.22891544903311</v>
      </c>
      <c r="E11" s="36">
        <v>3288.4337317354966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E11*Q4</f>
        <v>124.96048180594887</v>
      </c>
      <c r="K11" s="36">
        <f t="shared" ref="K11:K39" si="4">E11+F11+H11+I11+J11</f>
        <v>3413.3942135414454</v>
      </c>
      <c r="L11" s="36">
        <f t="shared" si="0"/>
        <v>3798.8942135414454</v>
      </c>
      <c r="M11" s="28">
        <f>IF('[1]Calculo ISR '!$O$34&lt;0,0,'[1]Calculo ISR '!$O$34)</f>
        <v>142.19420243330924</v>
      </c>
      <c r="N11" s="38">
        <f>E11*P4</f>
        <v>345.28554183222712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32.884337317354969</v>
      </c>
      <c r="S11" s="36">
        <f t="shared" si="3"/>
        <v>1982.5840815828915</v>
      </c>
      <c r="T11" s="28">
        <f>IF('[1]Calculo ISR '!$O$34&gt;0,0,'[1]Calculo ISR '!$O$34)*-1</f>
        <v>0</v>
      </c>
      <c r="U11" s="36">
        <f t="shared" si="2"/>
        <v>1430.8101319585539</v>
      </c>
      <c r="V11" s="36">
        <f t="shared" si="1"/>
        <v>385.5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242.09274535320057</v>
      </c>
      <c r="E12" s="36">
        <v>3631.3911802980087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E12*Q4</f>
        <v>137.99286485132433</v>
      </c>
      <c r="K12" s="36">
        <f t="shared" si="4"/>
        <v>3769.3840451493329</v>
      </c>
      <c r="L12" s="36">
        <f t="shared" si="0"/>
        <v>4154.8840451493325</v>
      </c>
      <c r="M12" s="28">
        <f>IF('[1]Calculo ISR '!$P$34&lt;0,0,'[1]Calculo ISR '!$P$34)</f>
        <v>312.18984722389325</v>
      </c>
      <c r="N12" s="38">
        <f>E12*P4</f>
        <v>381.29607393129089</v>
      </c>
      <c r="O12" s="38">
        <v>1170</v>
      </c>
      <c r="P12" s="38">
        <f>'[1]HT-ADMINISTRATIVOS'!Q14</f>
        <v>0</v>
      </c>
      <c r="Q12" s="38">
        <f>'[1]HT-ADMINISTRATIVOS'!R14</f>
        <v>0</v>
      </c>
      <c r="R12" s="38">
        <f>E12*O4</f>
        <v>36.313911802980087</v>
      </c>
      <c r="S12" s="36">
        <f t="shared" si="3"/>
        <v>1899.7998329581642</v>
      </c>
      <c r="T12" s="28">
        <f>IF('[1]Calculo ISR '!$P$34&gt;0,0,'[1]Calculo ISR '!$P$34)*-1</f>
        <v>0</v>
      </c>
      <c r="U12" s="36">
        <f t="shared" si="2"/>
        <v>1869.5842121911687</v>
      </c>
      <c r="V12" s="36">
        <f t="shared" si="1"/>
        <v>385.5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171.33947607512999</v>
      </c>
      <c r="E13" s="36">
        <v>2570.0921411269501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E13*Q4</f>
        <v>97.663501362824107</v>
      </c>
      <c r="K13" s="36">
        <f t="shared" si="4"/>
        <v>2667.7556424897743</v>
      </c>
      <c r="L13" s="36">
        <f>K13+G13+T13</f>
        <v>3053.2556424897743</v>
      </c>
      <c r="M13" s="28">
        <f>IF('[1]Calculo ISR '!$Q$34&lt;0,0,'[1]Calculo ISR '!$Q$34)</f>
        <v>40.818725902887451</v>
      </c>
      <c r="N13" s="38">
        <f>E13*P4</f>
        <v>269.85967481832972</v>
      </c>
      <c r="O13" s="38">
        <v>584</v>
      </c>
      <c r="P13" s="38">
        <f>'[1]HT-ADMINISTRATIVOS'!Q15</f>
        <v>0</v>
      </c>
      <c r="Q13" s="38">
        <f>'[1]HT-ADMINISTRATIVOS'!R15</f>
        <v>0</v>
      </c>
      <c r="R13" s="38">
        <f>E13*O4</f>
        <v>25.700921411269501</v>
      </c>
      <c r="S13" s="36">
        <f t="shared" si="3"/>
        <v>920.37932213248666</v>
      </c>
      <c r="T13" s="28">
        <f>IF('[1]Calculo ISR '!$Q$34&gt;0,0,'[1]Calculo ISR '!$Q$34)</f>
        <v>0</v>
      </c>
      <c r="U13" s="36">
        <f t="shared" si="2"/>
        <v>1747.3763203572876</v>
      </c>
      <c r="V13" s="36">
        <f t="shared" si="1"/>
        <v>385.5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163.00161009000001</v>
      </c>
      <c r="E14" s="36">
        <v>2445.02415135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E14*Q4</f>
        <v>92.910917751300005</v>
      </c>
      <c r="K14" s="36">
        <f t="shared" si="4"/>
        <v>2537.9350691013001</v>
      </c>
      <c r="L14" s="36">
        <f>K14+G14+T14</f>
        <v>2923.4350691013001</v>
      </c>
      <c r="M14" s="28">
        <f>IF('[1]Calculo ISR '!$R$34&lt;0,0,'[1]Calculo ISR '!$R$34)</f>
        <v>11.694247518221431</v>
      </c>
      <c r="N14" s="38">
        <f>E14*P4</f>
        <v>256.72753589174999</v>
      </c>
      <c r="O14" s="38">
        <v>625</v>
      </c>
      <c r="P14" s="38">
        <f>'[1]HT-ADMINISTRATIVOS'!Q16</f>
        <v>0</v>
      </c>
      <c r="Q14" s="38">
        <f>'[1]HT-ADMINISTRATIVOS'!R16</f>
        <v>0</v>
      </c>
      <c r="R14" s="38">
        <f>E14*O4</f>
        <v>24.4502415135</v>
      </c>
      <c r="S14" s="36">
        <f t="shared" si="3"/>
        <v>917.87202492347149</v>
      </c>
      <c r="T14" s="28">
        <f>IF('[1]Calculo ISR '!$R$34&gt;0,0,'[1]Calculo ISR '!$R$34)*-1</f>
        <v>0</v>
      </c>
      <c r="U14" s="36">
        <f t="shared" si="2"/>
        <v>1620.0630441778285</v>
      </c>
      <c r="V14" s="36">
        <f t="shared" si="1"/>
        <v>385.5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534.93837680832996</v>
      </c>
      <c r="E15" s="36">
        <v>8024.0756521249496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E15*L4</f>
        <v>152.45743739037403</v>
      </c>
      <c r="K15" s="36">
        <f t="shared" si="4"/>
        <v>8176.5330895153238</v>
      </c>
      <c r="L15" s="36">
        <f>K15+G15</f>
        <v>8562.0330895153238</v>
      </c>
      <c r="M15" s="28">
        <f>IF('[1]Calculo ISR '!$S$34&lt;0,0,'[1]Calculo ISR '!$S$34)</f>
        <v>1199.3182919204733</v>
      </c>
      <c r="N15" s="38">
        <f>E15*P4</f>
        <v>842.52794347311965</v>
      </c>
      <c r="O15" s="38">
        <v>2639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3"/>
        <v>4680.8462353935929</v>
      </c>
      <c r="T15" s="28">
        <f>IF('[1]Calculo ISR '!$S$34&gt;0,0,'[1]Calculo ISR '!$S$34)*-1</f>
        <v>0</v>
      </c>
      <c r="U15" s="36">
        <f t="shared" si="2"/>
        <v>3495.6868541217309</v>
      </c>
      <c r="V15" s="36">
        <f t="shared" si="1"/>
        <v>385.5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267.35834171124986</v>
      </c>
      <c r="E16" s="36">
        <v>4010.3751256687478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E16*L4</f>
        <v>76.197127387706203</v>
      </c>
      <c r="K16" s="36">
        <f t="shared" si="4"/>
        <v>4086.572253056454</v>
      </c>
      <c r="L16" s="36">
        <f>K16+G16</f>
        <v>4472.0722530564544</v>
      </c>
      <c r="M16" s="28">
        <f>IF('[1]Calculo ISR '!$T$34&lt;0,0,'[1]Calculo ISR '!$T$34)</f>
        <v>362.93996048903261</v>
      </c>
      <c r="N16" s="38">
        <f>E16*P4</f>
        <v>421.08938819521853</v>
      </c>
      <c r="O16" s="38">
        <v>1867.49</v>
      </c>
      <c r="P16" s="38"/>
      <c r="Q16" s="38"/>
      <c r="R16" s="38">
        <f>E16*O4</f>
        <v>40.103751256687481</v>
      </c>
      <c r="S16" s="36">
        <f>M16+N16+O16+Q16+R16+P16</f>
        <v>2691.6230999409386</v>
      </c>
      <c r="T16" s="28">
        <f>IF('[1]Calculo ISR '!$T$34&gt;0,0,'[1]Calculo ISR '!$T$34)*-1</f>
        <v>0</v>
      </c>
      <c r="U16" s="36">
        <f>K16-S16</f>
        <v>1394.9491531155154</v>
      </c>
      <c r="V16" s="36">
        <f t="shared" si="1"/>
        <v>385.5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230.34834514817072</v>
      </c>
      <c r="E17" s="36">
        <v>3455.2251772225609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7">
        <f>E17*L4</f>
        <v>65.649278367228661</v>
      </c>
      <c r="K17" s="36">
        <f t="shared" si="4"/>
        <v>3966.8744555897897</v>
      </c>
      <c r="L17" s="36">
        <f>K17+G17</f>
        <v>4352.3744555897902</v>
      </c>
      <c r="M17" s="28">
        <f>IF('[1]Calculo ISR '!$U$34&lt;0,0,'[1]Calculo ISR '!$U$34)</f>
        <v>343.7883128943663</v>
      </c>
      <c r="N17" s="38">
        <f>E17*P4</f>
        <v>362.79864360836888</v>
      </c>
      <c r="O17" s="38">
        <v>1532.6</v>
      </c>
      <c r="P17" s="38">
        <f>'[1]HT-ADMINISTRATIVOS'!Q19</f>
        <v>0</v>
      </c>
      <c r="Q17" s="38">
        <f>'[1]HT-ADMINISTRATIVOS'!R19</f>
        <v>0</v>
      </c>
      <c r="R17" s="38">
        <f>E17*O4</f>
        <v>34.55225177222561</v>
      </c>
      <c r="S17" s="36">
        <f t="shared" si="3"/>
        <v>2273.7392082749607</v>
      </c>
      <c r="T17" s="28">
        <f>IF('[1]Calculo ISR '!$U$34&gt;0,0,'[1]Calculo ISR '!$U$34)*-1</f>
        <v>0</v>
      </c>
      <c r="U17" s="36">
        <f t="shared" ref="U17:U32" si="5">K17-S17+T17</f>
        <v>1693.135247314829</v>
      </c>
      <c r="V17" s="36">
        <f t="shared" si="1"/>
        <v>385.5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873.012693639492</v>
      </c>
      <c r="E18" s="36">
        <v>13095.19040459238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E18*L4</f>
        <v>248.80861768725521</v>
      </c>
      <c r="K18" s="36">
        <f t="shared" si="4"/>
        <v>13343.999022279635</v>
      </c>
      <c r="L18" s="36">
        <f>K18+G18</f>
        <v>13729.499022279635</v>
      </c>
      <c r="M18" s="28">
        <f>IF('[1]Calculo ISR '!$V$34&lt;0,0,'[1]Calculo ISR '!$V$34)</f>
        <v>2369.8207780401704</v>
      </c>
      <c r="N18" s="38">
        <f>E18*P4</f>
        <v>1374.9949924821999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3"/>
        <v>3744.8157705223703</v>
      </c>
      <c r="T18" s="28">
        <f>IF('[1]Calculo ISR '!$V$34&gt;0,0,'[1]Calculo ISR '!$V$34)*-1</f>
        <v>0</v>
      </c>
      <c r="U18" s="36">
        <f t="shared" si="5"/>
        <v>9599.1832517572657</v>
      </c>
      <c r="V18" s="36">
        <f t="shared" si="1"/>
        <v>385.5</v>
      </c>
      <c r="W18" s="46"/>
      <c r="X18" s="47"/>
    </row>
    <row r="19" spans="1:24" s="48" customFormat="1" ht="45" customHeight="1">
      <c r="A19" s="53" t="s">
        <v>51</v>
      </c>
      <c r="B19" s="53" t="s">
        <v>52</v>
      </c>
      <c r="C19" s="34">
        <v>15</v>
      </c>
      <c r="D19" s="50">
        <v>219.22891544903311</v>
      </c>
      <c r="E19" s="36">
        <v>3288.4337317354966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'[1]HT-ADMINISTRATIVOS'!I21</f>
        <v>0</v>
      </c>
      <c r="K19" s="36">
        <f t="shared" si="4"/>
        <v>3288.4337317354966</v>
      </c>
      <c r="L19" s="36">
        <f>K19+G19</f>
        <v>3673.9337317354966</v>
      </c>
      <c r="M19" s="28">
        <f>IF('[1]Calculo ISR '!$W$34&lt;0,0,'[1]Calculo ISR '!$W$34)</f>
        <v>128.59850201282202</v>
      </c>
      <c r="N19" s="38">
        <f>E19*P4</f>
        <v>345.28554183222712</v>
      </c>
      <c r="O19" s="38">
        <v>1320.77</v>
      </c>
      <c r="P19" s="38">
        <f>'[1]HT-ADMINISTRATIVOS'!Q21</f>
        <v>0</v>
      </c>
      <c r="Q19" s="38">
        <f>'[1]HT-ADMINISTRATIVOS'!R21</f>
        <v>0</v>
      </c>
      <c r="R19" s="38">
        <f>E19*O4</f>
        <v>32.884337317354969</v>
      </c>
      <c r="S19" s="36">
        <f t="shared" si="3"/>
        <v>1827.5383811624042</v>
      </c>
      <c r="T19" s="28">
        <f>IF('[1]Calculo ISR '!$W$34&gt;0,0,'[1]Calculo ISR '!$W$34)*-1</f>
        <v>0</v>
      </c>
      <c r="U19" s="36">
        <f t="shared" si="5"/>
        <v>1460.8953505730924</v>
      </c>
      <c r="V19" s="36">
        <f t="shared" si="1"/>
        <v>385.5</v>
      </c>
      <c r="W19" s="46"/>
      <c r="X19" s="47"/>
    </row>
    <row r="20" spans="1:24" s="48" customFormat="1" ht="45" customHeight="1">
      <c r="A20" s="53" t="s">
        <v>53</v>
      </c>
      <c r="B20" s="53" t="s">
        <v>54</v>
      </c>
      <c r="C20" s="34">
        <v>15</v>
      </c>
      <c r="D20" s="50">
        <v>148.1300975275</v>
      </c>
      <c r="E20" s="36">
        <v>2221.9514629125001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'[1]HT-ADMINISTRATIVOS'!I22</f>
        <v>0</v>
      </c>
      <c r="K20" s="36">
        <f t="shared" si="4"/>
        <v>2221.9514629125001</v>
      </c>
      <c r="L20" s="36">
        <f>K20+G20+T20</f>
        <v>2644.5362317476201</v>
      </c>
      <c r="M20" s="28">
        <f>IF('[1]Calculo ISR '!$X$34&lt;0,0,'[1]Calculo ISR '!$X$34)</f>
        <v>0</v>
      </c>
      <c r="N20" s="38">
        <f>E20*P4</f>
        <v>233.30490360581251</v>
      </c>
      <c r="O20" s="38">
        <v>716</v>
      </c>
      <c r="P20" s="38">
        <f>'[1]HT-ADMINISTRATIVOS'!Q22</f>
        <v>0</v>
      </c>
      <c r="Q20" s="38">
        <f>'[1]HT-ADMINISTRATIVOS'!R22</f>
        <v>0</v>
      </c>
      <c r="R20" s="38">
        <f>E20*O4</f>
        <v>22.219514629125001</v>
      </c>
      <c r="S20" s="36">
        <f t="shared" si="3"/>
        <v>971.52441823493757</v>
      </c>
      <c r="T20" s="28">
        <f>IF('[1]Calculo ISR '!$X$34&gt;0,0,('[1]Calculo ISR '!$X$34)*-1)</f>
        <v>37.084768835120002</v>
      </c>
      <c r="U20" s="36">
        <f t="shared" si="5"/>
        <v>1287.5118135126827</v>
      </c>
      <c r="V20" s="36">
        <f t="shared" si="1"/>
        <v>385.5</v>
      </c>
      <c r="W20" s="46"/>
      <c r="X20" s="47"/>
    </row>
    <row r="21" spans="1:24" s="48" customFormat="1" ht="45" customHeight="1">
      <c r="A21" s="53" t="s">
        <v>55</v>
      </c>
      <c r="B21" s="53" t="s">
        <v>56</v>
      </c>
      <c r="C21" s="34">
        <v>15</v>
      </c>
      <c r="D21" s="50">
        <v>148.19297316999999</v>
      </c>
      <c r="E21" s="36">
        <v>2222.8945975499996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'[1]HT-ADMINISTRATIVOS'!I23</f>
        <v>0</v>
      </c>
      <c r="K21" s="36">
        <f t="shared" si="4"/>
        <v>2668.8945975499996</v>
      </c>
      <c r="L21" s="36">
        <f>K21+G21+T21</f>
        <v>3054.3945975499996</v>
      </c>
      <c r="M21" s="28">
        <f>IF('[1]Calculo ISR '!$Y$34&lt;0,0,'[1]Calculo ISR '!$Y$34)</f>
        <v>40.942644213439934</v>
      </c>
      <c r="N21" s="38">
        <f>E21*P4</f>
        <v>233.40393274274996</v>
      </c>
      <c r="O21" s="38">
        <v>851.76</v>
      </c>
      <c r="P21" s="38">
        <f>'[1]HT-ADMINISTRATIVOS'!Q23</f>
        <v>0</v>
      </c>
      <c r="Q21" s="38">
        <f>'[1]HT-ADMINISTRATIVOS'!R23</f>
        <v>0</v>
      </c>
      <c r="R21" s="38">
        <f>E21*O4</f>
        <v>22.228945975499997</v>
      </c>
      <c r="S21" s="36">
        <f t="shared" si="3"/>
        <v>1148.3355229316899</v>
      </c>
      <c r="T21" s="28">
        <f>IF('[1]Calculo ISR '!$Y$34&gt;0,0,'[1]Calculo ISR '!$Y$34)*-1</f>
        <v>0</v>
      </c>
      <c r="U21" s="36">
        <f t="shared" si="5"/>
        <v>1520.5590746183098</v>
      </c>
      <c r="V21" s="36">
        <f t="shared" si="1"/>
        <v>385.5</v>
      </c>
      <c r="W21" s="46"/>
      <c r="X21" s="47"/>
    </row>
    <row r="22" spans="1:24" s="48" customFormat="1" ht="45" customHeight="1">
      <c r="A22" s="53" t="s">
        <v>57</v>
      </c>
      <c r="B22" s="53" t="s">
        <v>58</v>
      </c>
      <c r="C22" s="34">
        <v>15</v>
      </c>
      <c r="D22" s="50">
        <v>198.84487564290151</v>
      </c>
      <c r="E22" s="36">
        <v>2982.6731346435226</v>
      </c>
      <c r="F22" s="43"/>
      <c r="G22" s="36">
        <f>'[1]HT-ADMINISTRATIVOS'!G26</f>
        <v>385.5</v>
      </c>
      <c r="H22" s="36">
        <f>'[1]HT-ADMINISTRATIVOS'!H26</f>
        <v>0</v>
      </c>
      <c r="I22" s="36">
        <f>'[1]HT-ADMINISTRATIVOS'!J26</f>
        <v>0</v>
      </c>
      <c r="J22" s="37">
        <f>'[1]HT-ADMINISTRATIVOS'!I26</f>
        <v>0</v>
      </c>
      <c r="K22" s="36">
        <f t="shared" si="4"/>
        <v>2982.6731346435226</v>
      </c>
      <c r="L22" s="36">
        <f>K22+G22</f>
        <v>3368.1731346435226</v>
      </c>
      <c r="M22" s="28">
        <f>IF('[1]Calculo ISR '!$Z$34&lt;0,0,'[1]Calculo ISR '!$Z$34)</f>
        <v>75.081749049215233</v>
      </c>
      <c r="N22" s="38">
        <f>E22*P4</f>
        <v>313.18067913756988</v>
      </c>
      <c r="O22" s="38">
        <v>801</v>
      </c>
      <c r="P22" s="38">
        <f>'[1]HT-ADMINISTRATIVOS'!Q26</f>
        <v>0</v>
      </c>
      <c r="Q22" s="38">
        <f>'[1]HT-ADMINISTRATIVOS'!R26</f>
        <v>0</v>
      </c>
      <c r="R22" s="38">
        <f>E22*O4</f>
        <v>29.826731346435228</v>
      </c>
      <c r="S22" s="36">
        <f t="shared" si="3"/>
        <v>1219.0891595332205</v>
      </c>
      <c r="T22" s="28">
        <f>IF('[1]Calculo ISR '!$Z$34&gt;0,0,'[1]Calculo ISR '!$Z$34)*-1</f>
        <v>0</v>
      </c>
      <c r="U22" s="36">
        <f t="shared" si="5"/>
        <v>1763.5839751103022</v>
      </c>
      <c r="V22" s="36">
        <f t="shared" si="1"/>
        <v>385.5</v>
      </c>
      <c r="W22" s="46"/>
      <c r="X22" s="47"/>
    </row>
    <row r="23" spans="1:24" s="48" customFormat="1" ht="45" customHeight="1">
      <c r="A23" s="53" t="s">
        <v>59</v>
      </c>
      <c r="B23" s="53" t="s">
        <v>60</v>
      </c>
      <c r="C23" s="34">
        <v>15</v>
      </c>
      <c r="D23" s="50">
        <v>198.84487558991</v>
      </c>
      <c r="E23" s="36">
        <v>2982.6731338486502</v>
      </c>
      <c r="F23" s="43"/>
      <c r="G23" s="36">
        <f>'[1]HT-ADMINISTRATIVOS'!G27</f>
        <v>385.5</v>
      </c>
      <c r="H23" s="36">
        <f>'[1]HT-ADMINISTRATIVOS'!H27</f>
        <v>0</v>
      </c>
      <c r="I23" s="36">
        <f>'[1]HT-ADMINISTRATIVOS'!J27</f>
        <v>0</v>
      </c>
      <c r="J23" s="37">
        <f>'[1]HT-ADMINISTRATIVOS'!I27</f>
        <v>0</v>
      </c>
      <c r="K23" s="36">
        <f t="shared" si="4"/>
        <v>2982.6731338486502</v>
      </c>
      <c r="L23" s="36">
        <f>K23+G23</f>
        <v>3368.1731338486502</v>
      </c>
      <c r="M23" s="28">
        <f>IF('[1]Calculo ISR '!$AA$34&lt;0,0,'[1]Calculo ISR '!$AA$34)</f>
        <v>75.081748962733116</v>
      </c>
      <c r="N23" s="38">
        <f>E23*P4</f>
        <v>313.18067905410828</v>
      </c>
      <c r="O23" s="38">
        <f>'[1]HT-ADMINISTRATIVOS'!P27</f>
        <v>0</v>
      </c>
      <c r="P23" s="38">
        <f>'[1]HT-ADMINISTRATIVOS'!Q27</f>
        <v>0</v>
      </c>
      <c r="Q23" s="38">
        <f>'[1]HT-ADMINISTRATIVOS'!R27</f>
        <v>0</v>
      </c>
      <c r="R23" s="38">
        <f>E23*O4</f>
        <v>29.826731338486503</v>
      </c>
      <c r="S23" s="36">
        <f t="shared" si="3"/>
        <v>418.08915935532792</v>
      </c>
      <c r="T23" s="28">
        <f>IF('[1]Calculo ISR '!$AA$34&gt;0,0,'[1]Calculo ISR '!$AA$34)*-1</f>
        <v>0</v>
      </c>
      <c r="U23" s="36">
        <f t="shared" si="5"/>
        <v>2564.5839744933223</v>
      </c>
      <c r="V23" s="36">
        <f t="shared" si="1"/>
        <v>385.5</v>
      </c>
      <c r="W23" s="46"/>
      <c r="X23" s="47"/>
    </row>
    <row r="24" spans="1:24" s="48" customFormat="1" ht="45" customHeight="1">
      <c r="A24" s="54" t="s">
        <v>61</v>
      </c>
      <c r="B24" s="55" t="s">
        <v>62</v>
      </c>
      <c r="C24" s="34">
        <v>15</v>
      </c>
      <c r="D24" s="50">
        <v>198.84487558991</v>
      </c>
      <c r="E24" s="36">
        <v>2982.6731338486502</v>
      </c>
      <c r="F24" s="43"/>
      <c r="G24" s="36">
        <f>'[1]HT-ADMINISTRATIVOS'!G28</f>
        <v>385.5</v>
      </c>
      <c r="H24" s="36">
        <f>'[1]HT-ADMINISTRATIVOS'!H28</f>
        <v>446</v>
      </c>
      <c r="I24" s="36">
        <f>'[1]HT-ADMINISTRATIVOS'!J28</f>
        <v>0</v>
      </c>
      <c r="J24" s="37">
        <f>'[1]HT-ADMINISTRATIVOS'!I28</f>
        <v>0</v>
      </c>
      <c r="K24" s="36">
        <f t="shared" si="4"/>
        <v>3428.6731338486502</v>
      </c>
      <c r="L24" s="36">
        <f>K24+G24</f>
        <v>3814.1731338486502</v>
      </c>
      <c r="M24" s="28">
        <f>IF('[1]Calculo ISR '!$AB$34&lt;0,0,'[1]Calculo ISR '!$AB$34)</f>
        <v>143.85654896273311</v>
      </c>
      <c r="N24" s="38">
        <f>E24*P4</f>
        <v>313.18067905410828</v>
      </c>
      <c r="O24" s="38">
        <v>215.8</v>
      </c>
      <c r="P24" s="38">
        <f>'[1]HT-ADMINISTRATIVOS'!Q28</f>
        <v>0</v>
      </c>
      <c r="Q24" s="38">
        <f>'[1]HT-ADMINISTRATIVOS'!R28</f>
        <v>0</v>
      </c>
      <c r="R24" s="38">
        <f>E24*O4</f>
        <v>29.826731338486503</v>
      </c>
      <c r="S24" s="36">
        <f t="shared" si="3"/>
        <v>702.66395935532796</v>
      </c>
      <c r="T24" s="28">
        <f>IF('[1]Calculo ISR '!$AB$34&gt;0,0,'[1]Calculo ISR '!$AB$34)*-1</f>
        <v>0</v>
      </c>
      <c r="U24" s="36">
        <f t="shared" si="5"/>
        <v>2726.0091744933225</v>
      </c>
      <c r="V24" s="36">
        <f t="shared" si="1"/>
        <v>385.5</v>
      </c>
      <c r="W24" s="46"/>
      <c r="X24" s="47"/>
    </row>
    <row r="25" spans="1:24" s="48" customFormat="1" ht="45" customHeight="1">
      <c r="A25" s="54" t="s">
        <v>63</v>
      </c>
      <c r="B25" s="55" t="s">
        <v>64</v>
      </c>
      <c r="C25" s="34">
        <v>15</v>
      </c>
      <c r="D25" s="50">
        <v>180.11154727500002</v>
      </c>
      <c r="E25" s="36">
        <v>2701.6732091250005</v>
      </c>
      <c r="F25" s="43"/>
      <c r="G25" s="36">
        <f>'[1]HT-ADMINISTRATIVOS'!G29</f>
        <v>385.5</v>
      </c>
      <c r="H25" s="36">
        <f>'[1]HT-ADMINISTRATIVOS'!H29</f>
        <v>892</v>
      </c>
      <c r="I25" s="36">
        <f>'[1]HT-ADMINISTRATIVOS'!J29</f>
        <v>0</v>
      </c>
      <c r="J25" s="37">
        <f>'[1]HT-ADMINISTRATIVOS'!I29</f>
        <v>0</v>
      </c>
      <c r="K25" s="36">
        <f t="shared" si="4"/>
        <v>3593.6732091250005</v>
      </c>
      <c r="L25" s="36">
        <f>K25+G25</f>
        <v>3979.1732091250005</v>
      </c>
      <c r="M25" s="28">
        <f>IF('[1]Calculo ISR '!$AC$34&lt;0,0,'[1]Calculo ISR '!$AC$34)</f>
        <v>179.50855715280002</v>
      </c>
      <c r="N25" s="38">
        <f>E25*P4</f>
        <v>283.67568695812503</v>
      </c>
      <c r="O25" s="38">
        <f>'[1]HT-ADMINISTRATIVOS'!P29</f>
        <v>581</v>
      </c>
      <c r="P25" s="38">
        <f>'[1]HT-ADMINISTRATIVOS'!Q29</f>
        <v>0</v>
      </c>
      <c r="Q25" s="38">
        <f>'[1]HT-ADMINISTRATIVOS'!R29</f>
        <v>0</v>
      </c>
      <c r="R25" s="38">
        <f>E25*O4</f>
        <v>27.016732091250006</v>
      </c>
      <c r="S25" s="36">
        <f t="shared" si="3"/>
        <v>1071.2009762021753</v>
      </c>
      <c r="T25" s="28">
        <f>IF('[1]Calculo ISR '!$AC$34&gt;0,0,'[1]Calculo ISR '!$AC$34)*-1</f>
        <v>0</v>
      </c>
      <c r="U25" s="36">
        <f t="shared" si="5"/>
        <v>2522.4722329228252</v>
      </c>
      <c r="V25" s="36">
        <f t="shared" si="1"/>
        <v>385.5</v>
      </c>
      <c r="W25" s="46"/>
      <c r="X25" s="47"/>
    </row>
    <row r="26" spans="1:24" s="48" customFormat="1" ht="45" customHeight="1">
      <c r="A26" s="56" t="s">
        <v>65</v>
      </c>
      <c r="B26" s="55" t="s">
        <v>66</v>
      </c>
      <c r="C26" s="34">
        <v>15</v>
      </c>
      <c r="D26" s="50">
        <v>141.57938707</v>
      </c>
      <c r="E26" s="36">
        <v>2123.69080605</v>
      </c>
      <c r="F26" s="43"/>
      <c r="G26" s="36">
        <f>'[1]HT-ADMINISTRATIVOS'!G31</f>
        <v>385.5</v>
      </c>
      <c r="H26" s="36">
        <f>'[1]HT-ADMINISTRATIVOS'!H31</f>
        <v>446</v>
      </c>
      <c r="I26" s="36">
        <f>'[1]HT-ADMINISTRATIVOS'!J31</f>
        <v>0</v>
      </c>
      <c r="J26" s="37">
        <f>'[1]HT-ADMINISTRATIVOS'!I31</f>
        <v>0</v>
      </c>
      <c r="K26" s="36">
        <f t="shared" si="4"/>
        <v>2569.69080605</v>
      </c>
      <c r="L26" s="36">
        <f>K26+G26+T26</f>
        <v>2955.19080605</v>
      </c>
      <c r="M26" s="28">
        <f>IF('[1]Calculo ISR '!$AD$34&lt;0,0,'[1]Calculo ISR '!$AD$34)</f>
        <v>15.149271698239971</v>
      </c>
      <c r="N26" s="38">
        <f>E26*P4</f>
        <v>222.98753463525</v>
      </c>
      <c r="O26" s="38">
        <f>'[1]HT-ADMINISTRATIVOS'!P31</f>
        <v>0</v>
      </c>
      <c r="P26" s="38">
        <f>'[1]HT-ADMINISTRATIVOS'!Q31</f>
        <v>0</v>
      </c>
      <c r="Q26" s="38">
        <f>'[1]HT-ADMINISTRATIVOS'!R31</f>
        <v>0</v>
      </c>
      <c r="R26" s="38">
        <f>E26*O4</f>
        <v>21.236908060499999</v>
      </c>
      <c r="S26" s="36">
        <f t="shared" si="3"/>
        <v>259.37371439398999</v>
      </c>
      <c r="T26" s="28">
        <f>IF('[1]Calculo ISR '!$AD$34&gt;0,0,'[1]Calculo ISR '!$AD$34)*-1</f>
        <v>0</v>
      </c>
      <c r="U26" s="36">
        <f t="shared" si="5"/>
        <v>2310.3170916560102</v>
      </c>
      <c r="V26" s="36">
        <f t="shared" si="1"/>
        <v>385.5</v>
      </c>
      <c r="W26" s="46"/>
      <c r="X26" s="47"/>
    </row>
    <row r="27" spans="1:24" s="48" customFormat="1" ht="45" customHeight="1">
      <c r="A27" s="56" t="s">
        <v>67</v>
      </c>
      <c r="B27" s="57" t="s">
        <v>68</v>
      </c>
      <c r="C27" s="34">
        <v>15</v>
      </c>
      <c r="D27" s="50">
        <v>534.93837680832996</v>
      </c>
      <c r="E27" s="36">
        <v>8024.0756521249496</v>
      </c>
      <c r="F27" s="43"/>
      <c r="G27" s="36">
        <f>'[1]HT-ADMINISTRATIVOS'!G32</f>
        <v>385.5</v>
      </c>
      <c r="H27" s="36">
        <f>'[1]HT-ADMINISTRATIVOS'!H32</f>
        <v>0</v>
      </c>
      <c r="I27" s="36">
        <f>'[1]HT-ADMINISTRATIVOS'!J32</f>
        <v>0</v>
      </c>
      <c r="J27" s="37">
        <f>E27*L4</f>
        <v>152.45743739037403</v>
      </c>
      <c r="K27" s="36">
        <f t="shared" si="4"/>
        <v>8176.5330895153238</v>
      </c>
      <c r="L27" s="36">
        <f>K27+G27</f>
        <v>8562.0330895153238</v>
      </c>
      <c r="M27" s="28">
        <f>IF('[1]Calculo ISR '!$AE$34&lt;0,0,'[1]Calculo ISR '!$AE$34)</f>
        <v>1199.3182919204733</v>
      </c>
      <c r="N27" s="38">
        <f>E27*P4</f>
        <v>842.52794347311965</v>
      </c>
      <c r="O27" s="38">
        <v>2150.31</v>
      </c>
      <c r="P27" s="38">
        <f>'[1]HT-ADMINISTRATIVOS'!Q32</f>
        <v>0</v>
      </c>
      <c r="Q27" s="38">
        <f>'[1]HT-ADMINISTRATIVOS'!R32</f>
        <v>0</v>
      </c>
      <c r="R27" s="38">
        <f>'[1]HT-ADMINISTRATIVOS'!S32</f>
        <v>0</v>
      </c>
      <c r="S27" s="36">
        <f t="shared" si="3"/>
        <v>4192.1562353935933</v>
      </c>
      <c r="T27" s="28">
        <f>IF('[1]Calculo ISR '!$AE$34&gt;0,0,'[1]Calculo ISR '!$AE$34)*-1</f>
        <v>0</v>
      </c>
      <c r="U27" s="36">
        <f t="shared" si="5"/>
        <v>3984.3768541217305</v>
      </c>
      <c r="V27" s="36">
        <f t="shared" si="1"/>
        <v>385.5</v>
      </c>
      <c r="W27" s="46"/>
      <c r="X27" s="47"/>
    </row>
    <row r="28" spans="1:24" s="48" customFormat="1" ht="45" customHeight="1">
      <c r="A28" s="58" t="s">
        <v>69</v>
      </c>
      <c r="B28" s="59" t="s">
        <v>70</v>
      </c>
      <c r="C28" s="34">
        <v>15</v>
      </c>
      <c r="D28" s="50">
        <v>230.34834514817072</v>
      </c>
      <c r="E28" s="36">
        <v>3455.2251772225609</v>
      </c>
      <c r="F28" s="43"/>
      <c r="G28" s="36">
        <v>385.5</v>
      </c>
      <c r="H28" s="36">
        <f>'[1]HT-ADMINISTRATIVOS'!H33</f>
        <v>0</v>
      </c>
      <c r="I28" s="36">
        <f>'[1]HT-ADMINISTRATIVOS'!J33</f>
        <v>0</v>
      </c>
      <c r="J28" s="37">
        <f>'[1]HT-ADMINISTRATIVOS'!I33</f>
        <v>0</v>
      </c>
      <c r="K28" s="36">
        <f t="shared" si="4"/>
        <v>3455.2251772225609</v>
      </c>
      <c r="L28" s="36">
        <f>K28+G28</f>
        <v>3840.7251772225609</v>
      </c>
      <c r="M28" s="28">
        <f>IF('[1]Calculo ISR '!$AF$34&lt;0,0,'[1]Calculo ISR '!$AF$34)</f>
        <v>146.74541128181463</v>
      </c>
      <c r="N28" s="38">
        <f>E28*P4</f>
        <v>362.79864360836888</v>
      </c>
      <c r="O28" s="38"/>
      <c r="P28" s="38">
        <f>[4]descuentos!D12</f>
        <v>0</v>
      </c>
      <c r="Q28" s="38"/>
      <c r="R28" s="38">
        <f>E28*O4</f>
        <v>34.55225177222561</v>
      </c>
      <c r="S28" s="36">
        <f>M28+N28+O28+R28+P28+Q28</f>
        <v>544.09630666240912</v>
      </c>
      <c r="T28" s="28">
        <f>IF('[1]Calculo ISR '!$AF$34&gt;0,0,'[1]Calculo ISR '!$AF$34)*-1</f>
        <v>0</v>
      </c>
      <c r="U28" s="36">
        <f t="shared" si="5"/>
        <v>2911.1288705601519</v>
      </c>
      <c r="V28" s="36">
        <v>385.5</v>
      </c>
      <c r="W28" s="46"/>
      <c r="X28" s="47"/>
    </row>
    <row r="29" spans="1:24" s="48" customFormat="1" ht="45" customHeight="1">
      <c r="A29" s="60" t="s">
        <v>71</v>
      </c>
      <c r="B29" s="61" t="s">
        <v>72</v>
      </c>
      <c r="C29" s="66">
        <v>15</v>
      </c>
      <c r="D29" s="50">
        <v>141.57938707</v>
      </c>
      <c r="E29" s="36">
        <v>2123.69080605</v>
      </c>
      <c r="F29" s="43"/>
      <c r="G29" s="36">
        <f>'[1]HT-ADMINISTRATIVOS'!G35</f>
        <v>385.5</v>
      </c>
      <c r="H29" s="36">
        <f>'[1]HT-ADMINISTRATIVOS'!H35</f>
        <v>0</v>
      </c>
      <c r="I29" s="36">
        <f>'[1]HT-ADMINISTRATIVOS'!J35</f>
        <v>0</v>
      </c>
      <c r="J29" s="37">
        <f>'[1]HT-ADMINISTRATIVOS'!I35</f>
        <v>0</v>
      </c>
      <c r="K29" s="36">
        <f t="shared" si="4"/>
        <v>2123.69080605</v>
      </c>
      <c r="L29" s="36">
        <f>K29+G29+T29</f>
        <v>2570.9163343517598</v>
      </c>
      <c r="M29" s="28">
        <f>IF('[1]Calculo ISR '!$AG$34&lt;0,0,'[1]Calculo ISR '!$AG$34)</f>
        <v>0</v>
      </c>
      <c r="N29" s="38">
        <f>E29*P4</f>
        <v>222.98753463525</v>
      </c>
      <c r="O29" s="38">
        <f>'[1]HT-ADMINISTRATIVOS'!P35</f>
        <v>0</v>
      </c>
      <c r="P29" s="38">
        <f>'[1]HT-ADMINISTRATIVOS'!Q35</f>
        <v>0</v>
      </c>
      <c r="Q29" s="38">
        <f>'[1]HT-ADMINISTRATIVOS'!R35</f>
        <v>0</v>
      </c>
      <c r="R29" s="38">
        <f>E29*O4</f>
        <v>21.236908060499999</v>
      </c>
      <c r="S29" s="36">
        <f t="shared" si="3"/>
        <v>244.22444269574999</v>
      </c>
      <c r="T29" s="28">
        <f>IF('[1]Calculo ISR '!$AG$34&gt;0,0,'[1]Calculo ISR '!$AG$34)*-1</f>
        <v>61.725528301760008</v>
      </c>
      <c r="U29" s="36">
        <f t="shared" si="5"/>
        <v>1941.1918916560101</v>
      </c>
      <c r="V29" s="36">
        <f>G29</f>
        <v>385.5</v>
      </c>
      <c r="W29" s="67"/>
      <c r="X29" s="47"/>
    </row>
    <row r="30" spans="1:24" s="48" customFormat="1" ht="45" customHeight="1">
      <c r="A30" s="53" t="s">
        <v>73</v>
      </c>
      <c r="B30" s="61" t="s">
        <v>74</v>
      </c>
      <c r="C30" s="66">
        <v>15</v>
      </c>
      <c r="D30" s="50">
        <v>534.93837680832996</v>
      </c>
      <c r="E30" s="36">
        <v>8024.0756521249496</v>
      </c>
      <c r="F30" s="43"/>
      <c r="G30" s="36">
        <f>'[1]HT-ADMINISTRATIVOS'!G36</f>
        <v>385.5</v>
      </c>
      <c r="H30" s="36">
        <f>'[1]HT-ADMINISTRATIVOS'!H36</f>
        <v>0</v>
      </c>
      <c r="I30" s="36">
        <f>'[1]HT-ADMINISTRATIVOS'!J36</f>
        <v>0</v>
      </c>
      <c r="J30" s="37">
        <f>'[1]HT-ADMINISTRATIVOS'!I36</f>
        <v>0</v>
      </c>
      <c r="K30" s="36">
        <f t="shared" si="4"/>
        <v>8024.0756521249496</v>
      </c>
      <c r="L30" s="36">
        <f>K30+G30</f>
        <v>8409.5756521249496</v>
      </c>
      <c r="M30" s="28">
        <f>IF('[1]Calculo ISR '!$AH$34&lt;0,0,'[1]Calculo ISR '!$AH$34)</f>
        <v>1166.7533832938893</v>
      </c>
      <c r="N30" s="38">
        <f>E30*P4</f>
        <v>842.52794347311965</v>
      </c>
      <c r="O30" s="38">
        <f>'[1]HT-ADMINISTRATIVOS'!P36</f>
        <v>0</v>
      </c>
      <c r="P30" s="38">
        <f>'[1]HT-ADMINISTRATIVOS'!Q36</f>
        <v>0</v>
      </c>
      <c r="Q30" s="38">
        <f>'[1]HT-ADMINISTRATIVOS'!R36</f>
        <v>0</v>
      </c>
      <c r="R30" s="38">
        <f>'[1]HT-ADMINISTRATIVOS'!S36</f>
        <v>0</v>
      </c>
      <c r="S30" s="36">
        <f t="shared" si="3"/>
        <v>2009.281326767009</v>
      </c>
      <c r="T30" s="28">
        <f>IF('[1]Calculo ISR '!$AH$34&gt;0,0,'[1]Calculo ISR '!$AH$34)*-1</f>
        <v>0</v>
      </c>
      <c r="U30" s="36">
        <f t="shared" si="5"/>
        <v>6014.7943253579406</v>
      </c>
      <c r="V30" s="36">
        <f>G30</f>
        <v>385.5</v>
      </c>
      <c r="W30" s="67"/>
      <c r="X30" s="47"/>
    </row>
    <row r="31" spans="1:24" s="48" customFormat="1" ht="45" customHeight="1">
      <c r="A31" s="68" t="s">
        <v>75</v>
      </c>
      <c r="B31" s="61" t="s">
        <v>76</v>
      </c>
      <c r="C31" s="66">
        <v>15</v>
      </c>
      <c r="D31" s="50">
        <v>141.57938707</v>
      </c>
      <c r="E31" s="36">
        <v>2123.69080605</v>
      </c>
      <c r="F31" s="43"/>
      <c r="G31" s="36">
        <f>'[1]HT-ADMINISTRATIVOS'!G37</f>
        <v>385.5</v>
      </c>
      <c r="H31" s="36">
        <f>'[1]HT-ADMINISTRATIVOS'!H37</f>
        <v>0</v>
      </c>
      <c r="I31" s="36">
        <f>'[1]HT-ADMINISTRATIVOS'!J37</f>
        <v>0</v>
      </c>
      <c r="J31" s="37">
        <f>'[1]HT-ADMINISTRATIVOS'!I37</f>
        <v>0</v>
      </c>
      <c r="K31" s="36">
        <f t="shared" si="4"/>
        <v>2123.69080605</v>
      </c>
      <c r="L31" s="36">
        <f>K31+G31+T31</f>
        <v>2570.9163343517598</v>
      </c>
      <c r="M31" s="28">
        <f>IF('[1]Calculo ISR '!$AI$34&lt;0,0,'[1]Calculo ISR '!$AI$34)</f>
        <v>0</v>
      </c>
      <c r="N31" s="38">
        <f>E31*P4</f>
        <v>222.98753463525</v>
      </c>
      <c r="O31" s="38">
        <f>'[1]HT-ADMINISTRATIVOS'!P37</f>
        <v>0</v>
      </c>
      <c r="P31" s="38">
        <f>'[1]HT-ADMINISTRATIVOS'!Q37</f>
        <v>0</v>
      </c>
      <c r="Q31" s="38">
        <f>'[1]HT-ADMINISTRATIVOS'!R37</f>
        <v>0</v>
      </c>
      <c r="R31" s="38">
        <f>E31*O4</f>
        <v>21.236908060499999</v>
      </c>
      <c r="S31" s="36">
        <f t="shared" si="3"/>
        <v>244.22444269574999</v>
      </c>
      <c r="T31" s="28">
        <f>IF('[1]Calculo ISR '!$AI$34&gt;0,0,'[1]Calculo ISR '!$AI$34)*-1</f>
        <v>61.725528301760008</v>
      </c>
      <c r="U31" s="36">
        <f t="shared" si="5"/>
        <v>1941.1918916560101</v>
      </c>
      <c r="V31" s="36">
        <f>G31</f>
        <v>385.5</v>
      </c>
      <c r="W31" s="67"/>
      <c r="X31" s="47"/>
    </row>
    <row r="32" spans="1:24" s="81" customFormat="1" ht="45" customHeight="1">
      <c r="A32" s="69" t="s">
        <v>77</v>
      </c>
      <c r="B32" s="70" t="s">
        <v>78</v>
      </c>
      <c r="C32" s="71">
        <v>15</v>
      </c>
      <c r="D32" s="72">
        <v>873.012693639492</v>
      </c>
      <c r="E32" s="73">
        <v>13095.19040459238</v>
      </c>
      <c r="F32" s="73">
        <f>'[1]HT-ADMINISTRATIVOS'!F38</f>
        <v>0</v>
      </c>
      <c r="G32" s="73">
        <v>385.5</v>
      </c>
      <c r="H32" s="73">
        <f>'[1]HT-ADMINISTRATIVOS'!H38</f>
        <v>0</v>
      </c>
      <c r="I32" s="73">
        <f>'[1]HT-ADMINISTRATIVOS'!I38</f>
        <v>0</v>
      </c>
      <c r="J32" s="73">
        <f>'[1]HT-ADMINISTRATIVOS'!J38</f>
        <v>0</v>
      </c>
      <c r="K32" s="73">
        <f t="shared" si="4"/>
        <v>13095.19040459238</v>
      </c>
      <c r="L32" s="73">
        <f>K32+G32</f>
        <v>13480.69040459238</v>
      </c>
      <c r="M32" s="28">
        <f>IF('[1]Calculo ISR '!$AJ$34&lt;0,0,'[1]Calculo ISR '!$AJ$34)</f>
        <v>2311.300991160128</v>
      </c>
      <c r="N32" s="73">
        <f>E32*P4</f>
        <v>1374.9949924821999</v>
      </c>
      <c r="O32" s="73">
        <f>'[1]HT-ADMINISTRATIVOS'!P38</f>
        <v>0</v>
      </c>
      <c r="P32" s="73">
        <f>'[1]HT-ADMINISTRATIVOS'!Q38</f>
        <v>0</v>
      </c>
      <c r="Q32" s="73">
        <f>'[1]HT-ADMINISTRATIVOS'!R38</f>
        <v>0</v>
      </c>
      <c r="R32" s="73">
        <f>'[1]HT-ADMINISTRATIVOS'!S38</f>
        <v>0</v>
      </c>
      <c r="S32" s="73">
        <f t="shared" ref="S32:S39" si="6">M32+N32+O32+P32+Q32+R32</f>
        <v>3686.2959836423279</v>
      </c>
      <c r="T32" s="28">
        <f>IF('[1]Calculo ISR '!$AJ$34&gt;0,0,'[1]Calculo ISR '!$AJ$34)*-1</f>
        <v>0</v>
      </c>
      <c r="U32" s="73">
        <f t="shared" si="5"/>
        <v>9408.8944209500514</v>
      </c>
      <c r="V32" s="73">
        <v>385.5</v>
      </c>
      <c r="W32" s="74"/>
      <c r="X32" s="47"/>
    </row>
    <row r="33" spans="1:26" s="81" customFormat="1" ht="45" customHeight="1">
      <c r="A33" s="53" t="s">
        <v>79</v>
      </c>
      <c r="B33" s="61" t="s">
        <v>80</v>
      </c>
      <c r="C33" s="66">
        <v>15</v>
      </c>
      <c r="D33" s="76">
        <v>534.93837680832996</v>
      </c>
      <c r="E33" s="50">
        <v>8024.0756521249496</v>
      </c>
      <c r="F33" s="50"/>
      <c r="G33" s="77">
        <f>385.5</f>
        <v>385.5</v>
      </c>
      <c r="H33" s="50"/>
      <c r="I33" s="50"/>
      <c r="J33" s="50"/>
      <c r="K33" s="78">
        <f t="shared" si="4"/>
        <v>8024.0756521249496</v>
      </c>
      <c r="L33" s="78">
        <f>K33+G33</f>
        <v>8409.5756521249496</v>
      </c>
      <c r="M33" s="28">
        <f>IF('[1]Calculo ISR '!$AK$34&lt;0,0,'[1]Calculo ISR '!$AK$34)</f>
        <v>1166.7533832938893</v>
      </c>
      <c r="N33" s="79">
        <f>E33*P4</f>
        <v>842.52794347311965</v>
      </c>
      <c r="O33" s="78"/>
      <c r="P33" s="50"/>
      <c r="Q33" s="78"/>
      <c r="R33" s="50"/>
      <c r="S33" s="50">
        <f t="shared" si="6"/>
        <v>2009.281326767009</v>
      </c>
      <c r="T33" s="28">
        <f>IF('[1]Calculo ISR '!$AK$34&gt;0,0,'[1]Calculo ISR '!$AK$34)*-1</f>
        <v>0</v>
      </c>
      <c r="U33" s="79">
        <f>K33-S33</f>
        <v>6014.7943253579406</v>
      </c>
      <c r="V33" s="73">
        <v>385.5</v>
      </c>
      <c r="W33" s="80"/>
      <c r="X33" s="47"/>
    </row>
    <row r="34" spans="1:26" s="81" customFormat="1" ht="45" customHeight="1">
      <c r="A34" s="91" t="s">
        <v>83</v>
      </c>
      <c r="B34" s="139" t="s">
        <v>84</v>
      </c>
      <c r="C34" s="66">
        <v>15</v>
      </c>
      <c r="D34" s="76">
        <v>180.10895980000001</v>
      </c>
      <c r="E34" s="50">
        <v>2701.6343970000003</v>
      </c>
      <c r="F34" s="50"/>
      <c r="G34" s="77">
        <f>385.5</f>
        <v>385.5</v>
      </c>
      <c r="H34" s="50">
        <v>892</v>
      </c>
      <c r="I34" s="50"/>
      <c r="J34" s="50"/>
      <c r="K34" s="78">
        <f t="shared" si="4"/>
        <v>3593.6343970000003</v>
      </c>
      <c r="L34" s="78">
        <f>K34+G34</f>
        <v>3979.1343970000003</v>
      </c>
      <c r="M34" s="28">
        <f>IF('[1]Calculo ISR '!$AM$34&lt;0,0,'[1]Calculo ISR '!$AM$34)</f>
        <v>179.50433439359998</v>
      </c>
      <c r="N34" s="92">
        <f>E34*P4</f>
        <v>283.67161168500002</v>
      </c>
      <c r="O34" s="78"/>
      <c r="P34" s="50"/>
      <c r="Q34" s="78"/>
      <c r="R34" s="50">
        <f>E34*O4</f>
        <v>27.016343970000005</v>
      </c>
      <c r="S34" s="50">
        <f>M34+N34+O34+P34+Q34+R34</f>
        <v>490.19229004859994</v>
      </c>
      <c r="T34" s="28">
        <f>IF('[1]Calculo ISR '!$AM$34&gt;0,0,'[1]Calculo ISR '!$AM$34)*-1</f>
        <v>0</v>
      </c>
      <c r="U34" s="79">
        <f t="shared" ref="U34:U39" si="7">K34-S34+T34</f>
        <v>3103.4421069514001</v>
      </c>
      <c r="V34" s="73">
        <v>385.5</v>
      </c>
      <c r="W34" s="80"/>
      <c r="X34" s="47"/>
    </row>
    <row r="35" spans="1:26" s="81" customFormat="1" ht="45" customHeight="1">
      <c r="A35" s="91" t="s">
        <v>85</v>
      </c>
      <c r="B35" s="139" t="s">
        <v>86</v>
      </c>
      <c r="C35" s="66">
        <v>15</v>
      </c>
      <c r="D35" s="76">
        <v>219.23158179999999</v>
      </c>
      <c r="E35" s="50">
        <v>3288.4737269999996</v>
      </c>
      <c r="F35" s="50"/>
      <c r="G35" s="77">
        <f>385.5</f>
        <v>385.5</v>
      </c>
      <c r="H35" s="50">
        <v>446</v>
      </c>
      <c r="I35" s="50"/>
      <c r="J35" s="50"/>
      <c r="K35" s="78">
        <f t="shared" si="4"/>
        <v>3734.4737269999996</v>
      </c>
      <c r="L35" s="78">
        <f>K35+G35</f>
        <v>4119.9737269999996</v>
      </c>
      <c r="M35" s="28">
        <f>IF('[1]Calculo ISR '!$AN$34&lt;0,0,'[1]Calculo ISR '!$AN$34)</f>
        <v>306.60419631999991</v>
      </c>
      <c r="N35" s="92">
        <f>E35*P4</f>
        <v>345.28974133499992</v>
      </c>
      <c r="O35" s="78"/>
      <c r="P35" s="50"/>
      <c r="Q35" s="78"/>
      <c r="R35" s="50">
        <v>0</v>
      </c>
      <c r="S35" s="50">
        <f t="shared" si="6"/>
        <v>651.89393765499983</v>
      </c>
      <c r="T35" s="28">
        <f>IF('[1]Calculo ISR '!$AN$34&gt;0,0,'[1]Calculo ISR '!$AN$34)*-1</f>
        <v>0</v>
      </c>
      <c r="U35" s="79">
        <f t="shared" si="7"/>
        <v>3082.5797893449999</v>
      </c>
      <c r="V35" s="73">
        <v>385.5</v>
      </c>
      <c r="W35" s="80"/>
      <c r="X35" s="47"/>
    </row>
    <row r="36" spans="1:26" s="81" customFormat="1" ht="45" customHeight="1">
      <c r="A36" s="91" t="s">
        <v>87</v>
      </c>
      <c r="B36" s="91" t="s">
        <v>88</v>
      </c>
      <c r="C36" s="66">
        <v>15</v>
      </c>
      <c r="D36" s="76">
        <v>534.93837680832996</v>
      </c>
      <c r="E36" s="50">
        <f>E33</f>
        <v>8024.0756521249496</v>
      </c>
      <c r="F36" s="50"/>
      <c r="G36" s="77">
        <v>385.5</v>
      </c>
      <c r="H36" s="50"/>
      <c r="I36" s="50"/>
      <c r="J36" s="50"/>
      <c r="K36" s="78">
        <f t="shared" si="4"/>
        <v>8024.0756521249496</v>
      </c>
      <c r="L36" s="78">
        <f>K36+G36+T36</f>
        <v>8409.5756521249496</v>
      </c>
      <c r="M36" s="28">
        <f>IF('[1]Calculo ISR '!$AO$34&lt;0,0,'[1]Calculo ISR '!$AO$34)</f>
        <v>1166.7533832938893</v>
      </c>
      <c r="N36" s="92">
        <f>E36*P4</f>
        <v>842.52794347311965</v>
      </c>
      <c r="O36" s="78"/>
      <c r="P36" s="50"/>
      <c r="Q36" s="78"/>
      <c r="R36" s="50"/>
      <c r="S36" s="50">
        <f t="shared" si="6"/>
        <v>2009.281326767009</v>
      </c>
      <c r="T36" s="28">
        <f>IF('[1]Calculo ISR '!$AO$34&gt;0,0,'[1]Calculo ISR '!$AO$34)*-1</f>
        <v>0</v>
      </c>
      <c r="U36" s="79">
        <f t="shared" si="7"/>
        <v>6014.7943253579406</v>
      </c>
      <c r="V36" s="73">
        <f t="shared" ref="V36:V44" si="8">G36</f>
        <v>385.5</v>
      </c>
      <c r="W36" s="80"/>
      <c r="X36" s="47"/>
    </row>
    <row r="37" spans="1:26" s="81" customFormat="1" ht="45" customHeight="1">
      <c r="A37" s="91" t="s">
        <v>89</v>
      </c>
      <c r="B37" s="91" t="s">
        <v>90</v>
      </c>
      <c r="C37" s="66">
        <v>15</v>
      </c>
      <c r="D37" s="76">
        <v>171.34</v>
      </c>
      <c r="E37" s="50">
        <f>C37*D37</f>
        <v>2570.1</v>
      </c>
      <c r="F37" s="50"/>
      <c r="G37" s="77">
        <v>385.5</v>
      </c>
      <c r="H37" s="50"/>
      <c r="I37" s="50"/>
      <c r="J37" s="50"/>
      <c r="K37" s="78">
        <f t="shared" si="4"/>
        <v>2570.1</v>
      </c>
      <c r="L37" s="78">
        <f>K37+G37</f>
        <v>2955.6</v>
      </c>
      <c r="M37" s="28">
        <f>IF('[1]Calculo ISR '!$AP$34&lt;0,0,'[1]Calculo ISR '!$AP$34)</f>
        <v>15.193791999999974</v>
      </c>
      <c r="N37" s="92">
        <f>E37*P4</f>
        <v>269.8605</v>
      </c>
      <c r="O37" s="78"/>
      <c r="P37" s="50"/>
      <c r="Q37" s="78"/>
      <c r="R37" s="50"/>
      <c r="S37" s="50">
        <f t="shared" si="6"/>
        <v>285.05429199999998</v>
      </c>
      <c r="T37" s="28">
        <f>IF('[1]Calculo ISR '!$AP$34&gt;0,0,'[1]Calculo ISR '!$AP$34)*-1</f>
        <v>0</v>
      </c>
      <c r="U37" s="79">
        <f t="shared" si="7"/>
        <v>2285.0457080000001</v>
      </c>
      <c r="V37" s="73">
        <f t="shared" si="8"/>
        <v>385.5</v>
      </c>
      <c r="W37" s="80"/>
      <c r="X37" s="47"/>
    </row>
    <row r="38" spans="1:26" s="81" customFormat="1" ht="45" customHeight="1">
      <c r="A38" s="91" t="s">
        <v>91</v>
      </c>
      <c r="B38" s="91" t="s">
        <v>92</v>
      </c>
      <c r="C38" s="66">
        <v>15</v>
      </c>
      <c r="D38" s="76">
        <v>131.36093080000001</v>
      </c>
      <c r="E38" s="50">
        <v>1970.4139620000001</v>
      </c>
      <c r="F38" s="50"/>
      <c r="G38" s="77">
        <v>385.5</v>
      </c>
      <c r="H38" s="50"/>
      <c r="I38" s="50"/>
      <c r="J38" s="50"/>
      <c r="K38" s="78">
        <f t="shared" si="4"/>
        <v>1970.4139620000001</v>
      </c>
      <c r="L38" s="78">
        <f>K38+G38+T38</f>
        <v>2429.5253084320002</v>
      </c>
      <c r="M38" s="28">
        <f>IF('[1]Calculo ISR '!$AQ$34&lt;0,0,'[1]Calculo ISR '!$AQ$34)</f>
        <v>0</v>
      </c>
      <c r="N38" s="92">
        <f>E38*P4</f>
        <v>206.89346601</v>
      </c>
      <c r="O38" s="78"/>
      <c r="P38" s="50"/>
      <c r="Q38" s="78"/>
      <c r="R38" s="50"/>
      <c r="S38" s="50">
        <f t="shared" si="6"/>
        <v>206.89346601</v>
      </c>
      <c r="T38" s="28">
        <f>IF('[1]Calculo ISR '!$AQ$34&gt;0,0,'[1]Calculo ISR '!$AQ$34)*-1</f>
        <v>73.611346431999976</v>
      </c>
      <c r="U38" s="79">
        <f t="shared" si="7"/>
        <v>1837.1318424220001</v>
      </c>
      <c r="V38" s="73">
        <f t="shared" si="8"/>
        <v>385.5</v>
      </c>
      <c r="W38" s="80"/>
      <c r="X38" s="47"/>
    </row>
    <row r="39" spans="1:26" s="81" customFormat="1" ht="45" customHeight="1">
      <c r="A39" s="91" t="s">
        <v>93</v>
      </c>
      <c r="B39" s="91" t="s">
        <v>94</v>
      </c>
      <c r="C39" s="66">
        <v>15</v>
      </c>
      <c r="D39" s="76">
        <v>131.36093080000001</v>
      </c>
      <c r="E39" s="50">
        <v>1970.4139620000001</v>
      </c>
      <c r="F39" s="50"/>
      <c r="G39" s="77">
        <v>385.5</v>
      </c>
      <c r="H39" s="50"/>
      <c r="I39" s="50"/>
      <c r="J39" s="50"/>
      <c r="K39" s="78">
        <f t="shared" si="4"/>
        <v>1970.4139620000001</v>
      </c>
      <c r="L39" s="78">
        <f>K39+G39+T39</f>
        <v>2429.5253084320002</v>
      </c>
      <c r="M39" s="28">
        <f>IF('[1]Calculo ISR '!$AR$34&lt;0,0,'[1]Calculo ISR '!$AR$34)</f>
        <v>0</v>
      </c>
      <c r="N39" s="92">
        <f>E39*P4</f>
        <v>206.89346601</v>
      </c>
      <c r="O39" s="78"/>
      <c r="P39" s="50"/>
      <c r="Q39" s="78"/>
      <c r="R39" s="50"/>
      <c r="S39" s="50">
        <f t="shared" si="6"/>
        <v>206.89346601</v>
      </c>
      <c r="T39" s="28">
        <f>IF('[1]Calculo ISR '!$AR$34&gt;0,0,'[1]Calculo ISR '!$AR$34)*-1</f>
        <v>73.611346431999976</v>
      </c>
      <c r="U39" s="79">
        <f t="shared" si="7"/>
        <v>1837.1318424220001</v>
      </c>
      <c r="V39" s="73">
        <f t="shared" si="8"/>
        <v>385.5</v>
      </c>
      <c r="W39" s="80"/>
      <c r="X39" s="47"/>
    </row>
    <row r="40" spans="1:26" s="81" customFormat="1" ht="45" customHeight="1">
      <c r="A40" s="91" t="s">
        <v>95</v>
      </c>
      <c r="B40" s="91" t="s">
        <v>96</v>
      </c>
      <c r="C40" s="66">
        <v>15</v>
      </c>
      <c r="D40" s="76">
        <v>754.54</v>
      </c>
      <c r="E40" s="50">
        <f>C40*D40</f>
        <v>11318.099999999999</v>
      </c>
      <c r="F40" s="50"/>
      <c r="G40" s="77">
        <v>385.5</v>
      </c>
      <c r="H40" s="50"/>
      <c r="I40" s="50"/>
      <c r="J40" s="50"/>
      <c r="K40" s="78">
        <f>E40+H40+I40+J40</f>
        <v>11318.099999999999</v>
      </c>
      <c r="L40" s="78">
        <f>K40+G40</f>
        <v>11703.599999999999</v>
      </c>
      <c r="M40" s="28">
        <f>IF('[1]Calculo ISR '!$AS$34&lt;0,0,'[1]Calculo ISR '!$AS$34)</f>
        <v>1893.3293279999998</v>
      </c>
      <c r="N40" s="92">
        <f>E40*P4</f>
        <v>1188.4004999999997</v>
      </c>
      <c r="O40" s="78"/>
      <c r="P40" s="50"/>
      <c r="Q40" s="78"/>
      <c r="R40" s="50"/>
      <c r="S40" s="50">
        <f>M40+N40+O40+P40+Q40+R40</f>
        <v>3081.7298279999995</v>
      </c>
      <c r="T40" s="28">
        <f>IF('[1]Calculo ISR '!$AS$34&gt;0,0,'[1]Calculo ISR '!$AS$34)*-1</f>
        <v>0</v>
      </c>
      <c r="U40" s="79">
        <f>K40-S40</f>
        <v>8236.370171999999</v>
      </c>
      <c r="V40" s="73">
        <f t="shared" si="8"/>
        <v>385.5</v>
      </c>
      <c r="W40" s="80"/>
      <c r="X40" s="47"/>
    </row>
    <row r="41" spans="1:26" s="81" customFormat="1" ht="45" customHeight="1">
      <c r="A41" s="91" t="s">
        <v>97</v>
      </c>
      <c r="B41" s="91" t="s">
        <v>98</v>
      </c>
      <c r="C41" s="66">
        <v>15</v>
      </c>
      <c r="D41" s="76">
        <v>754.54</v>
      </c>
      <c r="E41" s="50">
        <f>D41*C41</f>
        <v>11318.099999999999</v>
      </c>
      <c r="F41" s="50"/>
      <c r="G41" s="77">
        <v>385.5</v>
      </c>
      <c r="H41" s="50"/>
      <c r="I41" s="50"/>
      <c r="J41" s="50"/>
      <c r="K41" s="78">
        <f>E41+H41+I41+J41</f>
        <v>11318.099999999999</v>
      </c>
      <c r="L41" s="78">
        <f>K41+G41</f>
        <v>11703.599999999999</v>
      </c>
      <c r="M41" s="28">
        <f>IF('[1]Calculo ISR '!$AT$34&lt;0,0,'[1]Calculo ISR '!$AT$34)</f>
        <v>1893.3293279999998</v>
      </c>
      <c r="N41" s="92">
        <f>E41*P4</f>
        <v>1188.4004999999997</v>
      </c>
      <c r="O41" s="78">
        <v>689</v>
      </c>
      <c r="P41" s="50"/>
      <c r="Q41" s="78"/>
      <c r="R41" s="50"/>
      <c r="S41" s="50">
        <f>M41+N41+O41+P41+Q41+R41</f>
        <v>3770.7298279999995</v>
      </c>
      <c r="T41" s="28">
        <f>IF('[1]Calculo ISR '!$AT$34&gt;0,0,'[1]Calculo ISR '!$AT$34)*-1</f>
        <v>0</v>
      </c>
      <c r="U41" s="79">
        <f>K41-S41</f>
        <v>7547.370171999999</v>
      </c>
      <c r="V41" s="73">
        <f t="shared" si="8"/>
        <v>385.5</v>
      </c>
      <c r="W41" s="80"/>
      <c r="X41" s="47"/>
    </row>
    <row r="42" spans="1:26" s="81" customFormat="1" ht="45" customHeight="1">
      <c r="A42" s="91" t="s">
        <v>99</v>
      </c>
      <c r="B42" s="91" t="s">
        <v>100</v>
      </c>
      <c r="C42" s="66">
        <v>15</v>
      </c>
      <c r="D42" s="76">
        <v>171.34</v>
      </c>
      <c r="E42" s="50">
        <f>C42*D42</f>
        <v>2570.1</v>
      </c>
      <c r="F42" s="50"/>
      <c r="G42" s="77">
        <v>385.5</v>
      </c>
      <c r="H42" s="50"/>
      <c r="I42" s="50"/>
      <c r="J42" s="50"/>
      <c r="K42" s="78">
        <f>E42+F42+H42+I42+J42</f>
        <v>2570.1</v>
      </c>
      <c r="L42" s="78">
        <f>K42+G42</f>
        <v>2955.6</v>
      </c>
      <c r="M42" s="28">
        <f>IF('[1]Calculo ISR '!$AU$34&lt;0,0,'[1]Calculo ISR '!$AU$34)</f>
        <v>15.193791999999974</v>
      </c>
      <c r="N42" s="92">
        <f>E42*P4</f>
        <v>269.8605</v>
      </c>
      <c r="O42" s="78"/>
      <c r="P42" s="50"/>
      <c r="Q42" s="78"/>
      <c r="R42" s="50"/>
      <c r="S42" s="50">
        <f>M42+N42+O42+P42+Q42+R42</f>
        <v>285.05429199999998</v>
      </c>
      <c r="T42" s="28">
        <f>IF('[1]Calculo ISR '!$AU$34&gt;0,0,'[1]Calculo ISR '!$AU$34)*-1</f>
        <v>0</v>
      </c>
      <c r="U42" s="79">
        <f>K42-S42</f>
        <v>2285.0457080000001</v>
      </c>
      <c r="V42" s="73">
        <f t="shared" si="8"/>
        <v>385.5</v>
      </c>
      <c r="W42" s="80"/>
      <c r="X42" s="47"/>
    </row>
    <row r="43" spans="1:26" s="81" customFormat="1" ht="45" customHeight="1">
      <c r="A43" s="91" t="s">
        <v>101</v>
      </c>
      <c r="B43" s="91" t="s">
        <v>102</v>
      </c>
      <c r="C43" s="66">
        <v>15</v>
      </c>
      <c r="D43" s="76">
        <v>754.54</v>
      </c>
      <c r="E43" s="50">
        <f>C43*D43</f>
        <v>11318.099999999999</v>
      </c>
      <c r="F43" s="50"/>
      <c r="G43" s="77">
        <v>385.5</v>
      </c>
      <c r="H43" s="50"/>
      <c r="I43" s="50"/>
      <c r="J43" s="50"/>
      <c r="K43" s="78">
        <f>E43+F43+H43+I43+J43</f>
        <v>11318.099999999999</v>
      </c>
      <c r="L43" s="78">
        <f>K43+G43</f>
        <v>11703.599999999999</v>
      </c>
      <c r="M43" s="28">
        <f>IF('[1]Calculo ISR '!$AV$34&lt;0,0,'[1]Calculo ISR '!$AV$34)</f>
        <v>1893.3293279999998</v>
      </c>
      <c r="N43" s="92">
        <f>E43*P4</f>
        <v>1188.4004999999997</v>
      </c>
      <c r="O43" s="78"/>
      <c r="P43" s="50"/>
      <c r="Q43" s="78"/>
      <c r="R43" s="50"/>
      <c r="S43" s="50">
        <f>M43+N43+O43+P43+Q43+R43</f>
        <v>3081.7298279999995</v>
      </c>
      <c r="T43" s="28">
        <f>IF('[1]Calculo ISR '!$AV$34&gt;0,0,'[1]Calculo ISR '!$AV$34)*-1</f>
        <v>0</v>
      </c>
      <c r="U43" s="79">
        <f>K43-S43</f>
        <v>8236.370171999999</v>
      </c>
      <c r="V43" s="73">
        <f t="shared" si="8"/>
        <v>385.5</v>
      </c>
      <c r="W43" s="80"/>
      <c r="X43" s="47"/>
    </row>
    <row r="44" spans="1:26" s="81" customFormat="1" ht="45" customHeight="1">
      <c r="A44" s="91" t="s">
        <v>103</v>
      </c>
      <c r="B44" s="91" t="s">
        <v>104</v>
      </c>
      <c r="C44" s="66">
        <v>15</v>
      </c>
      <c r="D44" s="76">
        <v>171.34</v>
      </c>
      <c r="E44" s="50">
        <f>C44*D44</f>
        <v>2570.1</v>
      </c>
      <c r="F44" s="50"/>
      <c r="G44" s="77">
        <v>385.5</v>
      </c>
      <c r="H44" s="50"/>
      <c r="I44" s="50"/>
      <c r="J44" s="50"/>
      <c r="K44" s="78">
        <f>E44+F44+H44+I44+J44</f>
        <v>2570.1</v>
      </c>
      <c r="L44" s="78">
        <f>K44+G44</f>
        <v>2955.6</v>
      </c>
      <c r="M44" s="28">
        <v>15.19</v>
      </c>
      <c r="N44" s="92">
        <f>E44*P4</f>
        <v>269.8605</v>
      </c>
      <c r="O44" s="78"/>
      <c r="P44" s="50"/>
      <c r="Q44" s="78"/>
      <c r="R44" s="50"/>
      <c r="S44" s="50">
        <f>M44+N44+O44+P44+Q44+R44</f>
        <v>285.0505</v>
      </c>
      <c r="T44" s="28"/>
      <c r="U44" s="79">
        <f>K44-S44</f>
        <v>2285.0495000000001</v>
      </c>
      <c r="V44" s="73">
        <f t="shared" si="8"/>
        <v>385.5</v>
      </c>
      <c r="W44" s="80"/>
      <c r="X44" s="47"/>
    </row>
    <row r="45" spans="1:26" s="99" customFormat="1" ht="21.95" customHeight="1">
      <c r="A45" s="93"/>
      <c r="B45" s="94">
        <v>38</v>
      </c>
      <c r="C45" s="95">
        <f t="shared" ref="C45:V45" si="9">SUM(C7:C44)</f>
        <v>570</v>
      </c>
      <c r="D45" s="95">
        <f t="shared" si="9"/>
        <v>13457.168291817881</v>
      </c>
      <c r="E45" s="95">
        <f t="shared" si="9"/>
        <v>201857.52437726824</v>
      </c>
      <c r="F45" s="95">
        <f t="shared" si="9"/>
        <v>6616.24</v>
      </c>
      <c r="G45" s="95">
        <f t="shared" si="9"/>
        <v>15223.5</v>
      </c>
      <c r="H45" s="95">
        <f t="shared" si="9"/>
        <v>4460</v>
      </c>
      <c r="I45" s="95">
        <f t="shared" si="9"/>
        <v>688</v>
      </c>
      <c r="J45" s="95">
        <f t="shared" si="9"/>
        <v>1848.4761786091169</v>
      </c>
      <c r="K45" s="95">
        <f t="shared" si="9"/>
        <v>215470.24055587733</v>
      </c>
      <c r="L45" s="95">
        <f t="shared" si="9"/>
        <v>231001.49907418</v>
      </c>
      <c r="M45" s="96">
        <f t="shared" si="9"/>
        <v>26857.553509412457</v>
      </c>
      <c r="N45" s="95">
        <f t="shared" si="9"/>
        <v>21195.040059613155</v>
      </c>
      <c r="O45" s="95">
        <f t="shared" si="9"/>
        <v>24760.699999999997</v>
      </c>
      <c r="P45" s="95">
        <f t="shared" si="9"/>
        <v>0</v>
      </c>
      <c r="Q45" s="95">
        <f t="shared" si="9"/>
        <v>0</v>
      </c>
      <c r="R45" s="95">
        <f t="shared" si="9"/>
        <v>583.98062260958716</v>
      </c>
      <c r="S45" s="95">
        <f t="shared" si="9"/>
        <v>73397.274191635181</v>
      </c>
      <c r="T45" s="95">
        <f t="shared" si="9"/>
        <v>307.75851830263997</v>
      </c>
      <c r="U45" s="95">
        <f t="shared" si="9"/>
        <v>142380.72488254478</v>
      </c>
      <c r="V45" s="95">
        <f t="shared" si="9"/>
        <v>15223.5</v>
      </c>
      <c r="W45" s="97"/>
      <c r="X45" s="98"/>
    </row>
    <row r="46" spans="1:26" s="6" customFormat="1" ht="11.25" customHeight="1">
      <c r="A46" s="122"/>
      <c r="B46" s="123">
        <v>38</v>
      </c>
      <c r="C46" s="124"/>
      <c r="D46" s="101"/>
      <c r="E46" s="101">
        <f>E45+'[4]HT-DOCENTE FIRMA'!I33</f>
        <v>307703.72437726823</v>
      </c>
      <c r="F46" s="101"/>
      <c r="G46" s="125">
        <f>G45+'[4]HT-DOCENTE FIRMA'!J33</f>
        <v>21663.02</v>
      </c>
      <c r="H46" s="125">
        <f>H45+'[4]HT-DOCENTE FIRMA'!L33</f>
        <v>6110.2000000000007</v>
      </c>
      <c r="I46" s="101"/>
      <c r="J46" s="101">
        <f>J45+'[4]HT-DOCENTE FIRMA'!M33</f>
        <v>2469.837178609117</v>
      </c>
      <c r="K46" s="101"/>
      <c r="L46" s="101"/>
      <c r="M46" s="5">
        <f>M45+'[4]HT-DOCENTE FIRMA'!P33</f>
        <v>38554.091351012459</v>
      </c>
      <c r="N46" s="101"/>
      <c r="O46" s="101"/>
      <c r="P46" s="101"/>
      <c r="Q46" s="101"/>
      <c r="R46" s="101"/>
      <c r="S46" s="101"/>
      <c r="T46" s="101"/>
      <c r="U46" s="101">
        <f>U45+'[4]HT-DOCENTE FIRMA'!X33</f>
        <v>219582.59800894477</v>
      </c>
      <c r="V46" s="101"/>
      <c r="W46" s="126"/>
      <c r="X46" s="5"/>
    </row>
    <row r="47" spans="1:26" s="6" customFormat="1" ht="11.25" customHeight="1">
      <c r="A47" s="122"/>
      <c r="B47" s="123"/>
      <c r="C47" s="124"/>
      <c r="D47" s="101"/>
      <c r="E47" s="101">
        <f>E45+'[4]HT-DOCENTE FIRMA'!I33</f>
        <v>307703.72437726823</v>
      </c>
      <c r="F47" s="101"/>
      <c r="G47" s="125"/>
      <c r="H47" s="125"/>
      <c r="I47" s="101"/>
      <c r="J47" s="101"/>
      <c r="K47" s="101"/>
      <c r="L47" s="101"/>
      <c r="M47" s="101"/>
      <c r="N47" s="101"/>
      <c r="O47" s="101">
        <f>O45+'[1]HT-DOCENTE FIRMA'!N33</f>
        <v>35233.1</v>
      </c>
      <c r="P47" s="101"/>
      <c r="Q47" s="101"/>
      <c r="R47" s="101"/>
      <c r="S47" s="101"/>
      <c r="T47" s="101"/>
      <c r="U47" s="101"/>
      <c r="V47" s="101"/>
      <c r="W47" s="126"/>
      <c r="X47" s="5"/>
      <c r="Z47" s="5"/>
    </row>
    <row r="48" spans="1:26" s="6" customFormat="1" ht="11.25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26"/>
      <c r="X48" s="5"/>
    </row>
    <row r="49" spans="1:24" s="6" customFormat="1" ht="11.25" customHeight="1">
      <c r="A49" s="129"/>
      <c r="B49" s="130"/>
      <c r="C49" s="131"/>
      <c r="D49" s="132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5"/>
    </row>
    <row r="50" spans="1:24" ht="15" customHeight="1">
      <c r="A50" s="110" t="s">
        <v>105</v>
      </c>
      <c r="B50" s="110"/>
      <c r="C50" s="110"/>
      <c r="D50" s="111"/>
      <c r="E50" s="109"/>
      <c r="F50" s="109"/>
      <c r="G50" s="113" t="s">
        <v>106</v>
      </c>
      <c r="H50" s="112"/>
      <c r="I50" s="112"/>
      <c r="K50" s="113"/>
      <c r="L50" s="114"/>
      <c r="O50" s="115"/>
      <c r="P50" s="115"/>
      <c r="Q50" s="115"/>
      <c r="R50" s="115"/>
      <c r="S50" s="111" t="s">
        <v>107</v>
      </c>
      <c r="T50" s="111"/>
      <c r="U50" s="111"/>
      <c r="V50" s="111"/>
      <c r="W50" s="111"/>
      <c r="X50" s="100"/>
    </row>
    <row r="51" spans="1:24" hidden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03"/>
      <c r="L51" s="103"/>
      <c r="O51" s="103"/>
      <c r="P51" s="115"/>
      <c r="Q51" s="103"/>
      <c r="R51" s="103"/>
      <c r="S51" s="111"/>
      <c r="T51" s="111"/>
      <c r="U51" s="111"/>
      <c r="V51" s="111"/>
      <c r="W51" s="111"/>
      <c r="X51" s="100"/>
    </row>
    <row r="52" spans="1:24" hidden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09"/>
      <c r="L52" s="109"/>
      <c r="O52" s="109"/>
      <c r="P52" s="109"/>
      <c r="Q52" s="109"/>
      <c r="R52" s="109"/>
      <c r="S52" s="111"/>
      <c r="T52" s="111"/>
      <c r="U52" s="111"/>
      <c r="V52" s="111"/>
      <c r="W52" s="111"/>
      <c r="X52" s="100"/>
    </row>
    <row r="53" spans="1:24">
      <c r="A53" s="111"/>
      <c r="B53" s="113" t="s">
        <v>108</v>
      </c>
      <c r="C53" s="111"/>
      <c r="D53" s="111"/>
      <c r="E53" s="116"/>
      <c r="F53" s="116"/>
      <c r="G53" s="118" t="s">
        <v>109</v>
      </c>
      <c r="H53" s="117"/>
      <c r="I53" s="117"/>
      <c r="K53" s="118"/>
      <c r="L53" s="118"/>
      <c r="O53" s="109"/>
      <c r="P53" s="109"/>
      <c r="Q53" s="116"/>
      <c r="R53" s="109"/>
      <c r="S53" s="117" t="s">
        <v>110</v>
      </c>
      <c r="T53" s="117"/>
      <c r="U53" s="117"/>
      <c r="V53" s="117"/>
      <c r="W53" s="111"/>
      <c r="X53" s="100"/>
    </row>
    <row r="54" spans="1:24" ht="15" customHeight="1">
      <c r="A54" s="110" t="s">
        <v>111</v>
      </c>
      <c r="B54" s="110"/>
      <c r="C54" s="110"/>
      <c r="D54" s="111"/>
      <c r="E54" s="109"/>
      <c r="F54" s="109"/>
      <c r="G54" s="118" t="s">
        <v>112</v>
      </c>
      <c r="H54" s="117"/>
      <c r="I54" s="117"/>
      <c r="K54" s="118"/>
      <c r="L54" s="118"/>
      <c r="O54" s="109"/>
      <c r="P54" s="109"/>
      <c r="Q54" s="109"/>
      <c r="R54" s="109"/>
      <c r="S54" s="119" t="s">
        <v>113</v>
      </c>
      <c r="T54" s="119"/>
      <c r="U54" s="119"/>
      <c r="V54" s="118"/>
      <c r="W54" s="111"/>
      <c r="X54" s="100"/>
    </row>
    <row r="55" spans="1:24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16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307" spans="99:99">
      <c r="CU307" s="1" t="s">
        <v>114</v>
      </c>
    </row>
  </sheetData>
  <mergeCells count="3">
    <mergeCell ref="A50:C50"/>
    <mergeCell ref="A54:C54"/>
    <mergeCell ref="S54:U54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CV307"/>
  <sheetViews>
    <sheetView zoomScale="80" zoomScaleNormal="80" workbookViewId="0">
      <pane xSplit="2" ySplit="6" topLeftCell="C40" activePane="bottomRight" state="frozen"/>
      <selection activeCell="S28" sqref="S28"/>
      <selection pane="topRight" activeCell="S28" sqref="S28"/>
      <selection pane="bottomLeft" activeCell="S28" sqref="S28"/>
      <selection pane="bottomRight" activeCell="B46" sqref="B46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7" width="12.42578125" style="1" customWidth="1"/>
    <col min="8" max="8" width="12.7109375" style="1" customWidth="1"/>
    <col min="9" max="9" width="11.85546875" style="1" customWidth="1"/>
    <col min="10" max="10" width="9.28515625" style="1" customWidth="1"/>
    <col min="11" max="11" width="10.140625" style="1" customWidth="1"/>
    <col min="12" max="12" width="12.28515625" style="1" customWidth="1"/>
    <col min="13" max="13" width="11.7109375" style="1" customWidth="1"/>
    <col min="14" max="16" width="11.140625" style="1" hidden="1" customWidth="1"/>
    <col min="17" max="17" width="8.5703125" style="1" hidden="1" customWidth="1"/>
    <col min="18" max="18" width="8.7109375" style="1" hidden="1" customWidth="1"/>
    <col min="19" max="19" width="8.28515625" style="1" hidden="1" customWidth="1"/>
    <col min="20" max="20" width="11.140625" style="1" customWidth="1"/>
    <col min="21" max="21" width="9.42578125" style="1" customWidth="1"/>
    <col min="22" max="22" width="15.28515625" style="1" customWidth="1"/>
    <col min="23" max="23" width="12.85546875" style="1" hidden="1" customWidth="1"/>
    <col min="24" max="24" width="35.42578125" style="1" hidden="1" customWidth="1"/>
    <col min="25" max="16384" width="11.42578125" style="1"/>
  </cols>
  <sheetData>
    <row r="3" spans="1:27">
      <c r="B3" s="2"/>
      <c r="J3" s="3"/>
      <c r="K3" s="3"/>
      <c r="L3" s="4"/>
      <c r="M3" s="5" t="s">
        <v>0</v>
      </c>
      <c r="P3" s="6"/>
      <c r="Q3" s="6"/>
      <c r="R3" s="6" t="s">
        <v>1</v>
      </c>
    </row>
    <row r="4" spans="1:27">
      <c r="B4" s="2"/>
      <c r="C4" s="3"/>
      <c r="D4" s="3"/>
      <c r="E4" s="3"/>
      <c r="F4" s="3"/>
      <c r="J4" s="3"/>
      <c r="K4" s="3"/>
      <c r="L4" s="3"/>
      <c r="M4" s="7">
        <v>1.9E-2</v>
      </c>
      <c r="P4" s="8">
        <v>0.01</v>
      </c>
      <c r="Q4" s="121">
        <v>0.105</v>
      </c>
      <c r="R4" s="9">
        <v>3.7999999999999999E-2</v>
      </c>
    </row>
    <row r="5" spans="1:27" ht="13.5" thickBot="1">
      <c r="B5" s="10" t="s">
        <v>2</v>
      </c>
      <c r="C5" s="3"/>
      <c r="D5" s="3"/>
      <c r="E5" s="3"/>
      <c r="F5" s="3"/>
      <c r="I5" s="10" t="s">
        <v>117</v>
      </c>
      <c r="J5" s="3"/>
      <c r="K5" s="3"/>
      <c r="L5" s="3"/>
    </row>
    <row r="6" spans="1:27" s="25" customFormat="1" ht="105.7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7" t="s">
        <v>118</v>
      </c>
      <c r="I6" s="18" t="s">
        <v>11</v>
      </c>
      <c r="J6" s="19" t="s">
        <v>12</v>
      </c>
      <c r="K6" s="18" t="s">
        <v>13</v>
      </c>
      <c r="L6" s="18" t="s">
        <v>14</v>
      </c>
      <c r="M6" s="19" t="s">
        <v>15</v>
      </c>
      <c r="N6" s="20" t="s">
        <v>16</v>
      </c>
      <c r="O6" s="20" t="s">
        <v>17</v>
      </c>
      <c r="P6" s="20" t="s">
        <v>18</v>
      </c>
      <c r="Q6" s="20" t="s">
        <v>19</v>
      </c>
      <c r="R6" s="20" t="s">
        <v>20</v>
      </c>
      <c r="S6" s="20" t="s">
        <v>21</v>
      </c>
      <c r="T6" s="20" t="s">
        <v>22</v>
      </c>
      <c r="U6" s="21" t="s">
        <v>23</v>
      </c>
      <c r="V6" s="22" t="s">
        <v>24</v>
      </c>
      <c r="W6" s="23" t="s">
        <v>25</v>
      </c>
      <c r="X6" s="24" t="s">
        <v>26</v>
      </c>
    </row>
    <row r="7" spans="1:27" s="30" customFormat="1" ht="56.25" customHeight="1">
      <c r="A7" s="26" t="s">
        <v>27</v>
      </c>
      <c r="B7" s="27" t="s">
        <v>28</v>
      </c>
      <c r="C7" s="28">
        <f>'[1]HT-ADMINISTRATIVOS'!C8</f>
        <v>15</v>
      </c>
      <c r="D7" s="28">
        <f>E7/C7</f>
        <v>1129.1146666666668</v>
      </c>
      <c r="E7" s="28">
        <v>16936.72</v>
      </c>
      <c r="F7" s="28">
        <v>6616.24</v>
      </c>
      <c r="G7" s="28">
        <f>'[1]HT-ADMINISTRATIVOS'!G8</f>
        <v>960</v>
      </c>
      <c r="H7" s="28"/>
      <c r="I7" s="28">
        <f>'[1]HT-ADMINISTRATIVOS'!H8</f>
        <v>0</v>
      </c>
      <c r="J7" s="28">
        <f>'[1]HT-ADMINISTRATIVOS'!J8</f>
        <v>688</v>
      </c>
      <c r="K7" s="28">
        <f>'[1]HT-ADMINISTRATIVOS'!I8</f>
        <v>0</v>
      </c>
      <c r="L7" s="28">
        <f>E7+F7+I7+J7+K7</f>
        <v>24240.959999999999</v>
      </c>
      <c r="M7" s="28">
        <f t="shared" ref="M7:M12" si="0">L7+G7</f>
        <v>25200.959999999999</v>
      </c>
      <c r="N7" s="28">
        <f>IF('[1]Calculo ISR '!$K$34&lt;0,0,'[1]Calculo ISR '!$K$34)</f>
        <v>5456.9699999999993</v>
      </c>
      <c r="O7" s="28">
        <f>E7*Q4</f>
        <v>1778.3556000000001</v>
      </c>
      <c r="P7" s="28"/>
      <c r="Q7" s="28">
        <f>'[1]HT-ADMINISTRATIVOS'!Q8</f>
        <v>0</v>
      </c>
      <c r="R7" s="28">
        <f>'[1]HT-ADMINISTRATIVOS'!R8</f>
        <v>0</v>
      </c>
      <c r="S7" s="28">
        <f>'[1]HT-ADMINISTRATIVOS'!S8</f>
        <v>0</v>
      </c>
      <c r="T7" s="28">
        <f>N7+O7+P7+Q7+R7+S7</f>
        <v>7235.3255999999992</v>
      </c>
      <c r="U7" s="28"/>
      <c r="V7" s="28">
        <f>M7-T7-W7</f>
        <v>17005.634399999999</v>
      </c>
      <c r="W7" s="28">
        <f>'[1]HT-ADMINISTRATIVOS'!W8</f>
        <v>960</v>
      </c>
      <c r="X7" s="29"/>
      <c r="AA7" s="31"/>
    </row>
    <row r="8" spans="1:27" s="136" customFormat="1" ht="45" customHeight="1">
      <c r="A8" s="32" t="s">
        <v>29</v>
      </c>
      <c r="B8" s="33" t="s">
        <v>30</v>
      </c>
      <c r="C8" s="34">
        <v>15</v>
      </c>
      <c r="D8" s="35">
        <v>754.53875970000001</v>
      </c>
      <c r="E8" s="36">
        <v>11318.081395499999</v>
      </c>
      <c r="F8" s="36"/>
      <c r="G8" s="36">
        <v>385.5</v>
      </c>
      <c r="H8" s="36">
        <v>1548.02</v>
      </c>
      <c r="I8" s="36">
        <f>'[1]HT-ADMINISTRATIVOS'!H10</f>
        <v>446</v>
      </c>
      <c r="J8" s="36">
        <f>'[1]HT-ADMINISTRATIVOS'!J10</f>
        <v>0</v>
      </c>
      <c r="K8" s="37">
        <f>E8*R4</f>
        <v>430.08709302899996</v>
      </c>
      <c r="L8" s="36">
        <f>E8+F8+I8+J8+K8</f>
        <v>12194.168488529</v>
      </c>
      <c r="M8" s="36">
        <f>L8+G8+H8</f>
        <v>14127.688488529</v>
      </c>
      <c r="N8" s="28">
        <f>IF('[1]Calculo ISR '!$L$34&lt;0,0,'[1]Calculo ISR '!$L$34)</f>
        <v>2099.3806365020209</v>
      </c>
      <c r="O8" s="38">
        <f>E8*Q4</f>
        <v>1188.3985465275</v>
      </c>
      <c r="P8" s="38"/>
      <c r="Q8" s="38">
        <f>'[1]HT-ADMINISTRATIVOS'!Q10</f>
        <v>0</v>
      </c>
      <c r="R8" s="38"/>
      <c r="S8" s="38">
        <f>'[1]HT-ADMINISTRATIVOS'!S10</f>
        <v>0</v>
      </c>
      <c r="T8" s="36">
        <f>N8+O8+P8+Q8+R8+S8</f>
        <v>3287.7791830295209</v>
      </c>
      <c r="U8" s="28">
        <f>IF('[1]Calculo ISR '!$L$34&gt;0,0,'[1]Calculo ISR '!$L$34)*-1</f>
        <v>0</v>
      </c>
      <c r="V8" s="36">
        <f>L8-T8+H8</f>
        <v>10454.409305499479</v>
      </c>
      <c r="W8" s="36">
        <f t="shared" ref="W8:W27" si="1">G8</f>
        <v>385.5</v>
      </c>
      <c r="X8" s="46"/>
      <c r="Y8" s="47"/>
    </row>
    <row r="9" spans="1:27" s="48" customFormat="1" ht="45" customHeight="1">
      <c r="A9" s="32" t="s">
        <v>31</v>
      </c>
      <c r="B9" s="43" t="s">
        <v>32</v>
      </c>
      <c r="C9" s="34">
        <v>15</v>
      </c>
      <c r="D9" s="35">
        <v>230.34834514817072</v>
      </c>
      <c r="E9" s="36">
        <v>3455.2251772225609</v>
      </c>
      <c r="F9" s="36"/>
      <c r="G9" s="36">
        <f>'[1]HT-ADMINISTRATIVOS'!G11</f>
        <v>385.5</v>
      </c>
      <c r="H9" s="36"/>
      <c r="I9" s="36">
        <f>'[1]HT-ADMINISTRATIVOS'!H11</f>
        <v>0</v>
      </c>
      <c r="J9" s="36">
        <f>'[1]HT-ADMINISTRATIVOS'!J11</f>
        <v>0</v>
      </c>
      <c r="K9" s="37">
        <f>E9*R4</f>
        <v>131.29855673445732</v>
      </c>
      <c r="L9" s="36">
        <f>E9+F9+I9+J9+K9</f>
        <v>3586.5237339570181</v>
      </c>
      <c r="M9" s="36">
        <f t="shared" si="0"/>
        <v>3972.0237339570181</v>
      </c>
      <c r="N9" s="28">
        <f>IF('[1]Calculo ISR '!$M$34&lt;0,0,'[1]Calculo ISR '!$M$34)</f>
        <v>178.73069425452351</v>
      </c>
      <c r="O9" s="38">
        <f>E9*Q4</f>
        <v>362.79864360836888</v>
      </c>
      <c r="P9" s="38">
        <v>959.26</v>
      </c>
      <c r="Q9" s="38">
        <f>'[1]HT-ADMINISTRATIVOS'!Q11</f>
        <v>0</v>
      </c>
      <c r="R9" s="38">
        <f>'[1]HT-ADMINISTRATIVOS'!R11</f>
        <v>0</v>
      </c>
      <c r="S9" s="38">
        <f>E9*P4</f>
        <v>34.55225177222561</v>
      </c>
      <c r="T9" s="36">
        <f>N9+O9+P9+Q9+R9+S9</f>
        <v>1535.341589635118</v>
      </c>
      <c r="U9" s="28">
        <f>IF('[1]Calculo ISR '!$M$34&gt;0,0,'[1]Calculo ISR '!$M$34)*-1</f>
        <v>0</v>
      </c>
      <c r="V9" s="36">
        <f t="shared" ref="V9:V15" si="2">L9-T9+U9</f>
        <v>2051.1821443219001</v>
      </c>
      <c r="W9" s="36">
        <f t="shared" si="1"/>
        <v>385.5</v>
      </c>
      <c r="X9" s="46"/>
      <c r="Y9" s="47"/>
    </row>
    <row r="10" spans="1:27" s="48" customFormat="1" ht="45" customHeight="1">
      <c r="A10" s="32" t="s">
        <v>33</v>
      </c>
      <c r="B10" s="45" t="s">
        <v>34</v>
      </c>
      <c r="C10" s="34">
        <v>15</v>
      </c>
      <c r="D10" s="35">
        <v>242.09274535320057</v>
      </c>
      <c r="E10" s="36">
        <v>3631.3911802980087</v>
      </c>
      <c r="F10" s="36"/>
      <c r="G10" s="36">
        <f>'[1]HT-ADMINISTRATIVOS'!G12</f>
        <v>385.5</v>
      </c>
      <c r="H10" s="36"/>
      <c r="I10" s="36">
        <f>'[1]HT-ADMINISTRATIVOS'!H12</f>
        <v>0</v>
      </c>
      <c r="J10" s="36">
        <f>'[1]HT-ADMINISTRATIVOS'!J12</f>
        <v>0</v>
      </c>
      <c r="K10" s="37">
        <f>E10*R4</f>
        <v>137.99286485132433</v>
      </c>
      <c r="L10" s="36">
        <f>E10+F10+J10+K10</f>
        <v>3769.3840451493329</v>
      </c>
      <c r="M10" s="36">
        <f t="shared" si="0"/>
        <v>4154.8840451493325</v>
      </c>
      <c r="N10" s="28">
        <f>IF('[1]Calculo ISR '!$N$34&lt;0,0,'[1]Calculo ISR '!$N$34)</f>
        <v>312.18984722389325</v>
      </c>
      <c r="O10" s="38">
        <f>E10*Q4</f>
        <v>381.29607393129089</v>
      </c>
      <c r="P10" s="38">
        <v>1077.99</v>
      </c>
      <c r="Q10" s="38">
        <f>'[1]HT-ADMINISTRATIVOS'!Q12</f>
        <v>0</v>
      </c>
      <c r="R10" s="38">
        <f>'[1]HT-ADMINISTRATIVOS'!R12</f>
        <v>0</v>
      </c>
      <c r="S10" s="38">
        <f>E10*P4</f>
        <v>36.313911802980087</v>
      </c>
      <c r="T10" s="36">
        <f t="shared" ref="T10:T31" si="3">N10+O10+P10+S10+Q10+R10</f>
        <v>1807.7898329581642</v>
      </c>
      <c r="U10" s="28">
        <f>IF('[1]Calculo ISR '!$N$34&gt;0,0,'[1]Calculo ISR '!$N$34)*-1</f>
        <v>0</v>
      </c>
      <c r="V10" s="36">
        <f t="shared" si="2"/>
        <v>1961.5942121911687</v>
      </c>
      <c r="W10" s="36">
        <f t="shared" si="1"/>
        <v>385.5</v>
      </c>
      <c r="X10" s="46"/>
      <c r="Y10" s="47"/>
    </row>
    <row r="11" spans="1:27" s="48" customFormat="1" ht="45" customHeight="1">
      <c r="A11" s="32" t="s">
        <v>35</v>
      </c>
      <c r="B11" s="43" t="s">
        <v>36</v>
      </c>
      <c r="C11" s="34">
        <v>15</v>
      </c>
      <c r="D11" s="35">
        <v>219.22891544903311</v>
      </c>
      <c r="E11" s="36">
        <v>3288.4337317354966</v>
      </c>
      <c r="F11" s="36"/>
      <c r="G11" s="36">
        <f>'[1]HT-ADMINISTRATIVOS'!G13</f>
        <v>385.5</v>
      </c>
      <c r="H11" s="36"/>
      <c r="I11" s="36">
        <f>'[1]HT-ADMINISTRATIVOS'!H13</f>
        <v>0</v>
      </c>
      <c r="J11" s="36">
        <f>'[1]HT-ADMINISTRATIVOS'!J13</f>
        <v>0</v>
      </c>
      <c r="K11" s="37">
        <f>E11*R4</f>
        <v>124.96048180594887</v>
      </c>
      <c r="L11" s="36">
        <f t="shared" ref="L11:L39" si="4">E11+F11+I11+J11+K11</f>
        <v>3413.3942135414454</v>
      </c>
      <c r="M11" s="36">
        <f t="shared" si="0"/>
        <v>3798.8942135414454</v>
      </c>
      <c r="N11" s="28">
        <f>IF('[1]Calculo ISR '!$O$34&lt;0,0,'[1]Calculo ISR '!$O$34)</f>
        <v>142.19420243330924</v>
      </c>
      <c r="O11" s="38">
        <f>E11*Q4</f>
        <v>345.28554183222712</v>
      </c>
      <c r="P11" s="38">
        <v>1462.22</v>
      </c>
      <c r="Q11" s="38">
        <f>'[1]HT-ADMINISTRATIVOS'!Q13</f>
        <v>0</v>
      </c>
      <c r="R11" s="38">
        <f>'[1]HT-ADMINISTRATIVOS'!R13</f>
        <v>0</v>
      </c>
      <c r="S11" s="38">
        <f>E11*P4</f>
        <v>32.884337317354969</v>
      </c>
      <c r="T11" s="36">
        <f t="shared" si="3"/>
        <v>1982.5840815828915</v>
      </c>
      <c r="U11" s="28">
        <f>IF('[1]Calculo ISR '!$O$34&gt;0,0,'[1]Calculo ISR '!$O$34)*-1</f>
        <v>0</v>
      </c>
      <c r="V11" s="36">
        <f t="shared" si="2"/>
        <v>1430.8101319585539</v>
      </c>
      <c r="W11" s="36">
        <f t="shared" si="1"/>
        <v>385.5</v>
      </c>
      <c r="X11" s="46"/>
      <c r="Y11" s="47"/>
    </row>
    <row r="12" spans="1:27" s="48" customFormat="1" ht="45" customHeight="1">
      <c r="A12" s="32" t="s">
        <v>37</v>
      </c>
      <c r="B12" s="43" t="s">
        <v>38</v>
      </c>
      <c r="C12" s="34">
        <v>15</v>
      </c>
      <c r="D12" s="49">
        <v>242.09274535320057</v>
      </c>
      <c r="E12" s="36">
        <v>3631.3911802980087</v>
      </c>
      <c r="F12" s="36"/>
      <c r="G12" s="36">
        <f>'[1]HT-ADMINISTRATIVOS'!G14</f>
        <v>385.5</v>
      </c>
      <c r="H12" s="36"/>
      <c r="I12" s="36">
        <f>'[1]HT-ADMINISTRATIVOS'!H14</f>
        <v>0</v>
      </c>
      <c r="J12" s="36">
        <f>'[1]HT-ADMINISTRATIVOS'!J14</f>
        <v>0</v>
      </c>
      <c r="K12" s="37">
        <f>E12*R4</f>
        <v>137.99286485132433</v>
      </c>
      <c r="L12" s="36">
        <f t="shared" si="4"/>
        <v>3769.3840451493329</v>
      </c>
      <c r="M12" s="36">
        <f t="shared" si="0"/>
        <v>4154.8840451493325</v>
      </c>
      <c r="N12" s="28">
        <f>IF('[1]Calculo ISR '!$P$34&lt;0,0,'[1]Calculo ISR '!$P$34)</f>
        <v>312.18984722389325</v>
      </c>
      <c r="O12" s="38">
        <f>E12*Q4</f>
        <v>381.29607393129089</v>
      </c>
      <c r="P12" s="38">
        <v>1170</v>
      </c>
      <c r="Q12" s="38">
        <f>'[1]HT-ADMINISTRATIVOS'!Q14</f>
        <v>0</v>
      </c>
      <c r="R12" s="38">
        <f>'[1]HT-ADMINISTRATIVOS'!R14</f>
        <v>0</v>
      </c>
      <c r="S12" s="38">
        <f>E12*P4</f>
        <v>36.313911802980087</v>
      </c>
      <c r="T12" s="36">
        <f t="shared" si="3"/>
        <v>1899.7998329581642</v>
      </c>
      <c r="U12" s="28">
        <f>IF('[1]Calculo ISR '!$P$34&gt;0,0,'[1]Calculo ISR '!$P$34)*-1</f>
        <v>0</v>
      </c>
      <c r="V12" s="36">
        <f t="shared" si="2"/>
        <v>1869.5842121911687</v>
      </c>
      <c r="W12" s="36">
        <f t="shared" si="1"/>
        <v>385.5</v>
      </c>
      <c r="X12" s="46"/>
      <c r="Y12" s="47"/>
    </row>
    <row r="13" spans="1:27" s="48" customFormat="1" ht="45" customHeight="1">
      <c r="A13" s="32" t="s">
        <v>39</v>
      </c>
      <c r="B13" s="43" t="s">
        <v>40</v>
      </c>
      <c r="C13" s="34">
        <v>15</v>
      </c>
      <c r="D13" s="50">
        <v>171.33947607512999</v>
      </c>
      <c r="E13" s="36">
        <v>2570.0921411269501</v>
      </c>
      <c r="F13" s="36"/>
      <c r="G13" s="36">
        <f>'[1]HT-ADMINISTRATIVOS'!G15</f>
        <v>385.5</v>
      </c>
      <c r="H13" s="36"/>
      <c r="I13" s="36">
        <f>'[1]HT-ADMINISTRATIVOS'!H15</f>
        <v>0</v>
      </c>
      <c r="J13" s="36">
        <f>'[1]HT-ADMINISTRATIVOS'!J15</f>
        <v>0</v>
      </c>
      <c r="K13" s="37">
        <f>E13*R4</f>
        <v>97.663501362824107</v>
      </c>
      <c r="L13" s="36">
        <f t="shared" si="4"/>
        <v>2667.7556424897743</v>
      </c>
      <c r="M13" s="36">
        <f>L13+G13+U13</f>
        <v>3053.2556424897743</v>
      </c>
      <c r="N13" s="28">
        <f>IF('[1]Calculo ISR '!$Q$34&lt;0,0,'[1]Calculo ISR '!$Q$34)</f>
        <v>40.818725902887451</v>
      </c>
      <c r="O13" s="38">
        <f>E13*Q4</f>
        <v>269.85967481832972</v>
      </c>
      <c r="P13" s="38">
        <v>584</v>
      </c>
      <c r="Q13" s="38">
        <f>'[1]HT-ADMINISTRATIVOS'!Q15</f>
        <v>0</v>
      </c>
      <c r="R13" s="38">
        <f>'[1]HT-ADMINISTRATIVOS'!R15</f>
        <v>0</v>
      </c>
      <c r="S13" s="38">
        <f>E13*P4</f>
        <v>25.700921411269501</v>
      </c>
      <c r="T13" s="36">
        <f t="shared" si="3"/>
        <v>920.37932213248666</v>
      </c>
      <c r="U13" s="28">
        <f>IF('[1]Calculo ISR '!$Q$34&gt;0,0,'[1]Calculo ISR '!$Q$34)</f>
        <v>0</v>
      </c>
      <c r="V13" s="36">
        <f t="shared" si="2"/>
        <v>1747.3763203572876</v>
      </c>
      <c r="W13" s="36">
        <f t="shared" si="1"/>
        <v>385.5</v>
      </c>
      <c r="X13" s="46"/>
      <c r="Y13" s="47"/>
    </row>
    <row r="14" spans="1:27" s="48" customFormat="1" ht="45" customHeight="1">
      <c r="A14" s="32" t="s">
        <v>41</v>
      </c>
      <c r="B14" s="43" t="s">
        <v>42</v>
      </c>
      <c r="C14" s="34">
        <v>15</v>
      </c>
      <c r="D14" s="50">
        <v>163.00161009000001</v>
      </c>
      <c r="E14" s="36">
        <v>2445.02415135</v>
      </c>
      <c r="F14" s="36"/>
      <c r="G14" s="36">
        <f>'[1]HT-ADMINISTRATIVOS'!G16</f>
        <v>385.5</v>
      </c>
      <c r="H14" s="36"/>
      <c r="I14" s="36">
        <f>'[1]HT-ADMINISTRATIVOS'!H16</f>
        <v>0</v>
      </c>
      <c r="J14" s="36">
        <f>'[1]HT-ADMINISTRATIVOS'!J16</f>
        <v>0</v>
      </c>
      <c r="K14" s="37">
        <f>E14*R4</f>
        <v>92.910917751300005</v>
      </c>
      <c r="L14" s="36">
        <f t="shared" si="4"/>
        <v>2537.9350691013001</v>
      </c>
      <c r="M14" s="36">
        <f>L14+G14+U14</f>
        <v>2923.4350691013001</v>
      </c>
      <c r="N14" s="28">
        <f>IF('[1]Calculo ISR '!$R$34&lt;0,0,'[1]Calculo ISR '!$R$34)</f>
        <v>11.694247518221431</v>
      </c>
      <c r="O14" s="38">
        <f>E14*Q4</f>
        <v>256.72753589174999</v>
      </c>
      <c r="P14" s="38">
        <v>625</v>
      </c>
      <c r="Q14" s="38">
        <f>'[1]HT-ADMINISTRATIVOS'!Q16</f>
        <v>0</v>
      </c>
      <c r="R14" s="38">
        <f>'[1]HT-ADMINISTRATIVOS'!R16</f>
        <v>0</v>
      </c>
      <c r="S14" s="38">
        <f>E14*P4</f>
        <v>24.4502415135</v>
      </c>
      <c r="T14" s="36">
        <f t="shared" si="3"/>
        <v>917.87202492347149</v>
      </c>
      <c r="U14" s="28">
        <f>IF('[1]Calculo ISR '!$R$34&gt;0,0,'[1]Calculo ISR '!$R$34)*-1</f>
        <v>0</v>
      </c>
      <c r="V14" s="36">
        <f t="shared" si="2"/>
        <v>1620.0630441778285</v>
      </c>
      <c r="W14" s="36">
        <f t="shared" si="1"/>
        <v>385.5</v>
      </c>
      <c r="X14" s="46"/>
      <c r="Y14" s="47"/>
    </row>
    <row r="15" spans="1:27" s="48" customFormat="1" ht="45" customHeight="1">
      <c r="A15" s="33" t="s">
        <v>43</v>
      </c>
      <c r="B15" s="43" t="s">
        <v>44</v>
      </c>
      <c r="C15" s="34">
        <v>15</v>
      </c>
      <c r="D15" s="50">
        <v>534.93837680832996</v>
      </c>
      <c r="E15" s="36">
        <v>8024.0756521249496</v>
      </c>
      <c r="F15" s="36"/>
      <c r="G15" s="36">
        <f>'[1]HT-ADMINISTRATIVOS'!G17</f>
        <v>385.5</v>
      </c>
      <c r="H15" s="36"/>
      <c r="I15" s="36">
        <f>'[1]HT-ADMINISTRATIVOS'!H17</f>
        <v>0</v>
      </c>
      <c r="J15" s="36">
        <f>'[1]HT-ADMINISTRATIVOS'!J17</f>
        <v>0</v>
      </c>
      <c r="K15" s="37">
        <f>E15*M4</f>
        <v>152.45743739037403</v>
      </c>
      <c r="L15" s="36">
        <f t="shared" si="4"/>
        <v>8176.5330895153238</v>
      </c>
      <c r="M15" s="36">
        <f>L15+G15</f>
        <v>8562.0330895153238</v>
      </c>
      <c r="N15" s="28">
        <f>IF('[1]Calculo ISR '!$S$34&lt;0,0,'[1]Calculo ISR '!$S$34)</f>
        <v>1199.3182919204733</v>
      </c>
      <c r="O15" s="38">
        <f>E15*Q4</f>
        <v>842.52794347311965</v>
      </c>
      <c r="P15" s="38">
        <v>2639</v>
      </c>
      <c r="Q15" s="38">
        <f>'[1]HT-ADMINISTRATIVOS'!Q17</f>
        <v>0</v>
      </c>
      <c r="R15" s="38">
        <f>'[1]HT-ADMINISTRATIVOS'!R17</f>
        <v>0</v>
      </c>
      <c r="S15" s="38">
        <f>'[1]HT-ADMINISTRATIVOS'!S17</f>
        <v>0</v>
      </c>
      <c r="T15" s="36">
        <f t="shared" si="3"/>
        <v>4680.8462353935929</v>
      </c>
      <c r="U15" s="28">
        <f>IF('[1]Calculo ISR '!$S$34&gt;0,0,'[1]Calculo ISR '!$S$34)*-1</f>
        <v>0</v>
      </c>
      <c r="V15" s="36">
        <f t="shared" si="2"/>
        <v>3495.6868541217309</v>
      </c>
      <c r="W15" s="36">
        <f t="shared" si="1"/>
        <v>385.5</v>
      </c>
      <c r="X15" s="51"/>
      <c r="Y15" s="52"/>
    </row>
    <row r="16" spans="1:27" s="48" customFormat="1" ht="45" customHeight="1">
      <c r="A16" s="33" t="s">
        <v>45</v>
      </c>
      <c r="B16" s="43" t="s">
        <v>46</v>
      </c>
      <c r="C16" s="34">
        <v>15</v>
      </c>
      <c r="D16" s="50">
        <v>267.35834171124986</v>
      </c>
      <c r="E16" s="36">
        <v>4010.3751256687478</v>
      </c>
      <c r="F16" s="36"/>
      <c r="G16" s="36">
        <v>385.5</v>
      </c>
      <c r="H16" s="36"/>
      <c r="I16" s="36">
        <f>'[1]HT-ADMINISTRATIVOS'!H18</f>
        <v>0</v>
      </c>
      <c r="J16" s="36">
        <f>'[1]HT-ADMINISTRATIVOS'!J18</f>
        <v>0</v>
      </c>
      <c r="K16" s="37">
        <f>E16*M4</f>
        <v>76.197127387706203</v>
      </c>
      <c r="L16" s="36">
        <f t="shared" si="4"/>
        <v>4086.572253056454</v>
      </c>
      <c r="M16" s="36">
        <f>L16+G16</f>
        <v>4472.0722530564544</v>
      </c>
      <c r="N16" s="28">
        <f>IF('[1]Calculo ISR '!$T$34&lt;0,0,'[1]Calculo ISR '!$T$34)</f>
        <v>362.93996048903261</v>
      </c>
      <c r="O16" s="38">
        <f>E16*Q4</f>
        <v>421.08938819521853</v>
      </c>
      <c r="P16" s="38">
        <v>1867.49</v>
      </c>
      <c r="Q16" s="38"/>
      <c r="R16" s="38"/>
      <c r="S16" s="38">
        <f>E16*P4</f>
        <v>40.103751256687481</v>
      </c>
      <c r="T16" s="36">
        <f>N16+O16+P16+R16+S16+Q16</f>
        <v>2691.6230999409386</v>
      </c>
      <c r="U16" s="28">
        <f>IF('[1]Calculo ISR '!$T$34&gt;0,0,'[1]Calculo ISR '!$T$34)*-1</f>
        <v>0</v>
      </c>
      <c r="V16" s="36">
        <f>L16-T16</f>
        <v>1394.9491531155154</v>
      </c>
      <c r="W16" s="36">
        <f t="shared" si="1"/>
        <v>385.5</v>
      </c>
      <c r="X16" s="51"/>
      <c r="Y16" s="52"/>
    </row>
    <row r="17" spans="1:25" s="48" customFormat="1" ht="45" customHeight="1">
      <c r="A17" s="33" t="s">
        <v>47</v>
      </c>
      <c r="B17" s="43" t="s">
        <v>48</v>
      </c>
      <c r="C17" s="34">
        <v>15</v>
      </c>
      <c r="D17" s="50">
        <v>230.34834514817072</v>
      </c>
      <c r="E17" s="36">
        <v>3455.2251772225609</v>
      </c>
      <c r="F17" s="36"/>
      <c r="G17" s="36">
        <f>'[1]HT-ADMINISTRATIVOS'!G19</f>
        <v>385.5</v>
      </c>
      <c r="H17" s="36"/>
      <c r="I17" s="36">
        <f>'[1]HT-ADMINISTRATIVOS'!H19</f>
        <v>446</v>
      </c>
      <c r="J17" s="36">
        <f>'[1]HT-ADMINISTRATIVOS'!J19</f>
        <v>0</v>
      </c>
      <c r="K17" s="37">
        <f>E17*M4</f>
        <v>65.649278367228661</v>
      </c>
      <c r="L17" s="36">
        <f t="shared" si="4"/>
        <v>3966.8744555897897</v>
      </c>
      <c r="M17" s="36">
        <f>L17+G17</f>
        <v>4352.3744555897902</v>
      </c>
      <c r="N17" s="28">
        <f>IF('[1]Calculo ISR '!$U$34&lt;0,0,'[1]Calculo ISR '!$U$34)</f>
        <v>343.7883128943663</v>
      </c>
      <c r="O17" s="38">
        <f>E17*Q4</f>
        <v>362.79864360836888</v>
      </c>
      <c r="P17" s="38">
        <v>1715.6</v>
      </c>
      <c r="Q17" s="38">
        <f>'[1]HT-ADMINISTRATIVOS'!Q19</f>
        <v>0</v>
      </c>
      <c r="R17" s="38">
        <f>'[1]HT-ADMINISTRATIVOS'!R19</f>
        <v>0</v>
      </c>
      <c r="S17" s="38">
        <f>E17*P4</f>
        <v>34.55225177222561</v>
      </c>
      <c r="T17" s="36">
        <f t="shared" si="3"/>
        <v>2456.7392082749607</v>
      </c>
      <c r="U17" s="28">
        <f>IF('[1]Calculo ISR '!$U$34&gt;0,0,'[1]Calculo ISR '!$U$34)*-1</f>
        <v>0</v>
      </c>
      <c r="V17" s="36">
        <f t="shared" ref="V17:V32" si="5">L17-T17+U17</f>
        <v>1510.135247314829</v>
      </c>
      <c r="W17" s="36">
        <f t="shared" si="1"/>
        <v>385.5</v>
      </c>
      <c r="X17" s="51"/>
      <c r="Y17" s="52"/>
    </row>
    <row r="18" spans="1:25" s="48" customFormat="1" ht="45" customHeight="1">
      <c r="A18" s="33" t="s">
        <v>49</v>
      </c>
      <c r="B18" s="43" t="s">
        <v>50</v>
      </c>
      <c r="C18" s="34">
        <v>15</v>
      </c>
      <c r="D18" s="50">
        <v>873.012693639492</v>
      </c>
      <c r="E18" s="36">
        <v>13095.19040459238</v>
      </c>
      <c r="F18" s="36"/>
      <c r="G18" s="36">
        <f>'[1]HT-ADMINISTRATIVOS'!G20</f>
        <v>385.5</v>
      </c>
      <c r="H18" s="36"/>
      <c r="I18" s="36">
        <f>'[1]HT-ADMINISTRATIVOS'!H20</f>
        <v>0</v>
      </c>
      <c r="J18" s="36">
        <f>'[1]HT-ADMINISTRATIVOS'!J20</f>
        <v>0</v>
      </c>
      <c r="K18" s="37">
        <f>E18*M4</f>
        <v>248.80861768725521</v>
      </c>
      <c r="L18" s="36">
        <f t="shared" si="4"/>
        <v>13343.999022279635</v>
      </c>
      <c r="M18" s="36">
        <f>L18+G18</f>
        <v>13729.499022279635</v>
      </c>
      <c r="N18" s="28">
        <f>IF('[1]Calculo ISR '!$V$34&lt;0,0,'[1]Calculo ISR '!$V$34)</f>
        <v>2369.8207780401704</v>
      </c>
      <c r="O18" s="38">
        <f>E18*Q4</f>
        <v>1374.9949924821999</v>
      </c>
      <c r="P18" s="38">
        <f>'[1]HT-ADMINISTRATIVOS'!P20</f>
        <v>0</v>
      </c>
      <c r="Q18" s="38">
        <f>'[1]HT-ADMINISTRATIVOS'!Q20</f>
        <v>0</v>
      </c>
      <c r="R18" s="38">
        <f>'[1]HT-ADMINISTRATIVOS'!R20</f>
        <v>0</v>
      </c>
      <c r="S18" s="38">
        <f>'[1]HT-ADMINISTRATIVOS'!S20</f>
        <v>0</v>
      </c>
      <c r="T18" s="36">
        <f t="shared" si="3"/>
        <v>3744.8157705223703</v>
      </c>
      <c r="U18" s="28">
        <f>IF('[1]Calculo ISR '!$V$34&gt;0,0,'[1]Calculo ISR '!$V$34)*-1</f>
        <v>0</v>
      </c>
      <c r="V18" s="36">
        <f t="shared" si="5"/>
        <v>9599.1832517572657</v>
      </c>
      <c r="W18" s="36">
        <f t="shared" si="1"/>
        <v>385.5</v>
      </c>
      <c r="X18" s="46"/>
      <c r="Y18" s="47"/>
    </row>
    <row r="19" spans="1:25" s="48" customFormat="1" ht="45" customHeight="1">
      <c r="A19" s="53" t="s">
        <v>51</v>
      </c>
      <c r="B19" s="53" t="s">
        <v>52</v>
      </c>
      <c r="C19" s="34">
        <v>15</v>
      </c>
      <c r="D19" s="50">
        <v>219.22891544903311</v>
      </c>
      <c r="E19" s="36">
        <v>3288.4337317354966</v>
      </c>
      <c r="F19" s="36"/>
      <c r="G19" s="36">
        <f>'[1]HT-ADMINISTRATIVOS'!G21</f>
        <v>385.5</v>
      </c>
      <c r="H19" s="36"/>
      <c r="I19" s="36">
        <f>'[1]HT-ADMINISTRATIVOS'!H21</f>
        <v>0</v>
      </c>
      <c r="J19" s="36">
        <f>'[1]HT-ADMINISTRATIVOS'!J21</f>
        <v>0</v>
      </c>
      <c r="K19" s="37">
        <f>'[1]HT-ADMINISTRATIVOS'!I21</f>
        <v>0</v>
      </c>
      <c r="L19" s="36">
        <f t="shared" si="4"/>
        <v>3288.4337317354966</v>
      </c>
      <c r="M19" s="36">
        <f>L19+G19</f>
        <v>3673.9337317354966</v>
      </c>
      <c r="N19" s="28">
        <f>IF('[1]Calculo ISR '!$W$34&lt;0,0,'[1]Calculo ISR '!$W$34)</f>
        <v>128.59850201282202</v>
      </c>
      <c r="O19" s="38">
        <f>E19*Q4</f>
        <v>345.28554183222712</v>
      </c>
      <c r="P19" s="38">
        <v>1357.77</v>
      </c>
      <c r="Q19" s="38">
        <f>'[1]HT-ADMINISTRATIVOS'!Q21</f>
        <v>0</v>
      </c>
      <c r="R19" s="38">
        <f>'[1]HT-ADMINISTRATIVOS'!R21</f>
        <v>0</v>
      </c>
      <c r="S19" s="38">
        <f>E19*P4</f>
        <v>32.884337317354969</v>
      </c>
      <c r="T19" s="36">
        <f t="shared" si="3"/>
        <v>1864.5383811624042</v>
      </c>
      <c r="U19" s="28">
        <f>IF('[1]Calculo ISR '!$W$34&gt;0,0,'[1]Calculo ISR '!$W$34)*-1</f>
        <v>0</v>
      </c>
      <c r="V19" s="36">
        <f t="shared" si="5"/>
        <v>1423.8953505730924</v>
      </c>
      <c r="W19" s="36">
        <f t="shared" si="1"/>
        <v>385.5</v>
      </c>
      <c r="X19" s="46"/>
      <c r="Y19" s="47"/>
    </row>
    <row r="20" spans="1:25" s="48" customFormat="1" ht="45" customHeight="1">
      <c r="A20" s="53" t="s">
        <v>53</v>
      </c>
      <c r="B20" s="53" t="s">
        <v>54</v>
      </c>
      <c r="C20" s="34">
        <v>15</v>
      </c>
      <c r="D20" s="50">
        <v>148.1300975275</v>
      </c>
      <c r="E20" s="36">
        <v>2221.9514629125001</v>
      </c>
      <c r="F20" s="36"/>
      <c r="G20" s="36">
        <f>'[1]HT-ADMINISTRATIVOS'!G22</f>
        <v>385.5</v>
      </c>
      <c r="H20" s="36"/>
      <c r="I20" s="36">
        <f>'[1]HT-ADMINISTRATIVOS'!H22</f>
        <v>0</v>
      </c>
      <c r="J20" s="36">
        <f>'[1]HT-ADMINISTRATIVOS'!J22</f>
        <v>0</v>
      </c>
      <c r="K20" s="37">
        <f>'[1]HT-ADMINISTRATIVOS'!I22</f>
        <v>0</v>
      </c>
      <c r="L20" s="36">
        <f t="shared" si="4"/>
        <v>2221.9514629125001</v>
      </c>
      <c r="M20" s="36">
        <f>L20+G20+U20</f>
        <v>2644.5362317476201</v>
      </c>
      <c r="N20" s="28">
        <f>IF('[1]Calculo ISR '!$X$34&lt;0,0,'[1]Calculo ISR '!$X$34)</f>
        <v>0</v>
      </c>
      <c r="O20" s="38">
        <f>E20*Q4</f>
        <v>233.30490360581251</v>
      </c>
      <c r="P20" s="38">
        <v>741</v>
      </c>
      <c r="Q20" s="38">
        <f>'[1]HT-ADMINISTRATIVOS'!Q22</f>
        <v>0</v>
      </c>
      <c r="R20" s="38">
        <f>'[1]HT-ADMINISTRATIVOS'!R22</f>
        <v>0</v>
      </c>
      <c r="S20" s="38">
        <f>E20*P4</f>
        <v>22.219514629125001</v>
      </c>
      <c r="T20" s="36">
        <f t="shared" si="3"/>
        <v>996.52441823493757</v>
      </c>
      <c r="U20" s="28">
        <f>IF('[1]Calculo ISR '!$X$34&gt;0,0,('[1]Calculo ISR '!$X$34)*-1)</f>
        <v>37.084768835120002</v>
      </c>
      <c r="V20" s="36">
        <f t="shared" si="5"/>
        <v>1262.5118135126827</v>
      </c>
      <c r="W20" s="36">
        <f t="shared" si="1"/>
        <v>385.5</v>
      </c>
      <c r="X20" s="46"/>
      <c r="Y20" s="47"/>
    </row>
    <row r="21" spans="1:25" s="48" customFormat="1" ht="45" customHeight="1">
      <c r="A21" s="53" t="s">
        <v>55</v>
      </c>
      <c r="B21" s="53" t="s">
        <v>56</v>
      </c>
      <c r="C21" s="34">
        <v>15</v>
      </c>
      <c r="D21" s="50">
        <v>148.19297316999999</v>
      </c>
      <c r="E21" s="36">
        <v>2222.8945975499996</v>
      </c>
      <c r="F21" s="36"/>
      <c r="G21" s="36">
        <f>'[1]HT-ADMINISTRATIVOS'!G23</f>
        <v>385.5</v>
      </c>
      <c r="H21" s="36"/>
      <c r="I21" s="36">
        <f>'[1]HT-ADMINISTRATIVOS'!H23</f>
        <v>446</v>
      </c>
      <c r="J21" s="36">
        <f>'[1]HT-ADMINISTRATIVOS'!J23</f>
        <v>0</v>
      </c>
      <c r="K21" s="37">
        <f>'[1]HT-ADMINISTRATIVOS'!I23</f>
        <v>0</v>
      </c>
      <c r="L21" s="36">
        <f t="shared" si="4"/>
        <v>2668.8945975499996</v>
      </c>
      <c r="M21" s="36">
        <f>L21+G21+U21</f>
        <v>3054.3945975499996</v>
      </c>
      <c r="N21" s="28">
        <f>IF('[1]Calculo ISR '!$Y$34&lt;0,0,'[1]Calculo ISR '!$Y$34)</f>
        <v>40.942644213439934</v>
      </c>
      <c r="O21" s="38">
        <f>E21*Q4</f>
        <v>233.40393274274996</v>
      </c>
      <c r="P21" s="38">
        <v>851.76</v>
      </c>
      <c r="Q21" s="38">
        <f>'[1]HT-ADMINISTRATIVOS'!Q23</f>
        <v>0</v>
      </c>
      <c r="R21" s="38">
        <f>'[1]HT-ADMINISTRATIVOS'!R23</f>
        <v>0</v>
      </c>
      <c r="S21" s="38">
        <f>E21*P4</f>
        <v>22.228945975499997</v>
      </c>
      <c r="T21" s="36">
        <f t="shared" si="3"/>
        <v>1148.3355229316899</v>
      </c>
      <c r="U21" s="28">
        <f>IF('[1]Calculo ISR '!$Y$34&gt;0,0,'[1]Calculo ISR '!$Y$34)*-1</f>
        <v>0</v>
      </c>
      <c r="V21" s="36">
        <f t="shared" si="5"/>
        <v>1520.5590746183098</v>
      </c>
      <c r="W21" s="36">
        <f t="shared" si="1"/>
        <v>385.5</v>
      </c>
      <c r="X21" s="46"/>
      <c r="Y21" s="47"/>
    </row>
    <row r="22" spans="1:25" s="48" customFormat="1" ht="45" customHeight="1">
      <c r="A22" s="53" t="s">
        <v>57</v>
      </c>
      <c r="B22" s="53" t="s">
        <v>58</v>
      </c>
      <c r="C22" s="34">
        <v>15</v>
      </c>
      <c r="D22" s="50">
        <v>198.84487564290151</v>
      </c>
      <c r="E22" s="36">
        <v>2982.6731346435226</v>
      </c>
      <c r="F22" s="43"/>
      <c r="G22" s="36">
        <f>'[1]HT-ADMINISTRATIVOS'!G26</f>
        <v>385.5</v>
      </c>
      <c r="H22" s="36"/>
      <c r="I22" s="36">
        <f>'[1]HT-ADMINISTRATIVOS'!H26</f>
        <v>0</v>
      </c>
      <c r="J22" s="36">
        <f>'[1]HT-ADMINISTRATIVOS'!J26</f>
        <v>0</v>
      </c>
      <c r="K22" s="37">
        <f>'[1]HT-ADMINISTRATIVOS'!I26</f>
        <v>0</v>
      </c>
      <c r="L22" s="36">
        <f t="shared" si="4"/>
        <v>2982.6731346435226</v>
      </c>
      <c r="M22" s="36">
        <f>L22+G22</f>
        <v>3368.1731346435226</v>
      </c>
      <c r="N22" s="28">
        <f>IF('[1]Calculo ISR '!$Z$34&lt;0,0,'[1]Calculo ISR '!$Z$34)</f>
        <v>75.081749049215233</v>
      </c>
      <c r="O22" s="38">
        <f>E22*Q4</f>
        <v>313.18067913756988</v>
      </c>
      <c r="P22" s="38">
        <v>829</v>
      </c>
      <c r="Q22" s="38">
        <f>'[1]HT-ADMINISTRATIVOS'!Q26</f>
        <v>0</v>
      </c>
      <c r="R22" s="38">
        <f>'[1]HT-ADMINISTRATIVOS'!R26</f>
        <v>0</v>
      </c>
      <c r="S22" s="38">
        <f>E22*P4</f>
        <v>29.826731346435228</v>
      </c>
      <c r="T22" s="36">
        <f t="shared" si="3"/>
        <v>1247.0891595332205</v>
      </c>
      <c r="U22" s="28">
        <f>IF('[1]Calculo ISR '!$Z$34&gt;0,0,'[1]Calculo ISR '!$Z$34)*-1</f>
        <v>0</v>
      </c>
      <c r="V22" s="36">
        <f t="shared" si="5"/>
        <v>1735.5839751103022</v>
      </c>
      <c r="W22" s="36">
        <f t="shared" si="1"/>
        <v>385.5</v>
      </c>
      <c r="X22" s="46"/>
      <c r="Y22" s="47"/>
    </row>
    <row r="23" spans="1:25" s="48" customFormat="1" ht="45" customHeight="1">
      <c r="A23" s="53" t="s">
        <v>59</v>
      </c>
      <c r="B23" s="53" t="s">
        <v>60</v>
      </c>
      <c r="C23" s="34">
        <v>15</v>
      </c>
      <c r="D23" s="50">
        <v>198.84487558991</v>
      </c>
      <c r="E23" s="36">
        <v>2982.6731338486502</v>
      </c>
      <c r="F23" s="43"/>
      <c r="G23" s="36">
        <f>'[1]HT-ADMINISTRATIVOS'!G27</f>
        <v>385.5</v>
      </c>
      <c r="H23" s="36"/>
      <c r="I23" s="36">
        <f>'[1]HT-ADMINISTRATIVOS'!H27</f>
        <v>0</v>
      </c>
      <c r="J23" s="36">
        <f>'[1]HT-ADMINISTRATIVOS'!J27</f>
        <v>0</v>
      </c>
      <c r="K23" s="37">
        <f>'[1]HT-ADMINISTRATIVOS'!I27</f>
        <v>0</v>
      </c>
      <c r="L23" s="36">
        <f t="shared" si="4"/>
        <v>2982.6731338486502</v>
      </c>
      <c r="M23" s="36">
        <f>L23+G23</f>
        <v>3368.1731338486502</v>
      </c>
      <c r="N23" s="28">
        <f>IF('[1]Calculo ISR '!$AA$34&lt;0,0,'[1]Calculo ISR '!$AA$34)</f>
        <v>75.081748962733116</v>
      </c>
      <c r="O23" s="38">
        <f>E23*Q4</f>
        <v>313.18067905410828</v>
      </c>
      <c r="P23" s="38">
        <f>'[1]HT-ADMINISTRATIVOS'!P27</f>
        <v>0</v>
      </c>
      <c r="Q23" s="38">
        <f>'[1]HT-ADMINISTRATIVOS'!Q27</f>
        <v>0</v>
      </c>
      <c r="R23" s="38">
        <f>'[1]HT-ADMINISTRATIVOS'!R27</f>
        <v>0</v>
      </c>
      <c r="S23" s="38">
        <f>E23*P4</f>
        <v>29.826731338486503</v>
      </c>
      <c r="T23" s="36">
        <f t="shared" si="3"/>
        <v>418.08915935532792</v>
      </c>
      <c r="U23" s="28">
        <f>IF('[1]Calculo ISR '!$AA$34&gt;0,0,'[1]Calculo ISR '!$AA$34)*-1</f>
        <v>0</v>
      </c>
      <c r="V23" s="36">
        <f t="shared" si="5"/>
        <v>2564.5839744933223</v>
      </c>
      <c r="W23" s="36">
        <f t="shared" si="1"/>
        <v>385.5</v>
      </c>
      <c r="X23" s="46"/>
      <c r="Y23" s="47"/>
    </row>
    <row r="24" spans="1:25" s="48" customFormat="1" ht="45" customHeight="1">
      <c r="A24" s="54" t="s">
        <v>61</v>
      </c>
      <c r="B24" s="55" t="s">
        <v>62</v>
      </c>
      <c r="C24" s="34">
        <v>15</v>
      </c>
      <c r="D24" s="50">
        <v>198.84487558991</v>
      </c>
      <c r="E24" s="36">
        <v>2982.6731338486502</v>
      </c>
      <c r="F24" s="43"/>
      <c r="G24" s="36">
        <f>'[1]HT-ADMINISTRATIVOS'!G28</f>
        <v>385.5</v>
      </c>
      <c r="H24" s="36"/>
      <c r="I24" s="36">
        <f>'[1]HT-ADMINISTRATIVOS'!H28</f>
        <v>446</v>
      </c>
      <c r="J24" s="36">
        <f>'[1]HT-ADMINISTRATIVOS'!J28</f>
        <v>0</v>
      </c>
      <c r="K24" s="37">
        <f>'[1]HT-ADMINISTRATIVOS'!I28</f>
        <v>0</v>
      </c>
      <c r="L24" s="36">
        <f t="shared" si="4"/>
        <v>3428.6731338486502</v>
      </c>
      <c r="M24" s="36">
        <f>L24+G24</f>
        <v>3814.1731338486502</v>
      </c>
      <c r="N24" s="28">
        <f>IF('[1]Calculo ISR '!$AB$34&lt;0,0,'[1]Calculo ISR '!$AB$34)</f>
        <v>143.85654896273311</v>
      </c>
      <c r="O24" s="38">
        <f>E24*Q4</f>
        <v>313.18067905410828</v>
      </c>
      <c r="P24" s="38">
        <v>215.8</v>
      </c>
      <c r="Q24" s="38">
        <f>'[1]HT-ADMINISTRATIVOS'!Q28</f>
        <v>0</v>
      </c>
      <c r="R24" s="38">
        <f>'[1]HT-ADMINISTRATIVOS'!R28</f>
        <v>0</v>
      </c>
      <c r="S24" s="38">
        <f>E24*P4</f>
        <v>29.826731338486503</v>
      </c>
      <c r="T24" s="36">
        <f t="shared" si="3"/>
        <v>702.66395935532796</v>
      </c>
      <c r="U24" s="28">
        <f>IF('[1]Calculo ISR '!$AB$34&gt;0,0,'[1]Calculo ISR '!$AB$34)*-1</f>
        <v>0</v>
      </c>
      <c r="V24" s="36">
        <f t="shared" si="5"/>
        <v>2726.0091744933225</v>
      </c>
      <c r="W24" s="36">
        <f t="shared" si="1"/>
        <v>385.5</v>
      </c>
      <c r="X24" s="46"/>
      <c r="Y24" s="47"/>
    </row>
    <row r="25" spans="1:25" s="48" customFormat="1" ht="45" customHeight="1">
      <c r="A25" s="54" t="s">
        <v>63</v>
      </c>
      <c r="B25" s="55" t="s">
        <v>64</v>
      </c>
      <c r="C25" s="34">
        <v>15</v>
      </c>
      <c r="D25" s="50">
        <v>180.11154727500002</v>
      </c>
      <c r="E25" s="36">
        <v>2701.6732091250005</v>
      </c>
      <c r="F25" s="43"/>
      <c r="G25" s="36">
        <f>'[1]HT-ADMINISTRATIVOS'!G29</f>
        <v>385.5</v>
      </c>
      <c r="H25" s="36"/>
      <c r="I25" s="36">
        <f>'[1]HT-ADMINISTRATIVOS'!H29</f>
        <v>892</v>
      </c>
      <c r="J25" s="36">
        <f>'[1]HT-ADMINISTRATIVOS'!J29</f>
        <v>0</v>
      </c>
      <c r="K25" s="37">
        <f>'[1]HT-ADMINISTRATIVOS'!I29</f>
        <v>0</v>
      </c>
      <c r="L25" s="36">
        <f t="shared" si="4"/>
        <v>3593.6732091250005</v>
      </c>
      <c r="M25" s="36">
        <f>L25+G25</f>
        <v>3979.1732091250005</v>
      </c>
      <c r="N25" s="28">
        <f>IF('[1]Calculo ISR '!$AC$34&lt;0,0,'[1]Calculo ISR '!$AC$34)</f>
        <v>179.50855715280002</v>
      </c>
      <c r="O25" s="38">
        <f>E25*Q4</f>
        <v>283.67568695812503</v>
      </c>
      <c r="P25" s="38">
        <f>'[1]HT-ADMINISTRATIVOS'!P29</f>
        <v>581</v>
      </c>
      <c r="Q25" s="38">
        <f>'[1]HT-ADMINISTRATIVOS'!Q29</f>
        <v>0</v>
      </c>
      <c r="R25" s="38">
        <f>'[1]HT-ADMINISTRATIVOS'!R29</f>
        <v>0</v>
      </c>
      <c r="S25" s="38">
        <f>E25*P4</f>
        <v>27.016732091250006</v>
      </c>
      <c r="T25" s="36">
        <f t="shared" si="3"/>
        <v>1071.2009762021753</v>
      </c>
      <c r="U25" s="28">
        <f>IF('[1]Calculo ISR '!$AC$34&gt;0,0,'[1]Calculo ISR '!$AC$34)*-1</f>
        <v>0</v>
      </c>
      <c r="V25" s="36">
        <f t="shared" si="5"/>
        <v>2522.4722329228252</v>
      </c>
      <c r="W25" s="36">
        <f t="shared" si="1"/>
        <v>385.5</v>
      </c>
      <c r="X25" s="46"/>
      <c r="Y25" s="47"/>
    </row>
    <row r="26" spans="1:25" s="48" customFormat="1" ht="45" customHeight="1">
      <c r="A26" s="56" t="s">
        <v>65</v>
      </c>
      <c r="B26" s="55" t="s">
        <v>66</v>
      </c>
      <c r="C26" s="34">
        <v>15</v>
      </c>
      <c r="D26" s="50">
        <v>141.57938707</v>
      </c>
      <c r="E26" s="36">
        <v>2123.69080605</v>
      </c>
      <c r="F26" s="43"/>
      <c r="G26" s="36">
        <f>'[1]HT-ADMINISTRATIVOS'!G31</f>
        <v>385.5</v>
      </c>
      <c r="H26" s="36"/>
      <c r="I26" s="36">
        <f>'[1]HT-ADMINISTRATIVOS'!H31</f>
        <v>446</v>
      </c>
      <c r="J26" s="36">
        <f>'[1]HT-ADMINISTRATIVOS'!J31</f>
        <v>0</v>
      </c>
      <c r="K26" s="37">
        <f>'[1]HT-ADMINISTRATIVOS'!I31</f>
        <v>0</v>
      </c>
      <c r="L26" s="36">
        <f t="shared" si="4"/>
        <v>2569.69080605</v>
      </c>
      <c r="M26" s="36">
        <f>L26+G26+U26</f>
        <v>2955.19080605</v>
      </c>
      <c r="N26" s="28">
        <f>IF('[1]Calculo ISR '!$AD$34&lt;0,0,'[1]Calculo ISR '!$AD$34)</f>
        <v>15.149271698239971</v>
      </c>
      <c r="O26" s="38">
        <f>E26*Q4</f>
        <v>222.98753463525</v>
      </c>
      <c r="P26" s="38">
        <f>'[1]HT-ADMINISTRATIVOS'!P31</f>
        <v>0</v>
      </c>
      <c r="Q26" s="38">
        <f>'[1]HT-ADMINISTRATIVOS'!Q31</f>
        <v>0</v>
      </c>
      <c r="R26" s="38">
        <f>'[1]HT-ADMINISTRATIVOS'!R31</f>
        <v>0</v>
      </c>
      <c r="S26" s="38">
        <f>E26*P4</f>
        <v>21.236908060499999</v>
      </c>
      <c r="T26" s="36">
        <f t="shared" si="3"/>
        <v>259.37371439398999</v>
      </c>
      <c r="U26" s="28">
        <f>IF('[1]Calculo ISR '!$AD$34&gt;0,0,'[1]Calculo ISR '!$AD$34)*-1</f>
        <v>0</v>
      </c>
      <c r="V26" s="36">
        <f t="shared" si="5"/>
        <v>2310.3170916560102</v>
      </c>
      <c r="W26" s="36">
        <f t="shared" si="1"/>
        <v>385.5</v>
      </c>
      <c r="X26" s="46"/>
      <c r="Y26" s="47"/>
    </row>
    <row r="27" spans="1:25" s="48" customFormat="1" ht="45" customHeight="1">
      <c r="A27" s="56" t="s">
        <v>67</v>
      </c>
      <c r="B27" s="57" t="s">
        <v>68</v>
      </c>
      <c r="C27" s="34">
        <v>15</v>
      </c>
      <c r="D27" s="50">
        <v>534.93837680832996</v>
      </c>
      <c r="E27" s="36">
        <v>8024.0756521249496</v>
      </c>
      <c r="F27" s="43"/>
      <c r="G27" s="36">
        <f>'[1]HT-ADMINISTRATIVOS'!G32</f>
        <v>385.5</v>
      </c>
      <c r="H27" s="36"/>
      <c r="I27" s="36">
        <f>'[1]HT-ADMINISTRATIVOS'!H32</f>
        <v>0</v>
      </c>
      <c r="J27" s="36">
        <f>'[1]HT-ADMINISTRATIVOS'!J32</f>
        <v>0</v>
      </c>
      <c r="K27" s="37">
        <f>E27*M4</f>
        <v>152.45743739037403</v>
      </c>
      <c r="L27" s="36">
        <f t="shared" si="4"/>
        <v>8176.5330895153238</v>
      </c>
      <c r="M27" s="36">
        <f>L27+G27</f>
        <v>8562.0330895153238</v>
      </c>
      <c r="N27" s="28">
        <f>IF('[1]Calculo ISR '!$AE$34&lt;0,0,'[1]Calculo ISR '!$AE$34)</f>
        <v>1199.3182919204733</v>
      </c>
      <c r="O27" s="38">
        <f>E27*Q4</f>
        <v>842.52794347311965</v>
      </c>
      <c r="P27" s="38">
        <v>2150.31</v>
      </c>
      <c r="Q27" s="38">
        <f>'[1]HT-ADMINISTRATIVOS'!Q32</f>
        <v>0</v>
      </c>
      <c r="R27" s="38">
        <f>'[1]HT-ADMINISTRATIVOS'!R32</f>
        <v>0</v>
      </c>
      <c r="S27" s="38">
        <f>'[1]HT-ADMINISTRATIVOS'!S32</f>
        <v>0</v>
      </c>
      <c r="T27" s="36">
        <f t="shared" si="3"/>
        <v>4192.1562353935933</v>
      </c>
      <c r="U27" s="28">
        <f>IF('[1]Calculo ISR '!$AE$34&gt;0,0,'[1]Calculo ISR '!$AE$34)*-1</f>
        <v>0</v>
      </c>
      <c r="V27" s="36">
        <f t="shared" si="5"/>
        <v>3984.3768541217305</v>
      </c>
      <c r="W27" s="36">
        <f t="shared" si="1"/>
        <v>385.5</v>
      </c>
      <c r="X27" s="46"/>
      <c r="Y27" s="47"/>
    </row>
    <row r="28" spans="1:25" s="48" customFormat="1" ht="45" customHeight="1">
      <c r="A28" s="58" t="s">
        <v>69</v>
      </c>
      <c r="B28" s="59" t="s">
        <v>70</v>
      </c>
      <c r="C28" s="34">
        <v>15</v>
      </c>
      <c r="D28" s="50">
        <v>230.34834514817072</v>
      </c>
      <c r="E28" s="36">
        <v>3455.2251772225609</v>
      </c>
      <c r="F28" s="43"/>
      <c r="G28" s="36">
        <v>385.5</v>
      </c>
      <c r="H28" s="36"/>
      <c r="I28" s="36">
        <f>'[1]HT-ADMINISTRATIVOS'!H33</f>
        <v>0</v>
      </c>
      <c r="J28" s="36">
        <f>'[1]HT-ADMINISTRATIVOS'!J33</f>
        <v>0</v>
      </c>
      <c r="K28" s="37">
        <f>'[1]HT-ADMINISTRATIVOS'!I33</f>
        <v>0</v>
      </c>
      <c r="L28" s="36">
        <f t="shared" si="4"/>
        <v>3455.2251772225609</v>
      </c>
      <c r="M28" s="36">
        <f>L28+G28</f>
        <v>3840.7251772225609</v>
      </c>
      <c r="N28" s="28">
        <f>IF('[1]Calculo ISR '!$AF$34&lt;0,0,'[1]Calculo ISR '!$AF$34)</f>
        <v>146.74541128181463</v>
      </c>
      <c r="O28" s="38">
        <f>E28*Q4</f>
        <v>362.79864360836888</v>
      </c>
      <c r="P28" s="38"/>
      <c r="Q28" s="38">
        <f>[5]descuentos!D12</f>
        <v>0</v>
      </c>
      <c r="R28" s="38"/>
      <c r="S28" s="38">
        <f>E28*P4</f>
        <v>34.55225177222561</v>
      </c>
      <c r="T28" s="36">
        <f>N28+O28+P28+S28+Q28+R28</f>
        <v>544.09630666240912</v>
      </c>
      <c r="U28" s="28">
        <f>IF('[1]Calculo ISR '!$AF$34&gt;0,0,'[1]Calculo ISR '!$AF$34)*-1</f>
        <v>0</v>
      </c>
      <c r="V28" s="36">
        <f t="shared" si="5"/>
        <v>2911.1288705601519</v>
      </c>
      <c r="W28" s="36">
        <v>385.5</v>
      </c>
      <c r="X28" s="46"/>
      <c r="Y28" s="47"/>
    </row>
    <row r="29" spans="1:25" s="48" customFormat="1" ht="45" customHeight="1">
      <c r="A29" s="60" t="s">
        <v>71</v>
      </c>
      <c r="B29" s="61" t="s">
        <v>72</v>
      </c>
      <c r="C29" s="66">
        <v>15</v>
      </c>
      <c r="D29" s="50">
        <v>141.57938707</v>
      </c>
      <c r="E29" s="36">
        <v>2123.69080605</v>
      </c>
      <c r="F29" s="43"/>
      <c r="G29" s="36">
        <f>'[1]HT-ADMINISTRATIVOS'!G35</f>
        <v>385.5</v>
      </c>
      <c r="H29" s="36"/>
      <c r="I29" s="36">
        <f>'[1]HT-ADMINISTRATIVOS'!H35</f>
        <v>0</v>
      </c>
      <c r="J29" s="36">
        <f>'[1]HT-ADMINISTRATIVOS'!J35</f>
        <v>0</v>
      </c>
      <c r="K29" s="37">
        <f>'[1]HT-ADMINISTRATIVOS'!I35</f>
        <v>0</v>
      </c>
      <c r="L29" s="36">
        <f t="shared" si="4"/>
        <v>2123.69080605</v>
      </c>
      <c r="M29" s="36">
        <f>L29+G29+U29</f>
        <v>2570.9163343517598</v>
      </c>
      <c r="N29" s="28">
        <f>IF('[1]Calculo ISR '!$AG$34&lt;0,0,'[1]Calculo ISR '!$AG$34)</f>
        <v>0</v>
      </c>
      <c r="O29" s="38">
        <f>E29*Q4</f>
        <v>222.98753463525</v>
      </c>
      <c r="P29" s="38">
        <f>'[1]HT-ADMINISTRATIVOS'!P35</f>
        <v>0</v>
      </c>
      <c r="Q29" s="38">
        <f>'[1]HT-ADMINISTRATIVOS'!Q35</f>
        <v>0</v>
      </c>
      <c r="R29" s="38">
        <f>'[1]HT-ADMINISTRATIVOS'!R35</f>
        <v>0</v>
      </c>
      <c r="S29" s="38">
        <f>E29*P4</f>
        <v>21.236908060499999</v>
      </c>
      <c r="T29" s="36">
        <f t="shared" si="3"/>
        <v>244.22444269574999</v>
      </c>
      <c r="U29" s="28">
        <f>IF('[1]Calculo ISR '!$AG$34&gt;0,0,'[1]Calculo ISR '!$AG$34)*-1</f>
        <v>61.725528301760008</v>
      </c>
      <c r="V29" s="36">
        <f t="shared" si="5"/>
        <v>1941.1918916560101</v>
      </c>
      <c r="W29" s="36">
        <f>G29</f>
        <v>385.5</v>
      </c>
      <c r="X29" s="67"/>
      <c r="Y29" s="47"/>
    </row>
    <row r="30" spans="1:25" s="48" customFormat="1" ht="45" customHeight="1">
      <c r="A30" s="53" t="s">
        <v>73</v>
      </c>
      <c r="B30" s="61" t="s">
        <v>74</v>
      </c>
      <c r="C30" s="66">
        <v>15</v>
      </c>
      <c r="D30" s="50">
        <v>534.93837680832996</v>
      </c>
      <c r="E30" s="36">
        <v>8024.0756521249496</v>
      </c>
      <c r="F30" s="43"/>
      <c r="G30" s="36">
        <f>'[1]HT-ADMINISTRATIVOS'!G36</f>
        <v>385.5</v>
      </c>
      <c r="H30" s="36"/>
      <c r="I30" s="36">
        <f>'[1]HT-ADMINISTRATIVOS'!H36</f>
        <v>0</v>
      </c>
      <c r="J30" s="36">
        <f>'[1]HT-ADMINISTRATIVOS'!J36</f>
        <v>0</v>
      </c>
      <c r="K30" s="37">
        <f>'[1]HT-ADMINISTRATIVOS'!I36</f>
        <v>0</v>
      </c>
      <c r="L30" s="36">
        <f t="shared" si="4"/>
        <v>8024.0756521249496</v>
      </c>
      <c r="M30" s="36">
        <f>L30+G30</f>
        <v>8409.5756521249496</v>
      </c>
      <c r="N30" s="28">
        <f>IF('[1]Calculo ISR '!$AH$34&lt;0,0,'[1]Calculo ISR '!$AH$34)</f>
        <v>1166.7533832938893</v>
      </c>
      <c r="O30" s="38">
        <f>E30*Q4</f>
        <v>842.52794347311965</v>
      </c>
      <c r="P30" s="38">
        <f>'[1]HT-ADMINISTRATIVOS'!P36</f>
        <v>0</v>
      </c>
      <c r="Q30" s="38">
        <f>'[1]HT-ADMINISTRATIVOS'!Q36</f>
        <v>0</v>
      </c>
      <c r="R30" s="38">
        <f>'[1]HT-ADMINISTRATIVOS'!R36</f>
        <v>0</v>
      </c>
      <c r="S30" s="38">
        <f>'[1]HT-ADMINISTRATIVOS'!S36</f>
        <v>0</v>
      </c>
      <c r="T30" s="36">
        <f t="shared" si="3"/>
        <v>2009.281326767009</v>
      </c>
      <c r="U30" s="28">
        <f>IF('[1]Calculo ISR '!$AH$34&gt;0,0,'[1]Calculo ISR '!$AH$34)*-1</f>
        <v>0</v>
      </c>
      <c r="V30" s="36">
        <f t="shared" si="5"/>
        <v>6014.7943253579406</v>
      </c>
      <c r="W30" s="36">
        <f>G30</f>
        <v>385.5</v>
      </c>
      <c r="X30" s="67"/>
      <c r="Y30" s="47"/>
    </row>
    <row r="31" spans="1:25" s="48" customFormat="1" ht="45" customHeight="1">
      <c r="A31" s="68" t="s">
        <v>75</v>
      </c>
      <c r="B31" s="61" t="s">
        <v>76</v>
      </c>
      <c r="C31" s="66">
        <v>15</v>
      </c>
      <c r="D31" s="50">
        <v>141.57938707</v>
      </c>
      <c r="E31" s="36">
        <v>2123.69080605</v>
      </c>
      <c r="F31" s="43"/>
      <c r="G31" s="36">
        <f>'[1]HT-ADMINISTRATIVOS'!G37</f>
        <v>385.5</v>
      </c>
      <c r="H31" s="36"/>
      <c r="I31" s="36">
        <f>'[1]HT-ADMINISTRATIVOS'!H37</f>
        <v>0</v>
      </c>
      <c r="J31" s="36">
        <f>'[1]HT-ADMINISTRATIVOS'!J37</f>
        <v>0</v>
      </c>
      <c r="K31" s="37">
        <f>'[1]HT-ADMINISTRATIVOS'!I37</f>
        <v>0</v>
      </c>
      <c r="L31" s="36">
        <f t="shared" si="4"/>
        <v>2123.69080605</v>
      </c>
      <c r="M31" s="36">
        <f>L31+G31+U31</f>
        <v>2570.9163343517598</v>
      </c>
      <c r="N31" s="28">
        <f>IF('[1]Calculo ISR '!$AI$34&lt;0,0,'[1]Calculo ISR '!$AI$34)</f>
        <v>0</v>
      </c>
      <c r="O31" s="38">
        <f>E31*Q4</f>
        <v>222.98753463525</v>
      </c>
      <c r="P31" s="38">
        <f>'[1]HT-ADMINISTRATIVOS'!P37</f>
        <v>0</v>
      </c>
      <c r="Q31" s="38">
        <f>'[1]HT-ADMINISTRATIVOS'!Q37</f>
        <v>0</v>
      </c>
      <c r="R31" s="38">
        <f>'[1]HT-ADMINISTRATIVOS'!R37</f>
        <v>0</v>
      </c>
      <c r="S31" s="38">
        <f>E31*P4</f>
        <v>21.236908060499999</v>
      </c>
      <c r="T31" s="36">
        <f t="shared" si="3"/>
        <v>244.22444269574999</v>
      </c>
      <c r="U31" s="28">
        <f>IF('[1]Calculo ISR '!$AI$34&gt;0,0,'[1]Calculo ISR '!$AI$34)*-1</f>
        <v>61.725528301760008</v>
      </c>
      <c r="V31" s="36">
        <f t="shared" si="5"/>
        <v>1941.1918916560101</v>
      </c>
      <c r="W31" s="36">
        <f>G31</f>
        <v>385.5</v>
      </c>
      <c r="X31" s="67"/>
      <c r="Y31" s="47"/>
    </row>
    <row r="32" spans="1:25" s="81" customFormat="1" ht="45" customHeight="1">
      <c r="A32" s="69" t="s">
        <v>77</v>
      </c>
      <c r="B32" s="70" t="s">
        <v>78</v>
      </c>
      <c r="C32" s="71">
        <v>15</v>
      </c>
      <c r="D32" s="72">
        <v>873.012693639492</v>
      </c>
      <c r="E32" s="73">
        <v>13095.19040459238</v>
      </c>
      <c r="F32" s="73">
        <f>'[1]HT-ADMINISTRATIVOS'!F38</f>
        <v>0</v>
      </c>
      <c r="G32" s="73">
        <v>385.5</v>
      </c>
      <c r="H32" s="73"/>
      <c r="I32" s="73">
        <f>'[1]HT-ADMINISTRATIVOS'!H38</f>
        <v>0</v>
      </c>
      <c r="J32" s="73">
        <f>'[1]HT-ADMINISTRATIVOS'!I38</f>
        <v>0</v>
      </c>
      <c r="K32" s="73">
        <f>'[1]HT-ADMINISTRATIVOS'!J38</f>
        <v>0</v>
      </c>
      <c r="L32" s="73">
        <f t="shared" si="4"/>
        <v>13095.19040459238</v>
      </c>
      <c r="M32" s="73">
        <f>L32+G32</f>
        <v>13480.69040459238</v>
      </c>
      <c r="N32" s="28">
        <f>IF('[1]Calculo ISR '!$AJ$34&lt;0,0,'[1]Calculo ISR '!$AJ$34)</f>
        <v>2311.300991160128</v>
      </c>
      <c r="O32" s="73">
        <f>E32*Q4</f>
        <v>1374.9949924821999</v>
      </c>
      <c r="P32" s="73">
        <v>1489.84</v>
      </c>
      <c r="Q32" s="73">
        <f>'[1]HT-ADMINISTRATIVOS'!Q38</f>
        <v>0</v>
      </c>
      <c r="R32" s="73">
        <f>'[1]HT-ADMINISTRATIVOS'!R38</f>
        <v>0</v>
      </c>
      <c r="S32" s="73">
        <f>'[1]HT-ADMINISTRATIVOS'!S38</f>
        <v>0</v>
      </c>
      <c r="T32" s="73">
        <f t="shared" ref="T32:T39" si="6">N32+O32+P32+Q32+R32+S32</f>
        <v>5176.135983642328</v>
      </c>
      <c r="U32" s="28">
        <f>IF('[1]Calculo ISR '!$AJ$34&gt;0,0,'[1]Calculo ISR '!$AJ$34)*-1</f>
        <v>0</v>
      </c>
      <c r="V32" s="73">
        <f t="shared" si="5"/>
        <v>7919.0544209500522</v>
      </c>
      <c r="W32" s="73">
        <v>385.5</v>
      </c>
      <c r="X32" s="74"/>
      <c r="Y32" s="47"/>
    </row>
    <row r="33" spans="1:27" s="81" customFormat="1" ht="45" customHeight="1">
      <c r="A33" s="53" t="s">
        <v>79</v>
      </c>
      <c r="B33" s="61" t="s">
        <v>80</v>
      </c>
      <c r="C33" s="66">
        <v>15</v>
      </c>
      <c r="D33" s="76">
        <v>534.93837680832996</v>
      </c>
      <c r="E33" s="50">
        <v>8024.0756521249496</v>
      </c>
      <c r="F33" s="50"/>
      <c r="G33" s="77">
        <f>385.5</f>
        <v>385.5</v>
      </c>
      <c r="H33" s="77"/>
      <c r="I33" s="50"/>
      <c r="J33" s="50"/>
      <c r="K33" s="50"/>
      <c r="L33" s="78">
        <f t="shared" si="4"/>
        <v>8024.0756521249496</v>
      </c>
      <c r="M33" s="78">
        <f>L33+G33</f>
        <v>8409.5756521249496</v>
      </c>
      <c r="N33" s="28">
        <f>IF('[1]Calculo ISR '!$AK$34&lt;0,0,'[1]Calculo ISR '!$AK$34)</f>
        <v>1166.7533832938893</v>
      </c>
      <c r="O33" s="79">
        <f>E33*Q4</f>
        <v>842.52794347311965</v>
      </c>
      <c r="P33" s="78"/>
      <c r="Q33" s="50"/>
      <c r="R33" s="78"/>
      <c r="S33" s="50"/>
      <c r="T33" s="50">
        <f t="shared" si="6"/>
        <v>2009.281326767009</v>
      </c>
      <c r="U33" s="28">
        <f>IF('[1]Calculo ISR '!$AK$34&gt;0,0,'[1]Calculo ISR '!$AK$34)*-1</f>
        <v>0</v>
      </c>
      <c r="V33" s="79">
        <f>L33-T33</f>
        <v>6014.7943253579406</v>
      </c>
      <c r="W33" s="73">
        <v>385.5</v>
      </c>
      <c r="X33" s="80"/>
      <c r="Y33" s="47"/>
    </row>
    <row r="34" spans="1:27" s="81" customFormat="1" ht="45" customHeight="1">
      <c r="A34" s="91" t="s">
        <v>83</v>
      </c>
      <c r="B34" s="139" t="s">
        <v>84</v>
      </c>
      <c r="C34" s="66">
        <v>15</v>
      </c>
      <c r="D34" s="76">
        <v>180.10895980000001</v>
      </c>
      <c r="E34" s="50">
        <v>2701.6343970000003</v>
      </c>
      <c r="F34" s="50"/>
      <c r="G34" s="77">
        <f>385.5</f>
        <v>385.5</v>
      </c>
      <c r="H34" s="77"/>
      <c r="I34" s="50">
        <v>892</v>
      </c>
      <c r="J34" s="50"/>
      <c r="K34" s="50"/>
      <c r="L34" s="78">
        <f t="shared" si="4"/>
        <v>3593.6343970000003</v>
      </c>
      <c r="M34" s="78">
        <f>L34+G34</f>
        <v>3979.1343970000003</v>
      </c>
      <c r="N34" s="28">
        <f>IF('[1]Calculo ISR '!$AM$34&lt;0,0,'[1]Calculo ISR '!$AM$34)</f>
        <v>179.50433439359998</v>
      </c>
      <c r="O34" s="92">
        <f>E34*Q4</f>
        <v>283.67161168500002</v>
      </c>
      <c r="P34" s="78"/>
      <c r="Q34" s="50"/>
      <c r="R34" s="78"/>
      <c r="S34" s="50">
        <f>E34*P4</f>
        <v>27.016343970000005</v>
      </c>
      <c r="T34" s="50">
        <f>N34+O34+P34+Q34+R34+S34</f>
        <v>490.19229004859994</v>
      </c>
      <c r="U34" s="28">
        <f>IF('[1]Calculo ISR '!$AM$34&gt;0,0,'[1]Calculo ISR '!$AM$34)*-1</f>
        <v>0</v>
      </c>
      <c r="V34" s="79">
        <f t="shared" ref="V34:V39" si="7">L34-T34+U34</f>
        <v>3103.4421069514001</v>
      </c>
      <c r="W34" s="73">
        <v>385.5</v>
      </c>
      <c r="X34" s="80"/>
      <c r="Y34" s="47"/>
    </row>
    <row r="35" spans="1:27" s="81" customFormat="1" ht="45" customHeight="1">
      <c r="A35" s="91" t="s">
        <v>85</v>
      </c>
      <c r="B35" s="139" t="s">
        <v>86</v>
      </c>
      <c r="C35" s="66">
        <v>15</v>
      </c>
      <c r="D35" s="76">
        <v>219.23158179999999</v>
      </c>
      <c r="E35" s="50">
        <v>3288.4737269999996</v>
      </c>
      <c r="F35" s="50"/>
      <c r="G35" s="77">
        <f>385.5</f>
        <v>385.5</v>
      </c>
      <c r="H35" s="77"/>
      <c r="I35" s="50">
        <v>446</v>
      </c>
      <c r="J35" s="50"/>
      <c r="K35" s="50"/>
      <c r="L35" s="78">
        <f t="shared" si="4"/>
        <v>3734.4737269999996</v>
      </c>
      <c r="M35" s="78">
        <f>L35+G35</f>
        <v>4119.9737269999996</v>
      </c>
      <c r="N35" s="28">
        <f>IF('[1]Calculo ISR '!$AN$34&lt;0,0,'[1]Calculo ISR '!$AN$34)</f>
        <v>306.60419631999991</v>
      </c>
      <c r="O35" s="92">
        <f>E35*Q4</f>
        <v>345.28974133499992</v>
      </c>
      <c r="P35" s="78"/>
      <c r="Q35" s="50"/>
      <c r="R35" s="78"/>
      <c r="S35" s="50">
        <v>0</v>
      </c>
      <c r="T35" s="50">
        <f t="shared" si="6"/>
        <v>651.89393765499983</v>
      </c>
      <c r="U35" s="28">
        <f>IF('[1]Calculo ISR '!$AN$34&gt;0,0,'[1]Calculo ISR '!$AN$34)*-1</f>
        <v>0</v>
      </c>
      <c r="V35" s="79">
        <f t="shared" si="7"/>
        <v>3082.5797893449999</v>
      </c>
      <c r="W35" s="73">
        <v>385.5</v>
      </c>
      <c r="X35" s="80"/>
      <c r="Y35" s="47"/>
    </row>
    <row r="36" spans="1:27" s="81" customFormat="1" ht="45" customHeight="1">
      <c r="A36" s="91" t="s">
        <v>87</v>
      </c>
      <c r="B36" s="91" t="s">
        <v>88</v>
      </c>
      <c r="C36" s="66">
        <v>15</v>
      </c>
      <c r="D36" s="76">
        <v>534.93837680832996</v>
      </c>
      <c r="E36" s="50">
        <f>E33</f>
        <v>8024.0756521249496</v>
      </c>
      <c r="F36" s="50"/>
      <c r="G36" s="77">
        <v>385.5</v>
      </c>
      <c r="H36" s="77"/>
      <c r="I36" s="50"/>
      <c r="J36" s="50"/>
      <c r="K36" s="50"/>
      <c r="L36" s="78">
        <f t="shared" si="4"/>
        <v>8024.0756521249496</v>
      </c>
      <c r="M36" s="78">
        <f>L36+G36+U36</f>
        <v>8409.5756521249496</v>
      </c>
      <c r="N36" s="28">
        <f>IF('[1]Calculo ISR '!$AO$34&lt;0,0,'[1]Calculo ISR '!$AO$34)</f>
        <v>1166.7533832938893</v>
      </c>
      <c r="O36" s="92">
        <f>E36*Q4</f>
        <v>842.52794347311965</v>
      </c>
      <c r="P36" s="78"/>
      <c r="Q36" s="50"/>
      <c r="R36" s="78"/>
      <c r="S36" s="50"/>
      <c r="T36" s="50">
        <f t="shared" si="6"/>
        <v>2009.281326767009</v>
      </c>
      <c r="U36" s="28">
        <f>IF('[1]Calculo ISR '!$AO$34&gt;0,0,'[1]Calculo ISR '!$AO$34)*-1</f>
        <v>0</v>
      </c>
      <c r="V36" s="79">
        <f t="shared" si="7"/>
        <v>6014.7943253579406</v>
      </c>
      <c r="W36" s="73">
        <f t="shared" ref="W36:W44" si="8">G36</f>
        <v>385.5</v>
      </c>
      <c r="X36" s="80"/>
      <c r="Y36" s="47"/>
    </row>
    <row r="37" spans="1:27" s="81" customFormat="1" ht="45" customHeight="1">
      <c r="A37" s="91" t="s">
        <v>89</v>
      </c>
      <c r="B37" s="91" t="s">
        <v>90</v>
      </c>
      <c r="C37" s="66">
        <v>15</v>
      </c>
      <c r="D37" s="76">
        <v>171.34</v>
      </c>
      <c r="E37" s="50">
        <f>C37*D37</f>
        <v>2570.1</v>
      </c>
      <c r="F37" s="50"/>
      <c r="G37" s="77">
        <v>385.5</v>
      </c>
      <c r="H37" s="77"/>
      <c r="I37" s="50"/>
      <c r="J37" s="50"/>
      <c r="K37" s="50"/>
      <c r="L37" s="78">
        <f t="shared" si="4"/>
        <v>2570.1</v>
      </c>
      <c r="M37" s="78">
        <f>L37+G37</f>
        <v>2955.6</v>
      </c>
      <c r="N37" s="28">
        <f>IF('[1]Calculo ISR '!$AP$34&lt;0,0,'[1]Calculo ISR '!$AP$34)</f>
        <v>15.193791999999974</v>
      </c>
      <c r="O37" s="92">
        <f>E37*Q4</f>
        <v>269.8605</v>
      </c>
      <c r="P37" s="78"/>
      <c r="Q37" s="50"/>
      <c r="R37" s="78"/>
      <c r="S37" s="50"/>
      <c r="T37" s="50">
        <f t="shared" si="6"/>
        <v>285.05429199999998</v>
      </c>
      <c r="U37" s="28">
        <f>IF('[1]Calculo ISR '!$AP$34&gt;0,0,'[1]Calculo ISR '!$AP$34)*-1</f>
        <v>0</v>
      </c>
      <c r="V37" s="79">
        <f t="shared" si="7"/>
        <v>2285.0457080000001</v>
      </c>
      <c r="W37" s="73">
        <f t="shared" si="8"/>
        <v>385.5</v>
      </c>
      <c r="X37" s="80"/>
      <c r="Y37" s="47"/>
    </row>
    <row r="38" spans="1:27" s="81" customFormat="1" ht="45" customHeight="1">
      <c r="A38" s="91" t="s">
        <v>91</v>
      </c>
      <c r="B38" s="91" t="s">
        <v>92</v>
      </c>
      <c r="C38" s="66">
        <v>15</v>
      </c>
      <c r="D38" s="76">
        <v>131.36093080000001</v>
      </c>
      <c r="E38" s="50">
        <v>1970.4139620000001</v>
      </c>
      <c r="F38" s="50"/>
      <c r="G38" s="77">
        <v>385.5</v>
      </c>
      <c r="H38" s="77"/>
      <c r="I38" s="50"/>
      <c r="J38" s="50"/>
      <c r="K38" s="50"/>
      <c r="L38" s="78">
        <f t="shared" si="4"/>
        <v>1970.4139620000001</v>
      </c>
      <c r="M38" s="78">
        <f>L38+G38+U38</f>
        <v>2429.5253084320002</v>
      </c>
      <c r="N38" s="28">
        <f>IF('[1]Calculo ISR '!$AQ$34&lt;0,0,'[1]Calculo ISR '!$AQ$34)</f>
        <v>0</v>
      </c>
      <c r="O38" s="92">
        <f>E38*Q4</f>
        <v>206.89346601</v>
      </c>
      <c r="P38" s="78"/>
      <c r="Q38" s="50"/>
      <c r="R38" s="78"/>
      <c r="S38" s="50"/>
      <c r="T38" s="50">
        <f t="shared" si="6"/>
        <v>206.89346601</v>
      </c>
      <c r="U38" s="28">
        <f>IF('[1]Calculo ISR '!$AQ$34&gt;0,0,'[1]Calculo ISR '!$AQ$34)*-1</f>
        <v>73.611346431999976</v>
      </c>
      <c r="V38" s="79">
        <f t="shared" si="7"/>
        <v>1837.1318424220001</v>
      </c>
      <c r="W38" s="73">
        <f t="shared" si="8"/>
        <v>385.5</v>
      </c>
      <c r="X38" s="80"/>
      <c r="Y38" s="47"/>
    </row>
    <row r="39" spans="1:27" s="81" customFormat="1" ht="45" customHeight="1">
      <c r="A39" s="91" t="s">
        <v>93</v>
      </c>
      <c r="B39" s="91" t="s">
        <v>94</v>
      </c>
      <c r="C39" s="66">
        <v>15</v>
      </c>
      <c r="D39" s="76">
        <v>131.36093080000001</v>
      </c>
      <c r="E39" s="50">
        <v>1970.4139620000001</v>
      </c>
      <c r="F39" s="50"/>
      <c r="G39" s="77">
        <v>385.5</v>
      </c>
      <c r="H39" s="77"/>
      <c r="I39" s="50"/>
      <c r="J39" s="50"/>
      <c r="K39" s="50"/>
      <c r="L39" s="78">
        <f t="shared" si="4"/>
        <v>1970.4139620000001</v>
      </c>
      <c r="M39" s="78">
        <f>L39+G39+U39</f>
        <v>2429.5253084320002</v>
      </c>
      <c r="N39" s="28">
        <f>IF('[1]Calculo ISR '!$AR$34&lt;0,0,'[1]Calculo ISR '!$AR$34)</f>
        <v>0</v>
      </c>
      <c r="O39" s="92">
        <f>E39*Q4</f>
        <v>206.89346601</v>
      </c>
      <c r="P39" s="78"/>
      <c r="Q39" s="50"/>
      <c r="R39" s="78"/>
      <c r="S39" s="50"/>
      <c r="T39" s="50">
        <f t="shared" si="6"/>
        <v>206.89346601</v>
      </c>
      <c r="U39" s="28">
        <f>IF('[1]Calculo ISR '!$AR$34&gt;0,0,'[1]Calculo ISR '!$AR$34)*-1</f>
        <v>73.611346431999976</v>
      </c>
      <c r="V39" s="79">
        <f t="shared" si="7"/>
        <v>1837.1318424220001</v>
      </c>
      <c r="W39" s="73">
        <f t="shared" si="8"/>
        <v>385.5</v>
      </c>
      <c r="X39" s="80"/>
      <c r="Y39" s="47"/>
    </row>
    <row r="40" spans="1:27" s="81" customFormat="1" ht="45" customHeight="1">
      <c r="A40" s="91" t="s">
        <v>95</v>
      </c>
      <c r="B40" s="91" t="s">
        <v>96</v>
      </c>
      <c r="C40" s="66">
        <v>15</v>
      </c>
      <c r="D40" s="76">
        <v>754.54</v>
      </c>
      <c r="E40" s="50">
        <f>C40*D40</f>
        <v>11318.099999999999</v>
      </c>
      <c r="F40" s="50"/>
      <c r="G40" s="77">
        <v>385.5</v>
      </c>
      <c r="H40" s="77"/>
      <c r="I40" s="50"/>
      <c r="J40" s="50"/>
      <c r="K40" s="50"/>
      <c r="L40" s="78">
        <f>E40+I40+J40+K40</f>
        <v>11318.099999999999</v>
      </c>
      <c r="M40" s="78">
        <f>L40+G40</f>
        <v>11703.599999999999</v>
      </c>
      <c r="N40" s="28">
        <f>IF('[1]Calculo ISR '!$AS$34&lt;0,0,'[1]Calculo ISR '!$AS$34)</f>
        <v>1893.3293279999998</v>
      </c>
      <c r="O40" s="92">
        <f>E40*Q4</f>
        <v>1188.4004999999997</v>
      </c>
      <c r="P40" s="78"/>
      <c r="Q40" s="50"/>
      <c r="R40" s="78"/>
      <c r="S40" s="50"/>
      <c r="T40" s="50">
        <f>N40+O40+P40+Q40+R40+S40</f>
        <v>3081.7298279999995</v>
      </c>
      <c r="U40" s="28">
        <f>IF('[1]Calculo ISR '!$AS$34&gt;0,0,'[1]Calculo ISR '!$AS$34)*-1</f>
        <v>0</v>
      </c>
      <c r="V40" s="79">
        <f>L40-T40</f>
        <v>8236.370171999999</v>
      </c>
      <c r="W40" s="73">
        <f t="shared" si="8"/>
        <v>385.5</v>
      </c>
      <c r="X40" s="80"/>
      <c r="Y40" s="47"/>
    </row>
    <row r="41" spans="1:27" s="81" customFormat="1" ht="45" customHeight="1">
      <c r="A41" s="91" t="s">
        <v>97</v>
      </c>
      <c r="B41" s="91" t="s">
        <v>98</v>
      </c>
      <c r="C41" s="66">
        <v>15</v>
      </c>
      <c r="D41" s="76">
        <v>754.54</v>
      </c>
      <c r="E41" s="50">
        <f>D41*C41</f>
        <v>11318.099999999999</v>
      </c>
      <c r="F41" s="50"/>
      <c r="G41" s="77">
        <v>385.5</v>
      </c>
      <c r="H41" s="77"/>
      <c r="I41" s="50"/>
      <c r="J41" s="50"/>
      <c r="K41" s="50"/>
      <c r="L41" s="78">
        <f>E41+I41+J41+K41</f>
        <v>11318.099999999999</v>
      </c>
      <c r="M41" s="78">
        <f>L41+G41</f>
        <v>11703.599999999999</v>
      </c>
      <c r="N41" s="28">
        <f>IF('[1]Calculo ISR '!$AT$34&lt;0,0,'[1]Calculo ISR '!$AT$34)</f>
        <v>1893.3293279999998</v>
      </c>
      <c r="O41" s="92">
        <f>E41*Q4</f>
        <v>1188.4004999999997</v>
      </c>
      <c r="P41" s="78">
        <v>3773</v>
      </c>
      <c r="Q41" s="50"/>
      <c r="R41" s="78"/>
      <c r="S41" s="50"/>
      <c r="T41" s="50">
        <f>N41+O41+P41+Q41+R41+S41</f>
        <v>6854.7298279999995</v>
      </c>
      <c r="U41" s="28">
        <f>IF('[1]Calculo ISR '!$AT$34&gt;0,0,'[1]Calculo ISR '!$AT$34)*-1</f>
        <v>0</v>
      </c>
      <c r="V41" s="79">
        <f>L41-T41</f>
        <v>4463.370171999999</v>
      </c>
      <c r="W41" s="73">
        <f t="shared" si="8"/>
        <v>385.5</v>
      </c>
      <c r="X41" s="80"/>
      <c r="Y41" s="47"/>
    </row>
    <row r="42" spans="1:27" s="81" customFormat="1" ht="45" customHeight="1">
      <c r="A42" s="91" t="s">
        <v>99</v>
      </c>
      <c r="B42" s="91" t="s">
        <v>100</v>
      </c>
      <c r="C42" s="66">
        <v>15</v>
      </c>
      <c r="D42" s="76">
        <v>171.34</v>
      </c>
      <c r="E42" s="50">
        <f>C42*D42</f>
        <v>2570.1</v>
      </c>
      <c r="F42" s="50"/>
      <c r="G42" s="77">
        <v>385.5</v>
      </c>
      <c r="H42" s="77"/>
      <c r="I42" s="50"/>
      <c r="J42" s="50"/>
      <c r="K42" s="50"/>
      <c r="L42" s="78">
        <f>E42+F42+I42+J42+K42</f>
        <v>2570.1</v>
      </c>
      <c r="M42" s="78">
        <f>L42+G42</f>
        <v>2955.6</v>
      </c>
      <c r="N42" s="28">
        <f>IF('[1]Calculo ISR '!$AU$34&lt;0,0,'[1]Calculo ISR '!$AU$34)</f>
        <v>15.193791999999974</v>
      </c>
      <c r="O42" s="92">
        <f>E42*Q4</f>
        <v>269.8605</v>
      </c>
      <c r="P42" s="78"/>
      <c r="Q42" s="50"/>
      <c r="R42" s="78"/>
      <c r="S42" s="50"/>
      <c r="T42" s="50">
        <f>N42+O42+P42+Q42+R42+S42</f>
        <v>285.05429199999998</v>
      </c>
      <c r="U42" s="28">
        <f>IF('[1]Calculo ISR '!$AU$34&gt;0,0,'[1]Calculo ISR '!$AU$34)*-1</f>
        <v>0</v>
      </c>
      <c r="V42" s="79">
        <f>L42-T42</f>
        <v>2285.0457080000001</v>
      </c>
      <c r="W42" s="73">
        <f t="shared" si="8"/>
        <v>385.5</v>
      </c>
      <c r="X42" s="80"/>
      <c r="Y42" s="47"/>
    </row>
    <row r="43" spans="1:27" s="81" customFormat="1" ht="45" customHeight="1">
      <c r="A43" s="91" t="s">
        <v>101</v>
      </c>
      <c r="B43" s="91" t="s">
        <v>102</v>
      </c>
      <c r="C43" s="66">
        <v>15</v>
      </c>
      <c r="D43" s="76">
        <v>754.54</v>
      </c>
      <c r="E43" s="50">
        <f>C43*D43</f>
        <v>11318.099999999999</v>
      </c>
      <c r="F43" s="50"/>
      <c r="G43" s="77">
        <v>385.5</v>
      </c>
      <c r="H43" s="77"/>
      <c r="I43" s="50"/>
      <c r="J43" s="50"/>
      <c r="K43" s="50"/>
      <c r="L43" s="78">
        <f>E43+F43+I43+J43+K43</f>
        <v>11318.099999999999</v>
      </c>
      <c r="M43" s="78">
        <f>L43+G43</f>
        <v>11703.599999999999</v>
      </c>
      <c r="N43" s="28">
        <f>IF('[1]Calculo ISR '!$AV$34&lt;0,0,'[1]Calculo ISR '!$AV$34)</f>
        <v>1893.3293279999998</v>
      </c>
      <c r="O43" s="92">
        <f>E43*Q4</f>
        <v>1188.4004999999997</v>
      </c>
      <c r="P43" s="78"/>
      <c r="Q43" s="50"/>
      <c r="R43" s="78"/>
      <c r="S43" s="50"/>
      <c r="T43" s="50">
        <f>N43+O43+P43+Q43+R43+S43</f>
        <v>3081.7298279999995</v>
      </c>
      <c r="U43" s="28">
        <f>IF('[1]Calculo ISR '!$AV$34&gt;0,0,'[1]Calculo ISR '!$AV$34)*-1</f>
        <v>0</v>
      </c>
      <c r="V43" s="79">
        <f>L43-T43</f>
        <v>8236.370171999999</v>
      </c>
      <c r="W43" s="73">
        <f t="shared" si="8"/>
        <v>385.5</v>
      </c>
      <c r="X43" s="80"/>
      <c r="Y43" s="47"/>
    </row>
    <row r="44" spans="1:27" s="81" customFormat="1" ht="45" customHeight="1">
      <c r="A44" s="91" t="s">
        <v>103</v>
      </c>
      <c r="B44" s="91" t="s">
        <v>104</v>
      </c>
      <c r="C44" s="66">
        <v>15</v>
      </c>
      <c r="D44" s="76">
        <v>171.34</v>
      </c>
      <c r="E44" s="50">
        <f>C44*D44</f>
        <v>2570.1</v>
      </c>
      <c r="F44" s="50"/>
      <c r="G44" s="77">
        <v>385.5</v>
      </c>
      <c r="H44" s="77"/>
      <c r="I44" s="50"/>
      <c r="J44" s="50"/>
      <c r="K44" s="50"/>
      <c r="L44" s="78">
        <f>E44+F44+I44+J44+K44</f>
        <v>2570.1</v>
      </c>
      <c r="M44" s="78">
        <f>L44+G44</f>
        <v>2955.6</v>
      </c>
      <c r="N44" s="28">
        <v>15.19</v>
      </c>
      <c r="O44" s="92">
        <f>E44*Q4</f>
        <v>269.8605</v>
      </c>
      <c r="P44" s="78"/>
      <c r="Q44" s="50"/>
      <c r="R44" s="78"/>
      <c r="S44" s="50"/>
      <c r="T44" s="50">
        <f>N44+O44+P44+Q44+R44+S44</f>
        <v>285.0505</v>
      </c>
      <c r="U44" s="28"/>
      <c r="V44" s="79">
        <f>L44-T44</f>
        <v>2285.0495000000001</v>
      </c>
      <c r="W44" s="73">
        <f t="shared" si="8"/>
        <v>385.5</v>
      </c>
      <c r="X44" s="80"/>
      <c r="Y44" s="47"/>
    </row>
    <row r="45" spans="1:27" s="99" customFormat="1" ht="21.95" customHeight="1">
      <c r="A45" s="93"/>
      <c r="B45" s="94">
        <v>38</v>
      </c>
      <c r="C45" s="95">
        <f t="shared" ref="C45:W45" si="9">SUM(C7:C44)</f>
        <v>570</v>
      </c>
      <c r="D45" s="95">
        <f t="shared" si="9"/>
        <v>13457.168291817881</v>
      </c>
      <c r="E45" s="95">
        <f t="shared" si="9"/>
        <v>201857.52437726824</v>
      </c>
      <c r="F45" s="95">
        <f t="shared" si="9"/>
        <v>6616.24</v>
      </c>
      <c r="G45" s="95">
        <f t="shared" si="9"/>
        <v>15223.5</v>
      </c>
      <c r="H45" s="95"/>
      <c r="I45" s="95">
        <f t="shared" si="9"/>
        <v>4460</v>
      </c>
      <c r="J45" s="95">
        <f t="shared" si="9"/>
        <v>688</v>
      </c>
      <c r="K45" s="95">
        <f t="shared" si="9"/>
        <v>1848.4761786091169</v>
      </c>
      <c r="L45" s="95">
        <f t="shared" si="9"/>
        <v>215470.24055587733</v>
      </c>
      <c r="M45" s="95">
        <f t="shared" si="9"/>
        <v>232549.51907417999</v>
      </c>
      <c r="N45" s="96">
        <f t="shared" si="9"/>
        <v>26857.553509412457</v>
      </c>
      <c r="O45" s="95">
        <f t="shared" si="9"/>
        <v>21195.040059613155</v>
      </c>
      <c r="P45" s="95">
        <f t="shared" si="9"/>
        <v>24090.04</v>
      </c>
      <c r="Q45" s="95">
        <f t="shared" si="9"/>
        <v>0</v>
      </c>
      <c r="R45" s="95">
        <f t="shared" si="9"/>
        <v>0</v>
      </c>
      <c r="S45" s="95">
        <f t="shared" si="9"/>
        <v>583.98062260958716</v>
      </c>
      <c r="T45" s="95">
        <f t="shared" si="9"/>
        <v>72726.614191635177</v>
      </c>
      <c r="U45" s="95">
        <f t="shared" si="9"/>
        <v>307.75851830263997</v>
      </c>
      <c r="V45" s="95">
        <f t="shared" si="9"/>
        <v>144599.40488254477</v>
      </c>
      <c r="W45" s="95">
        <f t="shared" si="9"/>
        <v>15223.5</v>
      </c>
      <c r="X45" s="97"/>
      <c r="Y45" s="98"/>
    </row>
    <row r="46" spans="1:27" s="6" customFormat="1" ht="9.75" customHeight="1">
      <c r="A46" s="122"/>
      <c r="B46" s="123">
        <v>38</v>
      </c>
      <c r="C46" s="124"/>
      <c r="D46" s="101"/>
      <c r="E46" s="101">
        <f>E45+'[5]HT-DOCENTE FIRMA'!I35</f>
        <v>310463.89937726827</v>
      </c>
      <c r="F46" s="101"/>
      <c r="G46" s="125">
        <f>G45+'[5]HT-DOCENTE FIRMA'!J35</f>
        <v>21976.32</v>
      </c>
      <c r="H46" s="125"/>
      <c r="I46" s="125">
        <f>I45+'[5]HT-DOCENTE FIRMA'!L35</f>
        <v>6110.2000000000007</v>
      </c>
      <c r="J46" s="101"/>
      <c r="K46" s="101">
        <f>K45+'[5]HT-DOCENTE FIRMA'!M35</f>
        <v>2439.0211786091168</v>
      </c>
      <c r="L46" s="101"/>
      <c r="M46" s="101"/>
      <c r="N46" s="5">
        <f>N45+'[5]HT-DOCENTE FIRMA'!P35</f>
        <v>38426.77809341246</v>
      </c>
      <c r="O46" s="101"/>
      <c r="P46" s="101"/>
      <c r="Q46" s="101"/>
      <c r="R46" s="101"/>
      <c r="S46" s="101"/>
      <c r="T46" s="101"/>
      <c r="U46" s="101"/>
      <c r="V46" s="101">
        <f>V45+'[5]HT-DOCENTE FIRMA'!X35</f>
        <v>224367.66560654476</v>
      </c>
      <c r="W46" s="101"/>
      <c r="X46" s="126"/>
      <c r="Y46" s="5"/>
    </row>
    <row r="47" spans="1:27" s="6" customFormat="1" ht="9.75" customHeight="1">
      <c r="A47" s="122"/>
      <c r="B47" s="123"/>
      <c r="C47" s="124"/>
      <c r="D47" s="101"/>
      <c r="E47" s="101">
        <f>E45+'[5]HT-DOCENTE FIRMA'!I35</f>
        <v>310463.89937726827</v>
      </c>
      <c r="F47" s="101"/>
      <c r="G47" s="125"/>
      <c r="H47" s="125"/>
      <c r="I47" s="125"/>
      <c r="J47" s="101"/>
      <c r="K47" s="101"/>
      <c r="L47" s="101"/>
      <c r="M47" s="101"/>
      <c r="N47" s="101"/>
      <c r="O47" s="101"/>
      <c r="P47" s="101">
        <f>P45+'[5]HT-DOCENTE FIRMA'!R35</f>
        <v>34719.440000000002</v>
      </c>
      <c r="Q47" s="101"/>
      <c r="R47" s="101"/>
      <c r="S47" s="101"/>
      <c r="T47" s="101"/>
      <c r="U47" s="101"/>
      <c r="V47" s="101"/>
      <c r="W47" s="101"/>
      <c r="X47" s="126"/>
      <c r="Y47" s="5"/>
      <c r="AA47" s="5"/>
    </row>
    <row r="48" spans="1:27" s="6" customFormat="1" ht="9.75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26"/>
      <c r="Y48" s="5"/>
    </row>
    <row r="49" spans="1:25" ht="15">
      <c r="A49" s="103"/>
      <c r="B49" s="104"/>
      <c r="C49" s="105"/>
      <c r="D49" s="106"/>
      <c r="E49" s="140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9"/>
      <c r="Y49" s="100"/>
    </row>
    <row r="50" spans="1:25" ht="15" customHeight="1">
      <c r="A50" s="110" t="s">
        <v>105</v>
      </c>
      <c r="B50" s="110"/>
      <c r="C50" s="110"/>
      <c r="D50" s="111"/>
      <c r="E50" s="109"/>
      <c r="F50" s="109"/>
      <c r="G50" s="113" t="s">
        <v>106</v>
      </c>
      <c r="H50" s="112"/>
      <c r="I50" s="112"/>
      <c r="J50" s="112"/>
      <c r="L50" s="113"/>
      <c r="M50" s="114"/>
      <c r="P50" s="115"/>
      <c r="Q50" s="115"/>
      <c r="R50" s="115"/>
      <c r="S50" s="115"/>
      <c r="T50" s="111" t="s">
        <v>107</v>
      </c>
      <c r="U50" s="111"/>
      <c r="V50" s="111"/>
      <c r="W50" s="111"/>
      <c r="X50" s="111"/>
      <c r="Y50" s="100"/>
    </row>
    <row r="51" spans="1:25" ht="0.75" customHeight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11"/>
      <c r="L51" s="103"/>
      <c r="M51" s="103"/>
      <c r="P51" s="103"/>
      <c r="Q51" s="115"/>
      <c r="R51" s="103"/>
      <c r="S51" s="103"/>
      <c r="T51" s="111"/>
      <c r="U51" s="111"/>
      <c r="V51" s="111"/>
      <c r="W51" s="111"/>
      <c r="X51" s="111"/>
      <c r="Y51" s="100"/>
    </row>
    <row r="52" spans="1:25" ht="0.75" customHeight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11"/>
      <c r="L52" s="109"/>
      <c r="M52" s="109"/>
      <c r="P52" s="109"/>
      <c r="Q52" s="109"/>
      <c r="R52" s="109"/>
      <c r="S52" s="109"/>
      <c r="T52" s="111"/>
      <c r="U52" s="111"/>
      <c r="V52" s="111"/>
      <c r="W52" s="111"/>
      <c r="X52" s="111"/>
      <c r="Y52" s="100"/>
    </row>
    <row r="53" spans="1:25">
      <c r="A53" s="111"/>
      <c r="B53" s="113" t="s">
        <v>108</v>
      </c>
      <c r="C53" s="111"/>
      <c r="D53" s="111"/>
      <c r="E53" s="116"/>
      <c r="F53" s="116"/>
      <c r="G53" s="118" t="s">
        <v>109</v>
      </c>
      <c r="H53" s="117"/>
      <c r="I53" s="117"/>
      <c r="J53" s="117"/>
      <c r="L53" s="118"/>
      <c r="M53" s="118"/>
      <c r="P53" s="109"/>
      <c r="Q53" s="109"/>
      <c r="R53" s="116"/>
      <c r="S53" s="109"/>
      <c r="T53" s="117" t="s">
        <v>110</v>
      </c>
      <c r="U53" s="117"/>
      <c r="V53" s="117"/>
      <c r="W53" s="117"/>
      <c r="X53" s="111"/>
      <c r="Y53" s="100"/>
    </row>
    <row r="54" spans="1:25" ht="15" customHeight="1">
      <c r="A54" s="110" t="s">
        <v>111</v>
      </c>
      <c r="B54" s="110"/>
      <c r="C54" s="110"/>
      <c r="D54" s="111"/>
      <c r="E54" s="109"/>
      <c r="F54" s="109"/>
      <c r="G54" s="118" t="s">
        <v>112</v>
      </c>
      <c r="H54" s="117"/>
      <c r="I54" s="117"/>
      <c r="J54" s="117"/>
      <c r="L54" s="118"/>
      <c r="M54" s="118"/>
      <c r="P54" s="109"/>
      <c r="Q54" s="109"/>
      <c r="R54" s="109"/>
      <c r="S54" s="109"/>
      <c r="T54" s="119" t="s">
        <v>113</v>
      </c>
      <c r="U54" s="119"/>
      <c r="V54" s="119"/>
      <c r="W54" s="118"/>
      <c r="X54" s="111"/>
      <c r="Y54" s="100"/>
    </row>
    <row r="55" spans="1:25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0"/>
    </row>
    <row r="56" spans="1:25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0"/>
    </row>
    <row r="57" spans="1:25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16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0"/>
    </row>
    <row r="58" spans="1:25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0"/>
    </row>
    <row r="59" spans="1:25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00"/>
    </row>
    <row r="60" spans="1:25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00"/>
    </row>
    <row r="61" spans="1:25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00"/>
    </row>
    <row r="62" spans="1:25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00"/>
    </row>
    <row r="63" spans="1:25">
      <c r="Y63" s="100"/>
    </row>
    <row r="64" spans="1:25">
      <c r="Y64" s="100"/>
    </row>
    <row r="65" spans="1:25">
      <c r="Y65" s="100"/>
    </row>
    <row r="66" spans="1:25">
      <c r="Y66" s="100"/>
    </row>
    <row r="67" spans="1:25">
      <c r="Y67" s="100"/>
    </row>
    <row r="68" spans="1:25">
      <c r="Y68" s="100"/>
    </row>
    <row r="69" spans="1:25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5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5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5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5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5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5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5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5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5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5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5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307" spans="100:100">
      <c r="CV307" s="1" t="s">
        <v>114</v>
      </c>
    </row>
  </sheetData>
  <mergeCells count="3">
    <mergeCell ref="A50:C50"/>
    <mergeCell ref="A54:C54"/>
    <mergeCell ref="T54:V54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CU307"/>
  <sheetViews>
    <sheetView zoomScale="80" zoomScaleNormal="80" workbookViewId="0">
      <pane xSplit="2" ySplit="6" topLeftCell="C39" activePane="bottomRight" state="frozen"/>
      <selection activeCell="S28" sqref="S28"/>
      <selection pane="topRight" activeCell="S28" sqref="S28"/>
      <selection pane="bottomLeft" activeCell="S28" sqref="S28"/>
      <selection pane="bottomRight" activeCell="E42" sqref="E42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7" width="12.42578125" style="1" customWidth="1"/>
    <col min="8" max="8" width="12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7.1406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3" spans="1:26">
      <c r="B3" s="2"/>
      <c r="I3" s="3"/>
      <c r="J3" s="3"/>
      <c r="K3" s="4"/>
      <c r="L3" s="5" t="s">
        <v>0</v>
      </c>
      <c r="O3" s="6"/>
      <c r="P3" s="6"/>
      <c r="Q3" s="6" t="s">
        <v>1</v>
      </c>
    </row>
    <row r="4" spans="1:26">
      <c r="B4" s="2"/>
      <c r="C4" s="3"/>
      <c r="D4" s="3"/>
      <c r="E4" s="3"/>
      <c r="F4" s="3"/>
      <c r="I4" s="3"/>
      <c r="J4" s="3"/>
      <c r="K4" s="3"/>
      <c r="L4" s="7">
        <v>1.9E-2</v>
      </c>
      <c r="O4" s="8">
        <v>0.01</v>
      </c>
      <c r="P4" s="121">
        <v>0.105</v>
      </c>
      <c r="Q4" s="9">
        <v>3.7999999999999999E-2</v>
      </c>
    </row>
    <row r="5" spans="1:26" ht="13.5" thickBot="1">
      <c r="B5" s="10" t="s">
        <v>2</v>
      </c>
      <c r="C5" s="3"/>
      <c r="D5" s="3"/>
      <c r="E5" s="3"/>
      <c r="F5" s="10" t="s">
        <v>120</v>
      </c>
      <c r="J5" s="3"/>
      <c r="K5" s="3"/>
    </row>
    <row r="6" spans="1:26" s="25" customFormat="1" ht="105.7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142">
        <f>'[1]HT-ADMINISTRATIVOS'!C8</f>
        <v>15</v>
      </c>
      <c r="D7" s="28">
        <f>E7/C7</f>
        <v>1129.1146666666668</v>
      </c>
      <c r="E7" s="28">
        <v>16936.72</v>
      </c>
      <c r="F7" s="28">
        <v>6616.24</v>
      </c>
      <c r="G7" s="28">
        <f>'[1]HT-ADMINISTRATIVOS'!G8</f>
        <v>960</v>
      </c>
      <c r="H7" s="28">
        <f>'[1]HT-ADMINISTRATIVOS'!H8</f>
        <v>0</v>
      </c>
      <c r="I7" s="28">
        <f>'[1]HT-ADMINISTRATIVOS'!J8</f>
        <v>688</v>
      </c>
      <c r="J7" s="28">
        <f>'[1]HT-ADMINISTRATIVOS'!I8</f>
        <v>0</v>
      </c>
      <c r="K7" s="28">
        <f>E7+F7+H7+I7+J7</f>
        <v>24240.959999999999</v>
      </c>
      <c r="L7" s="28">
        <f t="shared" ref="L7:L12" si="0">K7+G7</f>
        <v>25200.959999999999</v>
      </c>
      <c r="M7" s="28">
        <f>IF('[1]Calculo ISR '!$K$34&lt;0,0,'[1]Calculo ISR '!$K$34)</f>
        <v>5456.9699999999993</v>
      </c>
      <c r="N7" s="28">
        <f>E7*P4</f>
        <v>1778.3556000000001</v>
      </c>
      <c r="O7" s="28"/>
      <c r="P7" s="28">
        <f>'[1]HT-ADMINISTRATIVOS'!Q8</f>
        <v>0</v>
      </c>
      <c r="Q7" s="28">
        <f>'[1]HT-ADMINISTRATIVOS'!R8</f>
        <v>0</v>
      </c>
      <c r="R7" s="28">
        <f>'[1]HT-ADMINISTRATIVOS'!S8</f>
        <v>0</v>
      </c>
      <c r="S7" s="28">
        <f>M7+N7+O7+P7+Q7+R7</f>
        <v>7235.3255999999992</v>
      </c>
      <c r="T7" s="28"/>
      <c r="U7" s="28">
        <f>L7-S7-V7</f>
        <v>17005.634399999999</v>
      </c>
      <c r="V7" s="28">
        <f>'[1]HT-ADMINISTRATIVOS'!W8</f>
        <v>960</v>
      </c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754.53875970000001</v>
      </c>
      <c r="E8" s="36">
        <v>11318.081395499999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E8*Q4</f>
        <v>430.08709302899996</v>
      </c>
      <c r="K8" s="36">
        <f>E8+F8+H8+I8+J8</f>
        <v>12194.168488529</v>
      </c>
      <c r="L8" s="36">
        <f t="shared" si="0"/>
        <v>12579.668488529</v>
      </c>
      <c r="M8" s="28">
        <f>IF('[1]Calculo ISR '!$L$34&lt;0,0,'[1]Calculo ISR '!$L$34)</f>
        <v>2099.3806365020209</v>
      </c>
      <c r="N8" s="38">
        <f>E8*P4</f>
        <v>1188.3985465275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3287.7791830295209</v>
      </c>
      <c r="T8" s="28">
        <f>IF('[1]Calculo ISR '!$L$34&gt;0,0,'[1]Calculo ISR '!$L$34)*-1</f>
        <v>0</v>
      </c>
      <c r="U8" s="36">
        <f>K8-S8</f>
        <v>8906.3893054994787</v>
      </c>
      <c r="V8" s="36">
        <f t="shared" ref="V8:V27" si="1">G8</f>
        <v>385.5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230.34834514817072</v>
      </c>
      <c r="E9" s="36">
        <v>3455.2251772225609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E9*Q4</f>
        <v>131.29855673445732</v>
      </c>
      <c r="K9" s="36">
        <f>E9+F9+H9+I9+J9</f>
        <v>3586.5237339570181</v>
      </c>
      <c r="L9" s="36">
        <f t="shared" si="0"/>
        <v>3972.0237339570181</v>
      </c>
      <c r="M9" s="28">
        <f>IF('[1]Calculo ISR '!$M$34&lt;0,0,'[1]Calculo ISR '!$M$34)</f>
        <v>178.73069425452351</v>
      </c>
      <c r="N9" s="38">
        <f>E9*P4</f>
        <v>362.79864360836888</v>
      </c>
      <c r="O9" s="38">
        <v>959.26</v>
      </c>
      <c r="P9" s="38">
        <f>'[1]HT-ADMINISTRATIVOS'!Q11</f>
        <v>0</v>
      </c>
      <c r="Q9" s="38">
        <f>'[1]HT-ADMINISTRATIVOS'!R11</f>
        <v>0</v>
      </c>
      <c r="R9" s="38">
        <f>E9*O4</f>
        <v>34.55225177222561</v>
      </c>
      <c r="S9" s="36">
        <f>M9+N9+O9+P9+Q9+R9</f>
        <v>1535.341589635118</v>
      </c>
      <c r="T9" s="28">
        <f>IF('[1]Calculo ISR '!$M$34&gt;0,0,'[1]Calculo ISR '!$M$34)*-1</f>
        <v>0</v>
      </c>
      <c r="U9" s="36">
        <f t="shared" ref="U9:U15" si="2">K9-S9+T9</f>
        <v>2051.1821443219001</v>
      </c>
      <c r="V9" s="36">
        <f t="shared" si="1"/>
        <v>385.5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v>242.09274535320057</v>
      </c>
      <c r="E10" s="36">
        <v>3631.3911802980087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E10*Q4</f>
        <v>137.99286485132433</v>
      </c>
      <c r="K10" s="36">
        <f>E10+F10+I10+J10</f>
        <v>3769.3840451493329</v>
      </c>
      <c r="L10" s="36">
        <f t="shared" si="0"/>
        <v>4154.8840451493325</v>
      </c>
      <c r="M10" s="28">
        <f>IF('[1]Calculo ISR '!$N$34&lt;0,0,'[1]Calculo ISR '!$N$34)</f>
        <v>312.18984722389325</v>
      </c>
      <c r="N10" s="38">
        <f>E10*P4</f>
        <v>381.29607393129089</v>
      </c>
      <c r="O10" s="38">
        <v>1077.99</v>
      </c>
      <c r="P10" s="38">
        <f>'[1]HT-ADMINISTRATIVOS'!Q12</f>
        <v>0</v>
      </c>
      <c r="Q10" s="38">
        <f>'[1]HT-ADMINISTRATIVOS'!R12</f>
        <v>0</v>
      </c>
      <c r="R10" s="38">
        <f>E10*O4</f>
        <v>36.313911802980087</v>
      </c>
      <c r="S10" s="36">
        <f t="shared" ref="S10:S31" si="3">M10+N10+O10+R10+P10+Q10</f>
        <v>1807.7898329581642</v>
      </c>
      <c r="T10" s="28">
        <f>IF('[1]Calculo ISR '!$N$34&gt;0,0,'[1]Calculo ISR '!$N$34)*-1</f>
        <v>0</v>
      </c>
      <c r="U10" s="36">
        <f t="shared" si="2"/>
        <v>1961.5942121911687</v>
      </c>
      <c r="V10" s="36">
        <f t="shared" si="1"/>
        <v>385.5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219.22891544903311</v>
      </c>
      <c r="E11" s="36">
        <v>3288.4337317354966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E11*Q4</f>
        <v>124.96048180594887</v>
      </c>
      <c r="K11" s="36">
        <f t="shared" ref="K11:K33" si="4">E11+F11+H11+I11+J11</f>
        <v>3413.3942135414454</v>
      </c>
      <c r="L11" s="36">
        <f t="shared" si="0"/>
        <v>3798.8942135414454</v>
      </c>
      <c r="M11" s="28">
        <f>IF('[1]Calculo ISR '!$O$34&lt;0,0,'[1]Calculo ISR '!$O$34)</f>
        <v>142.19420243330924</v>
      </c>
      <c r="N11" s="38">
        <f>E11*P4</f>
        <v>345.28554183222712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32.884337317354969</v>
      </c>
      <c r="S11" s="36">
        <f t="shared" si="3"/>
        <v>1982.5840815828915</v>
      </c>
      <c r="T11" s="28">
        <f>IF('[1]Calculo ISR '!$O$34&gt;0,0,'[1]Calculo ISR '!$O$34)*-1</f>
        <v>0</v>
      </c>
      <c r="U11" s="36">
        <f t="shared" si="2"/>
        <v>1430.8101319585539</v>
      </c>
      <c r="V11" s="36">
        <f t="shared" si="1"/>
        <v>385.5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242.09274535320057</v>
      </c>
      <c r="E12" s="36">
        <v>3631.3911802980087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E12*Q4</f>
        <v>137.99286485132433</v>
      </c>
      <c r="K12" s="36">
        <f t="shared" si="4"/>
        <v>3769.3840451493329</v>
      </c>
      <c r="L12" s="36">
        <f t="shared" si="0"/>
        <v>4154.8840451493325</v>
      </c>
      <c r="M12" s="28">
        <f>IF('[1]Calculo ISR '!$P$34&lt;0,0,'[1]Calculo ISR '!$P$34)</f>
        <v>312.18984722389325</v>
      </c>
      <c r="N12" s="38">
        <f>E12*P4</f>
        <v>381.29607393129089</v>
      </c>
      <c r="O12" s="38">
        <v>1170</v>
      </c>
      <c r="P12" s="38">
        <f>'[1]HT-ADMINISTRATIVOS'!Q14</f>
        <v>0</v>
      </c>
      <c r="Q12" s="38">
        <f>'[1]HT-ADMINISTRATIVOS'!R14</f>
        <v>0</v>
      </c>
      <c r="R12" s="38">
        <f>E12*O4</f>
        <v>36.313911802980087</v>
      </c>
      <c r="S12" s="36">
        <f t="shared" si="3"/>
        <v>1899.7998329581642</v>
      </c>
      <c r="T12" s="28">
        <f>IF('[1]Calculo ISR '!$P$34&gt;0,0,'[1]Calculo ISR '!$P$34)*-1</f>
        <v>0</v>
      </c>
      <c r="U12" s="36">
        <f t="shared" si="2"/>
        <v>1869.5842121911687</v>
      </c>
      <c r="V12" s="36">
        <f t="shared" si="1"/>
        <v>385.5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171.33947607512999</v>
      </c>
      <c r="E13" s="36">
        <v>2570.0921411269501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E13*Q4</f>
        <v>97.663501362824107</v>
      </c>
      <c r="K13" s="36">
        <f t="shared" si="4"/>
        <v>2667.7556424897743</v>
      </c>
      <c r="L13" s="36">
        <f>K13+G13+T13</f>
        <v>3053.2556424897743</v>
      </c>
      <c r="M13" s="28">
        <f>IF('[1]Calculo ISR '!$Q$34&lt;0,0,'[1]Calculo ISR '!$Q$34)</f>
        <v>40.818725902887451</v>
      </c>
      <c r="N13" s="38">
        <f>E13*P4</f>
        <v>269.85967481832972</v>
      </c>
      <c r="O13" s="38">
        <v>584</v>
      </c>
      <c r="P13" s="38">
        <f>'[1]HT-ADMINISTRATIVOS'!Q15</f>
        <v>0</v>
      </c>
      <c r="Q13" s="38">
        <f>'[1]HT-ADMINISTRATIVOS'!R15</f>
        <v>0</v>
      </c>
      <c r="R13" s="38">
        <f>E13*O4</f>
        <v>25.700921411269501</v>
      </c>
      <c r="S13" s="36">
        <f t="shared" si="3"/>
        <v>920.37932213248666</v>
      </c>
      <c r="T13" s="28">
        <f>IF('[1]Calculo ISR '!$Q$34&gt;0,0,'[1]Calculo ISR '!$Q$34)</f>
        <v>0</v>
      </c>
      <c r="U13" s="36">
        <f t="shared" si="2"/>
        <v>1747.3763203572876</v>
      </c>
      <c r="V13" s="36">
        <f t="shared" si="1"/>
        <v>385.5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163.00161009000001</v>
      </c>
      <c r="E14" s="36">
        <v>2445.02415135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E14*Q4</f>
        <v>92.910917751300005</v>
      </c>
      <c r="K14" s="36">
        <f t="shared" si="4"/>
        <v>2537.9350691013001</v>
      </c>
      <c r="L14" s="36">
        <f>K14+G14+T14</f>
        <v>2923.4350691013001</v>
      </c>
      <c r="M14" s="28">
        <f>IF('[1]Calculo ISR '!$R$34&lt;0,0,'[1]Calculo ISR '!$R$34)</f>
        <v>11.694247518221431</v>
      </c>
      <c r="N14" s="38">
        <f>E14*P4</f>
        <v>256.72753589174999</v>
      </c>
      <c r="O14" s="38">
        <v>625</v>
      </c>
      <c r="P14" s="38">
        <f>'[1]HT-ADMINISTRATIVOS'!Q16</f>
        <v>0</v>
      </c>
      <c r="Q14" s="38">
        <f>'[1]HT-ADMINISTRATIVOS'!R16</f>
        <v>0</v>
      </c>
      <c r="R14" s="38">
        <f>E14*O4</f>
        <v>24.4502415135</v>
      </c>
      <c r="S14" s="36">
        <f t="shared" si="3"/>
        <v>917.87202492347149</v>
      </c>
      <c r="T14" s="28">
        <f>IF('[1]Calculo ISR '!$R$34&gt;0,0,'[1]Calculo ISR '!$R$34)*-1</f>
        <v>0</v>
      </c>
      <c r="U14" s="36">
        <f t="shared" si="2"/>
        <v>1620.0630441778285</v>
      </c>
      <c r="V14" s="36">
        <f t="shared" si="1"/>
        <v>385.5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534.93837680832996</v>
      </c>
      <c r="E15" s="36">
        <v>8024.0756521249496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E15*L4</f>
        <v>152.45743739037403</v>
      </c>
      <c r="K15" s="36">
        <f t="shared" si="4"/>
        <v>8176.5330895153238</v>
      </c>
      <c r="L15" s="36">
        <f>K15+G15</f>
        <v>8562.0330895153238</v>
      </c>
      <c r="M15" s="28">
        <f>IF('[1]Calculo ISR '!$S$34&lt;0,0,'[1]Calculo ISR '!$S$34)</f>
        <v>1199.3182919204733</v>
      </c>
      <c r="N15" s="38">
        <f>E15*P4</f>
        <v>842.52794347311965</v>
      </c>
      <c r="O15" s="38">
        <v>2675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3"/>
        <v>4716.8462353935929</v>
      </c>
      <c r="T15" s="28">
        <f>IF('[1]Calculo ISR '!$S$34&gt;0,0,'[1]Calculo ISR '!$S$34)*-1</f>
        <v>0</v>
      </c>
      <c r="U15" s="36">
        <f t="shared" si="2"/>
        <v>3459.6868541217309</v>
      </c>
      <c r="V15" s="36">
        <f t="shared" si="1"/>
        <v>385.5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267.35834171124986</v>
      </c>
      <c r="E16" s="36">
        <v>4010.3751256687478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E16*L4</f>
        <v>76.197127387706203</v>
      </c>
      <c r="K16" s="36">
        <f t="shared" si="4"/>
        <v>4086.572253056454</v>
      </c>
      <c r="L16" s="36">
        <f>K16+G16</f>
        <v>4472.0722530564544</v>
      </c>
      <c r="M16" s="28">
        <f>IF('[1]Calculo ISR '!$T$34&lt;0,0,'[1]Calculo ISR '!$T$34)</f>
        <v>362.93996048903261</v>
      </c>
      <c r="N16" s="38">
        <f>E16*P4</f>
        <v>421.08938819521853</v>
      </c>
      <c r="O16" s="38">
        <v>1867.49</v>
      </c>
      <c r="P16" s="38"/>
      <c r="Q16" s="38"/>
      <c r="R16" s="38">
        <f>E16*O4</f>
        <v>40.103751256687481</v>
      </c>
      <c r="S16" s="36">
        <f>M16+N16+O16+Q16+R16+P16</f>
        <v>2691.6230999409386</v>
      </c>
      <c r="T16" s="28">
        <f>IF('[1]Calculo ISR '!$T$34&gt;0,0,'[1]Calculo ISR '!$T$34)*-1</f>
        <v>0</v>
      </c>
      <c r="U16" s="36">
        <f>K16-S16</f>
        <v>1394.9491531155154</v>
      </c>
      <c r="V16" s="36">
        <f t="shared" si="1"/>
        <v>385.5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230.34834514817072</v>
      </c>
      <c r="E17" s="36">
        <v>3455.2251772225609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7">
        <f>E17*L4</f>
        <v>65.649278367228661</v>
      </c>
      <c r="K17" s="36">
        <f t="shared" si="4"/>
        <v>3966.8744555897897</v>
      </c>
      <c r="L17" s="36">
        <f>K17+G17</f>
        <v>4352.3744555897902</v>
      </c>
      <c r="M17" s="28">
        <f>IF('[1]Calculo ISR '!$U$34&lt;0,0,'[1]Calculo ISR '!$U$34)</f>
        <v>343.7883128943663</v>
      </c>
      <c r="N17" s="38">
        <f>E17*P4</f>
        <v>362.79864360836888</v>
      </c>
      <c r="O17" s="38">
        <v>1715.6</v>
      </c>
      <c r="P17" s="38">
        <f>'[1]HT-ADMINISTRATIVOS'!Q19</f>
        <v>0</v>
      </c>
      <c r="Q17" s="38">
        <f>'[1]HT-ADMINISTRATIVOS'!R19</f>
        <v>0</v>
      </c>
      <c r="R17" s="38">
        <f>E17*O4</f>
        <v>34.55225177222561</v>
      </c>
      <c r="S17" s="36">
        <f t="shared" si="3"/>
        <v>2456.7392082749607</v>
      </c>
      <c r="T17" s="28">
        <f>IF('[1]Calculo ISR '!$U$34&gt;0,0,'[1]Calculo ISR '!$U$34)*-1</f>
        <v>0</v>
      </c>
      <c r="U17" s="36">
        <f t="shared" ref="U17:U32" si="5">K17-S17+T17</f>
        <v>1510.135247314829</v>
      </c>
      <c r="V17" s="36">
        <f t="shared" si="1"/>
        <v>385.5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873.012693639492</v>
      </c>
      <c r="E18" s="36">
        <v>13095.19040459238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E18*L4</f>
        <v>248.80861768725521</v>
      </c>
      <c r="K18" s="36">
        <f t="shared" si="4"/>
        <v>13343.999022279635</v>
      </c>
      <c r="L18" s="36">
        <f>K18+G18</f>
        <v>13729.499022279635</v>
      </c>
      <c r="M18" s="28">
        <f>IF('[1]Calculo ISR '!$V$34&lt;0,0,'[1]Calculo ISR '!$V$34)</f>
        <v>2369.8207780401704</v>
      </c>
      <c r="N18" s="38">
        <f>E18*P4</f>
        <v>1374.9949924821999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3"/>
        <v>3744.8157705223703</v>
      </c>
      <c r="T18" s="28">
        <f>IF('[1]Calculo ISR '!$V$34&gt;0,0,'[1]Calculo ISR '!$V$34)*-1</f>
        <v>0</v>
      </c>
      <c r="U18" s="36">
        <f t="shared" si="5"/>
        <v>9599.1832517572657</v>
      </c>
      <c r="V18" s="36">
        <f t="shared" si="1"/>
        <v>385.5</v>
      </c>
      <c r="W18" s="46"/>
      <c r="X18" s="47"/>
    </row>
    <row r="19" spans="1:24" s="48" customFormat="1" ht="45" customHeight="1">
      <c r="A19" s="53" t="s">
        <v>51</v>
      </c>
      <c r="B19" s="53" t="s">
        <v>52</v>
      </c>
      <c r="C19" s="34">
        <v>15</v>
      </c>
      <c r="D19" s="50">
        <v>219.22891544903311</v>
      </c>
      <c r="E19" s="36">
        <v>3288.4337317354966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'[1]HT-ADMINISTRATIVOS'!I21</f>
        <v>0</v>
      </c>
      <c r="K19" s="36">
        <f t="shared" si="4"/>
        <v>3288.4337317354966</v>
      </c>
      <c r="L19" s="36">
        <f>K19+G19</f>
        <v>3673.9337317354966</v>
      </c>
      <c r="M19" s="28">
        <f>IF('[1]Calculo ISR '!$W$34&lt;0,0,'[1]Calculo ISR '!$W$34)</f>
        <v>128.59850201282202</v>
      </c>
      <c r="N19" s="38">
        <f>E19*P4</f>
        <v>345.28554183222712</v>
      </c>
      <c r="O19" s="38">
        <v>1357.77</v>
      </c>
      <c r="P19" s="38">
        <f>'[1]HT-ADMINISTRATIVOS'!Q21</f>
        <v>0</v>
      </c>
      <c r="Q19" s="38">
        <f>'[1]HT-ADMINISTRATIVOS'!R21</f>
        <v>0</v>
      </c>
      <c r="R19" s="38">
        <f>E19*O4</f>
        <v>32.884337317354969</v>
      </c>
      <c r="S19" s="36">
        <f t="shared" si="3"/>
        <v>1864.5383811624042</v>
      </c>
      <c r="T19" s="28">
        <f>IF('[1]Calculo ISR '!$W$34&gt;0,0,'[1]Calculo ISR '!$W$34)*-1</f>
        <v>0</v>
      </c>
      <c r="U19" s="36">
        <f t="shared" si="5"/>
        <v>1423.8953505730924</v>
      </c>
      <c r="V19" s="36">
        <f t="shared" si="1"/>
        <v>385.5</v>
      </c>
      <c r="W19" s="46"/>
      <c r="X19" s="47"/>
    </row>
    <row r="20" spans="1:24" s="48" customFormat="1" ht="45" customHeight="1">
      <c r="A20" s="53" t="s">
        <v>53</v>
      </c>
      <c r="B20" s="53" t="s">
        <v>54</v>
      </c>
      <c r="C20" s="34">
        <v>15</v>
      </c>
      <c r="D20" s="50">
        <v>148.1300975275</v>
      </c>
      <c r="E20" s="36">
        <v>2221.9514629125001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'[1]HT-ADMINISTRATIVOS'!I22</f>
        <v>0</v>
      </c>
      <c r="K20" s="36">
        <f t="shared" si="4"/>
        <v>2221.9514629125001</v>
      </c>
      <c r="L20" s="36">
        <f>K20+G20+T20</f>
        <v>2644.5362317476201</v>
      </c>
      <c r="M20" s="28">
        <f>IF('[1]Calculo ISR '!$X$34&lt;0,0,'[1]Calculo ISR '!$X$34)</f>
        <v>0</v>
      </c>
      <c r="N20" s="38">
        <f>E20*P4</f>
        <v>233.30490360581251</v>
      </c>
      <c r="O20" s="38">
        <v>741</v>
      </c>
      <c r="P20" s="38">
        <f>'[1]HT-ADMINISTRATIVOS'!Q22</f>
        <v>0</v>
      </c>
      <c r="Q20" s="38">
        <f>'[1]HT-ADMINISTRATIVOS'!R22</f>
        <v>0</v>
      </c>
      <c r="R20" s="38">
        <f>E20*O4</f>
        <v>22.219514629125001</v>
      </c>
      <c r="S20" s="36">
        <f t="shared" si="3"/>
        <v>996.52441823493757</v>
      </c>
      <c r="T20" s="28">
        <f>IF('[1]Calculo ISR '!$X$34&gt;0,0,('[1]Calculo ISR '!$X$34)*-1)</f>
        <v>37.084768835120002</v>
      </c>
      <c r="U20" s="36">
        <f t="shared" si="5"/>
        <v>1262.5118135126827</v>
      </c>
      <c r="V20" s="36">
        <f t="shared" si="1"/>
        <v>385.5</v>
      </c>
      <c r="W20" s="46"/>
      <c r="X20" s="47"/>
    </row>
    <row r="21" spans="1:24" s="48" customFormat="1" ht="45" customHeight="1">
      <c r="A21" s="53" t="s">
        <v>55</v>
      </c>
      <c r="B21" s="53" t="s">
        <v>56</v>
      </c>
      <c r="C21" s="34">
        <v>15</v>
      </c>
      <c r="D21" s="50">
        <v>148.19297316999999</v>
      </c>
      <c r="E21" s="36">
        <v>2222.8945975499996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'[1]HT-ADMINISTRATIVOS'!I23</f>
        <v>0</v>
      </c>
      <c r="K21" s="36">
        <f t="shared" si="4"/>
        <v>2668.8945975499996</v>
      </c>
      <c r="L21" s="36">
        <f>K21+G21+T21</f>
        <v>3054.3945975499996</v>
      </c>
      <c r="M21" s="28">
        <f>IF('[1]Calculo ISR '!$Y$34&lt;0,0,'[1]Calculo ISR '!$Y$34)</f>
        <v>40.942644213439934</v>
      </c>
      <c r="N21" s="38">
        <f>E21*P4</f>
        <v>233.40393274274996</v>
      </c>
      <c r="O21" s="38">
        <v>851.76</v>
      </c>
      <c r="P21" s="38">
        <f>'[1]HT-ADMINISTRATIVOS'!Q23</f>
        <v>0</v>
      </c>
      <c r="Q21" s="38">
        <f>'[1]HT-ADMINISTRATIVOS'!R23</f>
        <v>0</v>
      </c>
      <c r="R21" s="38">
        <f>E21*O4</f>
        <v>22.228945975499997</v>
      </c>
      <c r="S21" s="36">
        <f t="shared" si="3"/>
        <v>1148.3355229316899</v>
      </c>
      <c r="T21" s="28">
        <f>IF('[1]Calculo ISR '!$Y$34&gt;0,0,'[1]Calculo ISR '!$Y$34)*-1</f>
        <v>0</v>
      </c>
      <c r="U21" s="36">
        <f t="shared" si="5"/>
        <v>1520.5590746183098</v>
      </c>
      <c r="V21" s="36">
        <f t="shared" si="1"/>
        <v>385.5</v>
      </c>
      <c r="W21" s="46"/>
      <c r="X21" s="47"/>
    </row>
    <row r="22" spans="1:24" s="48" customFormat="1" ht="45" customHeight="1">
      <c r="A22" s="53" t="s">
        <v>57</v>
      </c>
      <c r="B22" s="53" t="s">
        <v>58</v>
      </c>
      <c r="C22" s="34">
        <v>15</v>
      </c>
      <c r="D22" s="50">
        <v>198.84487564290151</v>
      </c>
      <c r="E22" s="36">
        <v>2982.6731346435226</v>
      </c>
      <c r="F22" s="43"/>
      <c r="G22" s="36">
        <f>'[1]HT-ADMINISTRATIVOS'!G26</f>
        <v>385.5</v>
      </c>
      <c r="H22" s="36">
        <f>'[1]HT-ADMINISTRATIVOS'!H26</f>
        <v>0</v>
      </c>
      <c r="I22" s="36">
        <f>'[1]HT-ADMINISTRATIVOS'!J26</f>
        <v>0</v>
      </c>
      <c r="J22" s="37">
        <f>'[1]HT-ADMINISTRATIVOS'!I26</f>
        <v>0</v>
      </c>
      <c r="K22" s="36">
        <f t="shared" si="4"/>
        <v>2982.6731346435226</v>
      </c>
      <c r="L22" s="36">
        <f>K22+G22</f>
        <v>3368.1731346435226</v>
      </c>
      <c r="M22" s="28">
        <f>IF('[1]Calculo ISR '!$Z$34&lt;0,0,'[1]Calculo ISR '!$Z$34)</f>
        <v>75.081749049215233</v>
      </c>
      <c r="N22" s="38">
        <f>E22*P4</f>
        <v>313.18067913756988</v>
      </c>
      <c r="O22" s="38">
        <v>829</v>
      </c>
      <c r="P22" s="38">
        <f>'[1]HT-ADMINISTRATIVOS'!Q26</f>
        <v>0</v>
      </c>
      <c r="Q22" s="38">
        <f>'[1]HT-ADMINISTRATIVOS'!R26</f>
        <v>0</v>
      </c>
      <c r="R22" s="38">
        <f>E22*O4</f>
        <v>29.826731346435228</v>
      </c>
      <c r="S22" s="36">
        <f t="shared" si="3"/>
        <v>1247.0891595332205</v>
      </c>
      <c r="T22" s="28">
        <f>IF('[1]Calculo ISR '!$Z$34&gt;0,0,'[1]Calculo ISR '!$Z$34)*-1</f>
        <v>0</v>
      </c>
      <c r="U22" s="36">
        <f t="shared" si="5"/>
        <v>1735.5839751103022</v>
      </c>
      <c r="V22" s="36">
        <f t="shared" si="1"/>
        <v>385.5</v>
      </c>
      <c r="W22" s="46"/>
      <c r="X22" s="47"/>
    </row>
    <row r="23" spans="1:24" s="48" customFormat="1" ht="45" customHeight="1">
      <c r="A23" s="53" t="s">
        <v>59</v>
      </c>
      <c r="B23" s="53" t="s">
        <v>60</v>
      </c>
      <c r="C23" s="34">
        <v>15</v>
      </c>
      <c r="D23" s="50">
        <v>198.84487558991</v>
      </c>
      <c r="E23" s="36">
        <v>2982.6731338486502</v>
      </c>
      <c r="F23" s="43"/>
      <c r="G23" s="36">
        <f>'[1]HT-ADMINISTRATIVOS'!G27</f>
        <v>385.5</v>
      </c>
      <c r="H23" s="36">
        <f>'[1]HT-ADMINISTRATIVOS'!H27</f>
        <v>0</v>
      </c>
      <c r="I23" s="36">
        <f>'[1]HT-ADMINISTRATIVOS'!J27</f>
        <v>0</v>
      </c>
      <c r="J23" s="37">
        <f>'[1]HT-ADMINISTRATIVOS'!I27</f>
        <v>0</v>
      </c>
      <c r="K23" s="36">
        <f t="shared" si="4"/>
        <v>2982.6731338486502</v>
      </c>
      <c r="L23" s="36">
        <f>K23+G23</f>
        <v>3368.1731338486502</v>
      </c>
      <c r="M23" s="28">
        <f>IF('[1]Calculo ISR '!$AA$34&lt;0,0,'[1]Calculo ISR '!$AA$34)</f>
        <v>75.081748962733116</v>
      </c>
      <c r="N23" s="38">
        <f>E23*P4</f>
        <v>313.18067905410828</v>
      </c>
      <c r="O23" s="38">
        <f>'[1]HT-ADMINISTRATIVOS'!P27</f>
        <v>0</v>
      </c>
      <c r="P23" s="38">
        <f>'[1]HT-ADMINISTRATIVOS'!Q27</f>
        <v>0</v>
      </c>
      <c r="Q23" s="38">
        <f>'[1]HT-ADMINISTRATIVOS'!R27</f>
        <v>0</v>
      </c>
      <c r="R23" s="38">
        <f>E23*O4</f>
        <v>29.826731338486503</v>
      </c>
      <c r="S23" s="36">
        <f t="shared" si="3"/>
        <v>418.08915935532792</v>
      </c>
      <c r="T23" s="28">
        <f>IF('[1]Calculo ISR '!$AA$34&gt;0,0,'[1]Calculo ISR '!$AA$34)*-1</f>
        <v>0</v>
      </c>
      <c r="U23" s="36">
        <f t="shared" si="5"/>
        <v>2564.5839744933223</v>
      </c>
      <c r="V23" s="36">
        <f t="shared" si="1"/>
        <v>385.5</v>
      </c>
      <c r="W23" s="46"/>
      <c r="X23" s="47"/>
    </row>
    <row r="24" spans="1:24" s="48" customFormat="1" ht="45" customHeight="1">
      <c r="A24" s="54" t="s">
        <v>61</v>
      </c>
      <c r="B24" s="55" t="s">
        <v>62</v>
      </c>
      <c r="C24" s="34">
        <v>15</v>
      </c>
      <c r="D24" s="50">
        <v>198.84487558991</v>
      </c>
      <c r="E24" s="36">
        <v>2982.6731338486502</v>
      </c>
      <c r="F24" s="43"/>
      <c r="G24" s="36">
        <f>'[1]HT-ADMINISTRATIVOS'!G28</f>
        <v>385.5</v>
      </c>
      <c r="H24" s="36">
        <f>'[1]HT-ADMINISTRATIVOS'!H28</f>
        <v>446</v>
      </c>
      <c r="I24" s="36">
        <f>'[1]HT-ADMINISTRATIVOS'!J28</f>
        <v>0</v>
      </c>
      <c r="J24" s="37">
        <f>'[1]HT-ADMINISTRATIVOS'!I28</f>
        <v>0</v>
      </c>
      <c r="K24" s="36">
        <f t="shared" si="4"/>
        <v>3428.6731338486502</v>
      </c>
      <c r="L24" s="36">
        <f>K24+G24</f>
        <v>3814.1731338486502</v>
      </c>
      <c r="M24" s="28">
        <f>IF('[1]Calculo ISR '!$AB$34&lt;0,0,'[1]Calculo ISR '!$AB$34)</f>
        <v>143.85654896273311</v>
      </c>
      <c r="N24" s="38">
        <f>E24*P4</f>
        <v>313.18067905410828</v>
      </c>
      <c r="O24" s="38">
        <v>215.8</v>
      </c>
      <c r="P24" s="38">
        <f>'[1]HT-ADMINISTRATIVOS'!Q28</f>
        <v>0</v>
      </c>
      <c r="Q24" s="38">
        <f>'[1]HT-ADMINISTRATIVOS'!R28</f>
        <v>0</v>
      </c>
      <c r="R24" s="38">
        <f>E24*O4</f>
        <v>29.826731338486503</v>
      </c>
      <c r="S24" s="36">
        <f t="shared" si="3"/>
        <v>702.66395935532796</v>
      </c>
      <c r="T24" s="28">
        <f>IF('[1]Calculo ISR '!$AB$34&gt;0,0,'[1]Calculo ISR '!$AB$34)*-1</f>
        <v>0</v>
      </c>
      <c r="U24" s="36">
        <f t="shared" si="5"/>
        <v>2726.0091744933225</v>
      </c>
      <c r="V24" s="36">
        <f t="shared" si="1"/>
        <v>385.5</v>
      </c>
      <c r="W24" s="46"/>
      <c r="X24" s="47"/>
    </row>
    <row r="25" spans="1:24" s="48" customFormat="1" ht="45" customHeight="1">
      <c r="A25" s="54" t="s">
        <v>63</v>
      </c>
      <c r="B25" s="55" t="s">
        <v>64</v>
      </c>
      <c r="C25" s="34">
        <v>15</v>
      </c>
      <c r="D25" s="50">
        <v>180.11154727500002</v>
      </c>
      <c r="E25" s="36">
        <v>2701.6732091250005</v>
      </c>
      <c r="F25" s="43"/>
      <c r="G25" s="36">
        <f>'[1]HT-ADMINISTRATIVOS'!G29</f>
        <v>385.5</v>
      </c>
      <c r="H25" s="36">
        <f>'[1]HT-ADMINISTRATIVOS'!H29</f>
        <v>892</v>
      </c>
      <c r="I25" s="36">
        <f>'[1]HT-ADMINISTRATIVOS'!J29</f>
        <v>0</v>
      </c>
      <c r="J25" s="37">
        <f>'[1]HT-ADMINISTRATIVOS'!I29</f>
        <v>0</v>
      </c>
      <c r="K25" s="36">
        <f t="shared" si="4"/>
        <v>3593.6732091250005</v>
      </c>
      <c r="L25" s="36">
        <f>K25+G25</f>
        <v>3979.1732091250005</v>
      </c>
      <c r="M25" s="28">
        <f>IF('[1]Calculo ISR '!$AC$34&lt;0,0,'[1]Calculo ISR '!$AC$34)</f>
        <v>179.50855715280002</v>
      </c>
      <c r="N25" s="38">
        <f>E25*P4</f>
        <v>283.67568695812503</v>
      </c>
      <c r="O25" s="38">
        <f>'[1]HT-ADMINISTRATIVOS'!P29</f>
        <v>581</v>
      </c>
      <c r="P25" s="38">
        <f>'[1]HT-ADMINISTRATIVOS'!Q29</f>
        <v>0</v>
      </c>
      <c r="Q25" s="38">
        <f>'[1]HT-ADMINISTRATIVOS'!R29</f>
        <v>0</v>
      </c>
      <c r="R25" s="38">
        <f>E25*O4</f>
        <v>27.016732091250006</v>
      </c>
      <c r="S25" s="36">
        <f t="shared" si="3"/>
        <v>1071.2009762021753</v>
      </c>
      <c r="T25" s="28">
        <f>IF('[1]Calculo ISR '!$AC$34&gt;0,0,'[1]Calculo ISR '!$AC$34)*-1</f>
        <v>0</v>
      </c>
      <c r="U25" s="36">
        <f t="shared" si="5"/>
        <v>2522.4722329228252</v>
      </c>
      <c r="V25" s="36">
        <f t="shared" si="1"/>
        <v>385.5</v>
      </c>
      <c r="W25" s="46"/>
      <c r="X25" s="47"/>
    </row>
    <row r="26" spans="1:24" s="48" customFormat="1" ht="45" customHeight="1">
      <c r="A26" s="56" t="s">
        <v>65</v>
      </c>
      <c r="B26" s="55" t="s">
        <v>66</v>
      </c>
      <c r="C26" s="34">
        <v>15</v>
      </c>
      <c r="D26" s="50">
        <v>141.57938707</v>
      </c>
      <c r="E26" s="36">
        <v>2123.69080605</v>
      </c>
      <c r="F26" s="43"/>
      <c r="G26" s="36">
        <f>'[1]HT-ADMINISTRATIVOS'!G31</f>
        <v>385.5</v>
      </c>
      <c r="H26" s="36">
        <f>'[1]HT-ADMINISTRATIVOS'!H31</f>
        <v>446</v>
      </c>
      <c r="I26" s="36">
        <f>'[1]HT-ADMINISTRATIVOS'!J31</f>
        <v>0</v>
      </c>
      <c r="J26" s="37">
        <f>'[1]HT-ADMINISTRATIVOS'!I31</f>
        <v>0</v>
      </c>
      <c r="K26" s="36">
        <f t="shared" si="4"/>
        <v>2569.69080605</v>
      </c>
      <c r="L26" s="36">
        <f>K26+G26+T26</f>
        <v>2955.19080605</v>
      </c>
      <c r="M26" s="28">
        <f>IF('[1]Calculo ISR '!$AD$34&lt;0,0,'[1]Calculo ISR '!$AD$34)</f>
        <v>15.149271698239971</v>
      </c>
      <c r="N26" s="38">
        <f>E26*P4</f>
        <v>222.98753463525</v>
      </c>
      <c r="O26" s="38">
        <f>'[1]HT-ADMINISTRATIVOS'!P31</f>
        <v>0</v>
      </c>
      <c r="P26" s="38">
        <f>'[1]HT-ADMINISTRATIVOS'!Q31</f>
        <v>0</v>
      </c>
      <c r="Q26" s="38">
        <f>'[1]HT-ADMINISTRATIVOS'!R31</f>
        <v>0</v>
      </c>
      <c r="R26" s="38">
        <f>E26*O4</f>
        <v>21.236908060499999</v>
      </c>
      <c r="S26" s="36">
        <f t="shared" si="3"/>
        <v>259.37371439398999</v>
      </c>
      <c r="T26" s="28">
        <f>IF('[1]Calculo ISR '!$AD$34&gt;0,0,'[1]Calculo ISR '!$AD$34)*-1</f>
        <v>0</v>
      </c>
      <c r="U26" s="36">
        <f t="shared" si="5"/>
        <v>2310.3170916560102</v>
      </c>
      <c r="V26" s="36">
        <f t="shared" si="1"/>
        <v>385.5</v>
      </c>
      <c r="W26" s="46"/>
      <c r="X26" s="47"/>
    </row>
    <row r="27" spans="1:24" s="48" customFormat="1" ht="45" customHeight="1">
      <c r="A27" s="56" t="s">
        <v>67</v>
      </c>
      <c r="B27" s="57" t="s">
        <v>68</v>
      </c>
      <c r="C27" s="34">
        <v>15</v>
      </c>
      <c r="D27" s="50">
        <v>534.93837680832996</v>
      </c>
      <c r="E27" s="36">
        <v>8024.0756521249496</v>
      </c>
      <c r="F27" s="43"/>
      <c r="G27" s="36">
        <f>'[1]HT-ADMINISTRATIVOS'!G32</f>
        <v>385.5</v>
      </c>
      <c r="H27" s="36">
        <f>'[1]HT-ADMINISTRATIVOS'!H32</f>
        <v>0</v>
      </c>
      <c r="I27" s="36">
        <f>'[1]HT-ADMINISTRATIVOS'!J32</f>
        <v>0</v>
      </c>
      <c r="J27" s="37">
        <f>E27*L4</f>
        <v>152.45743739037403</v>
      </c>
      <c r="K27" s="36">
        <f t="shared" si="4"/>
        <v>8176.5330895153238</v>
      </c>
      <c r="L27" s="36">
        <f>K27+G27</f>
        <v>8562.0330895153238</v>
      </c>
      <c r="M27" s="28">
        <f>IF('[1]Calculo ISR '!$AE$34&lt;0,0,'[1]Calculo ISR '!$AE$34)</f>
        <v>1199.3182919204733</v>
      </c>
      <c r="N27" s="38">
        <f>E27*P4</f>
        <v>842.52794347311965</v>
      </c>
      <c r="O27" s="38">
        <v>2150.31</v>
      </c>
      <c r="P27" s="38">
        <f>'[1]HT-ADMINISTRATIVOS'!Q32</f>
        <v>0</v>
      </c>
      <c r="Q27" s="38">
        <f>'[1]HT-ADMINISTRATIVOS'!R32</f>
        <v>0</v>
      </c>
      <c r="R27" s="38">
        <f>'[1]HT-ADMINISTRATIVOS'!S32</f>
        <v>0</v>
      </c>
      <c r="S27" s="36">
        <f t="shared" si="3"/>
        <v>4192.1562353935933</v>
      </c>
      <c r="T27" s="28">
        <f>IF('[1]Calculo ISR '!$AE$34&gt;0,0,'[1]Calculo ISR '!$AE$34)*-1</f>
        <v>0</v>
      </c>
      <c r="U27" s="36">
        <f t="shared" si="5"/>
        <v>3984.3768541217305</v>
      </c>
      <c r="V27" s="36">
        <f t="shared" si="1"/>
        <v>385.5</v>
      </c>
      <c r="W27" s="46"/>
      <c r="X27" s="47"/>
    </row>
    <row r="28" spans="1:24" s="48" customFormat="1" ht="45" customHeight="1">
      <c r="A28" s="58" t="s">
        <v>69</v>
      </c>
      <c r="B28" s="59" t="s">
        <v>70</v>
      </c>
      <c r="C28" s="34">
        <v>15</v>
      </c>
      <c r="D28" s="50">
        <v>230.34834514817072</v>
      </c>
      <c r="E28" s="36">
        <v>3455.2251772225609</v>
      </c>
      <c r="F28" s="43"/>
      <c r="G28" s="36">
        <v>385.5</v>
      </c>
      <c r="H28" s="36">
        <f>'[1]HT-ADMINISTRATIVOS'!H33</f>
        <v>0</v>
      </c>
      <c r="I28" s="36">
        <f>'[1]HT-ADMINISTRATIVOS'!J33</f>
        <v>0</v>
      </c>
      <c r="J28" s="37">
        <f>'[1]HT-ADMINISTRATIVOS'!I33</f>
        <v>0</v>
      </c>
      <c r="K28" s="36">
        <f t="shared" si="4"/>
        <v>3455.2251772225609</v>
      </c>
      <c r="L28" s="36">
        <f>K28+G28</f>
        <v>3840.7251772225609</v>
      </c>
      <c r="M28" s="28">
        <f>IF('[1]Calculo ISR '!$AF$34&lt;0,0,'[1]Calculo ISR '!$AF$34)</f>
        <v>146.74541128181463</v>
      </c>
      <c r="N28" s="38">
        <f>E28*P4</f>
        <v>362.79864360836888</v>
      </c>
      <c r="O28" s="38"/>
      <c r="P28" s="143">
        <f>230.35*2</f>
        <v>460.7</v>
      </c>
      <c r="Q28" s="38"/>
      <c r="R28" s="38">
        <f>E28*O4</f>
        <v>34.55225177222561</v>
      </c>
      <c r="S28" s="36">
        <f>M28+N28+O28+R28+P28+Q28</f>
        <v>1004.7963066624091</v>
      </c>
      <c r="T28" s="28">
        <f>IF('[1]Calculo ISR '!$AF$34&gt;0,0,'[1]Calculo ISR '!$AF$34)*-1</f>
        <v>0</v>
      </c>
      <c r="U28" s="36">
        <f>K28-S28+T28</f>
        <v>2450.4288705601521</v>
      </c>
      <c r="V28" s="36">
        <v>385.5</v>
      </c>
      <c r="W28" s="46"/>
      <c r="X28" s="47"/>
    </row>
    <row r="29" spans="1:24" s="48" customFormat="1" ht="45" customHeight="1">
      <c r="A29" s="60" t="s">
        <v>71</v>
      </c>
      <c r="B29" s="61" t="s">
        <v>72</v>
      </c>
      <c r="C29" s="66">
        <v>15</v>
      </c>
      <c r="D29" s="50">
        <v>141.57938707</v>
      </c>
      <c r="E29" s="36">
        <v>2123.69080605</v>
      </c>
      <c r="F29" s="43"/>
      <c r="G29" s="36">
        <f>'[1]HT-ADMINISTRATIVOS'!G35</f>
        <v>385.5</v>
      </c>
      <c r="H29" s="36">
        <f>'[1]HT-ADMINISTRATIVOS'!H35</f>
        <v>0</v>
      </c>
      <c r="I29" s="36">
        <f>'[1]HT-ADMINISTRATIVOS'!J35</f>
        <v>0</v>
      </c>
      <c r="J29" s="37">
        <f>'[1]HT-ADMINISTRATIVOS'!I35</f>
        <v>0</v>
      </c>
      <c r="K29" s="36">
        <f t="shared" si="4"/>
        <v>2123.69080605</v>
      </c>
      <c r="L29" s="36">
        <f>K29+G29+T29</f>
        <v>2570.9163343517598</v>
      </c>
      <c r="M29" s="28">
        <f>IF('[1]Calculo ISR '!$AG$34&lt;0,0,'[1]Calculo ISR '!$AG$34)</f>
        <v>0</v>
      </c>
      <c r="N29" s="38">
        <f>E29*P4</f>
        <v>222.98753463525</v>
      </c>
      <c r="O29" s="38">
        <f>'[1]HT-ADMINISTRATIVOS'!P35</f>
        <v>0</v>
      </c>
      <c r="P29" s="38">
        <f>'[1]HT-ADMINISTRATIVOS'!Q35</f>
        <v>0</v>
      </c>
      <c r="Q29" s="38">
        <f>'[1]HT-ADMINISTRATIVOS'!R35</f>
        <v>0</v>
      </c>
      <c r="R29" s="38">
        <f>E29*O4</f>
        <v>21.236908060499999</v>
      </c>
      <c r="S29" s="36">
        <f t="shared" si="3"/>
        <v>244.22444269574999</v>
      </c>
      <c r="T29" s="28">
        <f>IF('[1]Calculo ISR '!$AG$34&gt;0,0,'[1]Calculo ISR '!$AG$34)*-1</f>
        <v>61.725528301760008</v>
      </c>
      <c r="U29" s="36">
        <f t="shared" si="5"/>
        <v>1941.1918916560101</v>
      </c>
      <c r="V29" s="36">
        <f>G29</f>
        <v>385.5</v>
      </c>
      <c r="W29" s="67"/>
      <c r="X29" s="47"/>
    </row>
    <row r="30" spans="1:24" s="48" customFormat="1" ht="45" customHeight="1">
      <c r="A30" s="53" t="s">
        <v>73</v>
      </c>
      <c r="B30" s="61" t="s">
        <v>74</v>
      </c>
      <c r="C30" s="66">
        <v>15</v>
      </c>
      <c r="D30" s="50">
        <v>534.93837680832996</v>
      </c>
      <c r="E30" s="36">
        <v>8024.0756521249496</v>
      </c>
      <c r="F30" s="43"/>
      <c r="G30" s="36">
        <f>'[1]HT-ADMINISTRATIVOS'!G36</f>
        <v>385.5</v>
      </c>
      <c r="H30" s="36">
        <f>'[1]HT-ADMINISTRATIVOS'!H36</f>
        <v>0</v>
      </c>
      <c r="I30" s="36">
        <f>'[1]HT-ADMINISTRATIVOS'!J36</f>
        <v>0</v>
      </c>
      <c r="J30" s="37">
        <f>'[1]HT-ADMINISTRATIVOS'!I36</f>
        <v>0</v>
      </c>
      <c r="K30" s="36">
        <f t="shared" si="4"/>
        <v>8024.0756521249496</v>
      </c>
      <c r="L30" s="36">
        <f>K30+G30</f>
        <v>8409.5756521249496</v>
      </c>
      <c r="M30" s="28">
        <f>IF('[1]Calculo ISR '!$AH$34&lt;0,0,'[1]Calculo ISR '!$AH$34)</f>
        <v>1166.7533832938893</v>
      </c>
      <c r="N30" s="38">
        <f>E30*P4</f>
        <v>842.52794347311965</v>
      </c>
      <c r="O30" s="38">
        <f>'[1]HT-ADMINISTRATIVOS'!P36</f>
        <v>0</v>
      </c>
      <c r="P30" s="38">
        <f>'[1]HT-ADMINISTRATIVOS'!Q36</f>
        <v>0</v>
      </c>
      <c r="Q30" s="38">
        <f>'[1]HT-ADMINISTRATIVOS'!R36</f>
        <v>0</v>
      </c>
      <c r="R30" s="38">
        <f>'[1]HT-ADMINISTRATIVOS'!S36</f>
        <v>0</v>
      </c>
      <c r="S30" s="36">
        <f t="shared" si="3"/>
        <v>2009.281326767009</v>
      </c>
      <c r="T30" s="28">
        <f>IF('[1]Calculo ISR '!$AH$34&gt;0,0,'[1]Calculo ISR '!$AH$34)*-1</f>
        <v>0</v>
      </c>
      <c r="U30" s="36">
        <f t="shared" si="5"/>
        <v>6014.7943253579406</v>
      </c>
      <c r="V30" s="36">
        <f>G30</f>
        <v>385.5</v>
      </c>
      <c r="W30" s="67"/>
      <c r="X30" s="47"/>
    </row>
    <row r="31" spans="1:24" s="48" customFormat="1" ht="45" customHeight="1">
      <c r="A31" s="68" t="s">
        <v>75</v>
      </c>
      <c r="B31" s="61" t="s">
        <v>76</v>
      </c>
      <c r="C31" s="66">
        <v>15</v>
      </c>
      <c r="D31" s="50">
        <v>141.57938707</v>
      </c>
      <c r="E31" s="36">
        <v>2123.69080605</v>
      </c>
      <c r="F31" s="43"/>
      <c r="G31" s="36">
        <f>'[1]HT-ADMINISTRATIVOS'!G37</f>
        <v>385.5</v>
      </c>
      <c r="H31" s="36">
        <f>'[1]HT-ADMINISTRATIVOS'!H37</f>
        <v>0</v>
      </c>
      <c r="I31" s="36">
        <f>'[1]HT-ADMINISTRATIVOS'!J37</f>
        <v>0</v>
      </c>
      <c r="J31" s="37">
        <f>'[1]HT-ADMINISTRATIVOS'!I37</f>
        <v>0</v>
      </c>
      <c r="K31" s="36">
        <f t="shared" si="4"/>
        <v>2123.69080605</v>
      </c>
      <c r="L31" s="36">
        <f>K31+G31+T31</f>
        <v>2570.9163343517598</v>
      </c>
      <c r="M31" s="28">
        <f>IF('[1]Calculo ISR '!$AI$34&lt;0,0,'[1]Calculo ISR '!$AI$34)</f>
        <v>0</v>
      </c>
      <c r="N31" s="38">
        <f>E31*P4</f>
        <v>222.98753463525</v>
      </c>
      <c r="O31" s="38">
        <f>'[1]HT-ADMINISTRATIVOS'!P37</f>
        <v>0</v>
      </c>
      <c r="P31" s="38">
        <f>'[1]HT-ADMINISTRATIVOS'!Q37</f>
        <v>0</v>
      </c>
      <c r="Q31" s="38">
        <f>'[1]HT-ADMINISTRATIVOS'!R37</f>
        <v>0</v>
      </c>
      <c r="R31" s="38">
        <f>E31*O4</f>
        <v>21.236908060499999</v>
      </c>
      <c r="S31" s="36">
        <f t="shared" si="3"/>
        <v>244.22444269574999</v>
      </c>
      <c r="T31" s="28">
        <f>IF('[1]Calculo ISR '!$AI$34&gt;0,0,'[1]Calculo ISR '!$AI$34)*-1</f>
        <v>61.725528301760008</v>
      </c>
      <c r="U31" s="36">
        <f t="shared" si="5"/>
        <v>1941.1918916560101</v>
      </c>
      <c r="V31" s="36">
        <f>G31</f>
        <v>385.5</v>
      </c>
      <c r="W31" s="67"/>
      <c r="X31" s="47"/>
    </row>
    <row r="32" spans="1:24" s="81" customFormat="1" ht="45" customHeight="1">
      <c r="A32" s="69" t="s">
        <v>77</v>
      </c>
      <c r="B32" s="70" t="s">
        <v>78</v>
      </c>
      <c r="C32" s="71">
        <v>15</v>
      </c>
      <c r="D32" s="72">
        <v>873.012693639492</v>
      </c>
      <c r="E32" s="73">
        <v>13095.19040459238</v>
      </c>
      <c r="F32" s="73">
        <f>'[1]HT-ADMINISTRATIVOS'!F38</f>
        <v>0</v>
      </c>
      <c r="G32" s="73">
        <v>385.5</v>
      </c>
      <c r="H32" s="73">
        <f>'[1]HT-ADMINISTRATIVOS'!H38</f>
        <v>0</v>
      </c>
      <c r="I32" s="73">
        <f>'[1]HT-ADMINISTRATIVOS'!I38</f>
        <v>0</v>
      </c>
      <c r="J32" s="73">
        <f>'[1]HT-ADMINISTRATIVOS'!J38</f>
        <v>0</v>
      </c>
      <c r="K32" s="73">
        <f t="shared" si="4"/>
        <v>13095.19040459238</v>
      </c>
      <c r="L32" s="73">
        <f>K32+G32</f>
        <v>13480.69040459238</v>
      </c>
      <c r="M32" s="28">
        <f>IF('[1]Calculo ISR '!$AJ$34&lt;0,0,'[1]Calculo ISR '!$AJ$34)</f>
        <v>2311.300991160128</v>
      </c>
      <c r="N32" s="73">
        <f>E32*P4</f>
        <v>1374.9949924821999</v>
      </c>
      <c r="O32" s="73">
        <v>1489.84</v>
      </c>
      <c r="P32" s="73">
        <f>'[1]HT-ADMINISTRATIVOS'!Q38</f>
        <v>0</v>
      </c>
      <c r="Q32" s="73">
        <f>'[1]HT-ADMINISTRATIVOS'!R38</f>
        <v>0</v>
      </c>
      <c r="R32" s="73">
        <f>'[1]HT-ADMINISTRATIVOS'!S38</f>
        <v>0</v>
      </c>
      <c r="S32" s="73">
        <f t="shared" ref="S32:S39" si="6">M32+N32+O32+P32+Q32+R32</f>
        <v>5176.135983642328</v>
      </c>
      <c r="T32" s="28">
        <f>IF('[1]Calculo ISR '!$AJ$34&gt;0,0,'[1]Calculo ISR '!$AJ$34)*-1</f>
        <v>0</v>
      </c>
      <c r="U32" s="73">
        <f t="shared" si="5"/>
        <v>7919.0544209500522</v>
      </c>
      <c r="V32" s="73">
        <v>385.5</v>
      </c>
      <c r="W32" s="74"/>
      <c r="X32" s="47"/>
    </row>
    <row r="33" spans="1:26" s="81" customFormat="1" ht="45" customHeight="1">
      <c r="A33" s="53" t="s">
        <v>79</v>
      </c>
      <c r="B33" s="61" t="s">
        <v>80</v>
      </c>
      <c r="C33" s="66">
        <v>15</v>
      </c>
      <c r="D33" s="76">
        <v>534.93837680832996</v>
      </c>
      <c r="E33" s="50">
        <v>8024.0756521249496</v>
      </c>
      <c r="F33" s="50"/>
      <c r="G33" s="77">
        <f>385.5</f>
        <v>385.5</v>
      </c>
      <c r="H33" s="50"/>
      <c r="I33" s="50"/>
      <c r="J33" s="50"/>
      <c r="K33" s="78">
        <f t="shared" si="4"/>
        <v>8024.0756521249496</v>
      </c>
      <c r="L33" s="78">
        <f>K33+G33</f>
        <v>8409.5756521249496</v>
      </c>
      <c r="M33" s="28">
        <f>IF('[1]Calculo ISR '!$AK$34&lt;0,0,'[1]Calculo ISR '!$AK$34)</f>
        <v>1166.7533832938893</v>
      </c>
      <c r="N33" s="79">
        <f>E33*P4</f>
        <v>842.52794347311965</v>
      </c>
      <c r="O33" s="78"/>
      <c r="P33" s="50"/>
      <c r="Q33" s="78"/>
      <c r="R33" s="50"/>
      <c r="S33" s="50">
        <f t="shared" si="6"/>
        <v>2009.281326767009</v>
      </c>
      <c r="T33" s="28">
        <f>IF('[1]Calculo ISR '!$AK$34&gt;0,0,'[1]Calculo ISR '!$AK$34)*-1</f>
        <v>0</v>
      </c>
      <c r="U33" s="79">
        <f>K33-S33</f>
        <v>6014.7943253579406</v>
      </c>
      <c r="V33" s="73">
        <v>385.5</v>
      </c>
      <c r="W33" s="80"/>
      <c r="X33" s="47"/>
    </row>
    <row r="34" spans="1:26" s="81" customFormat="1" ht="45" customHeight="1">
      <c r="A34" s="91" t="s">
        <v>83</v>
      </c>
      <c r="B34" s="139" t="s">
        <v>84</v>
      </c>
      <c r="C34" s="66">
        <v>15</v>
      </c>
      <c r="D34" s="76">
        <v>180.10895980000001</v>
      </c>
      <c r="E34" s="50">
        <v>2701.6343970000003</v>
      </c>
      <c r="F34" s="50"/>
      <c r="G34" s="77">
        <f>385.5</f>
        <v>385.5</v>
      </c>
      <c r="H34" s="50">
        <v>892</v>
      </c>
      <c r="I34" s="50"/>
      <c r="J34" s="50"/>
      <c r="K34" s="78">
        <f t="shared" ref="K34:K39" si="7">E34+F34+H34+I34+J34</f>
        <v>3593.6343970000003</v>
      </c>
      <c r="L34" s="78">
        <f>K34+G34</f>
        <v>3979.1343970000003</v>
      </c>
      <c r="M34" s="28">
        <f>IF('[1]Calculo ISR '!$AM$34&lt;0,0,'[1]Calculo ISR '!$AM$34)</f>
        <v>179.50433439359998</v>
      </c>
      <c r="N34" s="92">
        <f>E34*P4</f>
        <v>283.67161168500002</v>
      </c>
      <c r="O34" s="78"/>
      <c r="P34" s="50"/>
      <c r="Q34" s="78"/>
      <c r="R34" s="50">
        <f>E34*O4</f>
        <v>27.016343970000005</v>
      </c>
      <c r="S34" s="50">
        <f>M34+N34+O34+P34+Q34+R34</f>
        <v>490.19229004859994</v>
      </c>
      <c r="T34" s="28">
        <f>IF('[1]Calculo ISR '!$AM$34&gt;0,0,'[1]Calculo ISR '!$AM$34)*-1</f>
        <v>0</v>
      </c>
      <c r="U34" s="79">
        <f t="shared" ref="U34:U39" si="8">K34-S34+T34</f>
        <v>3103.4421069514001</v>
      </c>
      <c r="V34" s="73">
        <v>385.5</v>
      </c>
      <c r="W34" s="80"/>
      <c r="X34" s="47"/>
    </row>
    <row r="35" spans="1:26" s="81" customFormat="1" ht="45" customHeight="1">
      <c r="A35" s="91" t="s">
        <v>85</v>
      </c>
      <c r="B35" s="139" t="s">
        <v>86</v>
      </c>
      <c r="C35" s="66">
        <v>15</v>
      </c>
      <c r="D35" s="76">
        <v>219.23158179999999</v>
      </c>
      <c r="E35" s="50">
        <v>3288.4737269999996</v>
      </c>
      <c r="F35" s="50"/>
      <c r="G35" s="77">
        <f>385.5</f>
        <v>385.5</v>
      </c>
      <c r="H35" s="50">
        <v>446</v>
      </c>
      <c r="I35" s="50"/>
      <c r="J35" s="50"/>
      <c r="K35" s="78">
        <f t="shared" si="7"/>
        <v>3734.4737269999996</v>
      </c>
      <c r="L35" s="78">
        <f>K35+G35</f>
        <v>4119.9737269999996</v>
      </c>
      <c r="M35" s="28">
        <f>IF('[1]Calculo ISR '!$AN$34&lt;0,0,'[1]Calculo ISR '!$AN$34)</f>
        <v>306.60419631999991</v>
      </c>
      <c r="N35" s="92">
        <f>E35*P4</f>
        <v>345.28974133499992</v>
      </c>
      <c r="O35" s="78"/>
      <c r="P35" s="50"/>
      <c r="Q35" s="78"/>
      <c r="R35" s="50">
        <v>0</v>
      </c>
      <c r="S35" s="50">
        <f t="shared" si="6"/>
        <v>651.89393765499983</v>
      </c>
      <c r="T35" s="28">
        <f>IF('[1]Calculo ISR '!$AN$34&gt;0,0,'[1]Calculo ISR '!$AN$34)*-1</f>
        <v>0</v>
      </c>
      <c r="U35" s="79">
        <f t="shared" si="8"/>
        <v>3082.5797893449999</v>
      </c>
      <c r="V35" s="73">
        <v>385.5</v>
      </c>
      <c r="W35" s="80"/>
      <c r="X35" s="47"/>
    </row>
    <row r="36" spans="1:26" s="81" customFormat="1" ht="45" customHeight="1">
      <c r="A36" s="91" t="s">
        <v>87</v>
      </c>
      <c r="B36" s="91" t="s">
        <v>88</v>
      </c>
      <c r="C36" s="66">
        <v>15</v>
      </c>
      <c r="D36" s="76">
        <v>534.93837680832996</v>
      </c>
      <c r="E36" s="50">
        <f>E33</f>
        <v>8024.0756521249496</v>
      </c>
      <c r="F36" s="50"/>
      <c r="G36" s="77">
        <v>385.5</v>
      </c>
      <c r="H36" s="50"/>
      <c r="I36" s="50"/>
      <c r="J36" s="50"/>
      <c r="K36" s="78">
        <f t="shared" si="7"/>
        <v>8024.0756521249496</v>
      </c>
      <c r="L36" s="78">
        <f>K36+G36+T36</f>
        <v>8409.5756521249496</v>
      </c>
      <c r="M36" s="28">
        <f>IF('[1]Calculo ISR '!$AO$34&lt;0,0,'[1]Calculo ISR '!$AO$34)</f>
        <v>1166.7533832938893</v>
      </c>
      <c r="N36" s="92">
        <f>E36*P4</f>
        <v>842.52794347311965</v>
      </c>
      <c r="O36" s="78"/>
      <c r="P36" s="50"/>
      <c r="Q36" s="78"/>
      <c r="R36" s="50"/>
      <c r="S36" s="50">
        <f t="shared" si="6"/>
        <v>2009.281326767009</v>
      </c>
      <c r="T36" s="28">
        <f>IF('[1]Calculo ISR '!$AO$34&gt;0,0,'[1]Calculo ISR '!$AO$34)*-1</f>
        <v>0</v>
      </c>
      <c r="U36" s="79">
        <f t="shared" si="8"/>
        <v>6014.7943253579406</v>
      </c>
      <c r="V36" s="73">
        <f t="shared" ref="V36:V44" si="9">G36</f>
        <v>385.5</v>
      </c>
      <c r="W36" s="80"/>
      <c r="X36" s="47"/>
    </row>
    <row r="37" spans="1:26" s="81" customFormat="1" ht="45" customHeight="1">
      <c r="A37" s="91" t="s">
        <v>89</v>
      </c>
      <c r="B37" s="91" t="s">
        <v>90</v>
      </c>
      <c r="C37" s="66">
        <v>15</v>
      </c>
      <c r="D37" s="76">
        <v>171.34</v>
      </c>
      <c r="E37" s="50">
        <f>C37*D37</f>
        <v>2570.1</v>
      </c>
      <c r="F37" s="50"/>
      <c r="G37" s="77">
        <v>385.5</v>
      </c>
      <c r="H37" s="50"/>
      <c r="I37" s="50"/>
      <c r="J37" s="50"/>
      <c r="K37" s="78">
        <f t="shared" si="7"/>
        <v>2570.1</v>
      </c>
      <c r="L37" s="78">
        <f>K37+G37</f>
        <v>2955.6</v>
      </c>
      <c r="M37" s="28">
        <f>IF('[1]Calculo ISR '!$AP$34&lt;0,0,'[1]Calculo ISR '!$AP$34)</f>
        <v>15.193791999999974</v>
      </c>
      <c r="N37" s="92">
        <f>E37*P4</f>
        <v>269.8605</v>
      </c>
      <c r="O37" s="78"/>
      <c r="P37" s="50"/>
      <c r="Q37" s="78"/>
      <c r="R37" s="50"/>
      <c r="S37" s="50">
        <f t="shared" si="6"/>
        <v>285.05429199999998</v>
      </c>
      <c r="T37" s="28">
        <f>IF('[1]Calculo ISR '!$AP$34&gt;0,0,'[1]Calculo ISR '!$AP$34)*-1</f>
        <v>0</v>
      </c>
      <c r="U37" s="79">
        <f t="shared" si="8"/>
        <v>2285.0457080000001</v>
      </c>
      <c r="V37" s="73">
        <f t="shared" si="9"/>
        <v>385.5</v>
      </c>
      <c r="W37" s="80"/>
      <c r="X37" s="47"/>
    </row>
    <row r="38" spans="1:26" s="81" customFormat="1" ht="45" customHeight="1">
      <c r="A38" s="91" t="s">
        <v>91</v>
      </c>
      <c r="B38" s="91" t="s">
        <v>92</v>
      </c>
      <c r="C38" s="66">
        <v>15</v>
      </c>
      <c r="D38" s="76">
        <v>131.36093080000001</v>
      </c>
      <c r="E38" s="50">
        <v>1970.4139620000001</v>
      </c>
      <c r="F38" s="50"/>
      <c r="G38" s="77">
        <v>385.5</v>
      </c>
      <c r="H38" s="50"/>
      <c r="I38" s="50"/>
      <c r="J38" s="50"/>
      <c r="K38" s="78">
        <f t="shared" si="7"/>
        <v>1970.4139620000001</v>
      </c>
      <c r="L38" s="78">
        <f>K38+G38+T38</f>
        <v>2429.5253084320002</v>
      </c>
      <c r="M38" s="28">
        <f>IF('[1]Calculo ISR '!$AQ$34&lt;0,0,'[1]Calculo ISR '!$AQ$34)</f>
        <v>0</v>
      </c>
      <c r="N38" s="92">
        <f>E38*P4</f>
        <v>206.89346601</v>
      </c>
      <c r="O38" s="78"/>
      <c r="P38" s="50"/>
      <c r="Q38" s="78"/>
      <c r="R38" s="50"/>
      <c r="S38" s="50">
        <f t="shared" si="6"/>
        <v>206.89346601</v>
      </c>
      <c r="T38" s="28">
        <f>IF('[1]Calculo ISR '!$AQ$34&gt;0,0,'[1]Calculo ISR '!$AQ$34)*-1</f>
        <v>73.611346431999976</v>
      </c>
      <c r="U38" s="79">
        <f t="shared" si="8"/>
        <v>1837.1318424220001</v>
      </c>
      <c r="V38" s="73">
        <f t="shared" si="9"/>
        <v>385.5</v>
      </c>
      <c r="W38" s="80"/>
      <c r="X38" s="47"/>
    </row>
    <row r="39" spans="1:26" s="81" customFormat="1" ht="45" customHeight="1">
      <c r="A39" s="91" t="s">
        <v>93</v>
      </c>
      <c r="B39" s="91" t="s">
        <v>94</v>
      </c>
      <c r="C39" s="66">
        <v>15</v>
      </c>
      <c r="D39" s="76">
        <v>131.36093080000001</v>
      </c>
      <c r="E39" s="50">
        <v>1970.4139620000001</v>
      </c>
      <c r="F39" s="50"/>
      <c r="G39" s="77">
        <v>385.5</v>
      </c>
      <c r="H39" s="50"/>
      <c r="I39" s="50"/>
      <c r="J39" s="50"/>
      <c r="K39" s="78">
        <f t="shared" si="7"/>
        <v>1970.4139620000001</v>
      </c>
      <c r="L39" s="78">
        <f>K39+G39+T39</f>
        <v>2429.5253084320002</v>
      </c>
      <c r="M39" s="28">
        <f>IF('[1]Calculo ISR '!$AR$34&lt;0,0,'[1]Calculo ISR '!$AR$34)</f>
        <v>0</v>
      </c>
      <c r="N39" s="92">
        <f>E39*P4</f>
        <v>206.89346601</v>
      </c>
      <c r="O39" s="78"/>
      <c r="P39" s="50"/>
      <c r="Q39" s="78"/>
      <c r="R39" s="50"/>
      <c r="S39" s="50">
        <f t="shared" si="6"/>
        <v>206.89346601</v>
      </c>
      <c r="T39" s="28">
        <f>IF('[1]Calculo ISR '!$AR$34&gt;0,0,'[1]Calculo ISR '!$AR$34)*-1</f>
        <v>73.611346431999976</v>
      </c>
      <c r="U39" s="79">
        <f t="shared" si="8"/>
        <v>1837.1318424220001</v>
      </c>
      <c r="V39" s="73">
        <f t="shared" si="9"/>
        <v>385.5</v>
      </c>
      <c r="W39" s="80"/>
      <c r="X39" s="47"/>
    </row>
    <row r="40" spans="1:26" s="81" customFormat="1" ht="45" customHeight="1">
      <c r="A40" s="91" t="s">
        <v>95</v>
      </c>
      <c r="B40" s="91" t="s">
        <v>96</v>
      </c>
      <c r="C40" s="66">
        <v>15</v>
      </c>
      <c r="D40" s="76">
        <v>754.54</v>
      </c>
      <c r="E40" s="50">
        <f>C40*D40</f>
        <v>11318.099999999999</v>
      </c>
      <c r="F40" s="50"/>
      <c r="G40" s="77">
        <v>385.5</v>
      </c>
      <c r="H40" s="50"/>
      <c r="I40" s="50"/>
      <c r="J40" s="50"/>
      <c r="K40" s="78">
        <f>E40+H40+I40+J40</f>
        <v>11318.099999999999</v>
      </c>
      <c r="L40" s="78">
        <f>K40+G40</f>
        <v>11703.599999999999</v>
      </c>
      <c r="M40" s="28">
        <f>IF('[1]Calculo ISR '!$AS$34&lt;0,0,'[1]Calculo ISR '!$AS$34)</f>
        <v>1893.3293279999998</v>
      </c>
      <c r="N40" s="92">
        <f>E40*P4</f>
        <v>1188.4004999999997</v>
      </c>
      <c r="O40" s="78"/>
      <c r="P40" s="50"/>
      <c r="Q40" s="78"/>
      <c r="R40" s="50"/>
      <c r="S40" s="50">
        <f>M40+N40+O40+P40+Q40+R40</f>
        <v>3081.7298279999995</v>
      </c>
      <c r="T40" s="28">
        <f>IF('[1]Calculo ISR '!$AS$34&gt;0,0,'[1]Calculo ISR '!$AS$34)*-1</f>
        <v>0</v>
      </c>
      <c r="U40" s="79">
        <f>K40-S40</f>
        <v>8236.370171999999</v>
      </c>
      <c r="V40" s="73">
        <f t="shared" si="9"/>
        <v>385.5</v>
      </c>
      <c r="W40" s="80"/>
      <c r="X40" s="47"/>
    </row>
    <row r="41" spans="1:26" s="81" customFormat="1" ht="45" customHeight="1">
      <c r="A41" s="91" t="s">
        <v>97</v>
      </c>
      <c r="B41" s="91" t="s">
        <v>98</v>
      </c>
      <c r="C41" s="66">
        <v>15</v>
      </c>
      <c r="D41" s="76">
        <v>754.54</v>
      </c>
      <c r="E41" s="50">
        <f>D41*C41</f>
        <v>11318.099999999999</v>
      </c>
      <c r="F41" s="50"/>
      <c r="G41" s="77">
        <v>385.5</v>
      </c>
      <c r="H41" s="50"/>
      <c r="I41" s="50"/>
      <c r="J41" s="50"/>
      <c r="K41" s="78">
        <f>E41+H41+I41+J41</f>
        <v>11318.099999999999</v>
      </c>
      <c r="L41" s="78">
        <f>K41+G41</f>
        <v>11703.599999999999</v>
      </c>
      <c r="M41" s="28">
        <f>IF('[1]Calculo ISR '!$AT$34&lt;0,0,'[1]Calculo ISR '!$AT$34)</f>
        <v>1893.3293279999998</v>
      </c>
      <c r="N41" s="92">
        <f>E41*P4</f>
        <v>1188.4004999999997</v>
      </c>
      <c r="O41" s="78">
        <v>3773</v>
      </c>
      <c r="P41" s="50"/>
      <c r="Q41" s="78"/>
      <c r="R41" s="50"/>
      <c r="S41" s="50">
        <f>M41+N41+O41+P41+Q41+R41</f>
        <v>6854.7298279999995</v>
      </c>
      <c r="T41" s="28">
        <f>IF('[1]Calculo ISR '!$AT$34&gt;0,0,'[1]Calculo ISR '!$AT$34)*-1</f>
        <v>0</v>
      </c>
      <c r="U41" s="79">
        <f>K41-S41</f>
        <v>4463.370171999999</v>
      </c>
      <c r="V41" s="73">
        <f t="shared" si="9"/>
        <v>385.5</v>
      </c>
      <c r="W41" s="80"/>
      <c r="X41" s="47"/>
    </row>
    <row r="42" spans="1:26" s="81" customFormat="1" ht="45" customHeight="1">
      <c r="A42" s="91" t="s">
        <v>99</v>
      </c>
      <c r="B42" s="91" t="s">
        <v>100</v>
      </c>
      <c r="C42" s="66">
        <v>15</v>
      </c>
      <c r="D42" s="76">
        <v>171.34</v>
      </c>
      <c r="E42" s="50">
        <f>C42*D42</f>
        <v>2570.1</v>
      </c>
      <c r="F42" s="50"/>
      <c r="G42" s="77">
        <v>385.5</v>
      </c>
      <c r="H42" s="50"/>
      <c r="I42" s="50"/>
      <c r="J42" s="50"/>
      <c r="K42" s="78">
        <f>E42+F42+H42+I42+J42</f>
        <v>2570.1</v>
      </c>
      <c r="L42" s="78">
        <f>K42+G42</f>
        <v>2955.6</v>
      </c>
      <c r="M42" s="28">
        <f>IF('[1]Calculo ISR '!$AU$34&lt;0,0,'[1]Calculo ISR '!$AU$34)</f>
        <v>15.193791999999974</v>
      </c>
      <c r="N42" s="92">
        <f>E42*P4</f>
        <v>269.8605</v>
      </c>
      <c r="O42" s="78"/>
      <c r="P42" s="50"/>
      <c r="Q42" s="78"/>
      <c r="R42" s="50"/>
      <c r="S42" s="50">
        <f>M42+N42+O42+P42+Q42+R42</f>
        <v>285.05429199999998</v>
      </c>
      <c r="T42" s="28">
        <f>IF('[1]Calculo ISR '!$AU$34&gt;0,0,'[1]Calculo ISR '!$AU$34)*-1</f>
        <v>0</v>
      </c>
      <c r="U42" s="79">
        <f>K42-S42</f>
        <v>2285.0457080000001</v>
      </c>
      <c r="V42" s="73">
        <f t="shared" si="9"/>
        <v>385.5</v>
      </c>
      <c r="W42" s="80"/>
      <c r="X42" s="47"/>
    </row>
    <row r="43" spans="1:26" s="81" customFormat="1" ht="45" customHeight="1">
      <c r="A43" s="91" t="s">
        <v>101</v>
      </c>
      <c r="B43" s="91" t="s">
        <v>121</v>
      </c>
      <c r="C43" s="66">
        <v>15</v>
      </c>
      <c r="D43" s="76">
        <v>754.54</v>
      </c>
      <c r="E43" s="50">
        <f>C43*D43</f>
        <v>11318.099999999999</v>
      </c>
      <c r="F43" s="50"/>
      <c r="G43" s="77">
        <v>385.5</v>
      </c>
      <c r="H43" s="50"/>
      <c r="I43" s="50"/>
      <c r="J43" s="50"/>
      <c r="K43" s="78">
        <f>E43+F43+H43+I43+J43</f>
        <v>11318.099999999999</v>
      </c>
      <c r="L43" s="78">
        <f>K43+G43</f>
        <v>11703.599999999999</v>
      </c>
      <c r="M43" s="28">
        <f>IF('[1]Calculo ISR '!$AV$34&lt;0,0,'[1]Calculo ISR '!$AV$34)</f>
        <v>1893.3293279999998</v>
      </c>
      <c r="N43" s="92">
        <f>E43*P4</f>
        <v>1188.4004999999997</v>
      </c>
      <c r="O43" s="78"/>
      <c r="P43" s="50"/>
      <c r="Q43" s="78"/>
      <c r="R43" s="50"/>
      <c r="S43" s="50">
        <f>M43+N43+O43+P43+Q43+R43</f>
        <v>3081.7298279999995</v>
      </c>
      <c r="T43" s="28">
        <f>IF('[1]Calculo ISR '!$AV$34&gt;0,0,'[1]Calculo ISR '!$AV$34)*-1</f>
        <v>0</v>
      </c>
      <c r="U43" s="79">
        <f>K43-S43</f>
        <v>8236.370171999999</v>
      </c>
      <c r="V43" s="73">
        <f t="shared" si="9"/>
        <v>385.5</v>
      </c>
      <c r="W43" s="80"/>
      <c r="X43" s="47"/>
    </row>
    <row r="44" spans="1:26" s="81" customFormat="1" ht="45" customHeight="1">
      <c r="A44" s="91" t="s">
        <v>103</v>
      </c>
      <c r="B44" s="91" t="s">
        <v>122</v>
      </c>
      <c r="C44" s="66">
        <v>15</v>
      </c>
      <c r="D44" s="76">
        <v>171.34</v>
      </c>
      <c r="E44" s="50">
        <f>C44*D44</f>
        <v>2570.1</v>
      </c>
      <c r="F44" s="50"/>
      <c r="G44" s="77">
        <v>385.5</v>
      </c>
      <c r="H44" s="50"/>
      <c r="I44" s="50"/>
      <c r="J44" s="50"/>
      <c r="K44" s="78">
        <f>E44+F44+H44+I44+J44</f>
        <v>2570.1</v>
      </c>
      <c r="L44" s="78">
        <f>K44+G44</f>
        <v>2955.6</v>
      </c>
      <c r="M44" s="28">
        <v>15.19</v>
      </c>
      <c r="N44" s="92">
        <f>E44*P4</f>
        <v>269.8605</v>
      </c>
      <c r="O44" s="78"/>
      <c r="P44" s="50"/>
      <c r="Q44" s="78"/>
      <c r="R44" s="50"/>
      <c r="S44" s="50">
        <f>M44+N44+O44+P44+Q44+R44</f>
        <v>285.0505</v>
      </c>
      <c r="T44" s="28"/>
      <c r="U44" s="79">
        <f>K44-S44</f>
        <v>2285.0495000000001</v>
      </c>
      <c r="V44" s="73">
        <f t="shared" si="9"/>
        <v>385.5</v>
      </c>
      <c r="W44" s="80"/>
      <c r="X44" s="47"/>
    </row>
    <row r="45" spans="1:26" s="99" customFormat="1" ht="21.95" customHeight="1">
      <c r="A45" s="93"/>
      <c r="B45" s="94">
        <v>38</v>
      </c>
      <c r="C45" s="95">
        <f t="shared" ref="C45:V45" si="10">SUM(C7:C44)</f>
        <v>570</v>
      </c>
      <c r="D45" s="95">
        <f t="shared" si="10"/>
        <v>13457.168291817881</v>
      </c>
      <c r="E45" s="95">
        <f t="shared" si="10"/>
        <v>201857.52437726824</v>
      </c>
      <c r="F45" s="95">
        <f t="shared" si="10"/>
        <v>6616.24</v>
      </c>
      <c r="G45" s="95">
        <f t="shared" si="10"/>
        <v>15223.5</v>
      </c>
      <c r="H45" s="95">
        <f t="shared" si="10"/>
        <v>4460</v>
      </c>
      <c r="I45" s="95">
        <f t="shared" si="10"/>
        <v>688</v>
      </c>
      <c r="J45" s="95">
        <f t="shared" si="10"/>
        <v>1848.4761786091169</v>
      </c>
      <c r="K45" s="95">
        <f t="shared" si="10"/>
        <v>215470.24055587733</v>
      </c>
      <c r="L45" s="95">
        <f t="shared" si="10"/>
        <v>231001.49907418</v>
      </c>
      <c r="M45" s="96">
        <f t="shared" si="10"/>
        <v>26857.553509412457</v>
      </c>
      <c r="N45" s="95">
        <f t="shared" si="10"/>
        <v>21195.040059613155</v>
      </c>
      <c r="O45" s="95">
        <f t="shared" si="10"/>
        <v>24126.04</v>
      </c>
      <c r="P45" s="95">
        <f t="shared" si="10"/>
        <v>460.7</v>
      </c>
      <c r="Q45" s="95">
        <f t="shared" si="10"/>
        <v>0</v>
      </c>
      <c r="R45" s="95">
        <f t="shared" si="10"/>
        <v>583.98062260958716</v>
      </c>
      <c r="S45" s="95">
        <f t="shared" si="10"/>
        <v>73223.314191635174</v>
      </c>
      <c r="T45" s="95">
        <f t="shared" si="10"/>
        <v>307.75851830263997</v>
      </c>
      <c r="U45" s="95">
        <f t="shared" si="10"/>
        <v>142554.68488254477</v>
      </c>
      <c r="V45" s="95">
        <f t="shared" si="10"/>
        <v>15223.5</v>
      </c>
      <c r="W45" s="97"/>
      <c r="X45" s="98"/>
    </row>
    <row r="46" spans="1:26" s="6" customFormat="1" ht="2.25" customHeight="1">
      <c r="A46" s="122"/>
      <c r="B46" s="123"/>
      <c r="C46" s="124"/>
      <c r="D46" s="101"/>
      <c r="E46" s="101">
        <f>E45+'[1]HT-DOCENTE FIRMA'!E33</f>
        <v>298090.02437726827</v>
      </c>
      <c r="F46" s="101"/>
      <c r="G46" s="125">
        <f>G45+'[6]HT-DOCENTE FIRMA'!J37</f>
        <v>22193.22</v>
      </c>
      <c r="H46" s="125">
        <f>H45+'[6]HT-DOCENTE FIRMA'!L37</f>
        <v>6110.2000000000007</v>
      </c>
      <c r="I46" s="101"/>
      <c r="J46" s="101">
        <f>J45+'[6]HT-DOCENTE FIRMA'!M37</f>
        <v>2439.0211786091168</v>
      </c>
      <c r="K46" s="101"/>
      <c r="L46" s="101"/>
      <c r="M46" s="5">
        <f>M45+'[6]HT-DOCENTE FIRMA'!P37</f>
        <v>38199.904205412458</v>
      </c>
      <c r="N46" s="101"/>
      <c r="O46" s="101"/>
      <c r="P46" s="101"/>
      <c r="Q46" s="101"/>
      <c r="R46" s="101"/>
      <c r="S46" s="101"/>
      <c r="T46" s="101"/>
      <c r="U46" s="101">
        <f>U45+'[6]HT-DOCENTE FIRMA'!X37</f>
        <v>226124.07472254476</v>
      </c>
      <c r="V46" s="101"/>
      <c r="W46" s="126"/>
      <c r="X46" s="5"/>
    </row>
    <row r="47" spans="1:26" s="6" customFormat="1" ht="2.25" customHeight="1">
      <c r="A47" s="122"/>
      <c r="B47" s="123"/>
      <c r="C47" s="124"/>
      <c r="D47" s="101"/>
      <c r="E47" s="101">
        <f>E45+'[6]HT-DOCENTE FIRMA'!I37</f>
        <v>313900.77437726827</v>
      </c>
      <c r="F47" s="101"/>
      <c r="G47" s="125"/>
      <c r="H47" s="125"/>
      <c r="I47" s="101"/>
      <c r="J47" s="101"/>
      <c r="K47" s="101"/>
      <c r="L47" s="101"/>
      <c r="M47" s="101"/>
      <c r="N47" s="101"/>
      <c r="O47" s="101">
        <f>O45+'[6]HT-DOCENTE FIRMA'!R37</f>
        <v>35046.44</v>
      </c>
      <c r="P47" s="101"/>
      <c r="Q47" s="101"/>
      <c r="R47" s="101"/>
      <c r="S47" s="101"/>
      <c r="T47" s="101"/>
      <c r="U47" s="101"/>
      <c r="V47" s="101"/>
      <c r="W47" s="126"/>
      <c r="X47" s="5"/>
      <c r="Z47" s="5"/>
    </row>
    <row r="48" spans="1:26" s="6" customFormat="1" ht="19.5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26"/>
      <c r="X48" s="5"/>
    </row>
    <row r="49" spans="1:24" s="6" customFormat="1" ht="13.5" customHeight="1">
      <c r="A49" s="129"/>
      <c r="B49" s="130"/>
      <c r="C49" s="131"/>
      <c r="D49" s="132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5"/>
    </row>
    <row r="50" spans="1:24" ht="15" customHeight="1">
      <c r="A50" s="110" t="s">
        <v>105</v>
      </c>
      <c r="B50" s="110"/>
      <c r="C50" s="110"/>
      <c r="D50" s="111"/>
      <c r="E50" s="109"/>
      <c r="F50" s="113" t="s">
        <v>106</v>
      </c>
      <c r="G50" s="112"/>
      <c r="H50" s="112"/>
      <c r="I50" s="112"/>
      <c r="K50" s="113"/>
      <c r="L50" s="114"/>
      <c r="O50" s="115"/>
      <c r="P50" s="115"/>
      <c r="Q50" s="115"/>
      <c r="R50" s="115"/>
      <c r="S50" s="111" t="s">
        <v>107</v>
      </c>
      <c r="T50" s="111"/>
      <c r="U50" s="111"/>
      <c r="V50" s="111"/>
      <c r="W50" s="111"/>
      <c r="X50" s="100"/>
    </row>
    <row r="51" spans="1:24" hidden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03"/>
      <c r="L51" s="103"/>
      <c r="O51" s="103"/>
      <c r="P51" s="115"/>
      <c r="Q51" s="103"/>
      <c r="R51" s="103"/>
      <c r="S51" s="111"/>
      <c r="T51" s="111"/>
      <c r="U51" s="111"/>
      <c r="V51" s="111"/>
      <c r="W51" s="111"/>
      <c r="X51" s="100"/>
    </row>
    <row r="52" spans="1:24" hidden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09"/>
      <c r="L52" s="109"/>
      <c r="O52" s="109"/>
      <c r="P52" s="109"/>
      <c r="Q52" s="109"/>
      <c r="R52" s="109"/>
      <c r="S52" s="111"/>
      <c r="T52" s="111"/>
      <c r="U52" s="111"/>
      <c r="V52" s="111"/>
      <c r="W52" s="111"/>
      <c r="X52" s="100"/>
    </row>
    <row r="53" spans="1:24">
      <c r="A53" s="111"/>
      <c r="B53" s="113" t="s">
        <v>108</v>
      </c>
      <c r="C53" s="111"/>
      <c r="D53" s="111"/>
      <c r="E53" s="116"/>
      <c r="F53" s="118" t="s">
        <v>109</v>
      </c>
      <c r="G53" s="117"/>
      <c r="H53" s="117"/>
      <c r="I53" s="117"/>
      <c r="K53" s="118"/>
      <c r="L53" s="118"/>
      <c r="O53" s="109"/>
      <c r="P53" s="109"/>
      <c r="Q53" s="116"/>
      <c r="R53" s="109"/>
      <c r="S53" s="117" t="s">
        <v>110</v>
      </c>
      <c r="T53" s="117"/>
      <c r="U53" s="117"/>
      <c r="V53" s="117"/>
      <c r="W53" s="111"/>
      <c r="X53" s="100"/>
    </row>
    <row r="54" spans="1:24" ht="15" customHeight="1">
      <c r="A54" s="110" t="s">
        <v>111</v>
      </c>
      <c r="B54" s="110"/>
      <c r="C54" s="110"/>
      <c r="D54" s="111"/>
      <c r="E54" s="109"/>
      <c r="F54" s="118" t="s">
        <v>112</v>
      </c>
      <c r="G54" s="117"/>
      <c r="H54" s="117"/>
      <c r="I54" s="117"/>
      <c r="K54" s="118"/>
      <c r="L54" s="118"/>
      <c r="O54" s="109"/>
      <c r="P54" s="109"/>
      <c r="Q54" s="109"/>
      <c r="R54" s="109"/>
      <c r="S54" s="119" t="s">
        <v>113</v>
      </c>
      <c r="T54" s="119"/>
      <c r="U54" s="119"/>
      <c r="V54" s="118"/>
      <c r="W54" s="111"/>
      <c r="X54" s="100"/>
    </row>
    <row r="55" spans="1:24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16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307" spans="99:99">
      <c r="CU307" s="1" t="s">
        <v>114</v>
      </c>
    </row>
  </sheetData>
  <mergeCells count="3">
    <mergeCell ref="A50:C50"/>
    <mergeCell ref="A54:C54"/>
    <mergeCell ref="S54:U54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CU307"/>
  <sheetViews>
    <sheetView zoomScale="80" zoomScaleNormal="80" workbookViewId="0">
      <pane xSplit="2" ySplit="6" topLeftCell="C40" activePane="bottomRight" state="frozen"/>
      <selection activeCell="S28" sqref="S28"/>
      <selection pane="topRight" activeCell="S28" sqref="S28"/>
      <selection pane="bottomLeft" activeCell="S28" sqref="S28"/>
      <selection pane="bottomRight" activeCell="C48" sqref="C48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7" width="12.5703125" style="1" customWidth="1"/>
    <col min="8" max="8" width="10.570312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7.1406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3" spans="1:26" s="6" customFormat="1">
      <c r="K3" s="5"/>
      <c r="L3" s="5" t="s">
        <v>0</v>
      </c>
      <c r="Q3" s="6" t="s">
        <v>1</v>
      </c>
    </row>
    <row r="4" spans="1:26" s="6" customFormat="1">
      <c r="L4" s="7">
        <v>1.9E-2</v>
      </c>
      <c r="O4" s="8">
        <v>0.01</v>
      </c>
      <c r="P4" s="121">
        <v>0.105</v>
      </c>
      <c r="Q4" s="9">
        <v>3.7999999999999999E-2</v>
      </c>
    </row>
    <row r="5" spans="1:26" ht="13.5" thickBot="1">
      <c r="B5" s="10" t="s">
        <v>2</v>
      </c>
      <c r="C5" s="3"/>
      <c r="D5" s="3"/>
      <c r="E5" s="3"/>
      <c r="F5" s="3"/>
      <c r="G5" s="10" t="s">
        <v>123</v>
      </c>
      <c r="J5" s="3"/>
      <c r="K5" s="3"/>
    </row>
    <row r="6" spans="1:26" s="25" customFormat="1" ht="105.7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142">
        <f>'[1]HT-ADMINISTRATIVOS'!C8</f>
        <v>15</v>
      </c>
      <c r="D7" s="28">
        <f>E7/C7</f>
        <v>1129.1146666666668</v>
      </c>
      <c r="E7" s="28">
        <v>16936.72</v>
      </c>
      <c r="F7" s="28">
        <v>6616.24</v>
      </c>
      <c r="G7" s="28">
        <f>'[1]HT-ADMINISTRATIVOS'!G8</f>
        <v>960</v>
      </c>
      <c r="H7" s="28">
        <f>'[1]HT-ADMINISTRATIVOS'!H8</f>
        <v>0</v>
      </c>
      <c r="I7" s="28">
        <f>'[1]HT-ADMINISTRATIVOS'!J8</f>
        <v>688</v>
      </c>
      <c r="J7" s="28">
        <f>'[1]HT-ADMINISTRATIVOS'!I8</f>
        <v>0</v>
      </c>
      <c r="K7" s="28">
        <f>E7+F7+H7+I7+J7</f>
        <v>24240.959999999999</v>
      </c>
      <c r="L7" s="28">
        <f t="shared" ref="L7:L12" si="0">K7+G7</f>
        <v>25200.959999999999</v>
      </c>
      <c r="M7" s="28">
        <f>IF('[1]Calculo ISR '!$K$34&lt;0,0,'[1]Calculo ISR '!$K$34)</f>
        <v>5456.9699999999993</v>
      </c>
      <c r="N7" s="28">
        <f>E7*P4</f>
        <v>1778.3556000000001</v>
      </c>
      <c r="O7" s="28"/>
      <c r="P7" s="28">
        <f>'[1]HT-ADMINISTRATIVOS'!Q8</f>
        <v>0</v>
      </c>
      <c r="Q7" s="28">
        <f>'[1]HT-ADMINISTRATIVOS'!R8</f>
        <v>0</v>
      </c>
      <c r="R7" s="28">
        <f>'[1]HT-ADMINISTRATIVOS'!S8</f>
        <v>0</v>
      </c>
      <c r="S7" s="28">
        <f>M7+N7+O7+P7+Q7+R7</f>
        <v>7235.3255999999992</v>
      </c>
      <c r="T7" s="28"/>
      <c r="U7" s="28">
        <f>L7-S7-V7</f>
        <v>17005.634399999999</v>
      </c>
      <c r="V7" s="28">
        <f>'[1]HT-ADMINISTRATIVOS'!W8</f>
        <v>960</v>
      </c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754.53875970000001</v>
      </c>
      <c r="E8" s="36">
        <v>11318.081395499999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E8*Q4</f>
        <v>430.08709302899996</v>
      </c>
      <c r="K8" s="36">
        <f>E8+F8+H8+I8+J8</f>
        <v>12194.168488529</v>
      </c>
      <c r="L8" s="36">
        <f t="shared" si="0"/>
        <v>12579.668488529</v>
      </c>
      <c r="M8" s="28">
        <f>IF('[1]Calculo ISR '!$L$34&lt;0,0,'[1]Calculo ISR '!$L$34)</f>
        <v>2099.3806365020209</v>
      </c>
      <c r="N8" s="38">
        <f>E8*P4</f>
        <v>1188.3985465275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3287.7791830295209</v>
      </c>
      <c r="T8" s="28">
        <f>IF('[1]Calculo ISR '!$L$34&gt;0,0,'[1]Calculo ISR '!$L$34)*-1</f>
        <v>0</v>
      </c>
      <c r="U8" s="36">
        <f>K8-S8</f>
        <v>8906.3893054994787</v>
      </c>
      <c r="V8" s="36">
        <f t="shared" ref="V8:V27" si="1">G8</f>
        <v>385.5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230.34834514817072</v>
      </c>
      <c r="E9" s="36">
        <v>3455.2251772225609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E9*Q4</f>
        <v>131.29855673445732</v>
      </c>
      <c r="K9" s="36">
        <f>E9+F9+H9+I9+J9</f>
        <v>3586.5237339570181</v>
      </c>
      <c r="L9" s="36">
        <f t="shared" si="0"/>
        <v>3972.0237339570181</v>
      </c>
      <c r="M9" s="28">
        <f>IF('[1]Calculo ISR '!$M$34&lt;0,0,'[1]Calculo ISR '!$M$34)</f>
        <v>178.73069425452351</v>
      </c>
      <c r="N9" s="38">
        <f>E9*P4</f>
        <v>362.79864360836888</v>
      </c>
      <c r="O9" s="38">
        <v>959.26</v>
      </c>
      <c r="P9" s="38">
        <f>'[1]HT-ADMINISTRATIVOS'!Q11</f>
        <v>0</v>
      </c>
      <c r="Q9" s="38">
        <f>'[1]HT-ADMINISTRATIVOS'!R11</f>
        <v>0</v>
      </c>
      <c r="R9" s="38">
        <f>E9*O4</f>
        <v>34.55225177222561</v>
      </c>
      <c r="S9" s="36">
        <f>M9+N9+O9+P9+Q9+R9</f>
        <v>1535.341589635118</v>
      </c>
      <c r="T9" s="28">
        <f>IF('[1]Calculo ISR '!$M$34&gt;0,0,'[1]Calculo ISR '!$M$34)*-1</f>
        <v>0</v>
      </c>
      <c r="U9" s="36">
        <f t="shared" ref="U9:U15" si="2">K9-S9+T9</f>
        <v>2051.1821443219001</v>
      </c>
      <c r="V9" s="36">
        <f t="shared" si="1"/>
        <v>385.5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v>242.09274535320057</v>
      </c>
      <c r="E10" s="36">
        <v>3631.3911802980087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E10*Q4</f>
        <v>137.99286485132433</v>
      </c>
      <c r="K10" s="36">
        <f>E10+F10+I10+J10</f>
        <v>3769.3840451493329</v>
      </c>
      <c r="L10" s="36">
        <f t="shared" si="0"/>
        <v>4154.8840451493325</v>
      </c>
      <c r="M10" s="28">
        <f>IF('[1]Calculo ISR '!$N$34&lt;0,0,'[1]Calculo ISR '!$N$34)</f>
        <v>312.18984722389325</v>
      </c>
      <c r="N10" s="38">
        <f>E10*P4</f>
        <v>381.29607393129089</v>
      </c>
      <c r="O10" s="38">
        <v>1077.99</v>
      </c>
      <c r="P10" s="38">
        <f>'[1]HT-ADMINISTRATIVOS'!Q12</f>
        <v>0</v>
      </c>
      <c r="Q10" s="38">
        <f>'[1]HT-ADMINISTRATIVOS'!R12</f>
        <v>0</v>
      </c>
      <c r="R10" s="38">
        <f>E10*O4</f>
        <v>36.313911802980087</v>
      </c>
      <c r="S10" s="36">
        <f t="shared" ref="S10:S31" si="3">M10+N10+O10+R10+P10+Q10</f>
        <v>1807.7898329581642</v>
      </c>
      <c r="T10" s="28">
        <f>IF('[1]Calculo ISR '!$N$34&gt;0,0,'[1]Calculo ISR '!$N$34)*-1</f>
        <v>0</v>
      </c>
      <c r="U10" s="36">
        <f t="shared" si="2"/>
        <v>1961.5942121911687</v>
      </c>
      <c r="V10" s="36">
        <f t="shared" si="1"/>
        <v>385.5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219.22891544903311</v>
      </c>
      <c r="E11" s="36">
        <v>3288.4337317354966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E11*Q4</f>
        <v>124.96048180594887</v>
      </c>
      <c r="K11" s="36">
        <f t="shared" ref="K11:K33" si="4">E11+F11+H11+I11+J11</f>
        <v>3413.3942135414454</v>
      </c>
      <c r="L11" s="36">
        <f t="shared" si="0"/>
        <v>3798.8942135414454</v>
      </c>
      <c r="M11" s="28">
        <f>IF('[1]Calculo ISR '!$O$34&lt;0,0,'[1]Calculo ISR '!$O$34)</f>
        <v>142.19420243330924</v>
      </c>
      <c r="N11" s="38">
        <f>E11*P4</f>
        <v>345.28554183222712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32.884337317354969</v>
      </c>
      <c r="S11" s="36">
        <f t="shared" si="3"/>
        <v>1982.5840815828915</v>
      </c>
      <c r="T11" s="28">
        <f>IF('[1]Calculo ISR '!$O$34&gt;0,0,'[1]Calculo ISR '!$O$34)*-1</f>
        <v>0</v>
      </c>
      <c r="U11" s="36">
        <f t="shared" si="2"/>
        <v>1430.8101319585539</v>
      </c>
      <c r="V11" s="36">
        <f t="shared" si="1"/>
        <v>385.5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242.09274535320057</v>
      </c>
      <c r="E12" s="36">
        <v>3631.3911802980087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E12*Q4</f>
        <v>137.99286485132433</v>
      </c>
      <c r="K12" s="36">
        <f t="shared" si="4"/>
        <v>3769.3840451493329</v>
      </c>
      <c r="L12" s="36">
        <f t="shared" si="0"/>
        <v>4154.8840451493325</v>
      </c>
      <c r="M12" s="28">
        <f>IF('[1]Calculo ISR '!$P$34&lt;0,0,'[1]Calculo ISR '!$P$34)</f>
        <v>312.18984722389325</v>
      </c>
      <c r="N12" s="38">
        <f>E12*P4</f>
        <v>381.29607393129089</v>
      </c>
      <c r="O12" s="38">
        <v>1170</v>
      </c>
      <c r="P12" s="38">
        <f>'[1]HT-ADMINISTRATIVOS'!Q14</f>
        <v>0</v>
      </c>
      <c r="Q12" s="38">
        <f>'[1]HT-ADMINISTRATIVOS'!R14</f>
        <v>0</v>
      </c>
      <c r="R12" s="38">
        <f>E12*O4</f>
        <v>36.313911802980087</v>
      </c>
      <c r="S12" s="36">
        <f t="shared" si="3"/>
        <v>1899.7998329581642</v>
      </c>
      <c r="T12" s="28">
        <f>IF('[1]Calculo ISR '!$P$34&gt;0,0,'[1]Calculo ISR '!$P$34)*-1</f>
        <v>0</v>
      </c>
      <c r="U12" s="36">
        <f t="shared" si="2"/>
        <v>1869.5842121911687</v>
      </c>
      <c r="V12" s="36">
        <f t="shared" si="1"/>
        <v>385.5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171.33947607512999</v>
      </c>
      <c r="E13" s="36">
        <v>2570.0921411269501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E13*Q4</f>
        <v>97.663501362824107</v>
      </c>
      <c r="K13" s="36">
        <f t="shared" si="4"/>
        <v>2667.7556424897743</v>
      </c>
      <c r="L13" s="36">
        <f>K13+G13+T13</f>
        <v>3053.2556424897743</v>
      </c>
      <c r="M13" s="28">
        <f>IF('[1]Calculo ISR '!$Q$34&lt;0,0,'[1]Calculo ISR '!$Q$34)</f>
        <v>40.818725902887451</v>
      </c>
      <c r="N13" s="38">
        <f>E13*P4</f>
        <v>269.85967481832972</v>
      </c>
      <c r="O13" s="38">
        <v>584</v>
      </c>
      <c r="P13" s="38">
        <f>'[1]HT-ADMINISTRATIVOS'!Q15</f>
        <v>0</v>
      </c>
      <c r="Q13" s="38">
        <f>'[1]HT-ADMINISTRATIVOS'!R15</f>
        <v>0</v>
      </c>
      <c r="R13" s="38">
        <f>E13*O4</f>
        <v>25.700921411269501</v>
      </c>
      <c r="S13" s="36">
        <f t="shared" si="3"/>
        <v>920.37932213248666</v>
      </c>
      <c r="T13" s="28">
        <f>IF('[1]Calculo ISR '!$Q$34&gt;0,0,'[1]Calculo ISR '!$Q$34)</f>
        <v>0</v>
      </c>
      <c r="U13" s="36">
        <f t="shared" si="2"/>
        <v>1747.3763203572876</v>
      </c>
      <c r="V13" s="36">
        <f t="shared" si="1"/>
        <v>385.5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163.00161009000001</v>
      </c>
      <c r="E14" s="36">
        <v>2445.02415135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E14*Q4</f>
        <v>92.910917751300005</v>
      </c>
      <c r="K14" s="36">
        <f t="shared" si="4"/>
        <v>2537.9350691013001</v>
      </c>
      <c r="L14" s="36">
        <f>K14+G14+T14</f>
        <v>2923.4350691013001</v>
      </c>
      <c r="M14" s="28">
        <f>IF('[1]Calculo ISR '!$R$34&lt;0,0,'[1]Calculo ISR '!$R$34)</f>
        <v>11.694247518221431</v>
      </c>
      <c r="N14" s="38">
        <f>E14*P4</f>
        <v>256.72753589174999</v>
      </c>
      <c r="O14" s="38">
        <v>625</v>
      </c>
      <c r="P14" s="38">
        <f>'[1]HT-ADMINISTRATIVOS'!Q16</f>
        <v>0</v>
      </c>
      <c r="Q14" s="38">
        <f>'[1]HT-ADMINISTRATIVOS'!R16</f>
        <v>0</v>
      </c>
      <c r="R14" s="38">
        <f>E14*O4</f>
        <v>24.4502415135</v>
      </c>
      <c r="S14" s="36">
        <f t="shared" si="3"/>
        <v>917.87202492347149</v>
      </c>
      <c r="T14" s="28">
        <f>IF('[1]Calculo ISR '!$R$34&gt;0,0,'[1]Calculo ISR '!$R$34)*-1</f>
        <v>0</v>
      </c>
      <c r="U14" s="36">
        <f t="shared" si="2"/>
        <v>1620.0630441778285</v>
      </c>
      <c r="V14" s="36">
        <f t="shared" si="1"/>
        <v>385.5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534.93837680832996</v>
      </c>
      <c r="E15" s="36">
        <v>8024.0756521249496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E15*L4</f>
        <v>152.45743739037403</v>
      </c>
      <c r="K15" s="36">
        <f t="shared" si="4"/>
        <v>8176.5330895153238</v>
      </c>
      <c r="L15" s="36">
        <f>K15+G15</f>
        <v>8562.0330895153238</v>
      </c>
      <c r="M15" s="28">
        <f>IF('[1]Calculo ISR '!$S$34&lt;0,0,'[1]Calculo ISR '!$S$34)</f>
        <v>1199.3182919204733</v>
      </c>
      <c r="N15" s="38">
        <f>E15*P4</f>
        <v>842.52794347311965</v>
      </c>
      <c r="O15" s="38">
        <v>2675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3"/>
        <v>4716.8462353935929</v>
      </c>
      <c r="T15" s="28">
        <f>IF('[1]Calculo ISR '!$S$34&gt;0,0,'[1]Calculo ISR '!$S$34)*-1</f>
        <v>0</v>
      </c>
      <c r="U15" s="36">
        <f t="shared" si="2"/>
        <v>3459.6868541217309</v>
      </c>
      <c r="V15" s="36">
        <f t="shared" si="1"/>
        <v>385.5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267.35834171124986</v>
      </c>
      <c r="E16" s="36">
        <v>4010.3751256687478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E16*L4</f>
        <v>76.197127387706203</v>
      </c>
      <c r="K16" s="36">
        <f t="shared" si="4"/>
        <v>4086.572253056454</v>
      </c>
      <c r="L16" s="36">
        <f>K16+G16</f>
        <v>4472.0722530564544</v>
      </c>
      <c r="M16" s="28">
        <f>IF('[1]Calculo ISR '!$T$34&lt;0,0,'[1]Calculo ISR '!$T$34)</f>
        <v>362.93996048903261</v>
      </c>
      <c r="N16" s="38">
        <f>E16*P4</f>
        <v>421.08938819521853</v>
      </c>
      <c r="O16" s="38">
        <v>1867.49</v>
      </c>
      <c r="P16" s="38"/>
      <c r="Q16" s="38"/>
      <c r="R16" s="38">
        <f>E16*O4</f>
        <v>40.103751256687481</v>
      </c>
      <c r="S16" s="36">
        <f>M16+N16+O16+Q16+R16+P16</f>
        <v>2691.6230999409386</v>
      </c>
      <c r="T16" s="28">
        <f>IF('[1]Calculo ISR '!$T$34&gt;0,0,'[1]Calculo ISR '!$T$34)*-1</f>
        <v>0</v>
      </c>
      <c r="U16" s="36">
        <f>K16-S16</f>
        <v>1394.9491531155154</v>
      </c>
      <c r="V16" s="36">
        <f t="shared" si="1"/>
        <v>385.5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230.34834514817072</v>
      </c>
      <c r="E17" s="36">
        <v>3455.2251772225609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7">
        <f>E17*L4</f>
        <v>65.649278367228661</v>
      </c>
      <c r="K17" s="36">
        <f t="shared" si="4"/>
        <v>3966.8744555897897</v>
      </c>
      <c r="L17" s="36">
        <f>K17+G17</f>
        <v>4352.3744555897902</v>
      </c>
      <c r="M17" s="28">
        <f>IF('[1]Calculo ISR '!$U$34&lt;0,0,'[1]Calculo ISR '!$U$34)</f>
        <v>343.7883128943663</v>
      </c>
      <c r="N17" s="38">
        <f>E17*P4</f>
        <v>362.79864360836888</v>
      </c>
      <c r="O17" s="38">
        <v>1715.6</v>
      </c>
      <c r="P17" s="38">
        <f>'[1]HT-ADMINISTRATIVOS'!Q19</f>
        <v>0</v>
      </c>
      <c r="Q17" s="38">
        <f>'[1]HT-ADMINISTRATIVOS'!R19</f>
        <v>0</v>
      </c>
      <c r="R17" s="38">
        <f>E17*O4</f>
        <v>34.55225177222561</v>
      </c>
      <c r="S17" s="36">
        <f t="shared" si="3"/>
        <v>2456.7392082749607</v>
      </c>
      <c r="T17" s="28">
        <f>IF('[1]Calculo ISR '!$U$34&gt;0,0,'[1]Calculo ISR '!$U$34)*-1</f>
        <v>0</v>
      </c>
      <c r="U17" s="36">
        <f t="shared" ref="U17:U32" si="5">K17-S17+T17</f>
        <v>1510.135247314829</v>
      </c>
      <c r="V17" s="36">
        <f t="shared" si="1"/>
        <v>385.5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873.012693639492</v>
      </c>
      <c r="E18" s="36">
        <v>13095.19040459238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E18*L4</f>
        <v>248.80861768725521</v>
      </c>
      <c r="K18" s="36">
        <f t="shared" si="4"/>
        <v>13343.999022279635</v>
      </c>
      <c r="L18" s="36">
        <f>K18+G18</f>
        <v>13729.499022279635</v>
      </c>
      <c r="M18" s="28">
        <f>IF('[1]Calculo ISR '!$V$34&lt;0,0,'[1]Calculo ISR '!$V$34)</f>
        <v>2369.8207780401704</v>
      </c>
      <c r="N18" s="38">
        <f>E18*P4</f>
        <v>1374.9949924821999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3"/>
        <v>3744.8157705223703</v>
      </c>
      <c r="T18" s="28">
        <f>IF('[1]Calculo ISR '!$V$34&gt;0,0,'[1]Calculo ISR '!$V$34)*-1</f>
        <v>0</v>
      </c>
      <c r="U18" s="36">
        <f t="shared" si="5"/>
        <v>9599.1832517572657</v>
      </c>
      <c r="V18" s="36">
        <f t="shared" si="1"/>
        <v>385.5</v>
      </c>
      <c r="W18" s="46"/>
      <c r="X18" s="47"/>
    </row>
    <row r="19" spans="1:24" s="48" customFormat="1" ht="45" customHeight="1">
      <c r="A19" s="53" t="s">
        <v>51</v>
      </c>
      <c r="B19" s="53" t="s">
        <v>52</v>
      </c>
      <c r="C19" s="34">
        <v>15</v>
      </c>
      <c r="D19" s="50">
        <v>219.22891544903311</v>
      </c>
      <c r="E19" s="36">
        <v>3288.4337317354966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'[1]HT-ADMINISTRATIVOS'!I21</f>
        <v>0</v>
      </c>
      <c r="K19" s="36">
        <f t="shared" si="4"/>
        <v>3288.4337317354966</v>
      </c>
      <c r="L19" s="36">
        <f>K19+G19</f>
        <v>3673.9337317354966</v>
      </c>
      <c r="M19" s="28">
        <f>IF('[1]Calculo ISR '!$W$34&lt;0,0,'[1]Calculo ISR '!$W$34)</f>
        <v>128.59850201282202</v>
      </c>
      <c r="N19" s="38">
        <f>E19*P4</f>
        <v>345.28554183222712</v>
      </c>
      <c r="O19" s="38">
        <v>1357.77</v>
      </c>
      <c r="P19" s="38">
        <f>'[1]HT-ADMINISTRATIVOS'!Q21</f>
        <v>0</v>
      </c>
      <c r="Q19" s="38">
        <f>'[1]HT-ADMINISTRATIVOS'!R21</f>
        <v>0</v>
      </c>
      <c r="R19" s="38">
        <f>E19*O4</f>
        <v>32.884337317354969</v>
      </c>
      <c r="S19" s="36">
        <f t="shared" si="3"/>
        <v>1864.5383811624042</v>
      </c>
      <c r="T19" s="28">
        <f>IF('[1]Calculo ISR '!$W$34&gt;0,0,'[1]Calculo ISR '!$W$34)*-1</f>
        <v>0</v>
      </c>
      <c r="U19" s="36">
        <f t="shared" si="5"/>
        <v>1423.8953505730924</v>
      </c>
      <c r="V19" s="36">
        <f t="shared" si="1"/>
        <v>385.5</v>
      </c>
      <c r="W19" s="46"/>
      <c r="X19" s="47"/>
    </row>
    <row r="20" spans="1:24" s="48" customFormat="1" ht="45" customHeight="1">
      <c r="A20" s="53" t="s">
        <v>53</v>
      </c>
      <c r="B20" s="53" t="s">
        <v>54</v>
      </c>
      <c r="C20" s="34">
        <v>15</v>
      </c>
      <c r="D20" s="50">
        <v>148.1300975275</v>
      </c>
      <c r="E20" s="36">
        <v>2221.9514629125001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'[1]HT-ADMINISTRATIVOS'!I22</f>
        <v>0</v>
      </c>
      <c r="K20" s="36">
        <f t="shared" si="4"/>
        <v>2221.9514629125001</v>
      </c>
      <c r="L20" s="36">
        <f>K20+G20+T20</f>
        <v>2644.5362317476201</v>
      </c>
      <c r="M20" s="28">
        <f>IF('[1]Calculo ISR '!$X$34&lt;0,0,'[1]Calculo ISR '!$X$34)</f>
        <v>0</v>
      </c>
      <c r="N20" s="38">
        <f>E20*P4</f>
        <v>233.30490360581251</v>
      </c>
      <c r="O20" s="38">
        <v>741</v>
      </c>
      <c r="P20" s="38">
        <f>'[1]HT-ADMINISTRATIVOS'!Q22</f>
        <v>0</v>
      </c>
      <c r="Q20" s="38">
        <f>'[1]HT-ADMINISTRATIVOS'!R22</f>
        <v>0</v>
      </c>
      <c r="R20" s="38">
        <f>E20*O4</f>
        <v>22.219514629125001</v>
      </c>
      <c r="S20" s="36">
        <f t="shared" si="3"/>
        <v>996.52441823493757</v>
      </c>
      <c r="T20" s="28">
        <f>IF('[1]Calculo ISR '!$X$34&gt;0,0,('[1]Calculo ISR '!$X$34)*-1)</f>
        <v>37.084768835120002</v>
      </c>
      <c r="U20" s="36">
        <f t="shared" si="5"/>
        <v>1262.5118135126827</v>
      </c>
      <c r="V20" s="36">
        <f t="shared" si="1"/>
        <v>385.5</v>
      </c>
      <c r="W20" s="46"/>
      <c r="X20" s="47"/>
    </row>
    <row r="21" spans="1:24" s="48" customFormat="1" ht="45" customHeight="1">
      <c r="A21" s="53" t="s">
        <v>55</v>
      </c>
      <c r="B21" s="53" t="s">
        <v>56</v>
      </c>
      <c r="C21" s="34">
        <v>15</v>
      </c>
      <c r="D21" s="50">
        <v>148.19297316999999</v>
      </c>
      <c r="E21" s="36">
        <v>2222.8945975499996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'[1]HT-ADMINISTRATIVOS'!I23</f>
        <v>0</v>
      </c>
      <c r="K21" s="36">
        <f t="shared" si="4"/>
        <v>2668.8945975499996</v>
      </c>
      <c r="L21" s="36">
        <f>K21+G21+T21</f>
        <v>3054.3945975499996</v>
      </c>
      <c r="M21" s="28">
        <f>IF('[1]Calculo ISR '!$Y$34&lt;0,0,'[1]Calculo ISR '!$Y$34)</f>
        <v>40.942644213439934</v>
      </c>
      <c r="N21" s="38">
        <f>E21*P4</f>
        <v>233.40393274274996</v>
      </c>
      <c r="O21" s="38">
        <v>851.76</v>
      </c>
      <c r="P21" s="38">
        <f>'[1]HT-ADMINISTRATIVOS'!Q23</f>
        <v>0</v>
      </c>
      <c r="Q21" s="38">
        <f>'[1]HT-ADMINISTRATIVOS'!R23</f>
        <v>0</v>
      </c>
      <c r="R21" s="38">
        <f>E21*O4</f>
        <v>22.228945975499997</v>
      </c>
      <c r="S21" s="36">
        <f t="shared" si="3"/>
        <v>1148.3355229316899</v>
      </c>
      <c r="T21" s="28">
        <f>IF('[1]Calculo ISR '!$Y$34&gt;0,0,'[1]Calculo ISR '!$Y$34)*-1</f>
        <v>0</v>
      </c>
      <c r="U21" s="36">
        <f t="shared" si="5"/>
        <v>1520.5590746183098</v>
      </c>
      <c r="V21" s="36">
        <f t="shared" si="1"/>
        <v>385.5</v>
      </c>
      <c r="W21" s="46"/>
      <c r="X21" s="47"/>
    </row>
    <row r="22" spans="1:24" s="48" customFormat="1" ht="45" customHeight="1">
      <c r="A22" s="53" t="s">
        <v>57</v>
      </c>
      <c r="B22" s="53" t="s">
        <v>58</v>
      </c>
      <c r="C22" s="34">
        <v>15</v>
      </c>
      <c r="D22" s="50">
        <v>198.84487564290151</v>
      </c>
      <c r="E22" s="36">
        <v>2982.6731346435226</v>
      </c>
      <c r="F22" s="43"/>
      <c r="G22" s="36">
        <f>'[1]HT-ADMINISTRATIVOS'!G26</f>
        <v>385.5</v>
      </c>
      <c r="H22" s="36">
        <f>'[1]HT-ADMINISTRATIVOS'!H26</f>
        <v>0</v>
      </c>
      <c r="I22" s="36">
        <f>'[1]HT-ADMINISTRATIVOS'!J26</f>
        <v>0</v>
      </c>
      <c r="J22" s="37">
        <f>'[1]HT-ADMINISTRATIVOS'!I26</f>
        <v>0</v>
      </c>
      <c r="K22" s="36">
        <f t="shared" si="4"/>
        <v>2982.6731346435226</v>
      </c>
      <c r="L22" s="36">
        <f>K22+G22</f>
        <v>3368.1731346435226</v>
      </c>
      <c r="M22" s="28">
        <f>IF('[1]Calculo ISR '!$Z$34&lt;0,0,'[1]Calculo ISR '!$Z$34)</f>
        <v>75.081749049215233</v>
      </c>
      <c r="N22" s="38">
        <f>E22*P4</f>
        <v>313.18067913756988</v>
      </c>
      <c r="O22" s="38">
        <v>829</v>
      </c>
      <c r="P22" s="38">
        <v>198.84</v>
      </c>
      <c r="Q22" s="38">
        <f>'[1]HT-ADMINISTRATIVOS'!R26</f>
        <v>0</v>
      </c>
      <c r="R22" s="38">
        <f>E22*O4</f>
        <v>29.826731346435228</v>
      </c>
      <c r="S22" s="36">
        <f>M22+N22+O22+R22+P22+Q22</f>
        <v>1445.9291595332204</v>
      </c>
      <c r="T22" s="28">
        <f>IF('[1]Calculo ISR '!$Z$34&gt;0,0,'[1]Calculo ISR '!$Z$34)*-1</f>
        <v>0</v>
      </c>
      <c r="U22" s="36">
        <f t="shared" si="5"/>
        <v>1536.7439751103022</v>
      </c>
      <c r="V22" s="36">
        <f t="shared" si="1"/>
        <v>385.5</v>
      </c>
      <c r="W22" s="46"/>
      <c r="X22" s="47"/>
    </row>
    <row r="23" spans="1:24" s="48" customFormat="1" ht="45" customHeight="1">
      <c r="A23" s="53" t="s">
        <v>59</v>
      </c>
      <c r="B23" s="53" t="s">
        <v>60</v>
      </c>
      <c r="C23" s="34">
        <v>15</v>
      </c>
      <c r="D23" s="50">
        <v>198.84487558991</v>
      </c>
      <c r="E23" s="36">
        <v>2982.6731338486502</v>
      </c>
      <c r="F23" s="43"/>
      <c r="G23" s="36">
        <f>'[1]HT-ADMINISTRATIVOS'!G27</f>
        <v>385.5</v>
      </c>
      <c r="H23" s="36">
        <f>'[1]HT-ADMINISTRATIVOS'!H27</f>
        <v>0</v>
      </c>
      <c r="I23" s="36">
        <f>'[1]HT-ADMINISTRATIVOS'!J27</f>
        <v>0</v>
      </c>
      <c r="J23" s="37">
        <f>'[1]HT-ADMINISTRATIVOS'!I27</f>
        <v>0</v>
      </c>
      <c r="K23" s="36">
        <f t="shared" si="4"/>
        <v>2982.6731338486502</v>
      </c>
      <c r="L23" s="36">
        <f>K23+G23</f>
        <v>3368.1731338486502</v>
      </c>
      <c r="M23" s="28">
        <f>IF('[1]Calculo ISR '!$AA$34&lt;0,0,'[1]Calculo ISR '!$AA$34)</f>
        <v>75.081748962733116</v>
      </c>
      <c r="N23" s="38">
        <f>E23*P4</f>
        <v>313.18067905410828</v>
      </c>
      <c r="O23" s="38">
        <f>'[1]HT-ADMINISTRATIVOS'!P27</f>
        <v>0</v>
      </c>
      <c r="P23" s="38">
        <f>'[1]HT-ADMINISTRATIVOS'!Q27</f>
        <v>0</v>
      </c>
      <c r="Q23" s="38">
        <f>'[1]HT-ADMINISTRATIVOS'!R27</f>
        <v>0</v>
      </c>
      <c r="R23" s="38">
        <f>E23*O4</f>
        <v>29.826731338486503</v>
      </c>
      <c r="S23" s="36">
        <f t="shared" si="3"/>
        <v>418.08915935532792</v>
      </c>
      <c r="T23" s="28">
        <f>IF('[1]Calculo ISR '!$AA$34&gt;0,0,'[1]Calculo ISR '!$AA$34)*-1</f>
        <v>0</v>
      </c>
      <c r="U23" s="36">
        <f t="shared" si="5"/>
        <v>2564.5839744933223</v>
      </c>
      <c r="V23" s="36">
        <f t="shared" si="1"/>
        <v>385.5</v>
      </c>
      <c r="W23" s="46"/>
      <c r="X23" s="47"/>
    </row>
    <row r="24" spans="1:24" s="48" customFormat="1" ht="45" customHeight="1">
      <c r="A24" s="54" t="s">
        <v>61</v>
      </c>
      <c r="B24" s="55" t="s">
        <v>62</v>
      </c>
      <c r="C24" s="34">
        <v>15</v>
      </c>
      <c r="D24" s="50">
        <v>198.84487558991</v>
      </c>
      <c r="E24" s="36">
        <v>2982.6731338486502</v>
      </c>
      <c r="F24" s="43"/>
      <c r="G24" s="36">
        <f>'[1]HT-ADMINISTRATIVOS'!G28</f>
        <v>385.5</v>
      </c>
      <c r="H24" s="36">
        <f>'[1]HT-ADMINISTRATIVOS'!H28</f>
        <v>446</v>
      </c>
      <c r="I24" s="36">
        <f>'[1]HT-ADMINISTRATIVOS'!J28</f>
        <v>0</v>
      </c>
      <c r="J24" s="37">
        <f>'[1]HT-ADMINISTRATIVOS'!I28</f>
        <v>0</v>
      </c>
      <c r="K24" s="36">
        <f t="shared" si="4"/>
        <v>3428.6731338486502</v>
      </c>
      <c r="L24" s="36">
        <f>K24+G24</f>
        <v>3814.1731338486502</v>
      </c>
      <c r="M24" s="28">
        <f>IF('[1]Calculo ISR '!$AB$34&lt;0,0,'[1]Calculo ISR '!$AB$34)</f>
        <v>143.85654896273311</v>
      </c>
      <c r="N24" s="38">
        <f>E24*P4</f>
        <v>313.18067905410828</v>
      </c>
      <c r="O24" s="38">
        <v>215.8</v>
      </c>
      <c r="P24" s="38">
        <f>'[1]HT-ADMINISTRATIVOS'!Q28</f>
        <v>0</v>
      </c>
      <c r="Q24" s="38">
        <f>'[1]HT-ADMINISTRATIVOS'!R28</f>
        <v>0</v>
      </c>
      <c r="R24" s="38">
        <f>E24*O4</f>
        <v>29.826731338486503</v>
      </c>
      <c r="S24" s="36">
        <f t="shared" si="3"/>
        <v>702.66395935532796</v>
      </c>
      <c r="T24" s="28">
        <f>IF('[1]Calculo ISR '!$AB$34&gt;0,0,'[1]Calculo ISR '!$AB$34)*-1</f>
        <v>0</v>
      </c>
      <c r="U24" s="36">
        <f t="shared" si="5"/>
        <v>2726.0091744933225</v>
      </c>
      <c r="V24" s="36">
        <f t="shared" si="1"/>
        <v>385.5</v>
      </c>
      <c r="W24" s="46"/>
      <c r="X24" s="47"/>
    </row>
    <row r="25" spans="1:24" s="48" customFormat="1" ht="45" customHeight="1">
      <c r="A25" s="54" t="s">
        <v>63</v>
      </c>
      <c r="B25" s="55" t="s">
        <v>64</v>
      </c>
      <c r="C25" s="34">
        <v>15</v>
      </c>
      <c r="D25" s="50">
        <v>180.11154727500002</v>
      </c>
      <c r="E25" s="36">
        <v>2701.6732091250005</v>
      </c>
      <c r="F25" s="43"/>
      <c r="G25" s="36">
        <f>'[1]HT-ADMINISTRATIVOS'!G29</f>
        <v>385.5</v>
      </c>
      <c r="H25" s="36">
        <f>'[1]HT-ADMINISTRATIVOS'!H29</f>
        <v>892</v>
      </c>
      <c r="I25" s="36">
        <f>'[1]HT-ADMINISTRATIVOS'!J29</f>
        <v>0</v>
      </c>
      <c r="J25" s="37">
        <f>'[1]HT-ADMINISTRATIVOS'!I29</f>
        <v>0</v>
      </c>
      <c r="K25" s="36">
        <f t="shared" si="4"/>
        <v>3593.6732091250005</v>
      </c>
      <c r="L25" s="36">
        <f>K25+G25</f>
        <v>3979.1732091250005</v>
      </c>
      <c r="M25" s="28">
        <f>IF('[1]Calculo ISR '!$AC$34&lt;0,0,'[1]Calculo ISR '!$AC$34)</f>
        <v>179.50855715280002</v>
      </c>
      <c r="N25" s="38">
        <f>E25*P4</f>
        <v>283.67568695812503</v>
      </c>
      <c r="O25" s="38">
        <f>'[1]HT-ADMINISTRATIVOS'!P29</f>
        <v>581</v>
      </c>
      <c r="P25" s="38">
        <f>'[1]HT-ADMINISTRATIVOS'!Q29</f>
        <v>0</v>
      </c>
      <c r="Q25" s="38">
        <f>'[1]HT-ADMINISTRATIVOS'!R29</f>
        <v>0</v>
      </c>
      <c r="R25" s="38">
        <f>E25*O4</f>
        <v>27.016732091250006</v>
      </c>
      <c r="S25" s="36">
        <f t="shared" si="3"/>
        <v>1071.2009762021753</v>
      </c>
      <c r="T25" s="28">
        <f>IF('[1]Calculo ISR '!$AC$34&gt;0,0,'[1]Calculo ISR '!$AC$34)*-1</f>
        <v>0</v>
      </c>
      <c r="U25" s="36">
        <f t="shared" si="5"/>
        <v>2522.4722329228252</v>
      </c>
      <c r="V25" s="36">
        <f t="shared" si="1"/>
        <v>385.5</v>
      </c>
      <c r="W25" s="46"/>
      <c r="X25" s="47"/>
    </row>
    <row r="26" spans="1:24" s="48" customFormat="1" ht="45" customHeight="1">
      <c r="A26" s="56" t="s">
        <v>65</v>
      </c>
      <c r="B26" s="55" t="s">
        <v>66</v>
      </c>
      <c r="C26" s="34">
        <v>15</v>
      </c>
      <c r="D26" s="50">
        <v>141.57938707</v>
      </c>
      <c r="E26" s="36">
        <v>2123.69080605</v>
      </c>
      <c r="F26" s="43"/>
      <c r="G26" s="36">
        <f>'[1]HT-ADMINISTRATIVOS'!G31</f>
        <v>385.5</v>
      </c>
      <c r="H26" s="36">
        <f>'[1]HT-ADMINISTRATIVOS'!H31</f>
        <v>446</v>
      </c>
      <c r="I26" s="36">
        <f>'[1]HT-ADMINISTRATIVOS'!J31</f>
        <v>0</v>
      </c>
      <c r="J26" s="37">
        <f>'[1]HT-ADMINISTRATIVOS'!I31</f>
        <v>0</v>
      </c>
      <c r="K26" s="36">
        <f t="shared" si="4"/>
        <v>2569.69080605</v>
      </c>
      <c r="L26" s="36">
        <f>K26+G26+T26</f>
        <v>2955.19080605</v>
      </c>
      <c r="M26" s="28">
        <f>IF('[1]Calculo ISR '!$AD$34&lt;0,0,'[1]Calculo ISR '!$AD$34)</f>
        <v>15.149271698239971</v>
      </c>
      <c r="N26" s="38">
        <f>E26*P4</f>
        <v>222.98753463525</v>
      </c>
      <c r="O26" s="38">
        <f>'[1]HT-ADMINISTRATIVOS'!P31</f>
        <v>0</v>
      </c>
      <c r="P26" s="38">
        <f>'[1]HT-ADMINISTRATIVOS'!Q31</f>
        <v>0</v>
      </c>
      <c r="Q26" s="38">
        <f>'[1]HT-ADMINISTRATIVOS'!R31</f>
        <v>0</v>
      </c>
      <c r="R26" s="38">
        <f>E26*O4</f>
        <v>21.236908060499999</v>
      </c>
      <c r="S26" s="36">
        <f t="shared" si="3"/>
        <v>259.37371439398999</v>
      </c>
      <c r="T26" s="28">
        <f>IF('[1]Calculo ISR '!$AD$34&gt;0,0,'[1]Calculo ISR '!$AD$34)*-1</f>
        <v>0</v>
      </c>
      <c r="U26" s="36">
        <f t="shared" si="5"/>
        <v>2310.3170916560102</v>
      </c>
      <c r="V26" s="36">
        <f t="shared" si="1"/>
        <v>385.5</v>
      </c>
      <c r="W26" s="46"/>
      <c r="X26" s="47"/>
    </row>
    <row r="27" spans="1:24" s="48" customFormat="1" ht="45" customHeight="1">
      <c r="A27" s="56" t="s">
        <v>67</v>
      </c>
      <c r="B27" s="57" t="s">
        <v>68</v>
      </c>
      <c r="C27" s="34">
        <v>15</v>
      </c>
      <c r="D27" s="50">
        <v>534.93837680832996</v>
      </c>
      <c r="E27" s="36">
        <v>8024.0756521249496</v>
      </c>
      <c r="F27" s="43"/>
      <c r="G27" s="36">
        <f>'[1]HT-ADMINISTRATIVOS'!G32</f>
        <v>385.5</v>
      </c>
      <c r="H27" s="36">
        <f>'[1]HT-ADMINISTRATIVOS'!H32</f>
        <v>0</v>
      </c>
      <c r="I27" s="36">
        <f>'[1]HT-ADMINISTRATIVOS'!J32</f>
        <v>0</v>
      </c>
      <c r="J27" s="37">
        <f>E27*L4</f>
        <v>152.45743739037403</v>
      </c>
      <c r="K27" s="36">
        <f t="shared" si="4"/>
        <v>8176.5330895153238</v>
      </c>
      <c r="L27" s="36">
        <f>K27+G27</f>
        <v>8562.0330895153238</v>
      </c>
      <c r="M27" s="28">
        <f>IF('[1]Calculo ISR '!$AE$34&lt;0,0,'[1]Calculo ISR '!$AE$34)</f>
        <v>1199.3182919204733</v>
      </c>
      <c r="N27" s="38">
        <f>E27*P4</f>
        <v>842.52794347311965</v>
      </c>
      <c r="O27" s="38">
        <v>2150.31</v>
      </c>
      <c r="P27" s="38">
        <f>'[1]HT-ADMINISTRATIVOS'!Q32</f>
        <v>0</v>
      </c>
      <c r="Q27" s="38">
        <f>'[1]HT-ADMINISTRATIVOS'!R32</f>
        <v>0</v>
      </c>
      <c r="R27" s="38">
        <f>'[1]HT-ADMINISTRATIVOS'!S32</f>
        <v>0</v>
      </c>
      <c r="S27" s="36">
        <f t="shared" si="3"/>
        <v>4192.1562353935933</v>
      </c>
      <c r="T27" s="28">
        <f>IF('[1]Calculo ISR '!$AE$34&gt;0,0,'[1]Calculo ISR '!$AE$34)*-1</f>
        <v>0</v>
      </c>
      <c r="U27" s="36">
        <f t="shared" si="5"/>
        <v>3984.3768541217305</v>
      </c>
      <c r="V27" s="36">
        <f t="shared" si="1"/>
        <v>385.5</v>
      </c>
      <c r="W27" s="46"/>
      <c r="X27" s="47"/>
    </row>
    <row r="28" spans="1:24" s="48" customFormat="1" ht="45" customHeight="1">
      <c r="A28" s="58" t="s">
        <v>69</v>
      </c>
      <c r="B28" s="59" t="s">
        <v>70</v>
      </c>
      <c r="C28" s="34">
        <v>15</v>
      </c>
      <c r="D28" s="50">
        <v>230.34834514817072</v>
      </c>
      <c r="E28" s="36">
        <v>3455.2251772225609</v>
      </c>
      <c r="F28" s="43"/>
      <c r="G28" s="36">
        <v>385.5</v>
      </c>
      <c r="H28" s="36">
        <f>'[1]HT-ADMINISTRATIVOS'!H33</f>
        <v>0</v>
      </c>
      <c r="I28" s="36">
        <f>'[1]HT-ADMINISTRATIVOS'!J33</f>
        <v>0</v>
      </c>
      <c r="J28" s="37">
        <f>'[1]HT-ADMINISTRATIVOS'!I33</f>
        <v>0</v>
      </c>
      <c r="K28" s="36">
        <f t="shared" si="4"/>
        <v>3455.2251772225609</v>
      </c>
      <c r="L28" s="36">
        <f>K28+G28</f>
        <v>3840.7251772225609</v>
      </c>
      <c r="M28" s="28">
        <f>IF('[1]Calculo ISR '!$AF$34&lt;0,0,'[1]Calculo ISR '!$AF$34)</f>
        <v>146.74541128181463</v>
      </c>
      <c r="N28" s="38">
        <f>E28*P4</f>
        <v>362.79864360836888</v>
      </c>
      <c r="O28" s="38"/>
      <c r="P28" s="143">
        <f>230.35*2</f>
        <v>460.7</v>
      </c>
      <c r="Q28" s="38"/>
      <c r="R28" s="38">
        <f>E28*O4</f>
        <v>34.55225177222561</v>
      </c>
      <c r="S28" s="36">
        <f>M28+N28+O28+R28+P28+Q28</f>
        <v>1004.7963066624091</v>
      </c>
      <c r="T28" s="28">
        <f>IF('[1]Calculo ISR '!$AF$34&gt;0,0,'[1]Calculo ISR '!$AF$34)*-1</f>
        <v>0</v>
      </c>
      <c r="U28" s="36">
        <f>K28-S28+T28</f>
        <v>2450.4288705601521</v>
      </c>
      <c r="V28" s="36">
        <v>385.5</v>
      </c>
      <c r="W28" s="46"/>
      <c r="X28" s="47"/>
    </row>
    <row r="29" spans="1:24" s="48" customFormat="1" ht="45" customHeight="1">
      <c r="A29" s="60" t="s">
        <v>71</v>
      </c>
      <c r="B29" s="61" t="s">
        <v>72</v>
      </c>
      <c r="C29" s="66">
        <v>15</v>
      </c>
      <c r="D29" s="50">
        <v>141.57938707</v>
      </c>
      <c r="E29" s="36">
        <v>2123.69080605</v>
      </c>
      <c r="F29" s="43"/>
      <c r="G29" s="36">
        <f>'[1]HT-ADMINISTRATIVOS'!G35</f>
        <v>385.5</v>
      </c>
      <c r="H29" s="36">
        <f>'[1]HT-ADMINISTRATIVOS'!H35</f>
        <v>0</v>
      </c>
      <c r="I29" s="36">
        <f>'[1]HT-ADMINISTRATIVOS'!J35</f>
        <v>0</v>
      </c>
      <c r="J29" s="37">
        <f>'[1]HT-ADMINISTRATIVOS'!I35</f>
        <v>0</v>
      </c>
      <c r="K29" s="36">
        <f t="shared" si="4"/>
        <v>2123.69080605</v>
      </c>
      <c r="L29" s="36">
        <f>K29+G29+T29</f>
        <v>2570.9163343517598</v>
      </c>
      <c r="M29" s="28">
        <f>IF('[1]Calculo ISR '!$AG$34&lt;0,0,'[1]Calculo ISR '!$AG$34)</f>
        <v>0</v>
      </c>
      <c r="N29" s="38">
        <f>E29*P4</f>
        <v>222.98753463525</v>
      </c>
      <c r="O29" s="38">
        <v>300</v>
      </c>
      <c r="P29" s="38">
        <f>'[1]HT-ADMINISTRATIVOS'!Q35</f>
        <v>0</v>
      </c>
      <c r="Q29" s="38">
        <f>'[1]HT-ADMINISTRATIVOS'!R35</f>
        <v>0</v>
      </c>
      <c r="R29" s="38">
        <f>E29*O4</f>
        <v>21.236908060499999</v>
      </c>
      <c r="S29" s="36">
        <f t="shared" si="3"/>
        <v>544.22444269574999</v>
      </c>
      <c r="T29" s="28">
        <f>IF('[1]Calculo ISR '!$AG$34&gt;0,0,'[1]Calculo ISR '!$AG$34)*-1</f>
        <v>61.725528301760008</v>
      </c>
      <c r="U29" s="36">
        <f t="shared" si="5"/>
        <v>1641.1918916560101</v>
      </c>
      <c r="V29" s="36">
        <f>G29</f>
        <v>385.5</v>
      </c>
      <c r="W29" s="67"/>
      <c r="X29" s="47"/>
    </row>
    <row r="30" spans="1:24" s="48" customFormat="1" ht="45" customHeight="1">
      <c r="A30" s="53" t="s">
        <v>73</v>
      </c>
      <c r="B30" s="61" t="s">
        <v>74</v>
      </c>
      <c r="C30" s="66">
        <v>15</v>
      </c>
      <c r="D30" s="50">
        <v>534.93837680832996</v>
      </c>
      <c r="E30" s="36">
        <v>8024.0756521249496</v>
      </c>
      <c r="F30" s="43"/>
      <c r="G30" s="36">
        <f>'[1]HT-ADMINISTRATIVOS'!G36</f>
        <v>385.5</v>
      </c>
      <c r="H30" s="36">
        <f>'[1]HT-ADMINISTRATIVOS'!H36</f>
        <v>0</v>
      </c>
      <c r="I30" s="36">
        <f>'[1]HT-ADMINISTRATIVOS'!J36</f>
        <v>0</v>
      </c>
      <c r="J30" s="37">
        <f>'[1]HT-ADMINISTRATIVOS'!I36</f>
        <v>0</v>
      </c>
      <c r="K30" s="36">
        <f t="shared" si="4"/>
        <v>8024.0756521249496</v>
      </c>
      <c r="L30" s="36">
        <f>K30+G30</f>
        <v>8409.5756521249496</v>
      </c>
      <c r="M30" s="28">
        <f>IF('[1]Calculo ISR '!$AH$34&lt;0,0,'[1]Calculo ISR '!$AH$34)</f>
        <v>1166.7533832938893</v>
      </c>
      <c r="N30" s="38">
        <f>E30*P4</f>
        <v>842.52794347311965</v>
      </c>
      <c r="O30" s="38">
        <f>'[1]HT-ADMINISTRATIVOS'!P36</f>
        <v>0</v>
      </c>
      <c r="P30" s="38">
        <f>'[1]HT-ADMINISTRATIVOS'!Q36</f>
        <v>0</v>
      </c>
      <c r="Q30" s="38">
        <f>'[1]HT-ADMINISTRATIVOS'!R36</f>
        <v>0</v>
      </c>
      <c r="R30" s="38">
        <f>'[1]HT-ADMINISTRATIVOS'!S36</f>
        <v>0</v>
      </c>
      <c r="S30" s="36">
        <f t="shared" si="3"/>
        <v>2009.281326767009</v>
      </c>
      <c r="T30" s="28">
        <f>IF('[1]Calculo ISR '!$AH$34&gt;0,0,'[1]Calculo ISR '!$AH$34)*-1</f>
        <v>0</v>
      </c>
      <c r="U30" s="36">
        <f t="shared" si="5"/>
        <v>6014.7943253579406</v>
      </c>
      <c r="V30" s="36">
        <f>G30</f>
        <v>385.5</v>
      </c>
      <c r="W30" s="67"/>
      <c r="X30" s="47"/>
    </row>
    <row r="31" spans="1:24" s="48" customFormat="1" ht="45" customHeight="1">
      <c r="A31" s="68" t="s">
        <v>75</v>
      </c>
      <c r="B31" s="61" t="s">
        <v>76</v>
      </c>
      <c r="C31" s="66">
        <v>15</v>
      </c>
      <c r="D31" s="50">
        <v>141.57938707</v>
      </c>
      <c r="E31" s="36">
        <v>2123.69080605</v>
      </c>
      <c r="F31" s="43"/>
      <c r="G31" s="36">
        <f>'[1]HT-ADMINISTRATIVOS'!G37</f>
        <v>385.5</v>
      </c>
      <c r="H31" s="36">
        <f>'[1]HT-ADMINISTRATIVOS'!H37</f>
        <v>0</v>
      </c>
      <c r="I31" s="36">
        <f>'[1]HT-ADMINISTRATIVOS'!J37</f>
        <v>0</v>
      </c>
      <c r="J31" s="37">
        <f>'[1]HT-ADMINISTRATIVOS'!I37</f>
        <v>0</v>
      </c>
      <c r="K31" s="36">
        <f t="shared" si="4"/>
        <v>2123.69080605</v>
      </c>
      <c r="L31" s="36">
        <f>K31+G31+T31</f>
        <v>2570.9163343517598</v>
      </c>
      <c r="M31" s="28">
        <f>IF('[1]Calculo ISR '!$AI$34&lt;0,0,'[1]Calculo ISR '!$AI$34)</f>
        <v>0</v>
      </c>
      <c r="N31" s="38">
        <f>E31*P4</f>
        <v>222.98753463525</v>
      </c>
      <c r="O31" s="38">
        <f>'[1]HT-ADMINISTRATIVOS'!P37</f>
        <v>0</v>
      </c>
      <c r="P31" s="38">
        <f>'[1]HT-ADMINISTRATIVOS'!Q37</f>
        <v>0</v>
      </c>
      <c r="Q31" s="38">
        <f>'[1]HT-ADMINISTRATIVOS'!R37</f>
        <v>0</v>
      </c>
      <c r="R31" s="38">
        <f>E31*O4</f>
        <v>21.236908060499999</v>
      </c>
      <c r="S31" s="36">
        <f t="shared" si="3"/>
        <v>244.22444269574999</v>
      </c>
      <c r="T31" s="28">
        <f>IF('[1]Calculo ISR '!$AI$34&gt;0,0,'[1]Calculo ISR '!$AI$34)*-1</f>
        <v>61.725528301760008</v>
      </c>
      <c r="U31" s="36">
        <f t="shared" si="5"/>
        <v>1941.1918916560101</v>
      </c>
      <c r="V31" s="36">
        <f>G31</f>
        <v>385.5</v>
      </c>
      <c r="W31" s="67"/>
      <c r="X31" s="47"/>
    </row>
    <row r="32" spans="1:24" s="81" customFormat="1" ht="45" customHeight="1">
      <c r="A32" s="69" t="s">
        <v>77</v>
      </c>
      <c r="B32" s="70" t="s">
        <v>78</v>
      </c>
      <c r="C32" s="71">
        <v>15</v>
      </c>
      <c r="D32" s="72">
        <v>873.012693639492</v>
      </c>
      <c r="E32" s="73">
        <v>13095.19040459238</v>
      </c>
      <c r="F32" s="73">
        <f>'[1]HT-ADMINISTRATIVOS'!F38</f>
        <v>0</v>
      </c>
      <c r="G32" s="73">
        <v>385.5</v>
      </c>
      <c r="H32" s="73">
        <f>'[1]HT-ADMINISTRATIVOS'!H38</f>
        <v>0</v>
      </c>
      <c r="I32" s="73">
        <f>'[1]HT-ADMINISTRATIVOS'!I38</f>
        <v>0</v>
      </c>
      <c r="J32" s="73">
        <f>'[1]HT-ADMINISTRATIVOS'!J38</f>
        <v>0</v>
      </c>
      <c r="K32" s="73">
        <f t="shared" si="4"/>
        <v>13095.19040459238</v>
      </c>
      <c r="L32" s="73">
        <f>K32+G32</f>
        <v>13480.69040459238</v>
      </c>
      <c r="M32" s="28">
        <f>IF('[1]Calculo ISR '!$AJ$34&lt;0,0,'[1]Calculo ISR '!$AJ$34)</f>
        <v>2311.300991160128</v>
      </c>
      <c r="N32" s="73">
        <f>E32*P4</f>
        <v>1374.9949924821999</v>
      </c>
      <c r="O32" s="73">
        <v>1489.84</v>
      </c>
      <c r="P32" s="73">
        <f>'[1]HT-ADMINISTRATIVOS'!Q38</f>
        <v>0</v>
      </c>
      <c r="Q32" s="73">
        <f>'[1]HT-ADMINISTRATIVOS'!R38</f>
        <v>0</v>
      </c>
      <c r="R32" s="73">
        <f>'[1]HT-ADMINISTRATIVOS'!S38</f>
        <v>0</v>
      </c>
      <c r="S32" s="73">
        <f t="shared" ref="S32:S39" si="6">M32+N32+O32+P32+Q32+R32</f>
        <v>5176.135983642328</v>
      </c>
      <c r="T32" s="28">
        <f>IF('[1]Calculo ISR '!$AJ$34&gt;0,0,'[1]Calculo ISR '!$AJ$34)*-1</f>
        <v>0</v>
      </c>
      <c r="U32" s="73">
        <f t="shared" si="5"/>
        <v>7919.0544209500522</v>
      </c>
      <c r="V32" s="73">
        <v>385.5</v>
      </c>
      <c r="W32" s="74"/>
      <c r="X32" s="47"/>
    </row>
    <row r="33" spans="1:26" s="81" customFormat="1" ht="45" customHeight="1">
      <c r="A33" s="53" t="s">
        <v>79</v>
      </c>
      <c r="B33" s="61" t="s">
        <v>80</v>
      </c>
      <c r="C33" s="66">
        <v>15</v>
      </c>
      <c r="D33" s="76">
        <v>534.93837680832996</v>
      </c>
      <c r="E33" s="50">
        <v>8024.0756521249496</v>
      </c>
      <c r="F33" s="50"/>
      <c r="G33" s="77">
        <f>385.5</f>
        <v>385.5</v>
      </c>
      <c r="H33" s="50"/>
      <c r="I33" s="50"/>
      <c r="J33" s="50"/>
      <c r="K33" s="78">
        <f t="shared" si="4"/>
        <v>8024.0756521249496</v>
      </c>
      <c r="L33" s="78">
        <f>K33+G33</f>
        <v>8409.5756521249496</v>
      </c>
      <c r="M33" s="28">
        <f>IF('[1]Calculo ISR '!$AK$34&lt;0,0,'[1]Calculo ISR '!$AK$34)</f>
        <v>1166.7533832938893</v>
      </c>
      <c r="N33" s="79">
        <f>E33*P4</f>
        <v>842.52794347311965</v>
      </c>
      <c r="O33" s="78"/>
      <c r="P33" s="50"/>
      <c r="Q33" s="78"/>
      <c r="R33" s="50"/>
      <c r="S33" s="50">
        <f t="shared" si="6"/>
        <v>2009.281326767009</v>
      </c>
      <c r="T33" s="28">
        <f>IF('[1]Calculo ISR '!$AK$34&gt;0,0,'[1]Calculo ISR '!$AK$34)*-1</f>
        <v>0</v>
      </c>
      <c r="U33" s="79">
        <f>K33-S33</f>
        <v>6014.7943253579406</v>
      </c>
      <c r="V33" s="73">
        <v>385.5</v>
      </c>
      <c r="W33" s="80"/>
      <c r="X33" s="47"/>
    </row>
    <row r="34" spans="1:26" s="81" customFormat="1" ht="45" customHeight="1">
      <c r="A34" s="91" t="s">
        <v>83</v>
      </c>
      <c r="B34" s="139" t="s">
        <v>84</v>
      </c>
      <c r="C34" s="66">
        <v>15</v>
      </c>
      <c r="D34" s="76">
        <v>180.10895980000001</v>
      </c>
      <c r="E34" s="50">
        <v>2701.6343970000003</v>
      </c>
      <c r="F34" s="50"/>
      <c r="G34" s="77">
        <f>385.5</f>
        <v>385.5</v>
      </c>
      <c r="H34" s="50">
        <v>892</v>
      </c>
      <c r="I34" s="50"/>
      <c r="J34" s="50"/>
      <c r="K34" s="78">
        <f t="shared" ref="K34:K39" si="7">E34+F34+H34+I34+J34</f>
        <v>3593.6343970000003</v>
      </c>
      <c r="L34" s="78">
        <f>K34+G34</f>
        <v>3979.1343970000003</v>
      </c>
      <c r="M34" s="28">
        <f>IF('[1]Calculo ISR '!$AM$34&lt;0,0,'[1]Calculo ISR '!$AM$34)</f>
        <v>179.50433439359998</v>
      </c>
      <c r="N34" s="92">
        <f>E34*P4</f>
        <v>283.67161168500002</v>
      </c>
      <c r="O34" s="78"/>
      <c r="P34" s="50"/>
      <c r="Q34" s="78"/>
      <c r="R34" s="50">
        <f>E34*O4</f>
        <v>27.016343970000005</v>
      </c>
      <c r="S34" s="50">
        <f>M34+N34+O34+P34+Q34+R34</f>
        <v>490.19229004859994</v>
      </c>
      <c r="T34" s="28">
        <f>IF('[1]Calculo ISR '!$AM$34&gt;0,0,'[1]Calculo ISR '!$AM$34)*-1</f>
        <v>0</v>
      </c>
      <c r="U34" s="79">
        <f t="shared" ref="U34:U39" si="8">K34-S34+T34</f>
        <v>3103.4421069514001</v>
      </c>
      <c r="V34" s="73">
        <v>385.5</v>
      </c>
      <c r="W34" s="80"/>
      <c r="X34" s="47"/>
    </row>
    <row r="35" spans="1:26" s="81" customFormat="1" ht="45" customHeight="1">
      <c r="A35" s="91" t="s">
        <v>85</v>
      </c>
      <c r="B35" s="139" t="s">
        <v>86</v>
      </c>
      <c r="C35" s="66">
        <v>15</v>
      </c>
      <c r="D35" s="76">
        <v>219.23158179999999</v>
      </c>
      <c r="E35" s="50">
        <v>3288.4737269999996</v>
      </c>
      <c r="F35" s="50"/>
      <c r="G35" s="77">
        <f>385.5</f>
        <v>385.5</v>
      </c>
      <c r="H35" s="50">
        <v>446</v>
      </c>
      <c r="I35" s="50"/>
      <c r="J35" s="50"/>
      <c r="K35" s="78">
        <f t="shared" si="7"/>
        <v>3734.4737269999996</v>
      </c>
      <c r="L35" s="78">
        <f>K35+G35</f>
        <v>4119.9737269999996</v>
      </c>
      <c r="M35" s="28">
        <f>IF('[1]Calculo ISR '!$AN$34&lt;0,0,'[1]Calculo ISR '!$AN$34)</f>
        <v>306.60419631999991</v>
      </c>
      <c r="N35" s="92">
        <f>E35*P4</f>
        <v>345.28974133499992</v>
      </c>
      <c r="O35" s="78"/>
      <c r="P35" s="50"/>
      <c r="Q35" s="78"/>
      <c r="R35" s="50">
        <v>0</v>
      </c>
      <c r="S35" s="50">
        <f t="shared" si="6"/>
        <v>651.89393765499983</v>
      </c>
      <c r="T35" s="28">
        <f>IF('[1]Calculo ISR '!$AN$34&gt;0,0,'[1]Calculo ISR '!$AN$34)*-1</f>
        <v>0</v>
      </c>
      <c r="U35" s="79">
        <f t="shared" si="8"/>
        <v>3082.5797893449999</v>
      </c>
      <c r="V35" s="73">
        <v>385.5</v>
      </c>
      <c r="W35" s="80"/>
      <c r="X35" s="47"/>
    </row>
    <row r="36" spans="1:26" s="81" customFormat="1" ht="45" customHeight="1">
      <c r="A36" s="91" t="s">
        <v>87</v>
      </c>
      <c r="B36" s="91" t="s">
        <v>88</v>
      </c>
      <c r="C36" s="66">
        <v>15</v>
      </c>
      <c r="D36" s="76">
        <v>534.93837680832996</v>
      </c>
      <c r="E36" s="50">
        <f>E33</f>
        <v>8024.0756521249496</v>
      </c>
      <c r="F36" s="50"/>
      <c r="G36" s="77">
        <v>385.5</v>
      </c>
      <c r="H36" s="50"/>
      <c r="I36" s="50"/>
      <c r="J36" s="50"/>
      <c r="K36" s="78">
        <f t="shared" si="7"/>
        <v>8024.0756521249496</v>
      </c>
      <c r="L36" s="78">
        <f>K36+G36+T36</f>
        <v>8409.5756521249496</v>
      </c>
      <c r="M36" s="28">
        <f>IF('[1]Calculo ISR '!$AO$34&lt;0,0,'[1]Calculo ISR '!$AO$34)</f>
        <v>1166.7533832938893</v>
      </c>
      <c r="N36" s="92">
        <f>E36*P4</f>
        <v>842.52794347311965</v>
      </c>
      <c r="O36" s="78"/>
      <c r="P36" s="50"/>
      <c r="Q36" s="78"/>
      <c r="R36" s="50"/>
      <c r="S36" s="50">
        <f t="shared" si="6"/>
        <v>2009.281326767009</v>
      </c>
      <c r="T36" s="28">
        <f>IF('[1]Calculo ISR '!$AO$34&gt;0,0,'[1]Calculo ISR '!$AO$34)*-1</f>
        <v>0</v>
      </c>
      <c r="U36" s="79">
        <f t="shared" si="8"/>
        <v>6014.7943253579406</v>
      </c>
      <c r="V36" s="73">
        <f t="shared" ref="V36:V44" si="9">G36</f>
        <v>385.5</v>
      </c>
      <c r="W36" s="80"/>
      <c r="X36" s="47"/>
    </row>
    <row r="37" spans="1:26" s="81" customFormat="1" ht="45" customHeight="1">
      <c r="A37" s="91" t="s">
        <v>89</v>
      </c>
      <c r="B37" s="91" t="s">
        <v>90</v>
      </c>
      <c r="C37" s="66">
        <v>15</v>
      </c>
      <c r="D37" s="76">
        <v>171.34</v>
      </c>
      <c r="E37" s="50">
        <f>C37*D37</f>
        <v>2570.1</v>
      </c>
      <c r="F37" s="50"/>
      <c r="G37" s="77">
        <v>385.5</v>
      </c>
      <c r="H37" s="50"/>
      <c r="I37" s="50"/>
      <c r="J37" s="50"/>
      <c r="K37" s="78">
        <f t="shared" si="7"/>
        <v>2570.1</v>
      </c>
      <c r="L37" s="78">
        <f>K37+G37</f>
        <v>2955.6</v>
      </c>
      <c r="M37" s="28">
        <f>IF('[1]Calculo ISR '!$AP$34&lt;0,0,'[1]Calculo ISR '!$AP$34)</f>
        <v>15.193791999999974</v>
      </c>
      <c r="N37" s="92">
        <f>E37*P4</f>
        <v>269.8605</v>
      </c>
      <c r="O37" s="78"/>
      <c r="P37" s="50"/>
      <c r="Q37" s="78"/>
      <c r="R37" s="50"/>
      <c r="S37" s="50">
        <f t="shared" si="6"/>
        <v>285.05429199999998</v>
      </c>
      <c r="T37" s="28">
        <f>IF('[1]Calculo ISR '!$AP$34&gt;0,0,'[1]Calculo ISR '!$AP$34)*-1</f>
        <v>0</v>
      </c>
      <c r="U37" s="79">
        <f t="shared" si="8"/>
        <v>2285.0457080000001</v>
      </c>
      <c r="V37" s="73">
        <f t="shared" si="9"/>
        <v>385.5</v>
      </c>
      <c r="W37" s="80"/>
      <c r="X37" s="47"/>
    </row>
    <row r="38" spans="1:26" s="81" customFormat="1" ht="45" customHeight="1">
      <c r="A38" s="91" t="s">
        <v>91</v>
      </c>
      <c r="B38" s="91" t="s">
        <v>92</v>
      </c>
      <c r="C38" s="66">
        <v>15</v>
      </c>
      <c r="D38" s="76">
        <v>131.36093080000001</v>
      </c>
      <c r="E38" s="50">
        <v>1970.4139620000001</v>
      </c>
      <c r="F38" s="50"/>
      <c r="G38" s="77">
        <v>385.5</v>
      </c>
      <c r="H38" s="50"/>
      <c r="I38" s="50"/>
      <c r="J38" s="50"/>
      <c r="K38" s="78">
        <f t="shared" si="7"/>
        <v>1970.4139620000001</v>
      </c>
      <c r="L38" s="78">
        <f>K38+G38+T38</f>
        <v>2429.5253084320002</v>
      </c>
      <c r="M38" s="28">
        <f>IF('[1]Calculo ISR '!$AQ$34&lt;0,0,'[1]Calculo ISR '!$AQ$34)</f>
        <v>0</v>
      </c>
      <c r="N38" s="92">
        <f>E38*P4</f>
        <v>206.89346601</v>
      </c>
      <c r="O38" s="78">
        <v>493</v>
      </c>
      <c r="P38" s="50"/>
      <c r="Q38" s="78"/>
      <c r="R38" s="50"/>
      <c r="S38" s="50">
        <f t="shared" si="6"/>
        <v>699.89346601</v>
      </c>
      <c r="T38" s="28">
        <f>IF('[1]Calculo ISR '!$AQ$34&gt;0,0,'[1]Calculo ISR '!$AQ$34)*-1</f>
        <v>73.611346431999976</v>
      </c>
      <c r="U38" s="79">
        <f t="shared" si="8"/>
        <v>1344.1318424220001</v>
      </c>
      <c r="V38" s="73">
        <f t="shared" si="9"/>
        <v>385.5</v>
      </c>
      <c r="W38" s="80"/>
      <c r="X38" s="47"/>
    </row>
    <row r="39" spans="1:26" s="81" customFormat="1" ht="45" customHeight="1">
      <c r="A39" s="91" t="s">
        <v>93</v>
      </c>
      <c r="B39" s="91" t="s">
        <v>94</v>
      </c>
      <c r="C39" s="66">
        <v>15</v>
      </c>
      <c r="D39" s="76">
        <v>131.36093080000001</v>
      </c>
      <c r="E39" s="50">
        <v>1970.4139620000001</v>
      </c>
      <c r="F39" s="50"/>
      <c r="G39" s="77">
        <v>385.5</v>
      </c>
      <c r="H39" s="50"/>
      <c r="I39" s="50"/>
      <c r="J39" s="50"/>
      <c r="K39" s="78">
        <f t="shared" si="7"/>
        <v>1970.4139620000001</v>
      </c>
      <c r="L39" s="78">
        <f>K39+G39+T39</f>
        <v>2429.5253084320002</v>
      </c>
      <c r="M39" s="28">
        <f>IF('[1]Calculo ISR '!$AR$34&lt;0,0,'[1]Calculo ISR '!$AR$34)</f>
        <v>0</v>
      </c>
      <c r="N39" s="92">
        <f>E39*P4</f>
        <v>206.89346601</v>
      </c>
      <c r="O39" s="78"/>
      <c r="P39" s="50"/>
      <c r="Q39" s="78"/>
      <c r="R39" s="50"/>
      <c r="S39" s="50">
        <f t="shared" si="6"/>
        <v>206.89346601</v>
      </c>
      <c r="T39" s="28">
        <f>IF('[1]Calculo ISR '!$AR$34&gt;0,0,'[1]Calculo ISR '!$AR$34)*-1</f>
        <v>73.611346431999976</v>
      </c>
      <c r="U39" s="79">
        <f t="shared" si="8"/>
        <v>1837.1318424220001</v>
      </c>
      <c r="V39" s="73">
        <f t="shared" si="9"/>
        <v>385.5</v>
      </c>
      <c r="W39" s="80"/>
      <c r="X39" s="47"/>
    </row>
    <row r="40" spans="1:26" s="81" customFormat="1" ht="45" customHeight="1">
      <c r="A40" s="91" t="s">
        <v>95</v>
      </c>
      <c r="B40" s="91" t="s">
        <v>96</v>
      </c>
      <c r="C40" s="66">
        <v>15</v>
      </c>
      <c r="D40" s="76">
        <v>754.54</v>
      </c>
      <c r="E40" s="50">
        <f>C40*D40</f>
        <v>11318.099999999999</v>
      </c>
      <c r="F40" s="50"/>
      <c r="G40" s="77">
        <v>385.5</v>
      </c>
      <c r="H40" s="50"/>
      <c r="I40" s="50"/>
      <c r="J40" s="50"/>
      <c r="K40" s="78">
        <f>E40+H40+I40+J40</f>
        <v>11318.099999999999</v>
      </c>
      <c r="L40" s="78">
        <f>K40+G40</f>
        <v>11703.599999999999</v>
      </c>
      <c r="M40" s="28">
        <f>IF('[1]Calculo ISR '!$AS$34&lt;0,0,'[1]Calculo ISR '!$AS$34)</f>
        <v>1893.3293279999998</v>
      </c>
      <c r="N40" s="92">
        <f>E40*P4</f>
        <v>1188.4004999999997</v>
      </c>
      <c r="O40" s="78"/>
      <c r="P40" s="50"/>
      <c r="Q40" s="78"/>
      <c r="R40" s="50"/>
      <c r="S40" s="50">
        <f>M40+N40+O40+P40+Q40+R40</f>
        <v>3081.7298279999995</v>
      </c>
      <c r="T40" s="28">
        <f>IF('[1]Calculo ISR '!$AS$34&gt;0,0,'[1]Calculo ISR '!$AS$34)*-1</f>
        <v>0</v>
      </c>
      <c r="U40" s="79">
        <f>K40-S40</f>
        <v>8236.370171999999</v>
      </c>
      <c r="V40" s="73">
        <f t="shared" si="9"/>
        <v>385.5</v>
      </c>
      <c r="W40" s="80"/>
      <c r="X40" s="47"/>
    </row>
    <row r="41" spans="1:26" s="81" customFormat="1" ht="45" customHeight="1">
      <c r="A41" s="91" t="s">
        <v>97</v>
      </c>
      <c r="B41" s="91" t="s">
        <v>98</v>
      </c>
      <c r="C41" s="66">
        <v>15</v>
      </c>
      <c r="D41" s="76">
        <v>754.54</v>
      </c>
      <c r="E41" s="50">
        <f>D41*C41</f>
        <v>11318.099999999999</v>
      </c>
      <c r="F41" s="50"/>
      <c r="G41" s="77">
        <v>385.5</v>
      </c>
      <c r="H41" s="50"/>
      <c r="I41" s="50"/>
      <c r="J41" s="50"/>
      <c r="K41" s="78">
        <f>E41+H41+I41+J41</f>
        <v>11318.099999999999</v>
      </c>
      <c r="L41" s="78">
        <f>K41+G41</f>
        <v>11703.599999999999</v>
      </c>
      <c r="M41" s="28">
        <f>IF('[1]Calculo ISR '!$AT$34&lt;0,0,'[1]Calculo ISR '!$AT$34)</f>
        <v>1893.3293279999998</v>
      </c>
      <c r="N41" s="92">
        <f>E41*P4</f>
        <v>1188.4004999999997</v>
      </c>
      <c r="O41" s="78">
        <v>3773</v>
      </c>
      <c r="P41" s="50"/>
      <c r="Q41" s="78"/>
      <c r="R41" s="50"/>
      <c r="S41" s="50">
        <f>M41+N41+O41+P41+Q41+R41</f>
        <v>6854.7298279999995</v>
      </c>
      <c r="T41" s="28">
        <f>IF('[1]Calculo ISR '!$AT$34&gt;0,0,'[1]Calculo ISR '!$AT$34)*-1</f>
        <v>0</v>
      </c>
      <c r="U41" s="79">
        <f>K41-S41</f>
        <v>4463.370171999999</v>
      </c>
      <c r="V41" s="73">
        <f t="shared" si="9"/>
        <v>385.5</v>
      </c>
      <c r="W41" s="80"/>
      <c r="X41" s="47"/>
    </row>
    <row r="42" spans="1:26" s="81" customFormat="1" ht="45" customHeight="1">
      <c r="A42" s="91" t="s">
        <v>99</v>
      </c>
      <c r="B42" s="91" t="s">
        <v>100</v>
      </c>
      <c r="C42" s="66">
        <v>15</v>
      </c>
      <c r="D42" s="76">
        <v>171.34</v>
      </c>
      <c r="E42" s="50">
        <f>C42*D42</f>
        <v>2570.1</v>
      </c>
      <c r="F42" s="50"/>
      <c r="G42" s="77">
        <v>385.5</v>
      </c>
      <c r="H42" s="50"/>
      <c r="I42" s="50"/>
      <c r="J42" s="50"/>
      <c r="K42" s="78">
        <f>E42+F42+H42+I42+J42</f>
        <v>2570.1</v>
      </c>
      <c r="L42" s="78">
        <f>K42+G42</f>
        <v>2955.6</v>
      </c>
      <c r="M42" s="28">
        <f>IF('[1]Calculo ISR '!$AU$34&lt;0,0,'[1]Calculo ISR '!$AU$34)</f>
        <v>15.193791999999974</v>
      </c>
      <c r="N42" s="92">
        <f>E42*P4</f>
        <v>269.8605</v>
      </c>
      <c r="O42" s="78"/>
      <c r="P42" s="50"/>
      <c r="Q42" s="78"/>
      <c r="R42" s="50"/>
      <c r="S42" s="50">
        <f>M42+N42+O42+P42+Q42+R42</f>
        <v>285.05429199999998</v>
      </c>
      <c r="T42" s="28">
        <f>IF('[1]Calculo ISR '!$AU$34&gt;0,0,'[1]Calculo ISR '!$AU$34)*-1</f>
        <v>0</v>
      </c>
      <c r="U42" s="79">
        <f>K42-S42</f>
        <v>2285.0457080000001</v>
      </c>
      <c r="V42" s="73">
        <f t="shared" si="9"/>
        <v>385.5</v>
      </c>
      <c r="W42" s="80"/>
      <c r="X42" s="47"/>
    </row>
    <row r="43" spans="1:26" s="81" customFormat="1" ht="45" customHeight="1">
      <c r="A43" s="91" t="s">
        <v>101</v>
      </c>
      <c r="B43" s="91" t="s">
        <v>121</v>
      </c>
      <c r="C43" s="66">
        <v>15</v>
      </c>
      <c r="D43" s="76">
        <v>754.54</v>
      </c>
      <c r="E43" s="50">
        <f>C43*D43</f>
        <v>11318.099999999999</v>
      </c>
      <c r="F43" s="50"/>
      <c r="G43" s="77">
        <v>385.5</v>
      </c>
      <c r="H43" s="50"/>
      <c r="I43" s="50"/>
      <c r="J43" s="50"/>
      <c r="K43" s="78">
        <f>E43+F43+H43+I43+J43</f>
        <v>11318.099999999999</v>
      </c>
      <c r="L43" s="78">
        <f>K43+G43</f>
        <v>11703.599999999999</v>
      </c>
      <c r="M43" s="28">
        <f>IF('[1]Calculo ISR '!$AV$34&lt;0,0,'[1]Calculo ISR '!$AV$34)</f>
        <v>1893.3293279999998</v>
      </c>
      <c r="N43" s="92">
        <f>E43*P4</f>
        <v>1188.4004999999997</v>
      </c>
      <c r="O43" s="78"/>
      <c r="P43" s="50"/>
      <c r="Q43" s="78"/>
      <c r="R43" s="50"/>
      <c r="S43" s="50">
        <f>M43+N43+O43+P43+Q43+R43</f>
        <v>3081.7298279999995</v>
      </c>
      <c r="T43" s="28">
        <f>IF('[1]Calculo ISR '!$AV$34&gt;0,0,'[1]Calculo ISR '!$AV$34)*-1</f>
        <v>0</v>
      </c>
      <c r="U43" s="79">
        <f>K43-S43</f>
        <v>8236.370171999999</v>
      </c>
      <c r="V43" s="73">
        <f t="shared" si="9"/>
        <v>385.5</v>
      </c>
      <c r="W43" s="80"/>
      <c r="X43" s="47"/>
    </row>
    <row r="44" spans="1:26" s="81" customFormat="1" ht="45" customHeight="1">
      <c r="A44" s="91" t="s">
        <v>103</v>
      </c>
      <c r="B44" s="91" t="s">
        <v>122</v>
      </c>
      <c r="C44" s="66">
        <v>15</v>
      </c>
      <c r="D44" s="76">
        <v>171.34</v>
      </c>
      <c r="E44" s="50">
        <f>C44*D44</f>
        <v>2570.1</v>
      </c>
      <c r="F44" s="50"/>
      <c r="G44" s="77">
        <v>385.5</v>
      </c>
      <c r="H44" s="50"/>
      <c r="I44" s="50"/>
      <c r="J44" s="50"/>
      <c r="K44" s="78">
        <f>E44+F44+H44+I44+J44</f>
        <v>2570.1</v>
      </c>
      <c r="L44" s="78">
        <f>K44+G44</f>
        <v>2955.6</v>
      </c>
      <c r="M44" s="28">
        <v>15.19</v>
      </c>
      <c r="N44" s="92">
        <f>E44*P4</f>
        <v>269.8605</v>
      </c>
      <c r="O44" s="78"/>
      <c r="P44" s="50"/>
      <c r="Q44" s="78"/>
      <c r="R44" s="50"/>
      <c r="S44" s="50">
        <f>M44+N44+O44+P44+Q44+R44</f>
        <v>285.0505</v>
      </c>
      <c r="T44" s="28"/>
      <c r="U44" s="79">
        <f>K44-S44</f>
        <v>2285.0495000000001</v>
      </c>
      <c r="V44" s="73">
        <f t="shared" si="9"/>
        <v>385.5</v>
      </c>
      <c r="W44" s="80"/>
      <c r="X44" s="47"/>
    </row>
    <row r="45" spans="1:26" s="99" customFormat="1" ht="21.95" customHeight="1">
      <c r="A45" s="93"/>
      <c r="B45" s="94">
        <v>38</v>
      </c>
      <c r="C45" s="95">
        <f t="shared" ref="C45:V45" si="10">SUM(C7:C44)</f>
        <v>570</v>
      </c>
      <c r="D45" s="95">
        <f t="shared" si="10"/>
        <v>13457.168291817881</v>
      </c>
      <c r="E45" s="95">
        <f>SUM(E7:E44)</f>
        <v>201857.52437726824</v>
      </c>
      <c r="F45" s="95">
        <f t="shared" si="10"/>
        <v>6616.24</v>
      </c>
      <c r="G45" s="95">
        <f t="shared" si="10"/>
        <v>15223.5</v>
      </c>
      <c r="H45" s="95">
        <f t="shared" si="10"/>
        <v>4460</v>
      </c>
      <c r="I45" s="95">
        <f t="shared" si="10"/>
        <v>688</v>
      </c>
      <c r="J45" s="95">
        <f t="shared" si="10"/>
        <v>1848.4761786091169</v>
      </c>
      <c r="K45" s="95">
        <f t="shared" si="10"/>
        <v>215470.24055587733</v>
      </c>
      <c r="L45" s="95">
        <f t="shared" si="10"/>
        <v>231001.49907418</v>
      </c>
      <c r="M45" s="96">
        <f t="shared" si="10"/>
        <v>26857.553509412457</v>
      </c>
      <c r="N45" s="95">
        <f>SUM(N7:N44)</f>
        <v>21195.040059613155</v>
      </c>
      <c r="O45" s="95">
        <f t="shared" si="10"/>
        <v>24919.040000000001</v>
      </c>
      <c r="P45" s="95">
        <f t="shared" si="10"/>
        <v>659.54</v>
      </c>
      <c r="Q45" s="95">
        <f t="shared" si="10"/>
        <v>0</v>
      </c>
      <c r="R45" s="95">
        <f t="shared" si="10"/>
        <v>583.98062260958716</v>
      </c>
      <c r="S45" s="95">
        <f t="shared" si="10"/>
        <v>74215.154191635171</v>
      </c>
      <c r="T45" s="95">
        <f t="shared" si="10"/>
        <v>307.75851830263997</v>
      </c>
      <c r="U45" s="95">
        <f t="shared" si="10"/>
        <v>141562.84488254474</v>
      </c>
      <c r="V45" s="95">
        <f t="shared" si="10"/>
        <v>15223.5</v>
      </c>
      <c r="W45" s="97"/>
      <c r="X45" s="98"/>
    </row>
    <row r="46" spans="1:26" s="6" customFormat="1" ht="5.25" customHeight="1">
      <c r="A46" s="122"/>
      <c r="B46" s="123">
        <v>38</v>
      </c>
      <c r="C46" s="124"/>
      <c r="D46" s="101"/>
      <c r="E46" s="101">
        <f>E45+'[7]HT-DOCENTE FIRMA'!I40</f>
        <v>319247.02437726827</v>
      </c>
      <c r="F46" s="101"/>
      <c r="G46" s="125">
        <f>G45+'[7]HT-DOCENTE FIRMA'!J40</f>
        <v>22530.62</v>
      </c>
      <c r="H46" s="125">
        <f>H45+'[7]HT-DOCENTE FIRMA'!L40</f>
        <v>6110.2000000000007</v>
      </c>
      <c r="I46" s="101"/>
      <c r="J46" s="101">
        <f>J45+'[7]HT-DOCENTE FIRMA'!M40</f>
        <v>2439.0211786091168</v>
      </c>
      <c r="K46" s="101"/>
      <c r="L46" s="101"/>
      <c r="M46" s="5">
        <f>M45+'[7]HT-DOCENTE FIRMA'!P40</f>
        <v>38199.904205412458</v>
      </c>
      <c r="N46" s="101"/>
      <c r="O46" s="101"/>
      <c r="P46" s="101"/>
      <c r="Q46" s="101"/>
      <c r="R46" s="101"/>
      <c r="S46" s="101"/>
      <c r="T46" s="101"/>
      <c r="U46" s="101">
        <f>U45+'[7]HT-DOCENTE FIRMA'!X40</f>
        <v>230561.21729054477</v>
      </c>
      <c r="V46" s="101"/>
      <c r="W46" s="126"/>
      <c r="X46" s="5"/>
    </row>
    <row r="47" spans="1:26" s="6" customFormat="1" ht="5.25" customHeight="1">
      <c r="A47" s="122"/>
      <c r="B47" s="123"/>
      <c r="C47" s="124"/>
      <c r="D47" s="101"/>
      <c r="E47" s="101">
        <f>E45+'[7]HT-DOCENTE FIRMA'!I40</f>
        <v>319247.02437726827</v>
      </c>
      <c r="F47" s="101"/>
      <c r="G47" s="125"/>
      <c r="H47" s="125"/>
      <c r="I47" s="101"/>
      <c r="J47" s="101"/>
      <c r="K47" s="101"/>
      <c r="L47" s="101"/>
      <c r="M47" s="101"/>
      <c r="N47" s="101"/>
      <c r="O47" s="101">
        <f>O45+'[7]HT-DOCENTE FIRMA'!R40</f>
        <v>35388.78</v>
      </c>
      <c r="P47" s="101"/>
      <c r="Q47" s="101"/>
      <c r="R47" s="101"/>
      <c r="S47" s="101"/>
      <c r="T47" s="101"/>
      <c r="U47" s="101"/>
      <c r="V47" s="101"/>
      <c r="W47" s="126"/>
      <c r="X47" s="5"/>
      <c r="Z47" s="5"/>
    </row>
    <row r="48" spans="1:26" s="6" customFormat="1" ht="5.25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26"/>
      <c r="X48" s="5"/>
    </row>
    <row r="49" spans="1:24" s="6" customFormat="1" ht="5.25" customHeight="1">
      <c r="A49" s="129"/>
      <c r="B49" s="130"/>
      <c r="C49" s="131"/>
      <c r="D49" s="132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5"/>
    </row>
    <row r="50" spans="1:24" ht="15" customHeight="1">
      <c r="A50" s="110" t="s">
        <v>105</v>
      </c>
      <c r="B50" s="110"/>
      <c r="C50" s="110"/>
      <c r="D50" s="111"/>
      <c r="E50" s="109"/>
      <c r="F50" s="113" t="s">
        <v>106</v>
      </c>
      <c r="G50" s="112"/>
      <c r="H50" s="112"/>
      <c r="I50" s="112"/>
      <c r="K50" s="113"/>
      <c r="L50" s="114"/>
      <c r="O50" s="115"/>
      <c r="P50" s="115"/>
      <c r="Q50" s="115"/>
      <c r="R50" s="115"/>
      <c r="S50" s="111" t="s">
        <v>107</v>
      </c>
      <c r="T50" s="111"/>
      <c r="U50" s="111"/>
      <c r="V50" s="111"/>
      <c r="W50" s="111"/>
      <c r="X50" s="100"/>
    </row>
    <row r="51" spans="1:24" hidden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03"/>
      <c r="L51" s="103"/>
      <c r="O51" s="103"/>
      <c r="P51" s="115"/>
      <c r="Q51" s="103"/>
      <c r="R51" s="103"/>
      <c r="S51" s="111"/>
      <c r="T51" s="111"/>
      <c r="U51" s="111"/>
      <c r="V51" s="111"/>
      <c r="W51" s="111"/>
      <c r="X51" s="100"/>
    </row>
    <row r="52" spans="1:24" hidden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09"/>
      <c r="L52" s="109"/>
      <c r="O52" s="109"/>
      <c r="P52" s="109"/>
      <c r="Q52" s="109"/>
      <c r="R52" s="109"/>
      <c r="S52" s="111"/>
      <c r="T52" s="111"/>
      <c r="U52" s="111"/>
      <c r="V52" s="111"/>
      <c r="W52" s="111"/>
      <c r="X52" s="100"/>
    </row>
    <row r="53" spans="1:24">
      <c r="A53" s="111"/>
      <c r="B53" s="113" t="s">
        <v>108</v>
      </c>
      <c r="C53" s="111"/>
      <c r="D53" s="111"/>
      <c r="E53" s="116"/>
      <c r="F53" s="118" t="s">
        <v>109</v>
      </c>
      <c r="G53" s="117"/>
      <c r="H53" s="117"/>
      <c r="I53" s="117"/>
      <c r="K53" s="118"/>
      <c r="L53" s="118"/>
      <c r="O53" s="109"/>
      <c r="P53" s="109"/>
      <c r="Q53" s="116"/>
      <c r="R53" s="109"/>
      <c r="S53" s="117" t="s">
        <v>110</v>
      </c>
      <c r="T53" s="117"/>
      <c r="U53" s="117"/>
      <c r="V53" s="117"/>
      <c r="W53" s="111"/>
      <c r="X53" s="100"/>
    </row>
    <row r="54" spans="1:24" ht="15" customHeight="1">
      <c r="A54" s="110" t="s">
        <v>111</v>
      </c>
      <c r="B54" s="110"/>
      <c r="C54" s="110"/>
      <c r="D54" s="111"/>
      <c r="E54" s="109"/>
      <c r="F54" s="118" t="s">
        <v>112</v>
      </c>
      <c r="G54" s="117"/>
      <c r="H54" s="117"/>
      <c r="I54" s="117"/>
      <c r="K54" s="118"/>
      <c r="L54" s="118"/>
      <c r="O54" s="109"/>
      <c r="P54" s="109"/>
      <c r="Q54" s="109"/>
      <c r="R54" s="109"/>
      <c r="S54" s="119" t="s">
        <v>113</v>
      </c>
      <c r="T54" s="119"/>
      <c r="U54" s="119"/>
      <c r="V54" s="118"/>
      <c r="W54" s="111"/>
      <c r="X54" s="100"/>
    </row>
    <row r="55" spans="1:24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16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307" spans="99:99">
      <c r="CU307" s="1" t="s">
        <v>114</v>
      </c>
    </row>
  </sheetData>
  <mergeCells count="3">
    <mergeCell ref="A50:C50"/>
    <mergeCell ref="A54:C54"/>
    <mergeCell ref="S54:U54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CU307"/>
  <sheetViews>
    <sheetView zoomScale="80" zoomScaleNormal="80" workbookViewId="0">
      <pane xSplit="2" ySplit="6" topLeftCell="C39" activePane="bottomRight" state="frozen"/>
      <selection activeCell="S28" sqref="S28"/>
      <selection pane="topRight" activeCell="S28" sqref="S28"/>
      <selection pane="bottomLeft" activeCell="S28" sqref="S28"/>
      <selection pane="bottomRight" activeCell="B45" sqref="B45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7" width="12.5703125" style="1" customWidth="1"/>
    <col min="8" max="8" width="12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7.1406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3" spans="1:26">
      <c r="B3" s="2"/>
      <c r="I3" s="3"/>
      <c r="J3" s="3"/>
      <c r="K3" s="4"/>
      <c r="L3" s="5" t="s">
        <v>0</v>
      </c>
      <c r="O3" s="6"/>
      <c r="P3" s="6"/>
      <c r="Q3" s="6" t="s">
        <v>1</v>
      </c>
    </row>
    <row r="4" spans="1:26">
      <c r="B4" s="2"/>
      <c r="C4" s="3"/>
      <c r="D4" s="3"/>
      <c r="E4" s="3"/>
      <c r="F4" s="3"/>
      <c r="I4" s="3"/>
      <c r="J4" s="3"/>
      <c r="K4" s="3"/>
      <c r="L4" s="7">
        <v>1.9E-2</v>
      </c>
      <c r="O4" s="8">
        <v>0.01</v>
      </c>
      <c r="P4" s="121">
        <v>0.105</v>
      </c>
      <c r="Q4" s="9">
        <v>3.7999999999999999E-2</v>
      </c>
    </row>
    <row r="5" spans="1:26" ht="13.5" thickBot="1">
      <c r="B5" s="10" t="s">
        <v>2</v>
      </c>
      <c r="C5" s="3"/>
      <c r="D5" s="3"/>
      <c r="E5" s="3"/>
      <c r="F5" s="10" t="s">
        <v>124</v>
      </c>
      <c r="I5" s="3"/>
      <c r="J5" s="3"/>
      <c r="K5" s="3"/>
    </row>
    <row r="6" spans="1:26" s="25" customFormat="1" ht="105.7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customHeight="1">
      <c r="A7" s="26" t="s">
        <v>27</v>
      </c>
      <c r="B7" s="27" t="s">
        <v>28</v>
      </c>
      <c r="C7" s="142">
        <v>9</v>
      </c>
      <c r="D7" s="28">
        <v>1129.1099999999999</v>
      </c>
      <c r="E7" s="28">
        <f>D7*C7</f>
        <v>10161.99</v>
      </c>
      <c r="F7" s="28">
        <v>6616.24</v>
      </c>
      <c r="G7" s="28">
        <f>'[1]HT-ADMINISTRATIVOS'!G8</f>
        <v>960</v>
      </c>
      <c r="H7" s="28">
        <f>'[1]HT-ADMINISTRATIVOS'!H8</f>
        <v>0</v>
      </c>
      <c r="I7" s="28">
        <f>'[1]HT-ADMINISTRATIVOS'!J8</f>
        <v>688</v>
      </c>
      <c r="J7" s="28">
        <f>'[1]HT-ADMINISTRATIVOS'!I8</f>
        <v>0</v>
      </c>
      <c r="K7" s="28">
        <f>E7+F7+H7+I7+J7</f>
        <v>17466.23</v>
      </c>
      <c r="L7" s="28">
        <f t="shared" ref="L7:L12" si="0">K7+G7</f>
        <v>18426.23</v>
      </c>
      <c r="M7" s="28">
        <f>IF('[1]Calculo ISR '!$K$34&lt;0,0,'[1]Calculo ISR '!$K$34)</f>
        <v>5456.9699999999993</v>
      </c>
      <c r="N7" s="28">
        <f>E7*P4</f>
        <v>1067.0089499999999</v>
      </c>
      <c r="O7" s="28"/>
      <c r="P7" s="28">
        <f>'[1]HT-ADMINISTRATIVOS'!Q8</f>
        <v>0</v>
      </c>
      <c r="Q7" s="28">
        <f>'[1]HT-ADMINISTRATIVOS'!R8</f>
        <v>0</v>
      </c>
      <c r="R7" s="28">
        <f>'[1]HT-ADMINISTRATIVOS'!S8</f>
        <v>0</v>
      </c>
      <c r="S7" s="28">
        <f>M7+N7+O7+P7+Q7+R7</f>
        <v>6523.9789499999988</v>
      </c>
      <c r="T7" s="28"/>
      <c r="U7" s="28">
        <f>L7-S7-V7</f>
        <v>10942.251050000001</v>
      </c>
      <c r="V7" s="28">
        <f>'[1]HT-ADMINISTRATIVOS'!W8</f>
        <v>960</v>
      </c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754.53875970000001</v>
      </c>
      <c r="E8" s="36">
        <v>11318.081395499999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E8*Q4</f>
        <v>430.08709302899996</v>
      </c>
      <c r="K8" s="36">
        <f>E8+F8+H8+I8+J8</f>
        <v>12194.168488529</v>
      </c>
      <c r="L8" s="36">
        <f t="shared" si="0"/>
        <v>12579.668488529</v>
      </c>
      <c r="M8" s="28">
        <f>IF('[1]Calculo ISR '!$L$34&lt;0,0,'[1]Calculo ISR '!$L$34)</f>
        <v>2099.3806365020209</v>
      </c>
      <c r="N8" s="38">
        <f>E8*P4</f>
        <v>1188.3985465275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3287.7791830295209</v>
      </c>
      <c r="T8" s="28">
        <f>IF('[1]Calculo ISR '!$L$34&gt;0,0,'[1]Calculo ISR '!$L$34)*-1</f>
        <v>0</v>
      </c>
      <c r="U8" s="36">
        <f>K8-S8</f>
        <v>8906.3893054994787</v>
      </c>
      <c r="V8" s="36">
        <f t="shared" ref="V8:V27" si="1">G8</f>
        <v>385.5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230.34834514817072</v>
      </c>
      <c r="E9" s="36">
        <v>3455.2251772225609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E9*Q4</f>
        <v>131.29855673445732</v>
      </c>
      <c r="K9" s="36">
        <f>E9+F9+H9+I9+J9</f>
        <v>3586.5237339570181</v>
      </c>
      <c r="L9" s="36">
        <f t="shared" si="0"/>
        <v>3972.0237339570181</v>
      </c>
      <c r="M9" s="28">
        <f>IF('[1]Calculo ISR '!$M$34&lt;0,0,'[1]Calculo ISR '!$M$34)</f>
        <v>178.73069425452351</v>
      </c>
      <c r="N9" s="38">
        <f>E9*P4</f>
        <v>362.79864360836888</v>
      </c>
      <c r="O9" s="38">
        <v>959.26</v>
      </c>
      <c r="P9" s="38">
        <f>'[1]HT-ADMINISTRATIVOS'!Q11</f>
        <v>0</v>
      </c>
      <c r="Q9" s="38">
        <f>'[1]HT-ADMINISTRATIVOS'!R11</f>
        <v>0</v>
      </c>
      <c r="R9" s="38">
        <f>E9*O4</f>
        <v>34.55225177222561</v>
      </c>
      <c r="S9" s="36">
        <f>M9+N9+O9+P9+Q9+R9</f>
        <v>1535.341589635118</v>
      </c>
      <c r="T9" s="28">
        <f>IF('[1]Calculo ISR '!$M$34&gt;0,0,'[1]Calculo ISR '!$M$34)*-1</f>
        <v>0</v>
      </c>
      <c r="U9" s="36">
        <f t="shared" ref="U9:U15" si="2">K9-S9+T9</f>
        <v>2051.1821443219001</v>
      </c>
      <c r="V9" s="36">
        <f t="shared" si="1"/>
        <v>385.5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v>242.09274535320057</v>
      </c>
      <c r="E10" s="36">
        <v>3631.3911802980087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E10*Q4</f>
        <v>137.99286485132433</v>
      </c>
      <c r="K10" s="36">
        <f>E10+F10+I10+J10</f>
        <v>3769.3840451493329</v>
      </c>
      <c r="L10" s="36">
        <f t="shared" si="0"/>
        <v>4154.8840451493325</v>
      </c>
      <c r="M10" s="28">
        <f>IF('[1]Calculo ISR '!$N$34&lt;0,0,'[1]Calculo ISR '!$N$34)</f>
        <v>312.18984722389325</v>
      </c>
      <c r="N10" s="38">
        <f>E10*P4</f>
        <v>381.29607393129089</v>
      </c>
      <c r="O10" s="38">
        <v>1077.99</v>
      </c>
      <c r="P10" s="38">
        <f>'[1]HT-ADMINISTRATIVOS'!Q12</f>
        <v>0</v>
      </c>
      <c r="Q10" s="38">
        <f>'[1]HT-ADMINISTRATIVOS'!R12</f>
        <v>0</v>
      </c>
      <c r="R10" s="38">
        <f>E10*O4</f>
        <v>36.313911802980087</v>
      </c>
      <c r="S10" s="36">
        <f t="shared" ref="S10:S31" si="3">M10+N10+O10+R10+P10+Q10</f>
        <v>1807.7898329581642</v>
      </c>
      <c r="T10" s="28">
        <f>IF('[1]Calculo ISR '!$N$34&gt;0,0,'[1]Calculo ISR '!$N$34)*-1</f>
        <v>0</v>
      </c>
      <c r="U10" s="36">
        <f t="shared" si="2"/>
        <v>1961.5942121911687</v>
      </c>
      <c r="V10" s="36">
        <f t="shared" si="1"/>
        <v>385.5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219.22891544903311</v>
      </c>
      <c r="E11" s="36">
        <v>3288.4337317354966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E11*Q4</f>
        <v>124.96048180594887</v>
      </c>
      <c r="K11" s="36">
        <f t="shared" ref="K11:K33" si="4">E11+F11+H11+I11+J11</f>
        <v>3413.3942135414454</v>
      </c>
      <c r="L11" s="36">
        <f t="shared" si="0"/>
        <v>3798.8942135414454</v>
      </c>
      <c r="M11" s="28">
        <f>IF('[1]Calculo ISR '!$O$34&lt;0,0,'[1]Calculo ISR '!$O$34)</f>
        <v>142.19420243330924</v>
      </c>
      <c r="N11" s="38">
        <f>E11*P4</f>
        <v>345.28554183222712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32.884337317354969</v>
      </c>
      <c r="S11" s="36">
        <f t="shared" si="3"/>
        <v>1982.5840815828915</v>
      </c>
      <c r="T11" s="28">
        <f>IF('[1]Calculo ISR '!$O$34&gt;0,0,'[1]Calculo ISR '!$O$34)*-1</f>
        <v>0</v>
      </c>
      <c r="U11" s="36">
        <f t="shared" si="2"/>
        <v>1430.8101319585539</v>
      </c>
      <c r="V11" s="36">
        <f t="shared" si="1"/>
        <v>385.5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242.09274535320057</v>
      </c>
      <c r="E12" s="36">
        <v>3631.3911802980087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E12*Q4</f>
        <v>137.99286485132433</v>
      </c>
      <c r="K12" s="36">
        <f t="shared" si="4"/>
        <v>3769.3840451493329</v>
      </c>
      <c r="L12" s="36">
        <f t="shared" si="0"/>
        <v>4154.8840451493325</v>
      </c>
      <c r="M12" s="28">
        <f>IF('[1]Calculo ISR '!$P$34&lt;0,0,'[1]Calculo ISR '!$P$34)</f>
        <v>312.18984722389325</v>
      </c>
      <c r="N12" s="38">
        <f>E12*P4</f>
        <v>381.29607393129089</v>
      </c>
      <c r="O12" s="38">
        <v>1170</v>
      </c>
      <c r="P12" s="38">
        <f>'[1]HT-ADMINISTRATIVOS'!Q14</f>
        <v>0</v>
      </c>
      <c r="Q12" s="38">
        <f>'[1]HT-ADMINISTRATIVOS'!R14</f>
        <v>0</v>
      </c>
      <c r="R12" s="38">
        <f>E12*O4</f>
        <v>36.313911802980087</v>
      </c>
      <c r="S12" s="36">
        <f t="shared" si="3"/>
        <v>1899.7998329581642</v>
      </c>
      <c r="T12" s="28">
        <f>IF('[1]Calculo ISR '!$P$34&gt;0,0,'[1]Calculo ISR '!$P$34)*-1</f>
        <v>0</v>
      </c>
      <c r="U12" s="36">
        <f t="shared" si="2"/>
        <v>1869.5842121911687</v>
      </c>
      <c r="V12" s="36">
        <f t="shared" si="1"/>
        <v>385.5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171.33947607512999</v>
      </c>
      <c r="E13" s="36">
        <v>2570.0921411269501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E13*Q4</f>
        <v>97.663501362824107</v>
      </c>
      <c r="K13" s="36">
        <f t="shared" si="4"/>
        <v>2667.7556424897743</v>
      </c>
      <c r="L13" s="36">
        <f>K13+G13+T13</f>
        <v>3053.2556424897743</v>
      </c>
      <c r="M13" s="28">
        <f>IF('[1]Calculo ISR '!$Q$34&lt;0,0,'[1]Calculo ISR '!$Q$34)</f>
        <v>40.818725902887451</v>
      </c>
      <c r="N13" s="38">
        <f>E13*P4</f>
        <v>269.85967481832972</v>
      </c>
      <c r="O13" s="38">
        <v>584</v>
      </c>
      <c r="P13" s="38">
        <f>'[1]HT-ADMINISTRATIVOS'!Q15</f>
        <v>0</v>
      </c>
      <c r="Q13" s="38">
        <f>'[1]HT-ADMINISTRATIVOS'!R15</f>
        <v>0</v>
      </c>
      <c r="R13" s="38">
        <f>E13*O4</f>
        <v>25.700921411269501</v>
      </c>
      <c r="S13" s="36">
        <f t="shared" si="3"/>
        <v>920.37932213248666</v>
      </c>
      <c r="T13" s="28">
        <f>IF('[1]Calculo ISR '!$Q$34&gt;0,0,'[1]Calculo ISR '!$Q$34)</f>
        <v>0</v>
      </c>
      <c r="U13" s="36">
        <f t="shared" si="2"/>
        <v>1747.3763203572876</v>
      </c>
      <c r="V13" s="36">
        <f t="shared" si="1"/>
        <v>385.5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163.00161009000001</v>
      </c>
      <c r="E14" s="36">
        <v>2445.02415135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E14*Q4</f>
        <v>92.910917751300005</v>
      </c>
      <c r="K14" s="36">
        <f t="shared" si="4"/>
        <v>2537.9350691013001</v>
      </c>
      <c r="L14" s="36">
        <f>K14+G14+T14</f>
        <v>2923.4350691013001</v>
      </c>
      <c r="M14" s="28">
        <f>IF('[1]Calculo ISR '!$R$34&lt;0,0,'[1]Calculo ISR '!$R$34)</f>
        <v>11.694247518221431</v>
      </c>
      <c r="N14" s="38">
        <f>E14*P4</f>
        <v>256.72753589174999</v>
      </c>
      <c r="O14" s="38">
        <v>625</v>
      </c>
      <c r="P14" s="38">
        <f>'[1]HT-ADMINISTRATIVOS'!Q16</f>
        <v>0</v>
      </c>
      <c r="Q14" s="38">
        <f>'[1]HT-ADMINISTRATIVOS'!R16</f>
        <v>0</v>
      </c>
      <c r="R14" s="38">
        <f>E14*O4</f>
        <v>24.4502415135</v>
      </c>
      <c r="S14" s="36">
        <f t="shared" si="3"/>
        <v>917.87202492347149</v>
      </c>
      <c r="T14" s="28">
        <f>IF('[1]Calculo ISR '!$R$34&gt;0,0,'[1]Calculo ISR '!$R$34)*-1</f>
        <v>0</v>
      </c>
      <c r="U14" s="36">
        <f t="shared" si="2"/>
        <v>1620.0630441778285</v>
      </c>
      <c r="V14" s="36">
        <f t="shared" si="1"/>
        <v>385.5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534.93837680832996</v>
      </c>
      <c r="E15" s="36">
        <v>8024.0756521249496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E15*L4</f>
        <v>152.45743739037403</v>
      </c>
      <c r="K15" s="36">
        <f t="shared" si="4"/>
        <v>8176.5330895153238</v>
      </c>
      <c r="L15" s="36">
        <f>K15+G15</f>
        <v>8562.0330895153238</v>
      </c>
      <c r="M15" s="28">
        <f>IF('[1]Calculo ISR '!$S$34&lt;0,0,'[1]Calculo ISR '!$S$34)</f>
        <v>1199.3182919204733</v>
      </c>
      <c r="N15" s="38">
        <f>E15*P4</f>
        <v>842.52794347311965</v>
      </c>
      <c r="O15" s="38">
        <v>2675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3"/>
        <v>4716.8462353935929</v>
      </c>
      <c r="T15" s="28">
        <f>IF('[1]Calculo ISR '!$S$34&gt;0,0,'[1]Calculo ISR '!$S$34)*-1</f>
        <v>0</v>
      </c>
      <c r="U15" s="36">
        <f t="shared" si="2"/>
        <v>3459.6868541217309</v>
      </c>
      <c r="V15" s="36">
        <f t="shared" si="1"/>
        <v>385.5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267.35834171124986</v>
      </c>
      <c r="E16" s="36">
        <v>4010.3751256687478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E16*L4</f>
        <v>76.197127387706203</v>
      </c>
      <c r="K16" s="36">
        <f t="shared" si="4"/>
        <v>4086.572253056454</v>
      </c>
      <c r="L16" s="36">
        <f>K16+G16</f>
        <v>4472.0722530564544</v>
      </c>
      <c r="M16" s="28">
        <f>IF('[1]Calculo ISR '!$T$34&lt;0,0,'[1]Calculo ISR '!$T$34)</f>
        <v>362.93996048903261</v>
      </c>
      <c r="N16" s="38">
        <f>E16*P4</f>
        <v>421.08938819521853</v>
      </c>
      <c r="O16" s="38">
        <v>1867.49</v>
      </c>
      <c r="P16" s="38"/>
      <c r="Q16" s="38"/>
      <c r="R16" s="38">
        <f>E16*O4</f>
        <v>40.103751256687481</v>
      </c>
      <c r="S16" s="36">
        <f>M16+N16+O16+Q16+R16+P16</f>
        <v>2691.6230999409386</v>
      </c>
      <c r="T16" s="28">
        <f>IF('[1]Calculo ISR '!$T$34&gt;0,0,'[1]Calculo ISR '!$T$34)*-1</f>
        <v>0</v>
      </c>
      <c r="U16" s="36">
        <f>K16-S16</f>
        <v>1394.9491531155154</v>
      </c>
      <c r="V16" s="36">
        <f t="shared" si="1"/>
        <v>385.5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230.34834514817072</v>
      </c>
      <c r="E17" s="36">
        <v>3455.2251772225609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7">
        <f>E17*L4</f>
        <v>65.649278367228661</v>
      </c>
      <c r="K17" s="36">
        <f t="shared" si="4"/>
        <v>3966.8744555897897</v>
      </c>
      <c r="L17" s="36">
        <f>K17+G17</f>
        <v>4352.3744555897902</v>
      </c>
      <c r="M17" s="28">
        <f>IF('[1]Calculo ISR '!$U$34&lt;0,0,'[1]Calculo ISR '!$U$34)</f>
        <v>343.7883128943663</v>
      </c>
      <c r="N17" s="38">
        <f>E17*P4</f>
        <v>362.79864360836888</v>
      </c>
      <c r="O17" s="38">
        <v>1715.6</v>
      </c>
      <c r="P17" s="38">
        <f>'[1]HT-ADMINISTRATIVOS'!Q19</f>
        <v>0</v>
      </c>
      <c r="Q17" s="38">
        <f>'[1]HT-ADMINISTRATIVOS'!R19</f>
        <v>0</v>
      </c>
      <c r="R17" s="38">
        <f>E17*O4</f>
        <v>34.55225177222561</v>
      </c>
      <c r="S17" s="36">
        <f t="shared" si="3"/>
        <v>2456.7392082749607</v>
      </c>
      <c r="T17" s="28">
        <f>IF('[1]Calculo ISR '!$U$34&gt;0,0,'[1]Calculo ISR '!$U$34)*-1</f>
        <v>0</v>
      </c>
      <c r="U17" s="36">
        <f t="shared" ref="U17:U32" si="5">K17-S17+T17</f>
        <v>1510.135247314829</v>
      </c>
      <c r="V17" s="36">
        <f t="shared" si="1"/>
        <v>385.5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873.012693639492</v>
      </c>
      <c r="E18" s="36">
        <v>13095.19040459238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E18*L4</f>
        <v>248.80861768725521</v>
      </c>
      <c r="K18" s="36">
        <f t="shared" si="4"/>
        <v>13343.999022279635</v>
      </c>
      <c r="L18" s="36">
        <f>K18+G18</f>
        <v>13729.499022279635</v>
      </c>
      <c r="M18" s="28">
        <f>IF('[1]Calculo ISR '!$V$34&lt;0,0,'[1]Calculo ISR '!$V$34)</f>
        <v>2369.8207780401704</v>
      </c>
      <c r="N18" s="38">
        <f>E18*P4</f>
        <v>1374.9949924821999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3"/>
        <v>3744.8157705223703</v>
      </c>
      <c r="T18" s="28">
        <f>IF('[1]Calculo ISR '!$V$34&gt;0,0,'[1]Calculo ISR '!$V$34)*-1</f>
        <v>0</v>
      </c>
      <c r="U18" s="36">
        <f t="shared" si="5"/>
        <v>9599.1832517572657</v>
      </c>
      <c r="V18" s="36">
        <f t="shared" si="1"/>
        <v>385.5</v>
      </c>
      <c r="W18" s="46"/>
      <c r="X18" s="47"/>
    </row>
    <row r="19" spans="1:24" s="48" customFormat="1" ht="45" customHeight="1">
      <c r="A19" s="53" t="s">
        <v>51</v>
      </c>
      <c r="B19" s="53" t="s">
        <v>52</v>
      </c>
      <c r="C19" s="34">
        <v>15</v>
      </c>
      <c r="D19" s="50">
        <v>219.22891544903311</v>
      </c>
      <c r="E19" s="36">
        <v>3288.4337317354966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'[1]HT-ADMINISTRATIVOS'!I21</f>
        <v>0</v>
      </c>
      <c r="K19" s="36">
        <f t="shared" si="4"/>
        <v>3288.4337317354966</v>
      </c>
      <c r="L19" s="36">
        <f>K19+G19</f>
        <v>3673.9337317354966</v>
      </c>
      <c r="M19" s="28">
        <f>IF('[1]Calculo ISR '!$W$34&lt;0,0,'[1]Calculo ISR '!$W$34)</f>
        <v>128.59850201282202</v>
      </c>
      <c r="N19" s="38">
        <f>E19*P4</f>
        <v>345.28554183222712</v>
      </c>
      <c r="O19" s="38">
        <v>1357.77</v>
      </c>
      <c r="P19" s="38">
        <f>'[1]HT-ADMINISTRATIVOS'!Q21</f>
        <v>0</v>
      </c>
      <c r="Q19" s="38">
        <f>'[1]HT-ADMINISTRATIVOS'!R21</f>
        <v>0</v>
      </c>
      <c r="R19" s="38">
        <f>E19*O4</f>
        <v>32.884337317354969</v>
      </c>
      <c r="S19" s="36">
        <f t="shared" si="3"/>
        <v>1864.5383811624042</v>
      </c>
      <c r="T19" s="28">
        <f>IF('[1]Calculo ISR '!$W$34&gt;0,0,'[1]Calculo ISR '!$W$34)*-1</f>
        <v>0</v>
      </c>
      <c r="U19" s="36">
        <f t="shared" si="5"/>
        <v>1423.8953505730924</v>
      </c>
      <c r="V19" s="36">
        <f t="shared" si="1"/>
        <v>385.5</v>
      </c>
      <c r="W19" s="46"/>
      <c r="X19" s="47"/>
    </row>
    <row r="20" spans="1:24" s="48" customFormat="1" ht="45" customHeight="1">
      <c r="A20" s="53" t="s">
        <v>53</v>
      </c>
      <c r="B20" s="53" t="s">
        <v>54</v>
      </c>
      <c r="C20" s="34">
        <v>15</v>
      </c>
      <c r="D20" s="50">
        <v>148.1300975275</v>
      </c>
      <c r="E20" s="36">
        <v>2221.9514629125001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'[1]HT-ADMINISTRATIVOS'!I22</f>
        <v>0</v>
      </c>
      <c r="K20" s="36">
        <f t="shared" si="4"/>
        <v>2221.9514629125001</v>
      </c>
      <c r="L20" s="36">
        <f>K20+G20+T20</f>
        <v>2644.5362317476201</v>
      </c>
      <c r="M20" s="28">
        <f>IF('[1]Calculo ISR '!$X$34&lt;0,0,'[1]Calculo ISR '!$X$34)</f>
        <v>0</v>
      </c>
      <c r="N20" s="38">
        <f>E20*P4</f>
        <v>233.30490360581251</v>
      </c>
      <c r="O20" s="38">
        <v>741</v>
      </c>
      <c r="P20" s="38">
        <f>'[1]HT-ADMINISTRATIVOS'!Q22</f>
        <v>0</v>
      </c>
      <c r="Q20" s="38">
        <f>'[1]HT-ADMINISTRATIVOS'!R22</f>
        <v>0</v>
      </c>
      <c r="R20" s="38">
        <f>E20*O4</f>
        <v>22.219514629125001</v>
      </c>
      <c r="S20" s="36">
        <f t="shared" si="3"/>
        <v>996.52441823493757</v>
      </c>
      <c r="T20" s="28">
        <f>IF('[1]Calculo ISR '!$X$34&gt;0,0,('[1]Calculo ISR '!$X$34)*-1)</f>
        <v>37.084768835120002</v>
      </c>
      <c r="U20" s="36">
        <f t="shared" si="5"/>
        <v>1262.5118135126827</v>
      </c>
      <c r="V20" s="36">
        <f t="shared" si="1"/>
        <v>385.5</v>
      </c>
      <c r="W20" s="46"/>
      <c r="X20" s="47"/>
    </row>
    <row r="21" spans="1:24" s="48" customFormat="1" ht="45" customHeight="1">
      <c r="A21" s="53" t="s">
        <v>55</v>
      </c>
      <c r="B21" s="53" t="s">
        <v>56</v>
      </c>
      <c r="C21" s="34">
        <v>15</v>
      </c>
      <c r="D21" s="50">
        <v>148.19297316999999</v>
      </c>
      <c r="E21" s="36">
        <v>2222.8945975499996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'[1]HT-ADMINISTRATIVOS'!I23</f>
        <v>0</v>
      </c>
      <c r="K21" s="36">
        <f t="shared" si="4"/>
        <v>2668.8945975499996</v>
      </c>
      <c r="L21" s="36">
        <f>K21+G21+T21</f>
        <v>3054.3945975499996</v>
      </c>
      <c r="M21" s="28">
        <f>IF('[1]Calculo ISR '!$Y$34&lt;0,0,'[1]Calculo ISR '!$Y$34)</f>
        <v>40.942644213439934</v>
      </c>
      <c r="N21" s="38">
        <f>E21*P4</f>
        <v>233.40393274274996</v>
      </c>
      <c r="O21" s="38">
        <v>851.76</v>
      </c>
      <c r="P21" s="38">
        <f>'[1]HT-ADMINISTRATIVOS'!Q23</f>
        <v>0</v>
      </c>
      <c r="Q21" s="38">
        <f>'[1]HT-ADMINISTRATIVOS'!R23</f>
        <v>0</v>
      </c>
      <c r="R21" s="38">
        <f>E21*O4</f>
        <v>22.228945975499997</v>
      </c>
      <c r="S21" s="36">
        <f t="shared" si="3"/>
        <v>1148.3355229316899</v>
      </c>
      <c r="T21" s="28">
        <f>IF('[1]Calculo ISR '!$Y$34&gt;0,0,'[1]Calculo ISR '!$Y$34)*-1</f>
        <v>0</v>
      </c>
      <c r="U21" s="36">
        <f t="shared" si="5"/>
        <v>1520.5590746183098</v>
      </c>
      <c r="V21" s="36">
        <f t="shared" si="1"/>
        <v>385.5</v>
      </c>
      <c r="W21" s="46"/>
      <c r="X21" s="47"/>
    </row>
    <row r="22" spans="1:24" s="48" customFormat="1" ht="45" customHeight="1">
      <c r="A22" s="53" t="s">
        <v>57</v>
      </c>
      <c r="B22" s="53" t="s">
        <v>58</v>
      </c>
      <c r="C22" s="34">
        <v>15</v>
      </c>
      <c r="D22" s="50">
        <v>198.84487564290151</v>
      </c>
      <c r="E22" s="36">
        <v>2982.6731346435226</v>
      </c>
      <c r="F22" s="43"/>
      <c r="G22" s="36">
        <f>'[1]HT-ADMINISTRATIVOS'!G26</f>
        <v>385.5</v>
      </c>
      <c r="H22" s="36">
        <f>'[1]HT-ADMINISTRATIVOS'!H26</f>
        <v>0</v>
      </c>
      <c r="I22" s="36">
        <f>'[1]HT-ADMINISTRATIVOS'!J26</f>
        <v>0</v>
      </c>
      <c r="J22" s="37">
        <f>'[1]HT-ADMINISTRATIVOS'!I26</f>
        <v>0</v>
      </c>
      <c r="K22" s="36">
        <f t="shared" si="4"/>
        <v>2982.6731346435226</v>
      </c>
      <c r="L22" s="36">
        <f>K22+G22</f>
        <v>3368.1731346435226</v>
      </c>
      <c r="M22" s="28">
        <f>IF('[1]Calculo ISR '!$Z$34&lt;0,0,'[1]Calculo ISR '!$Z$34)</f>
        <v>75.081749049215233</v>
      </c>
      <c r="N22" s="38">
        <f>E22*P4</f>
        <v>313.18067913756988</v>
      </c>
      <c r="O22" s="38">
        <v>829</v>
      </c>
      <c r="P22" s="38"/>
      <c r="Q22" s="38">
        <f>'[1]HT-ADMINISTRATIVOS'!R26</f>
        <v>0</v>
      </c>
      <c r="R22" s="38">
        <f>E22*O4</f>
        <v>29.826731346435228</v>
      </c>
      <c r="S22" s="36">
        <f>M22+N22+O22+R22+P22+Q22</f>
        <v>1247.0891595332205</v>
      </c>
      <c r="T22" s="28">
        <f>IF('[1]Calculo ISR '!$Z$34&gt;0,0,'[1]Calculo ISR '!$Z$34)*-1</f>
        <v>0</v>
      </c>
      <c r="U22" s="36">
        <f t="shared" si="5"/>
        <v>1735.5839751103022</v>
      </c>
      <c r="V22" s="36">
        <f t="shared" si="1"/>
        <v>385.5</v>
      </c>
      <c r="W22" s="46"/>
      <c r="X22" s="47"/>
    </row>
    <row r="23" spans="1:24" s="48" customFormat="1" ht="45" customHeight="1">
      <c r="A23" s="53" t="s">
        <v>59</v>
      </c>
      <c r="B23" s="53" t="s">
        <v>60</v>
      </c>
      <c r="C23" s="34">
        <v>15</v>
      </c>
      <c r="D23" s="50">
        <v>198.84487558991</v>
      </c>
      <c r="E23" s="36">
        <v>2982.6731338486502</v>
      </c>
      <c r="F23" s="43"/>
      <c r="G23" s="36">
        <f>'[1]HT-ADMINISTRATIVOS'!G27</f>
        <v>385.5</v>
      </c>
      <c r="H23" s="36">
        <f>'[1]HT-ADMINISTRATIVOS'!H27</f>
        <v>0</v>
      </c>
      <c r="I23" s="36">
        <f>'[1]HT-ADMINISTRATIVOS'!J27</f>
        <v>0</v>
      </c>
      <c r="J23" s="37">
        <f>'[1]HT-ADMINISTRATIVOS'!I27</f>
        <v>0</v>
      </c>
      <c r="K23" s="36">
        <f t="shared" si="4"/>
        <v>2982.6731338486502</v>
      </c>
      <c r="L23" s="36">
        <f>K23+G23</f>
        <v>3368.1731338486502</v>
      </c>
      <c r="M23" s="28">
        <f>IF('[1]Calculo ISR '!$AA$34&lt;0,0,'[1]Calculo ISR '!$AA$34)</f>
        <v>75.081748962733116</v>
      </c>
      <c r="N23" s="38">
        <f>E23*P4</f>
        <v>313.18067905410828</v>
      </c>
      <c r="O23" s="38">
        <f>'[1]HT-ADMINISTRATIVOS'!P27</f>
        <v>0</v>
      </c>
      <c r="P23" s="38">
        <f>'[1]HT-ADMINISTRATIVOS'!Q27</f>
        <v>0</v>
      </c>
      <c r="Q23" s="38">
        <f>'[1]HT-ADMINISTRATIVOS'!R27</f>
        <v>0</v>
      </c>
      <c r="R23" s="38">
        <f>E23*O4</f>
        <v>29.826731338486503</v>
      </c>
      <c r="S23" s="36">
        <f t="shared" si="3"/>
        <v>418.08915935532792</v>
      </c>
      <c r="T23" s="28">
        <f>IF('[1]Calculo ISR '!$AA$34&gt;0,0,'[1]Calculo ISR '!$AA$34)*-1</f>
        <v>0</v>
      </c>
      <c r="U23" s="36">
        <f t="shared" si="5"/>
        <v>2564.5839744933223</v>
      </c>
      <c r="V23" s="36">
        <f t="shared" si="1"/>
        <v>385.5</v>
      </c>
      <c r="W23" s="46"/>
      <c r="X23" s="47"/>
    </row>
    <row r="24" spans="1:24" s="48" customFormat="1" ht="45" customHeight="1">
      <c r="A24" s="54" t="s">
        <v>61</v>
      </c>
      <c r="B24" s="55" t="s">
        <v>62</v>
      </c>
      <c r="C24" s="34">
        <v>15</v>
      </c>
      <c r="D24" s="50">
        <v>198.84487558991</v>
      </c>
      <c r="E24" s="36">
        <v>2982.6731338486502</v>
      </c>
      <c r="F24" s="43"/>
      <c r="G24" s="36">
        <f>'[1]HT-ADMINISTRATIVOS'!G28</f>
        <v>385.5</v>
      </c>
      <c r="H24" s="36">
        <f>'[1]HT-ADMINISTRATIVOS'!H28</f>
        <v>446</v>
      </c>
      <c r="I24" s="36">
        <f>'[1]HT-ADMINISTRATIVOS'!J28</f>
        <v>0</v>
      </c>
      <c r="J24" s="37">
        <f>'[1]HT-ADMINISTRATIVOS'!I28</f>
        <v>0</v>
      </c>
      <c r="K24" s="36">
        <f t="shared" si="4"/>
        <v>3428.6731338486502</v>
      </c>
      <c r="L24" s="36">
        <f>K24+G24</f>
        <v>3814.1731338486502</v>
      </c>
      <c r="M24" s="28">
        <f>IF('[1]Calculo ISR '!$AB$34&lt;0,0,'[1]Calculo ISR '!$AB$34)</f>
        <v>143.85654896273311</v>
      </c>
      <c r="N24" s="38">
        <f>E24*P4</f>
        <v>313.18067905410828</v>
      </c>
      <c r="O24" s="38">
        <v>215.8</v>
      </c>
      <c r="P24" s="38">
        <f>'[1]HT-ADMINISTRATIVOS'!Q28</f>
        <v>0</v>
      </c>
      <c r="Q24" s="38">
        <f>'[1]HT-ADMINISTRATIVOS'!R28</f>
        <v>0</v>
      </c>
      <c r="R24" s="38">
        <f>E24*O4</f>
        <v>29.826731338486503</v>
      </c>
      <c r="S24" s="36">
        <f t="shared" si="3"/>
        <v>702.66395935532796</v>
      </c>
      <c r="T24" s="28">
        <f>IF('[1]Calculo ISR '!$AB$34&gt;0,0,'[1]Calculo ISR '!$AB$34)*-1</f>
        <v>0</v>
      </c>
      <c r="U24" s="36">
        <f t="shared" si="5"/>
        <v>2726.0091744933225</v>
      </c>
      <c r="V24" s="36">
        <f t="shared" si="1"/>
        <v>385.5</v>
      </c>
      <c r="W24" s="46"/>
      <c r="X24" s="47"/>
    </row>
    <row r="25" spans="1:24" s="48" customFormat="1" ht="45" customHeight="1">
      <c r="A25" s="54" t="s">
        <v>63</v>
      </c>
      <c r="B25" s="55" t="s">
        <v>64</v>
      </c>
      <c r="C25" s="34">
        <v>15</v>
      </c>
      <c r="D25" s="50">
        <v>180.11154727500002</v>
      </c>
      <c r="E25" s="36">
        <v>2701.6732091250005</v>
      </c>
      <c r="F25" s="43"/>
      <c r="G25" s="36">
        <f>'[1]HT-ADMINISTRATIVOS'!G29</f>
        <v>385.5</v>
      </c>
      <c r="H25" s="36">
        <f>'[1]HT-ADMINISTRATIVOS'!H29</f>
        <v>892</v>
      </c>
      <c r="I25" s="36">
        <f>'[1]HT-ADMINISTRATIVOS'!J29</f>
        <v>0</v>
      </c>
      <c r="J25" s="37">
        <f>'[1]HT-ADMINISTRATIVOS'!I29</f>
        <v>0</v>
      </c>
      <c r="K25" s="36">
        <f t="shared" si="4"/>
        <v>3593.6732091250005</v>
      </c>
      <c r="L25" s="36">
        <f>K25+G25</f>
        <v>3979.1732091250005</v>
      </c>
      <c r="M25" s="28">
        <f>IF('[1]Calculo ISR '!$AC$34&lt;0,0,'[1]Calculo ISR '!$AC$34)</f>
        <v>179.50855715280002</v>
      </c>
      <c r="N25" s="38">
        <f>E25*P4</f>
        <v>283.67568695812503</v>
      </c>
      <c r="O25" s="38">
        <f>'[1]HT-ADMINISTRATIVOS'!P29</f>
        <v>581</v>
      </c>
      <c r="P25" s="38">
        <f>'[1]HT-ADMINISTRATIVOS'!Q29</f>
        <v>0</v>
      </c>
      <c r="Q25" s="38">
        <f>'[1]HT-ADMINISTRATIVOS'!R29</f>
        <v>0</v>
      </c>
      <c r="R25" s="38">
        <f>E25*O4</f>
        <v>27.016732091250006</v>
      </c>
      <c r="S25" s="36">
        <f t="shared" si="3"/>
        <v>1071.2009762021753</v>
      </c>
      <c r="T25" s="28">
        <f>IF('[1]Calculo ISR '!$AC$34&gt;0,0,'[1]Calculo ISR '!$AC$34)*-1</f>
        <v>0</v>
      </c>
      <c r="U25" s="36">
        <f t="shared" si="5"/>
        <v>2522.4722329228252</v>
      </c>
      <c r="V25" s="36">
        <f t="shared" si="1"/>
        <v>385.5</v>
      </c>
      <c r="W25" s="46"/>
      <c r="X25" s="47"/>
    </row>
    <row r="26" spans="1:24" s="48" customFormat="1" ht="45" customHeight="1">
      <c r="A26" s="56" t="s">
        <v>65</v>
      </c>
      <c r="B26" s="55" t="s">
        <v>66</v>
      </c>
      <c r="C26" s="34">
        <v>15</v>
      </c>
      <c r="D26" s="50">
        <v>141.57938707</v>
      </c>
      <c r="E26" s="36">
        <v>2123.69080605</v>
      </c>
      <c r="F26" s="43"/>
      <c r="G26" s="36">
        <f>'[1]HT-ADMINISTRATIVOS'!G31</f>
        <v>385.5</v>
      </c>
      <c r="H26" s="36">
        <f>'[1]HT-ADMINISTRATIVOS'!H31</f>
        <v>446</v>
      </c>
      <c r="I26" s="36">
        <f>'[1]HT-ADMINISTRATIVOS'!J31</f>
        <v>0</v>
      </c>
      <c r="J26" s="37">
        <f>'[1]HT-ADMINISTRATIVOS'!I31</f>
        <v>0</v>
      </c>
      <c r="K26" s="36">
        <f t="shared" si="4"/>
        <v>2569.69080605</v>
      </c>
      <c r="L26" s="36">
        <f>K26+G26+T26</f>
        <v>2955.19080605</v>
      </c>
      <c r="M26" s="28">
        <f>IF('[1]Calculo ISR '!$AD$34&lt;0,0,'[1]Calculo ISR '!$AD$34)</f>
        <v>15.149271698239971</v>
      </c>
      <c r="N26" s="38">
        <f>E26*P4</f>
        <v>222.98753463525</v>
      </c>
      <c r="O26" s="38">
        <f>'[1]HT-ADMINISTRATIVOS'!P31</f>
        <v>0</v>
      </c>
      <c r="P26" s="38">
        <f>'[1]HT-ADMINISTRATIVOS'!Q31</f>
        <v>0</v>
      </c>
      <c r="Q26" s="38">
        <f>'[1]HT-ADMINISTRATIVOS'!R31</f>
        <v>0</v>
      </c>
      <c r="R26" s="38">
        <f>E26*O4</f>
        <v>21.236908060499999</v>
      </c>
      <c r="S26" s="36">
        <f t="shared" si="3"/>
        <v>259.37371439398999</v>
      </c>
      <c r="T26" s="28">
        <f>IF('[1]Calculo ISR '!$AD$34&gt;0,0,'[1]Calculo ISR '!$AD$34)*-1</f>
        <v>0</v>
      </c>
      <c r="U26" s="36">
        <f t="shared" si="5"/>
        <v>2310.3170916560102</v>
      </c>
      <c r="V26" s="36">
        <f t="shared" si="1"/>
        <v>385.5</v>
      </c>
      <c r="W26" s="46"/>
      <c r="X26" s="47"/>
    </row>
    <row r="27" spans="1:24" s="48" customFormat="1" ht="45" customHeight="1">
      <c r="A27" s="56" t="s">
        <v>67</v>
      </c>
      <c r="B27" s="57" t="s">
        <v>68</v>
      </c>
      <c r="C27" s="34">
        <v>15</v>
      </c>
      <c r="D27" s="50">
        <v>534.93837680832996</v>
      </c>
      <c r="E27" s="36">
        <v>8024.0756521249496</v>
      </c>
      <c r="F27" s="43"/>
      <c r="G27" s="36">
        <f>'[1]HT-ADMINISTRATIVOS'!G32</f>
        <v>385.5</v>
      </c>
      <c r="H27" s="36">
        <f>'[1]HT-ADMINISTRATIVOS'!H32</f>
        <v>0</v>
      </c>
      <c r="I27" s="36">
        <f>'[1]HT-ADMINISTRATIVOS'!J32</f>
        <v>0</v>
      </c>
      <c r="J27" s="37">
        <f>E27*L4</f>
        <v>152.45743739037403</v>
      </c>
      <c r="K27" s="36">
        <f t="shared" si="4"/>
        <v>8176.5330895153238</v>
      </c>
      <c r="L27" s="36">
        <f>K27+G27</f>
        <v>8562.0330895153238</v>
      </c>
      <c r="M27" s="28">
        <f>IF('[1]Calculo ISR '!$AE$34&lt;0,0,'[1]Calculo ISR '!$AE$34)</f>
        <v>1199.3182919204733</v>
      </c>
      <c r="N27" s="38">
        <f>E27*P4</f>
        <v>842.52794347311965</v>
      </c>
      <c r="O27" s="38">
        <v>2150.31</v>
      </c>
      <c r="P27" s="38">
        <f>'[1]HT-ADMINISTRATIVOS'!Q32</f>
        <v>0</v>
      </c>
      <c r="Q27" s="38">
        <f>'[1]HT-ADMINISTRATIVOS'!R32</f>
        <v>0</v>
      </c>
      <c r="R27" s="38">
        <f>'[1]HT-ADMINISTRATIVOS'!S32</f>
        <v>0</v>
      </c>
      <c r="S27" s="36">
        <f t="shared" si="3"/>
        <v>4192.1562353935933</v>
      </c>
      <c r="T27" s="28">
        <f>IF('[1]Calculo ISR '!$AE$34&gt;0,0,'[1]Calculo ISR '!$AE$34)*-1</f>
        <v>0</v>
      </c>
      <c r="U27" s="36">
        <f t="shared" si="5"/>
        <v>3984.3768541217305</v>
      </c>
      <c r="V27" s="36">
        <f t="shared" si="1"/>
        <v>385.5</v>
      </c>
      <c r="W27" s="46"/>
      <c r="X27" s="47"/>
    </row>
    <row r="28" spans="1:24" s="48" customFormat="1" ht="45" customHeight="1">
      <c r="A28" s="58" t="s">
        <v>69</v>
      </c>
      <c r="B28" s="59" t="s">
        <v>70</v>
      </c>
      <c r="C28" s="34">
        <v>15</v>
      </c>
      <c r="D28" s="50">
        <v>230.34834514817072</v>
      </c>
      <c r="E28" s="36">
        <v>3455.2251772225609</v>
      </c>
      <c r="F28" s="43"/>
      <c r="G28" s="36">
        <v>385.5</v>
      </c>
      <c r="H28" s="36">
        <f>'[1]HT-ADMINISTRATIVOS'!H33</f>
        <v>0</v>
      </c>
      <c r="I28" s="36">
        <f>'[1]HT-ADMINISTRATIVOS'!J33</f>
        <v>0</v>
      </c>
      <c r="J28" s="37">
        <f>'[1]HT-ADMINISTRATIVOS'!I33</f>
        <v>0</v>
      </c>
      <c r="K28" s="36">
        <f t="shared" si="4"/>
        <v>3455.2251772225609</v>
      </c>
      <c r="L28" s="36">
        <f>K28+G28</f>
        <v>3840.7251772225609</v>
      </c>
      <c r="M28" s="28">
        <f>IF('[1]Calculo ISR '!$AF$34&lt;0,0,'[1]Calculo ISR '!$AF$34)</f>
        <v>146.74541128181463</v>
      </c>
      <c r="N28" s="38">
        <f>E28*P4</f>
        <v>362.79864360836888</v>
      </c>
      <c r="O28" s="38"/>
      <c r="P28" s="143"/>
      <c r="Q28" s="38"/>
      <c r="R28" s="38">
        <f>E28*O4</f>
        <v>34.55225177222561</v>
      </c>
      <c r="S28" s="36">
        <f>M28+N28+O28+R28+P28+Q28</f>
        <v>544.09630666240912</v>
      </c>
      <c r="T28" s="28">
        <f>IF('[1]Calculo ISR '!$AF$34&gt;0,0,'[1]Calculo ISR '!$AF$34)*-1</f>
        <v>0</v>
      </c>
      <c r="U28" s="36">
        <f>K28-S28+T28</f>
        <v>2911.1288705601519</v>
      </c>
      <c r="V28" s="36">
        <v>385.5</v>
      </c>
      <c r="W28" s="46"/>
      <c r="X28" s="47"/>
    </row>
    <row r="29" spans="1:24" s="48" customFormat="1" ht="45" customHeight="1">
      <c r="A29" s="60" t="s">
        <v>71</v>
      </c>
      <c r="B29" s="61" t="s">
        <v>72</v>
      </c>
      <c r="C29" s="66">
        <v>15</v>
      </c>
      <c r="D29" s="50">
        <v>141.57938707</v>
      </c>
      <c r="E29" s="36">
        <v>2123.69080605</v>
      </c>
      <c r="F29" s="43"/>
      <c r="G29" s="36">
        <f>'[1]HT-ADMINISTRATIVOS'!G35</f>
        <v>385.5</v>
      </c>
      <c r="H29" s="36">
        <f>'[1]HT-ADMINISTRATIVOS'!H35</f>
        <v>0</v>
      </c>
      <c r="I29" s="36">
        <f>'[1]HT-ADMINISTRATIVOS'!J35</f>
        <v>0</v>
      </c>
      <c r="J29" s="37">
        <f>'[1]HT-ADMINISTRATIVOS'!I35</f>
        <v>0</v>
      </c>
      <c r="K29" s="36">
        <f t="shared" si="4"/>
        <v>2123.69080605</v>
      </c>
      <c r="L29" s="36">
        <f>K29+G29+T29</f>
        <v>2570.9163343517598</v>
      </c>
      <c r="M29" s="28">
        <f>IF('[1]Calculo ISR '!$AG$34&lt;0,0,'[1]Calculo ISR '!$AG$34)</f>
        <v>0</v>
      </c>
      <c r="N29" s="38">
        <f>E29*P4</f>
        <v>222.98753463525</v>
      </c>
      <c r="O29" s="38">
        <v>300</v>
      </c>
      <c r="P29" s="38">
        <f>'[1]HT-ADMINISTRATIVOS'!Q35</f>
        <v>0</v>
      </c>
      <c r="Q29" s="38">
        <f>'[1]HT-ADMINISTRATIVOS'!R35</f>
        <v>0</v>
      </c>
      <c r="R29" s="38">
        <f>E29*O4</f>
        <v>21.236908060499999</v>
      </c>
      <c r="S29" s="36">
        <f t="shared" si="3"/>
        <v>544.22444269574999</v>
      </c>
      <c r="T29" s="28">
        <f>IF('[1]Calculo ISR '!$AG$34&gt;0,0,'[1]Calculo ISR '!$AG$34)*-1</f>
        <v>61.725528301760008</v>
      </c>
      <c r="U29" s="36">
        <f t="shared" si="5"/>
        <v>1641.1918916560101</v>
      </c>
      <c r="V29" s="36">
        <f>G29</f>
        <v>385.5</v>
      </c>
      <c r="W29" s="67"/>
      <c r="X29" s="47"/>
    </row>
    <row r="30" spans="1:24" s="48" customFormat="1" ht="45" customHeight="1">
      <c r="A30" s="53" t="s">
        <v>73</v>
      </c>
      <c r="B30" s="61" t="s">
        <v>74</v>
      </c>
      <c r="C30" s="66">
        <v>15</v>
      </c>
      <c r="D30" s="50">
        <v>534.93837680832996</v>
      </c>
      <c r="E30" s="36">
        <v>8024.0756521249496</v>
      </c>
      <c r="F30" s="43"/>
      <c r="G30" s="36">
        <f>'[1]HT-ADMINISTRATIVOS'!G36</f>
        <v>385.5</v>
      </c>
      <c r="H30" s="36">
        <f>'[1]HT-ADMINISTRATIVOS'!H36</f>
        <v>0</v>
      </c>
      <c r="I30" s="36">
        <f>'[1]HT-ADMINISTRATIVOS'!J36</f>
        <v>0</v>
      </c>
      <c r="J30" s="37">
        <f>'[1]HT-ADMINISTRATIVOS'!I36</f>
        <v>0</v>
      </c>
      <c r="K30" s="36">
        <f t="shared" si="4"/>
        <v>8024.0756521249496</v>
      </c>
      <c r="L30" s="36">
        <f>K30+G30</f>
        <v>8409.5756521249496</v>
      </c>
      <c r="M30" s="28">
        <f>IF('[1]Calculo ISR '!$AH$34&lt;0,0,'[1]Calculo ISR '!$AH$34)</f>
        <v>1166.7533832938893</v>
      </c>
      <c r="N30" s="38">
        <f>E30*P4</f>
        <v>842.52794347311965</v>
      </c>
      <c r="O30" s="38">
        <f>'[1]HT-ADMINISTRATIVOS'!P36</f>
        <v>0</v>
      </c>
      <c r="P30" s="38">
        <f>'[1]HT-ADMINISTRATIVOS'!Q36</f>
        <v>0</v>
      </c>
      <c r="Q30" s="38">
        <f>'[1]HT-ADMINISTRATIVOS'!R36</f>
        <v>0</v>
      </c>
      <c r="R30" s="38">
        <f>'[1]HT-ADMINISTRATIVOS'!S36</f>
        <v>0</v>
      </c>
      <c r="S30" s="36">
        <f t="shared" si="3"/>
        <v>2009.281326767009</v>
      </c>
      <c r="T30" s="28">
        <f>IF('[1]Calculo ISR '!$AH$34&gt;0,0,'[1]Calculo ISR '!$AH$34)*-1</f>
        <v>0</v>
      </c>
      <c r="U30" s="36">
        <f t="shared" si="5"/>
        <v>6014.7943253579406</v>
      </c>
      <c r="V30" s="36">
        <f>G30</f>
        <v>385.5</v>
      </c>
      <c r="W30" s="67"/>
      <c r="X30" s="47"/>
    </row>
    <row r="31" spans="1:24" s="48" customFormat="1" ht="45" customHeight="1">
      <c r="A31" s="68" t="s">
        <v>75</v>
      </c>
      <c r="B31" s="61" t="s">
        <v>76</v>
      </c>
      <c r="C31" s="66">
        <v>15</v>
      </c>
      <c r="D31" s="50">
        <v>141.57938707</v>
      </c>
      <c r="E31" s="36">
        <v>2123.69080605</v>
      </c>
      <c r="F31" s="43"/>
      <c r="G31" s="36">
        <f>'[1]HT-ADMINISTRATIVOS'!G37</f>
        <v>385.5</v>
      </c>
      <c r="H31" s="36">
        <f>'[1]HT-ADMINISTRATIVOS'!H37</f>
        <v>0</v>
      </c>
      <c r="I31" s="36">
        <f>'[1]HT-ADMINISTRATIVOS'!J37</f>
        <v>0</v>
      </c>
      <c r="J31" s="37">
        <f>'[1]HT-ADMINISTRATIVOS'!I37</f>
        <v>0</v>
      </c>
      <c r="K31" s="36">
        <f t="shared" si="4"/>
        <v>2123.69080605</v>
      </c>
      <c r="L31" s="36">
        <f>K31+G31+T31</f>
        <v>2570.9163343517598</v>
      </c>
      <c r="M31" s="28">
        <f>IF('[1]Calculo ISR '!$AI$34&lt;0,0,'[1]Calculo ISR '!$AI$34)</f>
        <v>0</v>
      </c>
      <c r="N31" s="38">
        <f>E31*P4</f>
        <v>222.98753463525</v>
      </c>
      <c r="O31" s="38">
        <f>'[1]HT-ADMINISTRATIVOS'!P37</f>
        <v>0</v>
      </c>
      <c r="P31" s="38">
        <f>'[1]HT-ADMINISTRATIVOS'!Q37</f>
        <v>0</v>
      </c>
      <c r="Q31" s="38">
        <f>'[1]HT-ADMINISTRATIVOS'!R37</f>
        <v>0</v>
      </c>
      <c r="R31" s="38">
        <f>E31*O4</f>
        <v>21.236908060499999</v>
      </c>
      <c r="S31" s="36">
        <f t="shared" si="3"/>
        <v>244.22444269574999</v>
      </c>
      <c r="T31" s="28">
        <f>IF('[1]Calculo ISR '!$AI$34&gt;0,0,'[1]Calculo ISR '!$AI$34)*-1</f>
        <v>61.725528301760008</v>
      </c>
      <c r="U31" s="36">
        <f t="shared" si="5"/>
        <v>1941.1918916560101</v>
      </c>
      <c r="V31" s="36">
        <f>G31</f>
        <v>385.5</v>
      </c>
      <c r="W31" s="67"/>
      <c r="X31" s="47"/>
    </row>
    <row r="32" spans="1:24" s="81" customFormat="1" ht="45" customHeight="1">
      <c r="A32" s="69" t="s">
        <v>77</v>
      </c>
      <c r="B32" s="70" t="s">
        <v>78</v>
      </c>
      <c r="C32" s="71">
        <v>15</v>
      </c>
      <c r="D32" s="72">
        <v>873.012693639492</v>
      </c>
      <c r="E32" s="73">
        <v>13095.19040459238</v>
      </c>
      <c r="F32" s="73">
        <f>'[1]HT-ADMINISTRATIVOS'!F38</f>
        <v>0</v>
      </c>
      <c r="G32" s="73">
        <v>385.5</v>
      </c>
      <c r="H32" s="73">
        <f>'[1]HT-ADMINISTRATIVOS'!H38</f>
        <v>0</v>
      </c>
      <c r="I32" s="73">
        <f>'[1]HT-ADMINISTRATIVOS'!I38</f>
        <v>0</v>
      </c>
      <c r="J32" s="73">
        <f>'[1]HT-ADMINISTRATIVOS'!J38</f>
        <v>0</v>
      </c>
      <c r="K32" s="73">
        <f t="shared" si="4"/>
        <v>13095.19040459238</v>
      </c>
      <c r="L32" s="73">
        <f>K32+G32</f>
        <v>13480.69040459238</v>
      </c>
      <c r="M32" s="28">
        <f>IF('[1]Calculo ISR '!$AJ$34&lt;0,0,'[1]Calculo ISR '!$AJ$34)</f>
        <v>2311.300991160128</v>
      </c>
      <c r="N32" s="73">
        <f>E32*P4</f>
        <v>1374.9949924821999</v>
      </c>
      <c r="O32" s="73">
        <v>1489.84</v>
      </c>
      <c r="P32" s="73">
        <f>'[1]HT-ADMINISTRATIVOS'!Q38</f>
        <v>0</v>
      </c>
      <c r="Q32" s="73">
        <f>'[1]HT-ADMINISTRATIVOS'!R38</f>
        <v>0</v>
      </c>
      <c r="R32" s="73">
        <f>'[1]HT-ADMINISTRATIVOS'!S38</f>
        <v>0</v>
      </c>
      <c r="S32" s="73">
        <f t="shared" ref="S32:S39" si="6">M32+N32+O32+P32+Q32+R32</f>
        <v>5176.135983642328</v>
      </c>
      <c r="T32" s="28">
        <f>IF('[1]Calculo ISR '!$AJ$34&gt;0,0,'[1]Calculo ISR '!$AJ$34)*-1</f>
        <v>0</v>
      </c>
      <c r="U32" s="73">
        <f t="shared" si="5"/>
        <v>7919.0544209500522</v>
      </c>
      <c r="V32" s="73">
        <v>385.5</v>
      </c>
      <c r="W32" s="74"/>
      <c r="X32" s="47"/>
    </row>
    <row r="33" spans="1:26" s="81" customFormat="1" ht="45" customHeight="1">
      <c r="A33" s="53" t="s">
        <v>79</v>
      </c>
      <c r="B33" s="61" t="s">
        <v>80</v>
      </c>
      <c r="C33" s="66">
        <v>15</v>
      </c>
      <c r="D33" s="76">
        <v>534.93837680832996</v>
      </c>
      <c r="E33" s="50">
        <v>8024.0756521249496</v>
      </c>
      <c r="F33" s="50"/>
      <c r="G33" s="77">
        <f>385.5</f>
        <v>385.5</v>
      </c>
      <c r="H33" s="50"/>
      <c r="I33" s="50"/>
      <c r="J33" s="50"/>
      <c r="K33" s="78">
        <f t="shared" si="4"/>
        <v>8024.0756521249496</v>
      </c>
      <c r="L33" s="78">
        <f>K33+G33</f>
        <v>8409.5756521249496</v>
      </c>
      <c r="M33" s="28">
        <f>IF('[1]Calculo ISR '!$AK$34&lt;0,0,'[1]Calculo ISR '!$AK$34)</f>
        <v>1166.7533832938893</v>
      </c>
      <c r="N33" s="79">
        <f>E33*P4</f>
        <v>842.52794347311965</v>
      </c>
      <c r="O33" s="78"/>
      <c r="P33" s="50"/>
      <c r="Q33" s="78"/>
      <c r="R33" s="50"/>
      <c r="S33" s="50">
        <f t="shared" si="6"/>
        <v>2009.281326767009</v>
      </c>
      <c r="T33" s="28">
        <f>IF('[1]Calculo ISR '!$AK$34&gt;0,0,'[1]Calculo ISR '!$AK$34)*-1</f>
        <v>0</v>
      </c>
      <c r="U33" s="79">
        <f>K33-S33</f>
        <v>6014.7943253579406</v>
      </c>
      <c r="V33" s="73">
        <v>385.5</v>
      </c>
      <c r="W33" s="80"/>
      <c r="X33" s="47"/>
    </row>
    <row r="34" spans="1:26" s="81" customFormat="1" ht="45" customHeight="1">
      <c r="A34" s="91" t="s">
        <v>83</v>
      </c>
      <c r="B34" s="139" t="s">
        <v>84</v>
      </c>
      <c r="C34" s="66">
        <v>15</v>
      </c>
      <c r="D34" s="76">
        <v>180.10895980000001</v>
      </c>
      <c r="E34" s="50">
        <v>2701.6343970000003</v>
      </c>
      <c r="F34" s="50"/>
      <c r="G34" s="77">
        <f>385.5</f>
        <v>385.5</v>
      </c>
      <c r="H34" s="50">
        <v>892</v>
      </c>
      <c r="I34" s="50"/>
      <c r="J34" s="50"/>
      <c r="K34" s="78">
        <f t="shared" ref="K34:K39" si="7">E34+F34+H34+I34+J34</f>
        <v>3593.6343970000003</v>
      </c>
      <c r="L34" s="78">
        <f>K34+G34</f>
        <v>3979.1343970000003</v>
      </c>
      <c r="M34" s="28">
        <f>IF('[1]Calculo ISR '!$AM$34&lt;0,0,'[1]Calculo ISR '!$AM$34)</f>
        <v>179.50433439359998</v>
      </c>
      <c r="N34" s="92">
        <f>E34*P4</f>
        <v>283.67161168500002</v>
      </c>
      <c r="O34" s="78"/>
      <c r="P34" s="50"/>
      <c r="Q34" s="78"/>
      <c r="R34" s="50">
        <f>E34*O4</f>
        <v>27.016343970000005</v>
      </c>
      <c r="S34" s="50">
        <f>M34+N34+O34+P34+Q34+R34</f>
        <v>490.19229004859994</v>
      </c>
      <c r="T34" s="28">
        <f>IF('[1]Calculo ISR '!$AM$34&gt;0,0,'[1]Calculo ISR '!$AM$34)*-1</f>
        <v>0</v>
      </c>
      <c r="U34" s="79">
        <f t="shared" ref="U34:U39" si="8">K34-S34+T34</f>
        <v>3103.4421069514001</v>
      </c>
      <c r="V34" s="73">
        <v>385.5</v>
      </c>
      <c r="W34" s="80"/>
      <c r="X34" s="47"/>
    </row>
    <row r="35" spans="1:26" s="81" customFormat="1" ht="45" customHeight="1">
      <c r="A35" s="91" t="s">
        <v>85</v>
      </c>
      <c r="B35" s="139" t="s">
        <v>86</v>
      </c>
      <c r="C35" s="66">
        <v>15</v>
      </c>
      <c r="D35" s="76">
        <v>219.23158179999999</v>
      </c>
      <c r="E35" s="50">
        <v>3288.4737269999996</v>
      </c>
      <c r="F35" s="50"/>
      <c r="G35" s="77">
        <f>385.5</f>
        <v>385.5</v>
      </c>
      <c r="H35" s="50">
        <v>446</v>
      </c>
      <c r="I35" s="50"/>
      <c r="J35" s="50"/>
      <c r="K35" s="78">
        <f t="shared" si="7"/>
        <v>3734.4737269999996</v>
      </c>
      <c r="L35" s="78">
        <f>K35+G35</f>
        <v>4119.9737269999996</v>
      </c>
      <c r="M35" s="28">
        <f>IF('[1]Calculo ISR '!$AN$34&lt;0,0,'[1]Calculo ISR '!$AN$34)</f>
        <v>306.60419631999991</v>
      </c>
      <c r="N35" s="92">
        <f>E35*P4</f>
        <v>345.28974133499992</v>
      </c>
      <c r="O35" s="78"/>
      <c r="P35" s="50"/>
      <c r="Q35" s="78"/>
      <c r="R35" s="50">
        <v>0</v>
      </c>
      <c r="S35" s="50">
        <f t="shared" si="6"/>
        <v>651.89393765499983</v>
      </c>
      <c r="T35" s="28">
        <f>IF('[1]Calculo ISR '!$AN$34&gt;0,0,'[1]Calculo ISR '!$AN$34)*-1</f>
        <v>0</v>
      </c>
      <c r="U35" s="79">
        <f t="shared" si="8"/>
        <v>3082.5797893449999</v>
      </c>
      <c r="V35" s="73">
        <v>385.5</v>
      </c>
      <c r="W35" s="80"/>
      <c r="X35" s="47"/>
    </row>
    <row r="36" spans="1:26" s="81" customFormat="1" ht="45" customHeight="1">
      <c r="A36" s="91" t="s">
        <v>87</v>
      </c>
      <c r="B36" s="91" t="s">
        <v>88</v>
      </c>
      <c r="C36" s="66">
        <v>15</v>
      </c>
      <c r="D36" s="76">
        <v>534.93837680832996</v>
      </c>
      <c r="E36" s="50">
        <f>E33</f>
        <v>8024.0756521249496</v>
      </c>
      <c r="F36" s="50"/>
      <c r="G36" s="77">
        <v>385.5</v>
      </c>
      <c r="H36" s="50"/>
      <c r="I36" s="50"/>
      <c r="J36" s="50"/>
      <c r="K36" s="78">
        <f t="shared" si="7"/>
        <v>8024.0756521249496</v>
      </c>
      <c r="L36" s="78">
        <f>K36+G36+T36</f>
        <v>8409.5756521249496</v>
      </c>
      <c r="M36" s="28">
        <f>IF('[1]Calculo ISR '!$AO$34&lt;0,0,'[1]Calculo ISR '!$AO$34)</f>
        <v>1166.7533832938893</v>
      </c>
      <c r="N36" s="92">
        <f>E36*P4</f>
        <v>842.52794347311965</v>
      </c>
      <c r="O36" s="78">
        <v>1338</v>
      </c>
      <c r="P36" s="50"/>
      <c r="Q36" s="78"/>
      <c r="R36" s="50"/>
      <c r="S36" s="50">
        <f t="shared" si="6"/>
        <v>3347.281326767009</v>
      </c>
      <c r="T36" s="28">
        <f>IF('[1]Calculo ISR '!$AO$34&gt;0,0,'[1]Calculo ISR '!$AO$34)*-1</f>
        <v>0</v>
      </c>
      <c r="U36" s="79">
        <f t="shared" si="8"/>
        <v>4676.7943253579406</v>
      </c>
      <c r="V36" s="73">
        <f t="shared" ref="V36:V44" si="9">G36</f>
        <v>385.5</v>
      </c>
      <c r="W36" s="80"/>
      <c r="X36" s="47"/>
    </row>
    <row r="37" spans="1:26" s="81" customFormat="1" ht="45" customHeight="1">
      <c r="A37" s="91" t="s">
        <v>89</v>
      </c>
      <c r="B37" s="91" t="s">
        <v>90</v>
      </c>
      <c r="C37" s="66">
        <v>15</v>
      </c>
      <c r="D37" s="76">
        <v>171.34</v>
      </c>
      <c r="E37" s="50">
        <f>C37*D37</f>
        <v>2570.1</v>
      </c>
      <c r="F37" s="50"/>
      <c r="G37" s="77">
        <v>385.5</v>
      </c>
      <c r="H37" s="50"/>
      <c r="I37" s="50"/>
      <c r="J37" s="50"/>
      <c r="K37" s="78">
        <f t="shared" si="7"/>
        <v>2570.1</v>
      </c>
      <c r="L37" s="78">
        <f>K37+G37</f>
        <v>2955.6</v>
      </c>
      <c r="M37" s="28">
        <f>IF('[1]Calculo ISR '!$AP$34&lt;0,0,'[1]Calculo ISR '!$AP$34)</f>
        <v>15.193791999999974</v>
      </c>
      <c r="N37" s="92">
        <f>E37*P4</f>
        <v>269.8605</v>
      </c>
      <c r="O37" s="78"/>
      <c r="P37" s="50"/>
      <c r="Q37" s="78"/>
      <c r="R37" s="50"/>
      <c r="S37" s="50">
        <f t="shared" si="6"/>
        <v>285.05429199999998</v>
      </c>
      <c r="T37" s="28">
        <f>IF('[1]Calculo ISR '!$AP$34&gt;0,0,'[1]Calculo ISR '!$AP$34)*-1</f>
        <v>0</v>
      </c>
      <c r="U37" s="79">
        <f t="shared" si="8"/>
        <v>2285.0457080000001</v>
      </c>
      <c r="V37" s="73">
        <f t="shared" si="9"/>
        <v>385.5</v>
      </c>
      <c r="W37" s="80"/>
      <c r="X37" s="47"/>
    </row>
    <row r="38" spans="1:26" s="81" customFormat="1" ht="45" customHeight="1">
      <c r="A38" s="91" t="s">
        <v>91</v>
      </c>
      <c r="B38" s="91" t="s">
        <v>92</v>
      </c>
      <c r="C38" s="66">
        <v>15</v>
      </c>
      <c r="D38" s="76">
        <v>131.36093080000001</v>
      </c>
      <c r="E38" s="50">
        <v>1970.4139620000001</v>
      </c>
      <c r="F38" s="50"/>
      <c r="G38" s="77">
        <v>385.5</v>
      </c>
      <c r="H38" s="50"/>
      <c r="I38" s="50"/>
      <c r="J38" s="50"/>
      <c r="K38" s="78">
        <f t="shared" si="7"/>
        <v>1970.4139620000001</v>
      </c>
      <c r="L38" s="78">
        <f>K38+G38+T38</f>
        <v>2429.5253084320002</v>
      </c>
      <c r="M38" s="28">
        <f>IF('[1]Calculo ISR '!$AQ$34&lt;0,0,'[1]Calculo ISR '!$AQ$34)</f>
        <v>0</v>
      </c>
      <c r="N38" s="92">
        <f>E38*P4</f>
        <v>206.89346601</v>
      </c>
      <c r="O38" s="78">
        <v>493</v>
      </c>
      <c r="P38" s="50"/>
      <c r="Q38" s="78"/>
      <c r="R38" s="50"/>
      <c r="S38" s="50">
        <f t="shared" si="6"/>
        <v>699.89346601</v>
      </c>
      <c r="T38" s="28">
        <f>IF('[1]Calculo ISR '!$AQ$34&gt;0,0,'[1]Calculo ISR '!$AQ$34)*-1</f>
        <v>73.611346431999976</v>
      </c>
      <c r="U38" s="79">
        <f t="shared" si="8"/>
        <v>1344.1318424220001</v>
      </c>
      <c r="V38" s="73">
        <f t="shared" si="9"/>
        <v>385.5</v>
      </c>
      <c r="W38" s="80"/>
      <c r="X38" s="47"/>
    </row>
    <row r="39" spans="1:26" s="81" customFormat="1" ht="45" customHeight="1">
      <c r="A39" s="91" t="s">
        <v>93</v>
      </c>
      <c r="B39" s="91" t="s">
        <v>94</v>
      </c>
      <c r="C39" s="66">
        <v>15</v>
      </c>
      <c r="D39" s="76">
        <v>131.36093080000001</v>
      </c>
      <c r="E39" s="50">
        <v>1970.4139620000001</v>
      </c>
      <c r="F39" s="50"/>
      <c r="G39" s="77">
        <v>385.5</v>
      </c>
      <c r="H39" s="50"/>
      <c r="I39" s="50"/>
      <c r="J39" s="50"/>
      <c r="K39" s="78">
        <f t="shared" si="7"/>
        <v>1970.4139620000001</v>
      </c>
      <c r="L39" s="78">
        <f>K39+G39+T39</f>
        <v>2429.5253084320002</v>
      </c>
      <c r="M39" s="28">
        <f>IF('[1]Calculo ISR '!$AR$34&lt;0,0,'[1]Calculo ISR '!$AR$34)</f>
        <v>0</v>
      </c>
      <c r="N39" s="92">
        <f>E39*P4</f>
        <v>206.89346601</v>
      </c>
      <c r="O39" s="78"/>
      <c r="P39" s="50"/>
      <c r="Q39" s="78"/>
      <c r="R39" s="50"/>
      <c r="S39" s="50">
        <f t="shared" si="6"/>
        <v>206.89346601</v>
      </c>
      <c r="T39" s="28">
        <f>IF('[1]Calculo ISR '!$AR$34&gt;0,0,'[1]Calculo ISR '!$AR$34)*-1</f>
        <v>73.611346431999976</v>
      </c>
      <c r="U39" s="79">
        <f t="shared" si="8"/>
        <v>1837.1318424220001</v>
      </c>
      <c r="V39" s="73">
        <f t="shared" si="9"/>
        <v>385.5</v>
      </c>
      <c r="W39" s="80"/>
      <c r="X39" s="47"/>
    </row>
    <row r="40" spans="1:26" s="81" customFormat="1" ht="45" customHeight="1">
      <c r="A40" s="91" t="s">
        <v>95</v>
      </c>
      <c r="B40" s="91" t="s">
        <v>96</v>
      </c>
      <c r="C40" s="66">
        <v>15</v>
      </c>
      <c r="D40" s="76">
        <v>754.54</v>
      </c>
      <c r="E40" s="50">
        <f>C40*D40</f>
        <v>11318.099999999999</v>
      </c>
      <c r="F40" s="50"/>
      <c r="G40" s="77">
        <v>385.5</v>
      </c>
      <c r="H40" s="50"/>
      <c r="I40" s="50"/>
      <c r="J40" s="50"/>
      <c r="K40" s="78">
        <f>E40+H40+I40+J40</f>
        <v>11318.099999999999</v>
      </c>
      <c r="L40" s="78">
        <f>K40+G40</f>
        <v>11703.599999999999</v>
      </c>
      <c r="M40" s="28">
        <f>IF('[1]Calculo ISR '!$AS$34&lt;0,0,'[1]Calculo ISR '!$AS$34)</f>
        <v>1893.3293279999998</v>
      </c>
      <c r="N40" s="92">
        <f>E40*P4</f>
        <v>1188.4004999999997</v>
      </c>
      <c r="O40" s="78"/>
      <c r="P40" s="50"/>
      <c r="Q40" s="78"/>
      <c r="R40" s="50"/>
      <c r="S40" s="50">
        <f>M40+N40+O40+P40+Q40+R40</f>
        <v>3081.7298279999995</v>
      </c>
      <c r="T40" s="28">
        <f>IF('[1]Calculo ISR '!$AS$34&gt;0,0,'[1]Calculo ISR '!$AS$34)*-1</f>
        <v>0</v>
      </c>
      <c r="U40" s="79">
        <f>K40-S40</f>
        <v>8236.370171999999</v>
      </c>
      <c r="V40" s="73">
        <f t="shared" si="9"/>
        <v>385.5</v>
      </c>
      <c r="W40" s="80"/>
      <c r="X40" s="47"/>
    </row>
    <row r="41" spans="1:26" s="81" customFormat="1" ht="45" customHeight="1">
      <c r="A41" s="91" t="s">
        <v>97</v>
      </c>
      <c r="B41" s="91" t="s">
        <v>98</v>
      </c>
      <c r="C41" s="66">
        <v>15</v>
      </c>
      <c r="D41" s="76">
        <v>754.54</v>
      </c>
      <c r="E41" s="50">
        <f>D41*C41</f>
        <v>11318.099999999999</v>
      </c>
      <c r="F41" s="50"/>
      <c r="G41" s="77">
        <v>385.5</v>
      </c>
      <c r="H41" s="50"/>
      <c r="I41" s="50"/>
      <c r="J41" s="50"/>
      <c r="K41" s="78">
        <f>E41+H41+I41+J41</f>
        <v>11318.099999999999</v>
      </c>
      <c r="L41" s="78">
        <f>K41+G41</f>
        <v>11703.599999999999</v>
      </c>
      <c r="M41" s="28">
        <f>IF('[1]Calculo ISR '!$AT$34&lt;0,0,'[1]Calculo ISR '!$AT$34)</f>
        <v>1893.3293279999998</v>
      </c>
      <c r="N41" s="92">
        <f>E41*P4</f>
        <v>1188.4004999999997</v>
      </c>
      <c r="O41" s="78">
        <v>3773</v>
      </c>
      <c r="P41" s="50"/>
      <c r="Q41" s="78"/>
      <c r="R41" s="50"/>
      <c r="S41" s="50">
        <f>M41+N41+O41+P41+Q41+R41</f>
        <v>6854.7298279999995</v>
      </c>
      <c r="T41" s="28">
        <f>IF('[1]Calculo ISR '!$AT$34&gt;0,0,'[1]Calculo ISR '!$AT$34)*-1</f>
        <v>0</v>
      </c>
      <c r="U41" s="79">
        <f>K41-S41</f>
        <v>4463.370171999999</v>
      </c>
      <c r="V41" s="73">
        <f t="shared" si="9"/>
        <v>385.5</v>
      </c>
      <c r="W41" s="80"/>
      <c r="X41" s="47"/>
    </row>
    <row r="42" spans="1:26" s="81" customFormat="1" ht="45" customHeight="1">
      <c r="A42" s="91" t="s">
        <v>99</v>
      </c>
      <c r="B42" s="91" t="s">
        <v>100</v>
      </c>
      <c r="C42" s="66">
        <v>15</v>
      </c>
      <c r="D42" s="76">
        <v>171.34</v>
      </c>
      <c r="E42" s="50">
        <f>C42*D42</f>
        <v>2570.1</v>
      </c>
      <c r="F42" s="50"/>
      <c r="G42" s="77">
        <v>385.5</v>
      </c>
      <c r="H42" s="50"/>
      <c r="I42" s="50"/>
      <c r="J42" s="50"/>
      <c r="K42" s="78">
        <f>E42+F42+H42+I42+J42</f>
        <v>2570.1</v>
      </c>
      <c r="L42" s="78">
        <f>K42+G42</f>
        <v>2955.6</v>
      </c>
      <c r="M42" s="28">
        <f>IF('[1]Calculo ISR '!$AU$34&lt;0,0,'[1]Calculo ISR '!$AU$34)</f>
        <v>15.193791999999974</v>
      </c>
      <c r="N42" s="92">
        <f>E42*P4</f>
        <v>269.8605</v>
      </c>
      <c r="O42" s="78"/>
      <c r="P42" s="50"/>
      <c r="Q42" s="78"/>
      <c r="R42" s="50"/>
      <c r="S42" s="50">
        <f>M42+N42+O42+P42+Q42+R42</f>
        <v>285.05429199999998</v>
      </c>
      <c r="T42" s="28">
        <f>IF('[1]Calculo ISR '!$AU$34&gt;0,0,'[1]Calculo ISR '!$AU$34)*-1</f>
        <v>0</v>
      </c>
      <c r="U42" s="79">
        <f>K42-S42</f>
        <v>2285.0457080000001</v>
      </c>
      <c r="V42" s="73">
        <f t="shared" si="9"/>
        <v>385.5</v>
      </c>
      <c r="W42" s="80"/>
      <c r="X42" s="47"/>
    </row>
    <row r="43" spans="1:26" s="81" customFormat="1" ht="45" customHeight="1">
      <c r="A43" s="91" t="s">
        <v>101</v>
      </c>
      <c r="B43" s="91" t="s">
        <v>121</v>
      </c>
      <c r="C43" s="66">
        <v>15</v>
      </c>
      <c r="D43" s="76">
        <v>754.54</v>
      </c>
      <c r="E43" s="50">
        <f>C43*D43</f>
        <v>11318.099999999999</v>
      </c>
      <c r="F43" s="50"/>
      <c r="G43" s="77">
        <v>385.5</v>
      </c>
      <c r="H43" s="50"/>
      <c r="I43" s="50"/>
      <c r="J43" s="50"/>
      <c r="K43" s="78">
        <f>E43+F43+H43+I43+J43</f>
        <v>11318.099999999999</v>
      </c>
      <c r="L43" s="78">
        <f>K43+G43</f>
        <v>11703.599999999999</v>
      </c>
      <c r="M43" s="28">
        <f>IF('[1]Calculo ISR '!$AV$34&lt;0,0,'[1]Calculo ISR '!$AV$34)</f>
        <v>1893.3293279999998</v>
      </c>
      <c r="N43" s="92">
        <f>E43*P4</f>
        <v>1188.4004999999997</v>
      </c>
      <c r="O43" s="78"/>
      <c r="P43" s="50"/>
      <c r="Q43" s="78"/>
      <c r="R43" s="50"/>
      <c r="S43" s="50">
        <f>M43+N43+O43+P43+Q43+R43</f>
        <v>3081.7298279999995</v>
      </c>
      <c r="T43" s="28">
        <f>IF('[1]Calculo ISR '!$AV$34&gt;0,0,'[1]Calculo ISR '!$AV$34)*-1</f>
        <v>0</v>
      </c>
      <c r="U43" s="79">
        <f>K43-S43</f>
        <v>8236.370171999999</v>
      </c>
      <c r="V43" s="73">
        <f t="shared" si="9"/>
        <v>385.5</v>
      </c>
      <c r="W43" s="80"/>
      <c r="X43" s="47"/>
    </row>
    <row r="44" spans="1:26" s="81" customFormat="1" ht="45" customHeight="1">
      <c r="A44" s="91" t="s">
        <v>103</v>
      </c>
      <c r="B44" s="91" t="s">
        <v>122</v>
      </c>
      <c r="C44" s="66">
        <v>15</v>
      </c>
      <c r="D44" s="76">
        <v>171.34</v>
      </c>
      <c r="E44" s="50">
        <f>C44*D44</f>
        <v>2570.1</v>
      </c>
      <c r="F44" s="50"/>
      <c r="G44" s="77">
        <v>385.5</v>
      </c>
      <c r="H44" s="50"/>
      <c r="I44" s="50"/>
      <c r="J44" s="50"/>
      <c r="K44" s="78">
        <f>E44+F44+H44+I44+J44</f>
        <v>2570.1</v>
      </c>
      <c r="L44" s="78">
        <f>K44+G44</f>
        <v>2955.6</v>
      </c>
      <c r="M44" s="28">
        <v>15.19</v>
      </c>
      <c r="N44" s="92">
        <f>E44*P4</f>
        <v>269.8605</v>
      </c>
      <c r="O44" s="78"/>
      <c r="P44" s="50"/>
      <c r="Q44" s="78"/>
      <c r="R44" s="50"/>
      <c r="S44" s="50">
        <f>M44+N44+O44+P44+Q44+R44</f>
        <v>285.0505</v>
      </c>
      <c r="T44" s="28"/>
      <c r="U44" s="79">
        <f>K44-S44</f>
        <v>2285.0495000000001</v>
      </c>
      <c r="V44" s="73">
        <f t="shared" si="9"/>
        <v>385.5</v>
      </c>
      <c r="W44" s="80"/>
      <c r="X44" s="47"/>
    </row>
    <row r="45" spans="1:26" s="99" customFormat="1" ht="21.95" customHeight="1">
      <c r="A45" s="93"/>
      <c r="B45" s="94">
        <v>38</v>
      </c>
      <c r="C45" s="95">
        <f>SUM(C7:C44)</f>
        <v>564</v>
      </c>
      <c r="D45" s="95">
        <f t="shared" ref="D45:V45" si="10">SUM(D7:D44)</f>
        <v>13457.163625151214</v>
      </c>
      <c r="E45" s="95">
        <f>SUM(E7:E44)</f>
        <v>195082.79437726823</v>
      </c>
      <c r="F45" s="95">
        <f t="shared" si="10"/>
        <v>6616.24</v>
      </c>
      <c r="G45" s="95">
        <f t="shared" si="10"/>
        <v>15223.5</v>
      </c>
      <c r="H45" s="95">
        <f t="shared" si="10"/>
        <v>4460</v>
      </c>
      <c r="I45" s="95">
        <f t="shared" si="10"/>
        <v>688</v>
      </c>
      <c r="J45" s="95">
        <f t="shared" si="10"/>
        <v>1848.4761786091169</v>
      </c>
      <c r="K45" s="95">
        <f t="shared" si="10"/>
        <v>208695.51055587735</v>
      </c>
      <c r="L45" s="95">
        <f t="shared" si="10"/>
        <v>224226.76907417999</v>
      </c>
      <c r="M45" s="96">
        <f t="shared" si="10"/>
        <v>26857.553509412457</v>
      </c>
      <c r="N45" s="95">
        <f>SUM(N7:N44)</f>
        <v>20483.693409613163</v>
      </c>
      <c r="O45" s="95">
        <f t="shared" si="10"/>
        <v>26257.040000000001</v>
      </c>
      <c r="P45" s="95">
        <f t="shared" si="10"/>
        <v>0</v>
      </c>
      <c r="Q45" s="95">
        <f t="shared" si="10"/>
        <v>0</v>
      </c>
      <c r="R45" s="95">
        <f t="shared" si="10"/>
        <v>583.98062260958716</v>
      </c>
      <c r="S45" s="95">
        <f t="shared" si="10"/>
        <v>74182.267541635185</v>
      </c>
      <c r="T45" s="95">
        <f t="shared" si="10"/>
        <v>307.75851830263997</v>
      </c>
      <c r="U45" s="95">
        <f t="shared" si="10"/>
        <v>134821.00153254476</v>
      </c>
      <c r="V45" s="95">
        <f t="shared" si="10"/>
        <v>15223.5</v>
      </c>
      <c r="W45" s="97"/>
      <c r="X45" s="98"/>
    </row>
    <row r="46" spans="1:26" s="6" customFormat="1" ht="3.75" customHeight="1">
      <c r="A46" s="122"/>
      <c r="B46" s="123"/>
      <c r="C46" s="124"/>
      <c r="D46" s="101"/>
      <c r="E46" s="101">
        <f>E45+'[1]HT-DOCENTE FIRMA'!E33</f>
        <v>291315.29437726823</v>
      </c>
      <c r="F46" s="101"/>
      <c r="G46" s="125">
        <f>G45+'[8]HT-DOCENTE FIRMA'!J40</f>
        <v>22482.42</v>
      </c>
      <c r="H46" s="125">
        <f>H45+'[8]HT-DOCENTE FIRMA'!L40</f>
        <v>6110.2000000000007</v>
      </c>
      <c r="I46" s="101"/>
      <c r="J46" s="101">
        <f>J45+'[8]HT-DOCENTE FIRMA'!M40</f>
        <v>2439.0211786091168</v>
      </c>
      <c r="K46" s="101"/>
      <c r="L46" s="101"/>
      <c r="M46" s="5">
        <f>M45+'[8]HT-DOCENTE FIRMA'!P40</f>
        <v>38199.904205412458</v>
      </c>
      <c r="N46" s="101"/>
      <c r="O46" s="101"/>
      <c r="P46" s="101"/>
      <c r="Q46" s="101"/>
      <c r="R46" s="101"/>
      <c r="S46" s="101"/>
      <c r="T46" s="101"/>
      <c r="U46" s="101">
        <f>U45+'[8]HT-DOCENTE FIRMA'!X40</f>
        <v>222674.24289254477</v>
      </c>
      <c r="V46" s="101"/>
      <c r="W46" s="126"/>
      <c r="X46" s="5"/>
    </row>
    <row r="47" spans="1:26" s="6" customFormat="1" ht="3.75" customHeight="1">
      <c r="A47" s="122"/>
      <c r="B47" s="123"/>
      <c r="C47" s="124"/>
      <c r="D47" s="101"/>
      <c r="E47" s="101">
        <f>E45+'[8]HT-DOCENTE FIRMA'!I40</f>
        <v>311708.54437726823</v>
      </c>
      <c r="F47" s="101"/>
      <c r="G47" s="125"/>
      <c r="H47" s="125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26"/>
      <c r="X47" s="5"/>
      <c r="Z47" s="5"/>
    </row>
    <row r="48" spans="1:26" s="6" customFormat="1" ht="3.75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26"/>
      <c r="X48" s="5"/>
    </row>
    <row r="49" spans="1:24" s="6" customFormat="1" ht="3.75" customHeight="1">
      <c r="A49" s="129"/>
      <c r="B49" s="130"/>
      <c r="C49" s="131"/>
      <c r="D49" s="132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5"/>
    </row>
    <row r="50" spans="1:24" ht="15" customHeight="1">
      <c r="A50" s="110" t="s">
        <v>105</v>
      </c>
      <c r="B50" s="110"/>
      <c r="C50" s="110"/>
      <c r="D50" s="111"/>
      <c r="E50" s="109"/>
      <c r="F50" s="113" t="s">
        <v>106</v>
      </c>
      <c r="G50" s="112"/>
      <c r="H50" s="112"/>
      <c r="I50" s="112"/>
      <c r="K50" s="113"/>
      <c r="L50" s="114"/>
      <c r="O50" s="115"/>
      <c r="P50" s="115"/>
      <c r="Q50" s="115"/>
      <c r="R50" s="115"/>
      <c r="S50" s="111" t="s">
        <v>107</v>
      </c>
      <c r="T50" s="111"/>
      <c r="U50" s="111"/>
      <c r="V50" s="111"/>
      <c r="W50" s="111"/>
      <c r="X50" s="100"/>
    </row>
    <row r="51" spans="1:24" ht="0.75" customHeight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03"/>
      <c r="L51" s="103"/>
      <c r="O51" s="103"/>
      <c r="P51" s="115"/>
      <c r="Q51" s="103"/>
      <c r="R51" s="103"/>
      <c r="S51" s="111"/>
      <c r="T51" s="111"/>
      <c r="U51" s="111"/>
      <c r="V51" s="111"/>
      <c r="W51" s="111"/>
      <c r="X51" s="100"/>
    </row>
    <row r="52" spans="1:24" ht="0.75" customHeight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09"/>
      <c r="L52" s="109"/>
      <c r="O52" s="109"/>
      <c r="P52" s="109"/>
      <c r="Q52" s="109"/>
      <c r="R52" s="109"/>
      <c r="S52" s="111"/>
      <c r="T52" s="111"/>
      <c r="U52" s="111"/>
      <c r="V52" s="111"/>
      <c r="W52" s="111"/>
      <c r="X52" s="100"/>
    </row>
    <row r="53" spans="1:24">
      <c r="A53" s="111"/>
      <c r="B53" s="113" t="s">
        <v>108</v>
      </c>
      <c r="C53" s="111"/>
      <c r="D53" s="111"/>
      <c r="E53" s="116"/>
      <c r="F53" s="118" t="s">
        <v>109</v>
      </c>
      <c r="G53" s="117"/>
      <c r="H53" s="117"/>
      <c r="I53" s="117"/>
      <c r="K53" s="118"/>
      <c r="L53" s="118"/>
      <c r="O53" s="109"/>
      <c r="P53" s="109"/>
      <c r="Q53" s="116"/>
      <c r="R53" s="109"/>
      <c r="S53" s="117" t="s">
        <v>110</v>
      </c>
      <c r="T53" s="117"/>
      <c r="U53" s="117"/>
      <c r="V53" s="117"/>
      <c r="W53" s="111"/>
      <c r="X53" s="100"/>
    </row>
    <row r="54" spans="1:24" ht="15" customHeight="1">
      <c r="A54" s="110" t="s">
        <v>111</v>
      </c>
      <c r="B54" s="110"/>
      <c r="C54" s="110"/>
      <c r="D54" s="111"/>
      <c r="E54" s="109"/>
      <c r="F54" s="118" t="s">
        <v>112</v>
      </c>
      <c r="G54" s="117"/>
      <c r="H54" s="117"/>
      <c r="I54" s="117"/>
      <c r="K54" s="118"/>
      <c r="L54" s="118"/>
      <c r="O54" s="109"/>
      <c r="P54" s="109"/>
      <c r="Q54" s="109"/>
      <c r="R54" s="109"/>
      <c r="S54" s="119" t="s">
        <v>113</v>
      </c>
      <c r="T54" s="119"/>
      <c r="U54" s="119"/>
      <c r="V54" s="118"/>
      <c r="W54" s="111"/>
      <c r="X54" s="100"/>
    </row>
    <row r="55" spans="1:24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16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307" spans="99:99">
      <c r="CU307" s="1" t="s">
        <v>114</v>
      </c>
    </row>
  </sheetData>
  <mergeCells count="3">
    <mergeCell ref="A50:C50"/>
    <mergeCell ref="A54:C54"/>
    <mergeCell ref="S54:U54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CU307"/>
  <sheetViews>
    <sheetView zoomScale="80" zoomScaleNormal="80" workbookViewId="0">
      <pane xSplit="2" ySplit="6" topLeftCell="C39" activePane="bottomRight" state="frozen"/>
      <selection activeCell="S28" sqref="S28"/>
      <selection pane="topRight" activeCell="S28" sqref="S28"/>
      <selection pane="bottomLeft" activeCell="S28" sqref="S28"/>
      <selection pane="bottomRight" activeCell="B46" sqref="B46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7" width="11.85546875" style="1" customWidth="1"/>
    <col min="8" max="8" width="11.4257812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7.1406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3" spans="1:26">
      <c r="B3" s="2"/>
      <c r="I3" s="3"/>
      <c r="J3" s="3"/>
      <c r="K3" s="4"/>
      <c r="L3" s="5" t="s">
        <v>0</v>
      </c>
      <c r="O3" s="6"/>
      <c r="P3" s="6"/>
      <c r="Q3" s="6" t="s">
        <v>1</v>
      </c>
    </row>
    <row r="4" spans="1:26">
      <c r="B4" s="2"/>
      <c r="C4" s="3"/>
      <c r="D4" s="3"/>
      <c r="E4" s="3"/>
      <c r="F4" s="3"/>
      <c r="I4" s="3"/>
      <c r="J4" s="3"/>
      <c r="K4" s="3"/>
      <c r="L4" s="7">
        <v>1.9E-2</v>
      </c>
      <c r="O4" s="8">
        <v>0.01</v>
      </c>
      <c r="P4" s="121">
        <v>0.105</v>
      </c>
      <c r="Q4" s="9">
        <v>3.7999999999999999E-2</v>
      </c>
    </row>
    <row r="5" spans="1:26" ht="13.5" thickBot="1">
      <c r="B5" s="10" t="s">
        <v>2</v>
      </c>
      <c r="C5" s="3"/>
      <c r="D5" s="3"/>
      <c r="E5" s="3"/>
      <c r="F5" s="10" t="s">
        <v>125</v>
      </c>
      <c r="I5" s="3"/>
      <c r="J5" s="3"/>
      <c r="K5" s="3"/>
    </row>
    <row r="6" spans="1:26" s="25" customFormat="1" ht="105.7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hidden="1" customHeight="1">
      <c r="A7" s="26"/>
      <c r="B7" s="27"/>
      <c r="C7" s="142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754.53875970000001</v>
      </c>
      <c r="E8" s="36">
        <v>11318.081395499999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E8*Q4</f>
        <v>430.08709302899996</v>
      </c>
      <c r="K8" s="36">
        <f>E8+F8+H8+I8+J8</f>
        <v>12194.168488529</v>
      </c>
      <c r="L8" s="36">
        <f t="shared" ref="L8:L12" si="0">K8+G8</f>
        <v>12579.668488529</v>
      </c>
      <c r="M8" s="28">
        <f>IF('[1]Calculo ISR '!$L$34&lt;0,0,'[1]Calculo ISR '!$L$34)</f>
        <v>2099.3806365020209</v>
      </c>
      <c r="N8" s="38">
        <f>E8*P4</f>
        <v>1188.3985465275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3287.7791830295209</v>
      </c>
      <c r="T8" s="28">
        <f>IF('[1]Calculo ISR '!$L$34&gt;0,0,'[1]Calculo ISR '!$L$34)*-1</f>
        <v>0</v>
      </c>
      <c r="U8" s="36">
        <f>K8-S8</f>
        <v>8906.3893054994787</v>
      </c>
      <c r="V8" s="36">
        <f t="shared" ref="V8:V27" si="1">G8</f>
        <v>385.5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230.34834514817072</v>
      </c>
      <c r="E9" s="36">
        <v>3455.2251772225609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E9*Q4</f>
        <v>131.29855673445732</v>
      </c>
      <c r="K9" s="36">
        <f>E9+F9+H9+I9+J9</f>
        <v>3586.5237339570181</v>
      </c>
      <c r="L9" s="36">
        <f t="shared" si="0"/>
        <v>3972.0237339570181</v>
      </c>
      <c r="M9" s="28">
        <f>IF('[1]Calculo ISR '!$M$34&lt;0,0,'[1]Calculo ISR '!$M$34)</f>
        <v>178.73069425452351</v>
      </c>
      <c r="N9" s="38">
        <f>E9*P4</f>
        <v>362.79864360836888</v>
      </c>
      <c r="O9" s="38">
        <v>959.26</v>
      </c>
      <c r="P9" s="38">
        <f>'[1]HT-ADMINISTRATIVOS'!Q11</f>
        <v>0</v>
      </c>
      <c r="Q9" s="38">
        <f>'[1]HT-ADMINISTRATIVOS'!R11</f>
        <v>0</v>
      </c>
      <c r="R9" s="38">
        <f>E9*O4</f>
        <v>34.55225177222561</v>
      </c>
      <c r="S9" s="36">
        <f>M9+N9+O9+P9+Q9+R9</f>
        <v>1535.341589635118</v>
      </c>
      <c r="T9" s="28">
        <f>IF('[1]Calculo ISR '!$M$34&gt;0,0,'[1]Calculo ISR '!$M$34)*-1</f>
        <v>0</v>
      </c>
      <c r="U9" s="36">
        <f t="shared" ref="U9:U15" si="2">K9-S9+T9</f>
        <v>2051.1821443219001</v>
      </c>
      <c r="V9" s="36">
        <f t="shared" si="1"/>
        <v>385.5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v>242.09274535320057</v>
      </c>
      <c r="E10" s="36">
        <v>3631.3911802980087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E10*Q4</f>
        <v>137.99286485132433</v>
      </c>
      <c r="K10" s="36">
        <f>E10+F10+I10+J10</f>
        <v>3769.3840451493329</v>
      </c>
      <c r="L10" s="36">
        <f t="shared" si="0"/>
        <v>4154.8840451493325</v>
      </c>
      <c r="M10" s="28">
        <f>IF('[1]Calculo ISR '!$N$34&lt;0,0,'[1]Calculo ISR '!$N$34)</f>
        <v>312.18984722389325</v>
      </c>
      <c r="N10" s="38">
        <f>E10*P4</f>
        <v>381.29607393129089</v>
      </c>
      <c r="O10" s="38">
        <v>1077.99</v>
      </c>
      <c r="P10" s="38">
        <f>'[1]HT-ADMINISTRATIVOS'!Q12</f>
        <v>0</v>
      </c>
      <c r="Q10" s="38">
        <f>'[1]HT-ADMINISTRATIVOS'!R12</f>
        <v>0</v>
      </c>
      <c r="R10" s="38">
        <f>E10*O4</f>
        <v>36.313911802980087</v>
      </c>
      <c r="S10" s="36">
        <f t="shared" ref="S10:S31" si="3">M10+N10+O10+R10+P10+Q10</f>
        <v>1807.7898329581642</v>
      </c>
      <c r="T10" s="28">
        <f>IF('[1]Calculo ISR '!$N$34&gt;0,0,'[1]Calculo ISR '!$N$34)*-1</f>
        <v>0</v>
      </c>
      <c r="U10" s="36">
        <f t="shared" si="2"/>
        <v>1961.5942121911687</v>
      </c>
      <c r="V10" s="36">
        <f t="shared" si="1"/>
        <v>385.5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219.22891544903311</v>
      </c>
      <c r="E11" s="36">
        <v>3288.4337317354966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E11*Q4</f>
        <v>124.96048180594887</v>
      </c>
      <c r="K11" s="36">
        <f t="shared" ref="K11:K33" si="4">E11+F11+H11+I11+J11</f>
        <v>3413.3942135414454</v>
      </c>
      <c r="L11" s="36">
        <f t="shared" si="0"/>
        <v>3798.8942135414454</v>
      </c>
      <c r="M11" s="28">
        <f>IF('[1]Calculo ISR '!$O$34&lt;0,0,'[1]Calculo ISR '!$O$34)</f>
        <v>142.19420243330924</v>
      </c>
      <c r="N11" s="38">
        <f>E11*P4</f>
        <v>345.28554183222712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32.884337317354969</v>
      </c>
      <c r="S11" s="36">
        <f t="shared" si="3"/>
        <v>1982.5840815828915</v>
      </c>
      <c r="T11" s="28">
        <f>IF('[1]Calculo ISR '!$O$34&gt;0,0,'[1]Calculo ISR '!$O$34)*-1</f>
        <v>0</v>
      </c>
      <c r="U11" s="36">
        <f t="shared" si="2"/>
        <v>1430.8101319585539</v>
      </c>
      <c r="V11" s="36">
        <f t="shared" si="1"/>
        <v>385.5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242.09274535320057</v>
      </c>
      <c r="E12" s="36">
        <v>3631.3911802980087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E12*Q4</f>
        <v>137.99286485132433</v>
      </c>
      <c r="K12" s="36">
        <f t="shared" si="4"/>
        <v>3769.3840451493329</v>
      </c>
      <c r="L12" s="36">
        <f t="shared" si="0"/>
        <v>4154.8840451493325</v>
      </c>
      <c r="M12" s="28">
        <f>IF('[1]Calculo ISR '!$P$34&lt;0,0,'[1]Calculo ISR '!$P$34)</f>
        <v>312.18984722389325</v>
      </c>
      <c r="N12" s="38">
        <f>E12*P4</f>
        <v>381.29607393129089</v>
      </c>
      <c r="O12" s="38">
        <v>1170</v>
      </c>
      <c r="P12" s="38">
        <f>'[1]HT-ADMINISTRATIVOS'!Q14</f>
        <v>0</v>
      </c>
      <c r="Q12" s="38">
        <f>'[1]HT-ADMINISTRATIVOS'!R14</f>
        <v>0</v>
      </c>
      <c r="R12" s="38">
        <f>E12*O4</f>
        <v>36.313911802980087</v>
      </c>
      <c r="S12" s="36">
        <f t="shared" si="3"/>
        <v>1899.7998329581642</v>
      </c>
      <c r="T12" s="28">
        <f>IF('[1]Calculo ISR '!$P$34&gt;0,0,'[1]Calculo ISR '!$P$34)*-1</f>
        <v>0</v>
      </c>
      <c r="U12" s="36">
        <f t="shared" si="2"/>
        <v>1869.5842121911687</v>
      </c>
      <c r="V12" s="36">
        <f t="shared" si="1"/>
        <v>385.5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171.33947607512999</v>
      </c>
      <c r="E13" s="36">
        <v>2570.0921411269501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E13*Q4</f>
        <v>97.663501362824107</v>
      </c>
      <c r="K13" s="36">
        <f t="shared" si="4"/>
        <v>2667.7556424897743</v>
      </c>
      <c r="L13" s="36">
        <f>K13+G13+T13</f>
        <v>3053.2556424897743</v>
      </c>
      <c r="M13" s="28">
        <f>IF('[1]Calculo ISR '!$Q$34&lt;0,0,'[1]Calculo ISR '!$Q$34)</f>
        <v>40.818725902887451</v>
      </c>
      <c r="N13" s="38">
        <f>E13*P4</f>
        <v>269.85967481832972</v>
      </c>
      <c r="O13" s="38">
        <v>584</v>
      </c>
      <c r="P13" s="38">
        <f>'[1]HT-ADMINISTRATIVOS'!Q15</f>
        <v>0</v>
      </c>
      <c r="Q13" s="38">
        <f>'[1]HT-ADMINISTRATIVOS'!R15</f>
        <v>0</v>
      </c>
      <c r="R13" s="38">
        <f>E13*O4</f>
        <v>25.700921411269501</v>
      </c>
      <c r="S13" s="36">
        <f t="shared" si="3"/>
        <v>920.37932213248666</v>
      </c>
      <c r="T13" s="28">
        <f>IF('[1]Calculo ISR '!$Q$34&gt;0,0,'[1]Calculo ISR '!$Q$34)</f>
        <v>0</v>
      </c>
      <c r="U13" s="36">
        <f t="shared" si="2"/>
        <v>1747.3763203572876</v>
      </c>
      <c r="V13" s="36">
        <f t="shared" si="1"/>
        <v>385.5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163.00161009000001</v>
      </c>
      <c r="E14" s="36">
        <v>2445.02415135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E14*Q4</f>
        <v>92.910917751300005</v>
      </c>
      <c r="K14" s="36">
        <f t="shared" si="4"/>
        <v>2537.9350691013001</v>
      </c>
      <c r="L14" s="36">
        <f>K14+G14+T14</f>
        <v>2923.4350691013001</v>
      </c>
      <c r="M14" s="28">
        <f>IF('[1]Calculo ISR '!$R$34&lt;0,0,'[1]Calculo ISR '!$R$34)</f>
        <v>11.694247518221431</v>
      </c>
      <c r="N14" s="38">
        <f>E14*P4</f>
        <v>256.72753589174999</v>
      </c>
      <c r="O14" s="38">
        <v>625</v>
      </c>
      <c r="P14" s="38">
        <f>'[1]HT-ADMINISTRATIVOS'!Q16</f>
        <v>0</v>
      </c>
      <c r="Q14" s="38">
        <f>'[1]HT-ADMINISTRATIVOS'!R16</f>
        <v>0</v>
      </c>
      <c r="R14" s="38">
        <f>E14*O4</f>
        <v>24.4502415135</v>
      </c>
      <c r="S14" s="36">
        <f t="shared" si="3"/>
        <v>917.87202492347149</v>
      </c>
      <c r="T14" s="28">
        <f>IF('[1]Calculo ISR '!$R$34&gt;0,0,'[1]Calculo ISR '!$R$34)*-1</f>
        <v>0</v>
      </c>
      <c r="U14" s="36">
        <f t="shared" si="2"/>
        <v>1620.0630441778285</v>
      </c>
      <c r="V14" s="36">
        <f t="shared" si="1"/>
        <v>385.5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534.93837680832996</v>
      </c>
      <c r="E15" s="36">
        <v>8024.0756521249496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E15*L4</f>
        <v>152.45743739037403</v>
      </c>
      <c r="K15" s="36">
        <f t="shared" si="4"/>
        <v>8176.5330895153238</v>
      </c>
      <c r="L15" s="36">
        <f>K15+G15</f>
        <v>8562.0330895153238</v>
      </c>
      <c r="M15" s="28">
        <f>IF('[1]Calculo ISR '!$S$34&lt;0,0,'[1]Calculo ISR '!$S$34)</f>
        <v>1199.3182919204733</v>
      </c>
      <c r="N15" s="38">
        <f>E15*P4</f>
        <v>842.52794347311965</v>
      </c>
      <c r="O15" s="38">
        <v>2675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3"/>
        <v>4716.8462353935929</v>
      </c>
      <c r="T15" s="28">
        <f>IF('[1]Calculo ISR '!$S$34&gt;0,0,'[1]Calculo ISR '!$S$34)*-1</f>
        <v>0</v>
      </c>
      <c r="U15" s="36">
        <f t="shared" si="2"/>
        <v>3459.6868541217309</v>
      </c>
      <c r="V15" s="36">
        <f t="shared" si="1"/>
        <v>385.5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267.35834171124986</v>
      </c>
      <c r="E16" s="36">
        <v>4010.3751256687478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E16*L4</f>
        <v>76.197127387706203</v>
      </c>
      <c r="K16" s="36">
        <f t="shared" si="4"/>
        <v>4086.572253056454</v>
      </c>
      <c r="L16" s="36">
        <f>K16+G16</f>
        <v>4472.0722530564544</v>
      </c>
      <c r="M16" s="28">
        <f>IF('[1]Calculo ISR '!$T$34&lt;0,0,'[1]Calculo ISR '!$T$34)</f>
        <v>362.93996048903261</v>
      </c>
      <c r="N16" s="38">
        <f>E16*P4</f>
        <v>421.08938819521853</v>
      </c>
      <c r="O16" s="38">
        <v>1867.49</v>
      </c>
      <c r="P16" s="38"/>
      <c r="Q16" s="38"/>
      <c r="R16" s="38">
        <f>E16*O4</f>
        <v>40.103751256687481</v>
      </c>
      <c r="S16" s="36">
        <f>M16+N16+O16+Q16+R16+P16</f>
        <v>2691.6230999409386</v>
      </c>
      <c r="T16" s="28">
        <f>IF('[1]Calculo ISR '!$T$34&gt;0,0,'[1]Calculo ISR '!$T$34)*-1</f>
        <v>0</v>
      </c>
      <c r="U16" s="36">
        <f>K16-S16</f>
        <v>1394.9491531155154</v>
      </c>
      <c r="V16" s="36">
        <f t="shared" si="1"/>
        <v>385.5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230.34834514817072</v>
      </c>
      <c r="E17" s="36">
        <v>3455.2251772225609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7">
        <f>E17*L4</f>
        <v>65.649278367228661</v>
      </c>
      <c r="K17" s="36">
        <f t="shared" si="4"/>
        <v>3966.8744555897897</v>
      </c>
      <c r="L17" s="36">
        <f>K17+G17</f>
        <v>4352.3744555897902</v>
      </c>
      <c r="M17" s="28">
        <f>IF('[1]Calculo ISR '!$U$34&lt;0,0,'[1]Calculo ISR '!$U$34)</f>
        <v>343.7883128943663</v>
      </c>
      <c r="N17" s="38">
        <f>E17*P4</f>
        <v>362.79864360836888</v>
      </c>
      <c r="O17" s="38">
        <v>1715.6</v>
      </c>
      <c r="P17" s="38">
        <f>'[1]HT-ADMINISTRATIVOS'!Q19</f>
        <v>0</v>
      </c>
      <c r="Q17" s="38">
        <f>'[1]HT-ADMINISTRATIVOS'!R19</f>
        <v>0</v>
      </c>
      <c r="R17" s="38">
        <f>E17*O4</f>
        <v>34.55225177222561</v>
      </c>
      <c r="S17" s="36">
        <f t="shared" si="3"/>
        <v>2456.7392082749607</v>
      </c>
      <c r="T17" s="28">
        <f>IF('[1]Calculo ISR '!$U$34&gt;0,0,'[1]Calculo ISR '!$U$34)*-1</f>
        <v>0</v>
      </c>
      <c r="U17" s="36">
        <f t="shared" ref="U17:U32" si="5">K17-S17+T17</f>
        <v>1510.135247314829</v>
      </c>
      <c r="V17" s="36">
        <f t="shared" si="1"/>
        <v>385.5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873.012693639492</v>
      </c>
      <c r="E18" s="36">
        <v>13095.19040459238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E18*L4</f>
        <v>248.80861768725521</v>
      </c>
      <c r="K18" s="36">
        <f t="shared" si="4"/>
        <v>13343.999022279635</v>
      </c>
      <c r="L18" s="36">
        <f>K18+G18</f>
        <v>13729.499022279635</v>
      </c>
      <c r="M18" s="28">
        <f>IF('[1]Calculo ISR '!$V$34&lt;0,0,'[1]Calculo ISR '!$V$34)</f>
        <v>2369.8207780401704</v>
      </c>
      <c r="N18" s="38">
        <f>E18*P4</f>
        <v>1374.9949924821999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3"/>
        <v>3744.8157705223703</v>
      </c>
      <c r="T18" s="28">
        <f>IF('[1]Calculo ISR '!$V$34&gt;0,0,'[1]Calculo ISR '!$V$34)*-1</f>
        <v>0</v>
      </c>
      <c r="U18" s="36">
        <f t="shared" si="5"/>
        <v>9599.1832517572657</v>
      </c>
      <c r="V18" s="36">
        <f t="shared" si="1"/>
        <v>385.5</v>
      </c>
      <c r="W18" s="46"/>
      <c r="X18" s="47"/>
    </row>
    <row r="19" spans="1:24" s="48" customFormat="1" ht="45" customHeight="1">
      <c r="A19" s="53" t="s">
        <v>51</v>
      </c>
      <c r="B19" s="53" t="s">
        <v>52</v>
      </c>
      <c r="C19" s="34">
        <v>15</v>
      </c>
      <c r="D19" s="50">
        <v>219.22891544903311</v>
      </c>
      <c r="E19" s="36">
        <v>3288.4337317354966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'[1]HT-ADMINISTRATIVOS'!I21</f>
        <v>0</v>
      </c>
      <c r="K19" s="36">
        <f t="shared" si="4"/>
        <v>3288.4337317354966</v>
      </c>
      <c r="L19" s="36">
        <f>K19+G19</f>
        <v>3673.9337317354966</v>
      </c>
      <c r="M19" s="28">
        <f>IF('[1]Calculo ISR '!$W$34&lt;0,0,'[1]Calculo ISR '!$W$34)</f>
        <v>128.59850201282202</v>
      </c>
      <c r="N19" s="38">
        <f>E19*P4</f>
        <v>345.28554183222712</v>
      </c>
      <c r="O19" s="38">
        <v>1357.77</v>
      </c>
      <c r="P19" s="38">
        <f>'[1]HT-ADMINISTRATIVOS'!Q21</f>
        <v>0</v>
      </c>
      <c r="Q19" s="38">
        <f>'[1]HT-ADMINISTRATIVOS'!R21</f>
        <v>0</v>
      </c>
      <c r="R19" s="38">
        <f>E19*O4</f>
        <v>32.884337317354969</v>
      </c>
      <c r="S19" s="36">
        <f t="shared" si="3"/>
        <v>1864.5383811624042</v>
      </c>
      <c r="T19" s="28">
        <f>IF('[1]Calculo ISR '!$W$34&gt;0,0,'[1]Calculo ISR '!$W$34)*-1</f>
        <v>0</v>
      </c>
      <c r="U19" s="36">
        <f t="shared" si="5"/>
        <v>1423.8953505730924</v>
      </c>
      <c r="V19" s="36">
        <f t="shared" si="1"/>
        <v>385.5</v>
      </c>
      <c r="W19" s="46"/>
      <c r="X19" s="47"/>
    </row>
    <row r="20" spans="1:24" s="48" customFormat="1" ht="45" customHeight="1">
      <c r="A20" s="53" t="s">
        <v>53</v>
      </c>
      <c r="B20" s="53" t="s">
        <v>54</v>
      </c>
      <c r="C20" s="34">
        <v>15</v>
      </c>
      <c r="D20" s="50">
        <v>148.1300975275</v>
      </c>
      <c r="E20" s="36">
        <v>2221.9514629125001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'[1]HT-ADMINISTRATIVOS'!I22</f>
        <v>0</v>
      </c>
      <c r="K20" s="36">
        <f t="shared" si="4"/>
        <v>2221.9514629125001</v>
      </c>
      <c r="L20" s="36">
        <f>K20+G20+T20</f>
        <v>2644.5362317476201</v>
      </c>
      <c r="M20" s="28">
        <f>IF('[1]Calculo ISR '!$X$34&lt;0,0,'[1]Calculo ISR '!$X$34)</f>
        <v>0</v>
      </c>
      <c r="N20" s="38">
        <f>E20*P4</f>
        <v>233.30490360581251</v>
      </c>
      <c r="O20" s="38">
        <v>741</v>
      </c>
      <c r="P20" s="38">
        <f>'[1]HT-ADMINISTRATIVOS'!Q22</f>
        <v>0</v>
      </c>
      <c r="Q20" s="38">
        <f>'[1]HT-ADMINISTRATIVOS'!R22</f>
        <v>0</v>
      </c>
      <c r="R20" s="38">
        <f>E20*O4</f>
        <v>22.219514629125001</v>
      </c>
      <c r="S20" s="36">
        <f t="shared" si="3"/>
        <v>996.52441823493757</v>
      </c>
      <c r="T20" s="28">
        <f>IF('[1]Calculo ISR '!$X$34&gt;0,0,('[1]Calculo ISR '!$X$34)*-1)</f>
        <v>37.084768835120002</v>
      </c>
      <c r="U20" s="36">
        <f t="shared" si="5"/>
        <v>1262.5118135126827</v>
      </c>
      <c r="V20" s="36">
        <f t="shared" si="1"/>
        <v>385.5</v>
      </c>
      <c r="W20" s="46"/>
      <c r="X20" s="47"/>
    </row>
    <row r="21" spans="1:24" s="48" customFormat="1" ht="45" customHeight="1">
      <c r="A21" s="53" t="s">
        <v>55</v>
      </c>
      <c r="B21" s="53" t="s">
        <v>56</v>
      </c>
      <c r="C21" s="34">
        <v>15</v>
      </c>
      <c r="D21" s="50">
        <v>148.19297316999999</v>
      </c>
      <c r="E21" s="36">
        <v>2222.8945975499996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'[1]HT-ADMINISTRATIVOS'!I23</f>
        <v>0</v>
      </c>
      <c r="K21" s="36">
        <f t="shared" si="4"/>
        <v>2668.8945975499996</v>
      </c>
      <c r="L21" s="36">
        <f>K21+G21+T21</f>
        <v>3054.3945975499996</v>
      </c>
      <c r="M21" s="28">
        <f>IF('[1]Calculo ISR '!$Y$34&lt;0,0,'[1]Calculo ISR '!$Y$34)</f>
        <v>40.942644213439934</v>
      </c>
      <c r="N21" s="38">
        <f>E21*P4</f>
        <v>233.40393274274996</v>
      </c>
      <c r="O21" s="38">
        <v>851.76</v>
      </c>
      <c r="P21" s="38">
        <f>'[1]HT-ADMINISTRATIVOS'!Q23</f>
        <v>0</v>
      </c>
      <c r="Q21" s="38">
        <f>'[1]HT-ADMINISTRATIVOS'!R23</f>
        <v>0</v>
      </c>
      <c r="R21" s="38">
        <f>E21*O4</f>
        <v>22.228945975499997</v>
      </c>
      <c r="S21" s="36">
        <f t="shared" si="3"/>
        <v>1148.3355229316899</v>
      </c>
      <c r="T21" s="28">
        <f>IF('[1]Calculo ISR '!$Y$34&gt;0,0,'[1]Calculo ISR '!$Y$34)*-1</f>
        <v>0</v>
      </c>
      <c r="U21" s="36">
        <f t="shared" si="5"/>
        <v>1520.5590746183098</v>
      </c>
      <c r="V21" s="36">
        <f t="shared" si="1"/>
        <v>385.5</v>
      </c>
      <c r="W21" s="46"/>
      <c r="X21" s="47"/>
    </row>
    <row r="22" spans="1:24" s="48" customFormat="1" ht="45" customHeight="1">
      <c r="A22" s="53" t="s">
        <v>57</v>
      </c>
      <c r="B22" s="53" t="s">
        <v>58</v>
      </c>
      <c r="C22" s="34">
        <v>15</v>
      </c>
      <c r="D22" s="50">
        <v>198.84487564290151</v>
      </c>
      <c r="E22" s="36">
        <v>2982.6731346435226</v>
      </c>
      <c r="F22" s="43"/>
      <c r="G22" s="36">
        <f>'[1]HT-ADMINISTRATIVOS'!G26</f>
        <v>385.5</v>
      </c>
      <c r="H22" s="36">
        <f>'[1]HT-ADMINISTRATIVOS'!H26</f>
        <v>0</v>
      </c>
      <c r="I22" s="36">
        <f>'[1]HT-ADMINISTRATIVOS'!J26</f>
        <v>0</v>
      </c>
      <c r="J22" s="37">
        <f>'[1]HT-ADMINISTRATIVOS'!I26</f>
        <v>0</v>
      </c>
      <c r="K22" s="36">
        <f t="shared" si="4"/>
        <v>2982.6731346435226</v>
      </c>
      <c r="L22" s="36">
        <f>K22+G22</f>
        <v>3368.1731346435226</v>
      </c>
      <c r="M22" s="28">
        <f>IF('[1]Calculo ISR '!$Z$34&lt;0,0,'[1]Calculo ISR '!$Z$34)</f>
        <v>75.081749049215233</v>
      </c>
      <c r="N22" s="38">
        <f>E22*P4</f>
        <v>313.18067913756988</v>
      </c>
      <c r="O22" s="38">
        <v>829</v>
      </c>
      <c r="P22" s="38"/>
      <c r="Q22" s="38">
        <f>'[1]HT-ADMINISTRATIVOS'!R26</f>
        <v>0</v>
      </c>
      <c r="R22" s="38">
        <f>E22*O4</f>
        <v>29.826731346435228</v>
      </c>
      <c r="S22" s="36">
        <f>M22+N22+O22+R22+P22+Q22</f>
        <v>1247.0891595332205</v>
      </c>
      <c r="T22" s="28">
        <f>IF('[1]Calculo ISR '!$Z$34&gt;0,0,'[1]Calculo ISR '!$Z$34)*-1</f>
        <v>0</v>
      </c>
      <c r="U22" s="36">
        <f t="shared" si="5"/>
        <v>1735.5839751103022</v>
      </c>
      <c r="V22" s="36">
        <f t="shared" si="1"/>
        <v>385.5</v>
      </c>
      <c r="W22" s="46"/>
      <c r="X22" s="47"/>
    </row>
    <row r="23" spans="1:24" s="48" customFormat="1" ht="45" customHeight="1">
      <c r="A23" s="53" t="s">
        <v>59</v>
      </c>
      <c r="B23" s="53" t="s">
        <v>60</v>
      </c>
      <c r="C23" s="34">
        <v>15</v>
      </c>
      <c r="D23" s="50">
        <v>198.84487558991</v>
      </c>
      <c r="E23" s="36">
        <v>2982.6731338486502</v>
      </c>
      <c r="F23" s="43"/>
      <c r="G23" s="36">
        <f>'[1]HT-ADMINISTRATIVOS'!G27</f>
        <v>385.5</v>
      </c>
      <c r="H23" s="36">
        <f>'[1]HT-ADMINISTRATIVOS'!H27</f>
        <v>0</v>
      </c>
      <c r="I23" s="36">
        <f>'[1]HT-ADMINISTRATIVOS'!J27</f>
        <v>0</v>
      </c>
      <c r="J23" s="37">
        <f>'[1]HT-ADMINISTRATIVOS'!I27</f>
        <v>0</v>
      </c>
      <c r="K23" s="36">
        <f t="shared" si="4"/>
        <v>2982.6731338486502</v>
      </c>
      <c r="L23" s="36">
        <f>K23+G23</f>
        <v>3368.1731338486502</v>
      </c>
      <c r="M23" s="28">
        <f>IF('[1]Calculo ISR '!$AA$34&lt;0,0,'[1]Calculo ISR '!$AA$34)</f>
        <v>75.081748962733116</v>
      </c>
      <c r="N23" s="38">
        <f>E23*P4</f>
        <v>313.18067905410828</v>
      </c>
      <c r="O23" s="38">
        <f>'[1]HT-ADMINISTRATIVOS'!P27</f>
        <v>0</v>
      </c>
      <c r="P23" s="38">
        <f>'[1]HT-ADMINISTRATIVOS'!Q27</f>
        <v>0</v>
      </c>
      <c r="Q23" s="38">
        <f>'[1]HT-ADMINISTRATIVOS'!R27</f>
        <v>0</v>
      </c>
      <c r="R23" s="38">
        <f>E23*O4</f>
        <v>29.826731338486503</v>
      </c>
      <c r="S23" s="36">
        <f t="shared" si="3"/>
        <v>418.08915935532792</v>
      </c>
      <c r="T23" s="28">
        <f>IF('[1]Calculo ISR '!$AA$34&gt;0,0,'[1]Calculo ISR '!$AA$34)*-1</f>
        <v>0</v>
      </c>
      <c r="U23" s="36">
        <f t="shared" si="5"/>
        <v>2564.5839744933223</v>
      </c>
      <c r="V23" s="36">
        <f t="shared" si="1"/>
        <v>385.5</v>
      </c>
      <c r="W23" s="46"/>
      <c r="X23" s="47"/>
    </row>
    <row r="24" spans="1:24" s="48" customFormat="1" ht="45" customHeight="1">
      <c r="A24" s="54" t="s">
        <v>61</v>
      </c>
      <c r="B24" s="55" t="s">
        <v>62</v>
      </c>
      <c r="C24" s="34">
        <v>15</v>
      </c>
      <c r="D24" s="50">
        <v>198.84487558991</v>
      </c>
      <c r="E24" s="36">
        <v>2982.6731338486502</v>
      </c>
      <c r="F24" s="43"/>
      <c r="G24" s="36">
        <f>'[1]HT-ADMINISTRATIVOS'!G28</f>
        <v>385.5</v>
      </c>
      <c r="H24" s="36">
        <f>'[1]HT-ADMINISTRATIVOS'!H28</f>
        <v>446</v>
      </c>
      <c r="I24" s="36">
        <f>'[1]HT-ADMINISTRATIVOS'!J28</f>
        <v>0</v>
      </c>
      <c r="J24" s="37">
        <f>'[1]HT-ADMINISTRATIVOS'!I28</f>
        <v>0</v>
      </c>
      <c r="K24" s="36">
        <f t="shared" si="4"/>
        <v>3428.6731338486502</v>
      </c>
      <c r="L24" s="36">
        <f>K24+G24</f>
        <v>3814.1731338486502</v>
      </c>
      <c r="M24" s="28">
        <f>IF('[1]Calculo ISR '!$AB$34&lt;0,0,'[1]Calculo ISR '!$AB$34)</f>
        <v>143.85654896273311</v>
      </c>
      <c r="N24" s="38">
        <f>E24*P4</f>
        <v>313.18067905410828</v>
      </c>
      <c r="O24" s="38">
        <v>215.8</v>
      </c>
      <c r="P24" s="38">
        <f>'[1]HT-ADMINISTRATIVOS'!Q28</f>
        <v>0</v>
      </c>
      <c r="Q24" s="38">
        <f>'[1]HT-ADMINISTRATIVOS'!R28</f>
        <v>0</v>
      </c>
      <c r="R24" s="38">
        <f>E24*O4</f>
        <v>29.826731338486503</v>
      </c>
      <c r="S24" s="36">
        <f t="shared" si="3"/>
        <v>702.66395935532796</v>
      </c>
      <c r="T24" s="28">
        <f>IF('[1]Calculo ISR '!$AB$34&gt;0,0,'[1]Calculo ISR '!$AB$34)*-1</f>
        <v>0</v>
      </c>
      <c r="U24" s="36">
        <f t="shared" si="5"/>
        <v>2726.0091744933225</v>
      </c>
      <c r="V24" s="36">
        <f t="shared" si="1"/>
        <v>385.5</v>
      </c>
      <c r="W24" s="46"/>
      <c r="X24" s="47"/>
    </row>
    <row r="25" spans="1:24" s="48" customFormat="1" ht="45" customHeight="1">
      <c r="A25" s="54" t="s">
        <v>63</v>
      </c>
      <c r="B25" s="55" t="s">
        <v>64</v>
      </c>
      <c r="C25" s="34">
        <v>15</v>
      </c>
      <c r="D25" s="50">
        <v>180.11154727500002</v>
      </c>
      <c r="E25" s="36">
        <v>2701.6732091250005</v>
      </c>
      <c r="F25" s="43"/>
      <c r="G25" s="36">
        <f>'[1]HT-ADMINISTRATIVOS'!G29</f>
        <v>385.5</v>
      </c>
      <c r="H25" s="36">
        <f>'[1]HT-ADMINISTRATIVOS'!H29</f>
        <v>892</v>
      </c>
      <c r="I25" s="36">
        <f>'[1]HT-ADMINISTRATIVOS'!J29</f>
        <v>0</v>
      </c>
      <c r="J25" s="37">
        <f>'[1]HT-ADMINISTRATIVOS'!I29</f>
        <v>0</v>
      </c>
      <c r="K25" s="36">
        <f t="shared" si="4"/>
        <v>3593.6732091250005</v>
      </c>
      <c r="L25" s="36">
        <f>K25+G25</f>
        <v>3979.1732091250005</v>
      </c>
      <c r="M25" s="28">
        <f>IF('[1]Calculo ISR '!$AC$34&lt;0,0,'[1]Calculo ISR '!$AC$34)</f>
        <v>179.50855715280002</v>
      </c>
      <c r="N25" s="38">
        <f>E25*P4</f>
        <v>283.67568695812503</v>
      </c>
      <c r="O25" s="38">
        <v>0</v>
      </c>
      <c r="P25" s="38">
        <f>'[1]HT-ADMINISTRATIVOS'!Q29</f>
        <v>0</v>
      </c>
      <c r="Q25" s="38">
        <f>'[1]HT-ADMINISTRATIVOS'!R29</f>
        <v>0</v>
      </c>
      <c r="R25" s="38">
        <f>E25*O4</f>
        <v>27.016732091250006</v>
      </c>
      <c r="S25" s="36">
        <f t="shared" si="3"/>
        <v>490.20097620217507</v>
      </c>
      <c r="T25" s="28">
        <f>IF('[1]Calculo ISR '!$AC$34&gt;0,0,'[1]Calculo ISR '!$AC$34)*-1</f>
        <v>0</v>
      </c>
      <c r="U25" s="36">
        <f t="shared" si="5"/>
        <v>3103.4722329228252</v>
      </c>
      <c r="V25" s="36">
        <f t="shared" si="1"/>
        <v>385.5</v>
      </c>
      <c r="W25" s="46"/>
      <c r="X25" s="47"/>
    </row>
    <row r="26" spans="1:24" s="48" customFormat="1" ht="45" customHeight="1">
      <c r="A26" s="56" t="s">
        <v>65</v>
      </c>
      <c r="B26" s="55" t="s">
        <v>66</v>
      </c>
      <c r="C26" s="34">
        <v>15</v>
      </c>
      <c r="D26" s="50">
        <v>141.57938707</v>
      </c>
      <c r="E26" s="36">
        <v>2123.69080605</v>
      </c>
      <c r="F26" s="43"/>
      <c r="G26" s="36">
        <f>'[1]HT-ADMINISTRATIVOS'!G31</f>
        <v>385.5</v>
      </c>
      <c r="H26" s="36">
        <f>'[1]HT-ADMINISTRATIVOS'!H31</f>
        <v>446</v>
      </c>
      <c r="I26" s="36">
        <f>'[1]HT-ADMINISTRATIVOS'!J31</f>
        <v>0</v>
      </c>
      <c r="J26" s="37">
        <f>'[1]HT-ADMINISTRATIVOS'!I31</f>
        <v>0</v>
      </c>
      <c r="K26" s="36">
        <f t="shared" si="4"/>
        <v>2569.69080605</v>
      </c>
      <c r="L26" s="36">
        <f>K26+G26+T26</f>
        <v>2955.19080605</v>
      </c>
      <c r="M26" s="28">
        <f>IF('[1]Calculo ISR '!$AD$34&lt;0,0,'[1]Calculo ISR '!$AD$34)</f>
        <v>15.149271698239971</v>
      </c>
      <c r="N26" s="38">
        <f>E26*P4</f>
        <v>222.98753463525</v>
      </c>
      <c r="O26" s="38">
        <f>'[1]HT-ADMINISTRATIVOS'!P31</f>
        <v>0</v>
      </c>
      <c r="P26" s="38">
        <f>'[1]HT-ADMINISTRATIVOS'!Q31</f>
        <v>0</v>
      </c>
      <c r="Q26" s="38">
        <f>'[1]HT-ADMINISTRATIVOS'!R31</f>
        <v>0</v>
      </c>
      <c r="R26" s="38">
        <f>E26*O4</f>
        <v>21.236908060499999</v>
      </c>
      <c r="S26" s="36">
        <f t="shared" si="3"/>
        <v>259.37371439398999</v>
      </c>
      <c r="T26" s="28">
        <f>IF('[1]Calculo ISR '!$AD$34&gt;0,0,'[1]Calculo ISR '!$AD$34)*-1</f>
        <v>0</v>
      </c>
      <c r="U26" s="36">
        <f t="shared" si="5"/>
        <v>2310.3170916560102</v>
      </c>
      <c r="V26" s="36">
        <f t="shared" si="1"/>
        <v>385.5</v>
      </c>
      <c r="W26" s="46"/>
      <c r="X26" s="47"/>
    </row>
    <row r="27" spans="1:24" s="48" customFormat="1" ht="45" customHeight="1">
      <c r="A27" s="56" t="s">
        <v>67</v>
      </c>
      <c r="B27" s="57" t="s">
        <v>68</v>
      </c>
      <c r="C27" s="34">
        <v>15</v>
      </c>
      <c r="D27" s="50">
        <v>534.93837680832996</v>
      </c>
      <c r="E27" s="36">
        <v>8024.0756521249496</v>
      </c>
      <c r="F27" s="43"/>
      <c r="G27" s="36">
        <f>'[1]HT-ADMINISTRATIVOS'!G32</f>
        <v>385.5</v>
      </c>
      <c r="H27" s="36">
        <f>'[1]HT-ADMINISTRATIVOS'!H32</f>
        <v>0</v>
      </c>
      <c r="I27" s="36">
        <f>'[1]HT-ADMINISTRATIVOS'!J32</f>
        <v>0</v>
      </c>
      <c r="J27" s="37">
        <f>E27*L4</f>
        <v>152.45743739037403</v>
      </c>
      <c r="K27" s="36">
        <f t="shared" si="4"/>
        <v>8176.5330895153238</v>
      </c>
      <c r="L27" s="36">
        <f>K27+G27</f>
        <v>8562.0330895153238</v>
      </c>
      <c r="M27" s="28">
        <f>IF('[1]Calculo ISR '!$AE$34&lt;0,0,'[1]Calculo ISR '!$AE$34)</f>
        <v>1199.3182919204733</v>
      </c>
      <c r="N27" s="38">
        <f>E27*P4</f>
        <v>842.52794347311965</v>
      </c>
      <c r="O27" s="38">
        <v>2150.31</v>
      </c>
      <c r="P27" s="38">
        <f>'[1]HT-ADMINISTRATIVOS'!Q32</f>
        <v>0</v>
      </c>
      <c r="Q27" s="38">
        <f>'[1]HT-ADMINISTRATIVOS'!R32</f>
        <v>0</v>
      </c>
      <c r="R27" s="38">
        <f>'[1]HT-ADMINISTRATIVOS'!S32</f>
        <v>0</v>
      </c>
      <c r="S27" s="36">
        <f t="shared" si="3"/>
        <v>4192.1562353935933</v>
      </c>
      <c r="T27" s="28">
        <f>IF('[1]Calculo ISR '!$AE$34&gt;0,0,'[1]Calculo ISR '!$AE$34)*-1</f>
        <v>0</v>
      </c>
      <c r="U27" s="36">
        <f t="shared" si="5"/>
        <v>3984.3768541217305</v>
      </c>
      <c r="V27" s="36">
        <f t="shared" si="1"/>
        <v>385.5</v>
      </c>
      <c r="W27" s="46"/>
      <c r="X27" s="47"/>
    </row>
    <row r="28" spans="1:24" s="48" customFormat="1" ht="45" customHeight="1">
      <c r="A28" s="58" t="s">
        <v>69</v>
      </c>
      <c r="B28" s="59" t="s">
        <v>70</v>
      </c>
      <c r="C28" s="34">
        <v>15</v>
      </c>
      <c r="D28" s="50">
        <v>230.34834514817072</v>
      </c>
      <c r="E28" s="36">
        <v>3455.2251772225609</v>
      </c>
      <c r="F28" s="43"/>
      <c r="G28" s="36">
        <v>385.5</v>
      </c>
      <c r="H28" s="36">
        <f>'[1]HT-ADMINISTRATIVOS'!H33</f>
        <v>0</v>
      </c>
      <c r="I28" s="36">
        <f>'[1]HT-ADMINISTRATIVOS'!J33</f>
        <v>0</v>
      </c>
      <c r="J28" s="37">
        <f>'[1]HT-ADMINISTRATIVOS'!I33</f>
        <v>0</v>
      </c>
      <c r="K28" s="36">
        <f t="shared" si="4"/>
        <v>3455.2251772225609</v>
      </c>
      <c r="L28" s="36">
        <f>K28+G28</f>
        <v>3840.7251772225609</v>
      </c>
      <c r="M28" s="28">
        <f>IF('[1]Calculo ISR '!$AF$34&lt;0,0,'[1]Calculo ISR '!$AF$34)</f>
        <v>146.74541128181463</v>
      </c>
      <c r="N28" s="38">
        <f>E28*P4</f>
        <v>362.79864360836888</v>
      </c>
      <c r="O28" s="38"/>
      <c r="P28" s="143"/>
      <c r="Q28" s="38"/>
      <c r="R28" s="38">
        <f>E28*O4</f>
        <v>34.55225177222561</v>
      </c>
      <c r="S28" s="36">
        <f>M28+N28+O28+R28+P28+Q28</f>
        <v>544.09630666240912</v>
      </c>
      <c r="T28" s="28">
        <f>IF('[1]Calculo ISR '!$AF$34&gt;0,0,'[1]Calculo ISR '!$AF$34)*-1</f>
        <v>0</v>
      </c>
      <c r="U28" s="36">
        <f>K28-S28+T28</f>
        <v>2911.1288705601519</v>
      </c>
      <c r="V28" s="36">
        <v>385.5</v>
      </c>
      <c r="W28" s="46"/>
      <c r="X28" s="47"/>
    </row>
    <row r="29" spans="1:24" s="48" customFormat="1" ht="45" customHeight="1">
      <c r="A29" s="60" t="s">
        <v>71</v>
      </c>
      <c r="B29" s="61" t="s">
        <v>72</v>
      </c>
      <c r="C29" s="66">
        <v>15</v>
      </c>
      <c r="D29" s="50">
        <v>141.57938707</v>
      </c>
      <c r="E29" s="36">
        <v>2123.69080605</v>
      </c>
      <c r="F29" s="43"/>
      <c r="G29" s="36">
        <f>'[1]HT-ADMINISTRATIVOS'!G35</f>
        <v>385.5</v>
      </c>
      <c r="H29" s="36">
        <f>'[1]HT-ADMINISTRATIVOS'!H35</f>
        <v>0</v>
      </c>
      <c r="I29" s="36">
        <f>'[1]HT-ADMINISTRATIVOS'!J35</f>
        <v>0</v>
      </c>
      <c r="J29" s="37">
        <f>'[1]HT-ADMINISTRATIVOS'!I35</f>
        <v>0</v>
      </c>
      <c r="K29" s="36">
        <f t="shared" si="4"/>
        <v>2123.69080605</v>
      </c>
      <c r="L29" s="36">
        <f>K29+G29+T29</f>
        <v>2570.9163343517598</v>
      </c>
      <c r="M29" s="28">
        <f>IF('[1]Calculo ISR '!$AG$34&lt;0,0,'[1]Calculo ISR '!$AG$34)</f>
        <v>0</v>
      </c>
      <c r="N29" s="38">
        <f>E29*P4</f>
        <v>222.98753463525</v>
      </c>
      <c r="O29" s="38">
        <v>300</v>
      </c>
      <c r="P29" s="38">
        <f>'[1]HT-ADMINISTRATIVOS'!Q35</f>
        <v>0</v>
      </c>
      <c r="Q29" s="38">
        <f>'[1]HT-ADMINISTRATIVOS'!R35</f>
        <v>0</v>
      </c>
      <c r="R29" s="38">
        <f>E29*O4</f>
        <v>21.236908060499999</v>
      </c>
      <c r="S29" s="36">
        <f t="shared" si="3"/>
        <v>544.22444269574999</v>
      </c>
      <c r="T29" s="28">
        <f>IF('[1]Calculo ISR '!$AG$34&gt;0,0,'[1]Calculo ISR '!$AG$34)*-1</f>
        <v>61.725528301760008</v>
      </c>
      <c r="U29" s="36">
        <f t="shared" si="5"/>
        <v>1641.1918916560101</v>
      </c>
      <c r="V29" s="36">
        <f>G29</f>
        <v>385.5</v>
      </c>
      <c r="W29" s="67"/>
      <c r="X29" s="47"/>
    </row>
    <row r="30" spans="1:24" s="48" customFormat="1" ht="45" customHeight="1">
      <c r="A30" s="53" t="s">
        <v>73</v>
      </c>
      <c r="B30" s="61" t="s">
        <v>74</v>
      </c>
      <c r="C30" s="66">
        <v>15</v>
      </c>
      <c r="D30" s="50">
        <v>534.93837680832996</v>
      </c>
      <c r="E30" s="36">
        <v>8024.0756521249496</v>
      </c>
      <c r="F30" s="43"/>
      <c r="G30" s="36">
        <f>'[1]HT-ADMINISTRATIVOS'!G36</f>
        <v>385.5</v>
      </c>
      <c r="H30" s="36">
        <f>'[1]HT-ADMINISTRATIVOS'!H36</f>
        <v>0</v>
      </c>
      <c r="I30" s="36">
        <f>'[1]HT-ADMINISTRATIVOS'!J36</f>
        <v>0</v>
      </c>
      <c r="J30" s="37">
        <f>'[1]HT-ADMINISTRATIVOS'!I36</f>
        <v>0</v>
      </c>
      <c r="K30" s="36">
        <f t="shared" si="4"/>
        <v>8024.0756521249496</v>
      </c>
      <c r="L30" s="36">
        <f>K30+G30</f>
        <v>8409.5756521249496</v>
      </c>
      <c r="M30" s="28">
        <f>IF('[1]Calculo ISR '!$AH$34&lt;0,0,'[1]Calculo ISR '!$AH$34)</f>
        <v>1166.7533832938893</v>
      </c>
      <c r="N30" s="38">
        <f>E30*P4</f>
        <v>842.52794347311965</v>
      </c>
      <c r="O30" s="38">
        <f>'[1]HT-ADMINISTRATIVOS'!P36</f>
        <v>0</v>
      </c>
      <c r="P30" s="38">
        <f>'[1]HT-ADMINISTRATIVOS'!Q36</f>
        <v>0</v>
      </c>
      <c r="Q30" s="38">
        <f>'[1]HT-ADMINISTRATIVOS'!R36</f>
        <v>0</v>
      </c>
      <c r="R30" s="38">
        <f>'[1]HT-ADMINISTRATIVOS'!S36</f>
        <v>0</v>
      </c>
      <c r="S30" s="36">
        <f t="shared" si="3"/>
        <v>2009.281326767009</v>
      </c>
      <c r="T30" s="28">
        <f>IF('[1]Calculo ISR '!$AH$34&gt;0,0,'[1]Calculo ISR '!$AH$34)*-1</f>
        <v>0</v>
      </c>
      <c r="U30" s="36">
        <f t="shared" si="5"/>
        <v>6014.7943253579406</v>
      </c>
      <c r="V30" s="36">
        <f>G30</f>
        <v>385.5</v>
      </c>
      <c r="W30" s="67"/>
      <c r="X30" s="47"/>
    </row>
    <row r="31" spans="1:24" s="48" customFormat="1" ht="45" customHeight="1">
      <c r="A31" s="68" t="s">
        <v>75</v>
      </c>
      <c r="B31" s="61" t="s">
        <v>76</v>
      </c>
      <c r="C31" s="66">
        <v>15</v>
      </c>
      <c r="D31" s="50">
        <v>141.57938707</v>
      </c>
      <c r="E31" s="36">
        <v>2123.69080605</v>
      </c>
      <c r="F31" s="43"/>
      <c r="G31" s="36">
        <f>'[1]HT-ADMINISTRATIVOS'!G37</f>
        <v>385.5</v>
      </c>
      <c r="H31" s="36">
        <f>'[1]HT-ADMINISTRATIVOS'!H37</f>
        <v>0</v>
      </c>
      <c r="I31" s="36">
        <f>'[1]HT-ADMINISTRATIVOS'!J37</f>
        <v>0</v>
      </c>
      <c r="J31" s="37">
        <f>'[1]HT-ADMINISTRATIVOS'!I37</f>
        <v>0</v>
      </c>
      <c r="K31" s="36">
        <f t="shared" si="4"/>
        <v>2123.69080605</v>
      </c>
      <c r="L31" s="36">
        <f>K31+G31+T31</f>
        <v>2570.9163343517598</v>
      </c>
      <c r="M31" s="28">
        <f>IF('[1]Calculo ISR '!$AI$34&lt;0,0,'[1]Calculo ISR '!$AI$34)</f>
        <v>0</v>
      </c>
      <c r="N31" s="38">
        <f>E31*P4</f>
        <v>222.98753463525</v>
      </c>
      <c r="O31" s="38">
        <f>'[1]HT-ADMINISTRATIVOS'!P37</f>
        <v>0</v>
      </c>
      <c r="P31" s="38">
        <f>'[1]HT-ADMINISTRATIVOS'!Q37</f>
        <v>0</v>
      </c>
      <c r="Q31" s="38">
        <f>'[1]HT-ADMINISTRATIVOS'!R37</f>
        <v>0</v>
      </c>
      <c r="R31" s="38">
        <f>E31*O4</f>
        <v>21.236908060499999</v>
      </c>
      <c r="S31" s="36">
        <f t="shared" si="3"/>
        <v>244.22444269574999</v>
      </c>
      <c r="T31" s="28">
        <f>IF('[1]Calculo ISR '!$AI$34&gt;0,0,'[1]Calculo ISR '!$AI$34)*-1</f>
        <v>61.725528301760008</v>
      </c>
      <c r="U31" s="36">
        <f t="shared" si="5"/>
        <v>1941.1918916560101</v>
      </c>
      <c r="V31" s="36">
        <f>G31</f>
        <v>385.5</v>
      </c>
      <c r="W31" s="67"/>
      <c r="X31" s="47"/>
    </row>
    <row r="32" spans="1:24" s="81" customFormat="1" ht="45" customHeight="1">
      <c r="A32" s="69" t="s">
        <v>77</v>
      </c>
      <c r="B32" s="70" t="s">
        <v>78</v>
      </c>
      <c r="C32" s="71">
        <v>15</v>
      </c>
      <c r="D32" s="72">
        <v>873.012693639492</v>
      </c>
      <c r="E32" s="73">
        <v>13095.19040459238</v>
      </c>
      <c r="F32" s="73">
        <f>'[1]HT-ADMINISTRATIVOS'!F38</f>
        <v>0</v>
      </c>
      <c r="G32" s="73">
        <v>385.5</v>
      </c>
      <c r="H32" s="73">
        <f>'[1]HT-ADMINISTRATIVOS'!H38</f>
        <v>0</v>
      </c>
      <c r="I32" s="73">
        <f>'[1]HT-ADMINISTRATIVOS'!I38</f>
        <v>0</v>
      </c>
      <c r="J32" s="73">
        <f>'[1]HT-ADMINISTRATIVOS'!J38</f>
        <v>0</v>
      </c>
      <c r="K32" s="73">
        <f t="shared" si="4"/>
        <v>13095.19040459238</v>
      </c>
      <c r="L32" s="73">
        <f>K32+G32</f>
        <v>13480.69040459238</v>
      </c>
      <c r="M32" s="28">
        <f>IF('[1]Calculo ISR '!$AJ$34&lt;0,0,'[1]Calculo ISR '!$AJ$34)</f>
        <v>2311.300991160128</v>
      </c>
      <c r="N32" s="73">
        <f>E32*P4</f>
        <v>1374.9949924821999</v>
      </c>
      <c r="O32" s="73">
        <v>1489.84</v>
      </c>
      <c r="P32" s="73">
        <f>'[1]HT-ADMINISTRATIVOS'!Q38</f>
        <v>0</v>
      </c>
      <c r="Q32" s="73">
        <f>'[1]HT-ADMINISTRATIVOS'!R38</f>
        <v>0</v>
      </c>
      <c r="R32" s="73">
        <f>'[1]HT-ADMINISTRATIVOS'!S38</f>
        <v>0</v>
      </c>
      <c r="S32" s="73">
        <f t="shared" ref="S32:S39" si="6">M32+N32+O32+P32+Q32+R32</f>
        <v>5176.135983642328</v>
      </c>
      <c r="T32" s="28">
        <f>IF('[1]Calculo ISR '!$AJ$34&gt;0,0,'[1]Calculo ISR '!$AJ$34)*-1</f>
        <v>0</v>
      </c>
      <c r="U32" s="73">
        <f t="shared" si="5"/>
        <v>7919.0544209500522</v>
      </c>
      <c r="V32" s="73">
        <v>385.5</v>
      </c>
      <c r="W32" s="74"/>
      <c r="X32" s="47"/>
    </row>
    <row r="33" spans="1:26" s="81" customFormat="1" ht="45" customHeight="1">
      <c r="A33" s="53" t="s">
        <v>79</v>
      </c>
      <c r="B33" s="61" t="s">
        <v>80</v>
      </c>
      <c r="C33" s="66">
        <v>15</v>
      </c>
      <c r="D33" s="76">
        <v>534.93837680832996</v>
      </c>
      <c r="E33" s="50">
        <v>8024.0756521249496</v>
      </c>
      <c r="F33" s="50"/>
      <c r="G33" s="77">
        <f>385.5</f>
        <v>385.5</v>
      </c>
      <c r="H33" s="50"/>
      <c r="I33" s="50"/>
      <c r="J33" s="50"/>
      <c r="K33" s="78">
        <f t="shared" si="4"/>
        <v>8024.0756521249496</v>
      </c>
      <c r="L33" s="78">
        <f>K33+G33</f>
        <v>8409.5756521249496</v>
      </c>
      <c r="M33" s="28">
        <f>IF('[1]Calculo ISR '!$AK$34&lt;0,0,'[1]Calculo ISR '!$AK$34)</f>
        <v>1166.7533832938893</v>
      </c>
      <c r="N33" s="79">
        <f>E33*P4</f>
        <v>842.52794347311965</v>
      </c>
      <c r="O33" s="78"/>
      <c r="P33" s="50"/>
      <c r="Q33" s="78"/>
      <c r="R33" s="50"/>
      <c r="S33" s="50">
        <f t="shared" si="6"/>
        <v>2009.281326767009</v>
      </c>
      <c r="T33" s="28">
        <f>IF('[1]Calculo ISR '!$AK$34&gt;0,0,'[1]Calculo ISR '!$AK$34)*-1</f>
        <v>0</v>
      </c>
      <c r="U33" s="79">
        <f>K33-S33</f>
        <v>6014.7943253579406</v>
      </c>
      <c r="V33" s="73">
        <v>385.5</v>
      </c>
      <c r="W33" s="80"/>
      <c r="X33" s="47"/>
    </row>
    <row r="34" spans="1:26" s="81" customFormat="1" ht="45" customHeight="1">
      <c r="A34" s="91" t="s">
        <v>83</v>
      </c>
      <c r="B34" s="139" t="s">
        <v>84</v>
      </c>
      <c r="C34" s="66">
        <v>15</v>
      </c>
      <c r="D34" s="76">
        <v>180.10895980000001</v>
      </c>
      <c r="E34" s="50">
        <v>2701.6343970000003</v>
      </c>
      <c r="F34" s="50"/>
      <c r="G34" s="77">
        <f>385.5</f>
        <v>385.5</v>
      </c>
      <c r="H34" s="50">
        <v>892</v>
      </c>
      <c r="I34" s="50"/>
      <c r="J34" s="50"/>
      <c r="K34" s="78">
        <f t="shared" ref="K34:K39" si="7">E34+F34+H34+I34+J34</f>
        <v>3593.6343970000003</v>
      </c>
      <c r="L34" s="78">
        <f>K34+G34</f>
        <v>3979.1343970000003</v>
      </c>
      <c r="M34" s="28">
        <f>IF('[1]Calculo ISR '!$AM$34&lt;0,0,'[1]Calculo ISR '!$AM$34)</f>
        <v>179.50433439359998</v>
      </c>
      <c r="N34" s="92">
        <f>E34*P4</f>
        <v>283.67161168500002</v>
      </c>
      <c r="O34" s="78"/>
      <c r="P34" s="50"/>
      <c r="Q34" s="78"/>
      <c r="R34" s="50">
        <f>E34*O4</f>
        <v>27.016343970000005</v>
      </c>
      <c r="S34" s="50">
        <f>M34+N34+O34+P34+Q34+R34</f>
        <v>490.19229004859994</v>
      </c>
      <c r="T34" s="28">
        <f>IF('[1]Calculo ISR '!$AM$34&gt;0,0,'[1]Calculo ISR '!$AM$34)*-1</f>
        <v>0</v>
      </c>
      <c r="U34" s="79">
        <f t="shared" ref="U34:U39" si="8">K34-S34+T34</f>
        <v>3103.4421069514001</v>
      </c>
      <c r="V34" s="73">
        <v>385.5</v>
      </c>
      <c r="W34" s="80"/>
      <c r="X34" s="47"/>
    </row>
    <row r="35" spans="1:26" s="81" customFormat="1" ht="45" customHeight="1">
      <c r="A35" s="91" t="s">
        <v>85</v>
      </c>
      <c r="B35" s="139" t="s">
        <v>86</v>
      </c>
      <c r="C35" s="66">
        <v>15</v>
      </c>
      <c r="D35" s="76">
        <v>219.23158179999999</v>
      </c>
      <c r="E35" s="50">
        <v>3288.4737269999996</v>
      </c>
      <c r="F35" s="50"/>
      <c r="G35" s="77">
        <f>385.5</f>
        <v>385.5</v>
      </c>
      <c r="H35" s="50">
        <v>446</v>
      </c>
      <c r="I35" s="50"/>
      <c r="J35" s="50"/>
      <c r="K35" s="78">
        <f t="shared" si="7"/>
        <v>3734.4737269999996</v>
      </c>
      <c r="L35" s="78">
        <f>K35+G35</f>
        <v>4119.9737269999996</v>
      </c>
      <c r="M35" s="28">
        <f>IF('[1]Calculo ISR '!$AN$34&lt;0,0,'[1]Calculo ISR '!$AN$34)</f>
        <v>306.60419631999991</v>
      </c>
      <c r="N35" s="92">
        <f>E35*P4</f>
        <v>345.28974133499992</v>
      </c>
      <c r="O35" s="78"/>
      <c r="P35" s="50"/>
      <c r="Q35" s="78"/>
      <c r="R35" s="50">
        <v>0</v>
      </c>
      <c r="S35" s="50">
        <f t="shared" si="6"/>
        <v>651.89393765499983</v>
      </c>
      <c r="T35" s="28">
        <f>IF('[1]Calculo ISR '!$AN$34&gt;0,0,'[1]Calculo ISR '!$AN$34)*-1</f>
        <v>0</v>
      </c>
      <c r="U35" s="79">
        <f t="shared" si="8"/>
        <v>3082.5797893449999</v>
      </c>
      <c r="V35" s="73">
        <v>385.5</v>
      </c>
      <c r="W35" s="80"/>
      <c r="X35" s="47"/>
    </row>
    <row r="36" spans="1:26" s="81" customFormat="1" ht="45" customHeight="1">
      <c r="A36" s="91" t="s">
        <v>87</v>
      </c>
      <c r="B36" s="91" t="s">
        <v>88</v>
      </c>
      <c r="C36" s="66">
        <v>15</v>
      </c>
      <c r="D36" s="76">
        <v>534.93837680832996</v>
      </c>
      <c r="E36" s="50">
        <f>E33</f>
        <v>8024.0756521249496</v>
      </c>
      <c r="F36" s="50"/>
      <c r="G36" s="77">
        <v>385.5</v>
      </c>
      <c r="H36" s="50"/>
      <c r="I36" s="50"/>
      <c r="J36" s="50"/>
      <c r="K36" s="78">
        <f t="shared" si="7"/>
        <v>8024.0756521249496</v>
      </c>
      <c r="L36" s="78">
        <f>K36+G36+T36</f>
        <v>8409.5756521249496</v>
      </c>
      <c r="M36" s="28">
        <f>IF('[1]Calculo ISR '!$AO$34&lt;0,0,'[1]Calculo ISR '!$AO$34)</f>
        <v>1166.7533832938893</v>
      </c>
      <c r="N36" s="92">
        <f>E36*P4</f>
        <v>842.52794347311965</v>
      </c>
      <c r="O36" s="78">
        <v>1338</v>
      </c>
      <c r="P36" s="50"/>
      <c r="Q36" s="78"/>
      <c r="R36" s="50"/>
      <c r="S36" s="50">
        <f t="shared" si="6"/>
        <v>3347.281326767009</v>
      </c>
      <c r="T36" s="28">
        <f>IF('[1]Calculo ISR '!$AO$34&gt;0,0,'[1]Calculo ISR '!$AO$34)*-1</f>
        <v>0</v>
      </c>
      <c r="U36" s="79">
        <f t="shared" si="8"/>
        <v>4676.7943253579406</v>
      </c>
      <c r="V36" s="73">
        <f t="shared" ref="V36:V44" si="9">G36</f>
        <v>385.5</v>
      </c>
      <c r="W36" s="80"/>
      <c r="X36" s="47"/>
    </row>
    <row r="37" spans="1:26" s="81" customFormat="1" ht="45" customHeight="1">
      <c r="A37" s="91" t="s">
        <v>89</v>
      </c>
      <c r="B37" s="91" t="s">
        <v>90</v>
      </c>
      <c r="C37" s="66">
        <v>15</v>
      </c>
      <c r="D37" s="76">
        <v>171.34</v>
      </c>
      <c r="E37" s="50">
        <f>C37*D37</f>
        <v>2570.1</v>
      </c>
      <c r="F37" s="50"/>
      <c r="G37" s="77">
        <v>385.5</v>
      </c>
      <c r="H37" s="50"/>
      <c r="I37" s="50"/>
      <c r="J37" s="50"/>
      <c r="K37" s="78">
        <f t="shared" si="7"/>
        <v>2570.1</v>
      </c>
      <c r="L37" s="78">
        <f>K37+G37</f>
        <v>2955.6</v>
      </c>
      <c r="M37" s="28">
        <f>IF('[1]Calculo ISR '!$AP$34&lt;0,0,'[1]Calculo ISR '!$AP$34)</f>
        <v>15.193791999999974</v>
      </c>
      <c r="N37" s="92">
        <f>E37*P4</f>
        <v>269.8605</v>
      </c>
      <c r="O37" s="78"/>
      <c r="P37" s="50"/>
      <c r="Q37" s="78"/>
      <c r="R37" s="50"/>
      <c r="S37" s="50">
        <f t="shared" si="6"/>
        <v>285.05429199999998</v>
      </c>
      <c r="T37" s="28">
        <f>IF('[1]Calculo ISR '!$AP$34&gt;0,0,'[1]Calculo ISR '!$AP$34)*-1</f>
        <v>0</v>
      </c>
      <c r="U37" s="79">
        <f t="shared" si="8"/>
        <v>2285.0457080000001</v>
      </c>
      <c r="V37" s="73">
        <f t="shared" si="9"/>
        <v>385.5</v>
      </c>
      <c r="W37" s="80"/>
      <c r="X37" s="47"/>
    </row>
    <row r="38" spans="1:26" s="81" customFormat="1" ht="45" customHeight="1">
      <c r="A38" s="91" t="s">
        <v>91</v>
      </c>
      <c r="B38" s="91" t="s">
        <v>92</v>
      </c>
      <c r="C38" s="66">
        <v>15</v>
      </c>
      <c r="D38" s="76">
        <v>131.36093080000001</v>
      </c>
      <c r="E38" s="50">
        <v>1970.4139620000001</v>
      </c>
      <c r="F38" s="50"/>
      <c r="G38" s="77">
        <v>385.5</v>
      </c>
      <c r="H38" s="50"/>
      <c r="I38" s="50"/>
      <c r="J38" s="50"/>
      <c r="K38" s="78">
        <f t="shared" si="7"/>
        <v>1970.4139620000001</v>
      </c>
      <c r="L38" s="78">
        <f>K38+G38+T38</f>
        <v>2429.5253084320002</v>
      </c>
      <c r="M38" s="28">
        <f>IF('[1]Calculo ISR '!$AQ$34&lt;0,0,'[1]Calculo ISR '!$AQ$34)</f>
        <v>0</v>
      </c>
      <c r="N38" s="92">
        <f>E38*P4</f>
        <v>206.89346601</v>
      </c>
      <c r="O38" s="78">
        <v>493</v>
      </c>
      <c r="P38" s="50"/>
      <c r="Q38" s="78"/>
      <c r="R38" s="50"/>
      <c r="S38" s="50">
        <f t="shared" si="6"/>
        <v>699.89346601</v>
      </c>
      <c r="T38" s="28">
        <f>IF('[1]Calculo ISR '!$AQ$34&gt;0,0,'[1]Calculo ISR '!$AQ$34)*-1</f>
        <v>73.611346431999976</v>
      </c>
      <c r="U38" s="79">
        <f t="shared" si="8"/>
        <v>1344.1318424220001</v>
      </c>
      <c r="V38" s="73">
        <f t="shared" si="9"/>
        <v>385.5</v>
      </c>
      <c r="W38" s="80"/>
      <c r="X38" s="47"/>
    </row>
    <row r="39" spans="1:26" s="81" customFormat="1" ht="45" customHeight="1">
      <c r="A39" s="91" t="s">
        <v>93</v>
      </c>
      <c r="B39" s="91" t="s">
        <v>94</v>
      </c>
      <c r="C39" s="66">
        <v>15</v>
      </c>
      <c r="D39" s="76">
        <v>131.36093080000001</v>
      </c>
      <c r="E39" s="50">
        <v>1970.4139620000001</v>
      </c>
      <c r="F39" s="50"/>
      <c r="G39" s="77">
        <v>385.5</v>
      </c>
      <c r="H39" s="50"/>
      <c r="I39" s="50"/>
      <c r="J39" s="50"/>
      <c r="K39" s="78">
        <f t="shared" si="7"/>
        <v>1970.4139620000001</v>
      </c>
      <c r="L39" s="78">
        <f>K39+G39+T39</f>
        <v>2429.5253084320002</v>
      </c>
      <c r="M39" s="28">
        <f>IF('[1]Calculo ISR '!$AR$34&lt;0,0,'[1]Calculo ISR '!$AR$34)</f>
        <v>0</v>
      </c>
      <c r="N39" s="92">
        <f>E39*P4</f>
        <v>206.89346601</v>
      </c>
      <c r="O39" s="78"/>
      <c r="P39" s="50"/>
      <c r="Q39" s="78"/>
      <c r="R39" s="50"/>
      <c r="S39" s="50">
        <f t="shared" si="6"/>
        <v>206.89346601</v>
      </c>
      <c r="T39" s="28">
        <f>IF('[1]Calculo ISR '!$AR$34&gt;0,0,'[1]Calculo ISR '!$AR$34)*-1</f>
        <v>73.611346431999976</v>
      </c>
      <c r="U39" s="79">
        <f t="shared" si="8"/>
        <v>1837.1318424220001</v>
      </c>
      <c r="V39" s="73">
        <f t="shared" si="9"/>
        <v>385.5</v>
      </c>
      <c r="W39" s="80"/>
      <c r="X39" s="47"/>
    </row>
    <row r="40" spans="1:26" s="81" customFormat="1" ht="45" customHeight="1">
      <c r="A40" s="91" t="s">
        <v>95</v>
      </c>
      <c r="B40" s="91" t="s">
        <v>96</v>
      </c>
      <c r="C40" s="66">
        <v>15</v>
      </c>
      <c r="D40" s="76">
        <v>754.54</v>
      </c>
      <c r="E40" s="50">
        <f>C40*D40</f>
        <v>11318.099999999999</v>
      </c>
      <c r="F40" s="50"/>
      <c r="G40" s="77">
        <v>385.5</v>
      </c>
      <c r="H40" s="50"/>
      <c r="I40" s="50"/>
      <c r="J40" s="50"/>
      <c r="K40" s="78">
        <f>E40+H40+I40+J40</f>
        <v>11318.099999999999</v>
      </c>
      <c r="L40" s="78">
        <f>K40+G40</f>
        <v>11703.599999999999</v>
      </c>
      <c r="M40" s="28">
        <f>IF('[1]Calculo ISR '!$AS$34&lt;0,0,'[1]Calculo ISR '!$AS$34)</f>
        <v>1893.3293279999998</v>
      </c>
      <c r="N40" s="92">
        <f>E40*P4</f>
        <v>1188.4004999999997</v>
      </c>
      <c r="O40" s="78"/>
      <c r="P40" s="50"/>
      <c r="Q40" s="78"/>
      <c r="R40" s="50"/>
      <c r="S40" s="50">
        <f>M40+N40+O40+P40+Q40+R40</f>
        <v>3081.7298279999995</v>
      </c>
      <c r="T40" s="28">
        <f>IF('[1]Calculo ISR '!$AS$34&gt;0,0,'[1]Calculo ISR '!$AS$34)*-1</f>
        <v>0</v>
      </c>
      <c r="U40" s="79">
        <f>K40-S40</f>
        <v>8236.370171999999</v>
      </c>
      <c r="V40" s="73">
        <f t="shared" si="9"/>
        <v>385.5</v>
      </c>
      <c r="W40" s="80"/>
      <c r="X40" s="47"/>
    </row>
    <row r="41" spans="1:26" s="81" customFormat="1" ht="45" customHeight="1">
      <c r="A41" s="91" t="s">
        <v>97</v>
      </c>
      <c r="B41" s="91" t="s">
        <v>98</v>
      </c>
      <c r="C41" s="66">
        <v>15</v>
      </c>
      <c r="D41" s="76">
        <v>754.54</v>
      </c>
      <c r="E41" s="50">
        <f>D41*C41</f>
        <v>11318.099999999999</v>
      </c>
      <c r="F41" s="50"/>
      <c r="G41" s="77">
        <v>385.5</v>
      </c>
      <c r="H41" s="50"/>
      <c r="I41" s="50"/>
      <c r="J41" s="50"/>
      <c r="K41" s="78">
        <f>E41+H41+I41+J41</f>
        <v>11318.099999999999</v>
      </c>
      <c r="L41" s="78">
        <f>K41+G41</f>
        <v>11703.599999999999</v>
      </c>
      <c r="M41" s="28">
        <f>IF('[1]Calculo ISR '!$AT$34&lt;0,0,'[1]Calculo ISR '!$AT$34)</f>
        <v>1893.3293279999998</v>
      </c>
      <c r="N41" s="92">
        <f>E41*P4</f>
        <v>1188.4004999999997</v>
      </c>
      <c r="O41" s="78">
        <v>3773</v>
      </c>
      <c r="P41" s="50"/>
      <c r="Q41" s="78"/>
      <c r="R41" s="50"/>
      <c r="S41" s="50">
        <f>M41+N41+O41+P41+Q41+R41</f>
        <v>6854.7298279999995</v>
      </c>
      <c r="T41" s="28">
        <f>IF('[1]Calculo ISR '!$AT$34&gt;0,0,'[1]Calculo ISR '!$AT$34)*-1</f>
        <v>0</v>
      </c>
      <c r="U41" s="79">
        <f>K41-S41</f>
        <v>4463.370171999999</v>
      </c>
      <c r="V41" s="73">
        <f t="shared" si="9"/>
        <v>385.5</v>
      </c>
      <c r="W41" s="80"/>
      <c r="X41" s="47"/>
    </row>
    <row r="42" spans="1:26" s="81" customFormat="1" ht="45" customHeight="1">
      <c r="A42" s="91" t="s">
        <v>99</v>
      </c>
      <c r="B42" s="91" t="s">
        <v>100</v>
      </c>
      <c r="C42" s="66">
        <v>15</v>
      </c>
      <c r="D42" s="76">
        <v>171.34</v>
      </c>
      <c r="E42" s="50">
        <f>C42*D42</f>
        <v>2570.1</v>
      </c>
      <c r="F42" s="50"/>
      <c r="G42" s="77">
        <v>385.5</v>
      </c>
      <c r="H42" s="50"/>
      <c r="I42" s="50"/>
      <c r="J42" s="50"/>
      <c r="K42" s="78">
        <f>E42+F42+H42+I42+J42</f>
        <v>2570.1</v>
      </c>
      <c r="L42" s="78">
        <f>K42+G42</f>
        <v>2955.6</v>
      </c>
      <c r="M42" s="28">
        <f>IF('[1]Calculo ISR '!$AU$34&lt;0,0,'[1]Calculo ISR '!$AU$34)</f>
        <v>15.193791999999974</v>
      </c>
      <c r="N42" s="92">
        <f>E42*P4</f>
        <v>269.8605</v>
      </c>
      <c r="O42" s="78"/>
      <c r="P42" s="50"/>
      <c r="Q42" s="78"/>
      <c r="R42" s="50"/>
      <c r="S42" s="50">
        <f>M42+N42+O42+P42+Q42+R42</f>
        <v>285.05429199999998</v>
      </c>
      <c r="T42" s="28">
        <f>IF('[1]Calculo ISR '!$AU$34&gt;0,0,'[1]Calculo ISR '!$AU$34)*-1</f>
        <v>0</v>
      </c>
      <c r="U42" s="79">
        <f>K42-S42</f>
        <v>2285.0457080000001</v>
      </c>
      <c r="V42" s="73">
        <f t="shared" si="9"/>
        <v>385.5</v>
      </c>
      <c r="W42" s="80"/>
      <c r="X42" s="47"/>
    </row>
    <row r="43" spans="1:26" s="81" customFormat="1" ht="45" customHeight="1">
      <c r="A43" s="91" t="s">
        <v>101</v>
      </c>
      <c r="B43" s="91" t="s">
        <v>121</v>
      </c>
      <c r="C43" s="66">
        <v>15</v>
      </c>
      <c r="D43" s="76">
        <v>754.54</v>
      </c>
      <c r="E43" s="50">
        <f>C43*D43</f>
        <v>11318.099999999999</v>
      </c>
      <c r="F43" s="50"/>
      <c r="G43" s="77">
        <v>385.5</v>
      </c>
      <c r="H43" s="50"/>
      <c r="I43" s="50"/>
      <c r="J43" s="50"/>
      <c r="K43" s="78">
        <f>E43+F43+H43+I43+J43</f>
        <v>11318.099999999999</v>
      </c>
      <c r="L43" s="78">
        <f>K43+G43</f>
        <v>11703.599999999999</v>
      </c>
      <c r="M43" s="28">
        <f>IF('[1]Calculo ISR '!$AV$34&lt;0,0,'[1]Calculo ISR '!$AV$34)</f>
        <v>1893.3293279999998</v>
      </c>
      <c r="N43" s="92">
        <f>E43*P4</f>
        <v>1188.4004999999997</v>
      </c>
      <c r="O43" s="78"/>
      <c r="P43" s="50"/>
      <c r="Q43" s="78"/>
      <c r="R43" s="50"/>
      <c r="S43" s="50">
        <f>M43+N43+O43+P43+Q43+R43</f>
        <v>3081.7298279999995</v>
      </c>
      <c r="T43" s="28">
        <f>IF('[1]Calculo ISR '!$AV$34&gt;0,0,'[1]Calculo ISR '!$AV$34)*-1</f>
        <v>0</v>
      </c>
      <c r="U43" s="79">
        <f>K43-S43</f>
        <v>8236.370171999999</v>
      </c>
      <c r="V43" s="73">
        <f t="shared" si="9"/>
        <v>385.5</v>
      </c>
      <c r="W43" s="80"/>
      <c r="X43" s="47"/>
    </row>
    <row r="44" spans="1:26" s="81" customFormat="1" ht="45" customHeight="1">
      <c r="A44" s="91" t="s">
        <v>103</v>
      </c>
      <c r="B44" s="91" t="s">
        <v>122</v>
      </c>
      <c r="C44" s="66">
        <v>15</v>
      </c>
      <c r="D44" s="76">
        <v>171.34</v>
      </c>
      <c r="E44" s="50">
        <f>C44*D44</f>
        <v>2570.1</v>
      </c>
      <c r="F44" s="50"/>
      <c r="G44" s="77">
        <v>385.5</v>
      </c>
      <c r="H44" s="50"/>
      <c r="I44" s="50"/>
      <c r="J44" s="50"/>
      <c r="K44" s="78">
        <f>E44+F44+H44+I44+J44</f>
        <v>2570.1</v>
      </c>
      <c r="L44" s="78">
        <f>K44+G44</f>
        <v>2955.6</v>
      </c>
      <c r="M44" s="28">
        <v>15.19</v>
      </c>
      <c r="N44" s="92">
        <f>E44*P4</f>
        <v>269.8605</v>
      </c>
      <c r="O44" s="78"/>
      <c r="P44" s="50"/>
      <c r="Q44" s="78"/>
      <c r="R44" s="50"/>
      <c r="S44" s="50">
        <f>M44+N44+O44+P44+Q44+R44</f>
        <v>285.0505</v>
      </c>
      <c r="T44" s="28"/>
      <c r="U44" s="79">
        <f>K44-S44</f>
        <v>2285.0495000000001</v>
      </c>
      <c r="V44" s="73">
        <f t="shared" si="9"/>
        <v>385.5</v>
      </c>
      <c r="W44" s="80"/>
      <c r="X44" s="47"/>
    </row>
    <row r="45" spans="1:26" s="99" customFormat="1" ht="21.95" customHeight="1">
      <c r="A45" s="93"/>
      <c r="B45" s="94">
        <v>37</v>
      </c>
      <c r="C45" s="95">
        <f>SUM(C7:C44)</f>
        <v>555</v>
      </c>
      <c r="D45" s="95">
        <f t="shared" ref="D45:V45" si="10">SUM(D7:D44)</f>
        <v>12328.053625151217</v>
      </c>
      <c r="E45" s="95">
        <f>SUM(E7:E44)</f>
        <v>184920.80437726821</v>
      </c>
      <c r="F45" s="95">
        <f t="shared" si="10"/>
        <v>0</v>
      </c>
      <c r="G45" s="95">
        <f t="shared" si="10"/>
        <v>14263.5</v>
      </c>
      <c r="H45" s="95">
        <f t="shared" si="10"/>
        <v>4460</v>
      </c>
      <c r="I45" s="95">
        <f t="shared" si="10"/>
        <v>0</v>
      </c>
      <c r="J45" s="95">
        <f t="shared" si="10"/>
        <v>1848.4761786091169</v>
      </c>
      <c r="K45" s="95">
        <f t="shared" si="10"/>
        <v>191229.28055587734</v>
      </c>
      <c r="L45" s="95">
        <f t="shared" si="10"/>
        <v>205800.53907417998</v>
      </c>
      <c r="M45" s="96">
        <f t="shared" si="10"/>
        <v>21400.583509412456</v>
      </c>
      <c r="N45" s="95">
        <f>SUM(N7:N44)</f>
        <v>19416.684459613163</v>
      </c>
      <c r="O45" s="95">
        <f t="shared" si="10"/>
        <v>25676.04</v>
      </c>
      <c r="P45" s="95">
        <f t="shared" si="10"/>
        <v>0</v>
      </c>
      <c r="Q45" s="95">
        <f t="shared" si="10"/>
        <v>0</v>
      </c>
      <c r="R45" s="95">
        <f t="shared" si="10"/>
        <v>583.98062260958716</v>
      </c>
      <c r="S45" s="95">
        <f t="shared" si="10"/>
        <v>67077.288591635181</v>
      </c>
      <c r="T45" s="95">
        <f t="shared" si="10"/>
        <v>307.75851830263997</v>
      </c>
      <c r="U45" s="95">
        <f t="shared" si="10"/>
        <v>124459.75048254477</v>
      </c>
      <c r="V45" s="95">
        <f t="shared" si="10"/>
        <v>14263.5</v>
      </c>
      <c r="W45" s="97"/>
      <c r="X45" s="98"/>
    </row>
    <row r="46" spans="1:26" s="6" customFormat="1" ht="5.25" customHeight="1">
      <c r="A46" s="122"/>
      <c r="B46" s="123"/>
      <c r="C46" s="124"/>
      <c r="D46" s="101"/>
      <c r="E46" s="101">
        <f>E45+'[1]HT-DOCENTE FIRMA'!E33</f>
        <v>281153.30437726818</v>
      </c>
      <c r="F46" s="101"/>
      <c r="G46" s="125">
        <f>G45+'[9]HT-DOCENTE FIRMA'!J40</f>
        <v>21512.78</v>
      </c>
      <c r="H46" s="125">
        <f>H45+'[9]HT-DOCENTE FIRMA'!L40</f>
        <v>6099.05</v>
      </c>
      <c r="I46" s="101"/>
      <c r="J46" s="101">
        <f>J45+'[9]HT-DOCENTE FIRMA'!M40</f>
        <v>2439.0211786091168</v>
      </c>
      <c r="K46" s="101"/>
      <c r="L46" s="101"/>
      <c r="M46" s="5">
        <f>M45+'[9]HT-DOCENTE FIRMA'!P40</f>
        <v>32712.582205412458</v>
      </c>
      <c r="N46" s="101"/>
      <c r="O46" s="101"/>
      <c r="P46" s="101"/>
      <c r="Q46" s="101"/>
      <c r="R46" s="101"/>
      <c r="S46" s="101"/>
      <c r="T46" s="101"/>
      <c r="U46" s="101">
        <f>U45+'[9]HT-DOCENTE FIRMA'!X40</f>
        <v>212420.66009254477</v>
      </c>
      <c r="V46" s="101"/>
      <c r="W46" s="126"/>
      <c r="X46" s="5"/>
    </row>
    <row r="47" spans="1:26" s="6" customFormat="1" ht="5.25" customHeight="1">
      <c r="A47" s="122"/>
      <c r="B47" s="123"/>
      <c r="C47" s="124"/>
      <c r="D47" s="101"/>
      <c r="E47" s="101">
        <f>E45+'[9]HT-DOCENTE FIRMA'!I40</f>
        <v>301393.80437726818</v>
      </c>
      <c r="F47" s="101"/>
      <c r="G47" s="125"/>
      <c r="H47" s="125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26"/>
      <c r="X47" s="5"/>
      <c r="Z47" s="5"/>
    </row>
    <row r="48" spans="1:26" s="6" customFormat="1" ht="5.25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26"/>
      <c r="X48" s="5"/>
    </row>
    <row r="49" spans="1:24" s="6" customFormat="1" ht="5.25" customHeight="1">
      <c r="A49" s="129"/>
      <c r="B49" s="130"/>
      <c r="C49" s="131"/>
      <c r="D49" s="132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5"/>
    </row>
    <row r="50" spans="1:24" ht="15" customHeight="1">
      <c r="A50" s="110" t="s">
        <v>105</v>
      </c>
      <c r="B50" s="110"/>
      <c r="C50" s="110"/>
      <c r="D50" s="111"/>
      <c r="E50" s="109"/>
      <c r="F50" s="113" t="s">
        <v>106</v>
      </c>
      <c r="G50" s="112"/>
      <c r="H50" s="112"/>
      <c r="I50" s="112"/>
      <c r="K50" s="113"/>
      <c r="L50" s="114"/>
      <c r="O50" s="115"/>
      <c r="P50" s="115"/>
      <c r="Q50" s="115"/>
      <c r="R50" s="115"/>
      <c r="S50" s="111" t="s">
        <v>107</v>
      </c>
      <c r="T50" s="111"/>
      <c r="U50" s="111"/>
      <c r="V50" s="111"/>
      <c r="W50" s="111"/>
      <c r="X50" s="100"/>
    </row>
    <row r="51" spans="1:24" hidden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03"/>
      <c r="L51" s="103"/>
      <c r="O51" s="103"/>
      <c r="P51" s="115"/>
      <c r="Q51" s="103"/>
      <c r="R51" s="103"/>
      <c r="S51" s="111"/>
      <c r="T51" s="111"/>
      <c r="U51" s="111"/>
      <c r="V51" s="111"/>
      <c r="W51" s="111"/>
      <c r="X51" s="100"/>
    </row>
    <row r="52" spans="1:24" hidden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09"/>
      <c r="L52" s="109"/>
      <c r="O52" s="109"/>
      <c r="P52" s="109"/>
      <c r="Q52" s="109"/>
      <c r="R52" s="109"/>
      <c r="S52" s="111"/>
      <c r="T52" s="111"/>
      <c r="U52" s="111"/>
      <c r="V52" s="111"/>
      <c r="W52" s="111"/>
      <c r="X52" s="100"/>
    </row>
    <row r="53" spans="1:24">
      <c r="A53" s="111"/>
      <c r="B53" s="113" t="s">
        <v>108</v>
      </c>
      <c r="C53" s="111"/>
      <c r="D53" s="111"/>
      <c r="E53" s="116"/>
      <c r="F53" s="118" t="s">
        <v>109</v>
      </c>
      <c r="G53" s="117"/>
      <c r="H53" s="117"/>
      <c r="I53" s="117"/>
      <c r="K53" s="118"/>
      <c r="L53" s="118"/>
      <c r="O53" s="109"/>
      <c r="P53" s="109"/>
      <c r="Q53" s="116"/>
      <c r="R53" s="109"/>
      <c r="S53" s="117" t="s">
        <v>110</v>
      </c>
      <c r="T53" s="117"/>
      <c r="U53" s="117"/>
      <c r="V53" s="117"/>
      <c r="W53" s="111"/>
      <c r="X53" s="100"/>
    </row>
    <row r="54" spans="1:24" ht="15" customHeight="1">
      <c r="A54" s="110" t="s">
        <v>111</v>
      </c>
      <c r="B54" s="110"/>
      <c r="C54" s="110"/>
      <c r="D54" s="111"/>
      <c r="E54" s="109"/>
      <c r="F54" s="118" t="s">
        <v>112</v>
      </c>
      <c r="G54" s="117"/>
      <c r="H54" s="117"/>
      <c r="I54" s="117"/>
      <c r="K54" s="118"/>
      <c r="L54" s="118"/>
      <c r="O54" s="109"/>
      <c r="P54" s="109"/>
      <c r="Q54" s="109"/>
      <c r="R54" s="109"/>
      <c r="S54" s="119" t="s">
        <v>113</v>
      </c>
      <c r="T54" s="119"/>
      <c r="U54" s="119"/>
      <c r="V54" s="118"/>
      <c r="W54" s="111"/>
      <c r="X54" s="100"/>
    </row>
    <row r="55" spans="1:24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16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307" spans="99:99">
      <c r="CU307" s="1" t="s">
        <v>114</v>
      </c>
    </row>
  </sheetData>
  <mergeCells count="3">
    <mergeCell ref="A50:C50"/>
    <mergeCell ref="A54:C54"/>
    <mergeCell ref="S54:U54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3:CU307"/>
  <sheetViews>
    <sheetView zoomScale="80" zoomScaleNormal="80" workbookViewId="0">
      <pane xSplit="2" ySplit="6" topLeftCell="C40" activePane="bottomRight" state="frozen"/>
      <selection activeCell="S28" sqref="S28"/>
      <selection pane="topRight" activeCell="S28" sqref="S28"/>
      <selection pane="bottomLeft" activeCell="S28" sqref="S28"/>
      <selection pane="bottomRight" activeCell="B8" sqref="B8:B44"/>
    </sheetView>
  </sheetViews>
  <sheetFormatPr baseColWidth="10" defaultRowHeight="12.75"/>
  <cols>
    <col min="1" max="1" width="12.42578125" style="1" customWidth="1"/>
    <col min="2" max="2" width="47.42578125" style="1" customWidth="1"/>
    <col min="3" max="3" width="9.140625" style="1" customWidth="1"/>
    <col min="4" max="4" width="10.85546875" style="1" customWidth="1"/>
    <col min="5" max="5" width="14.42578125" style="1" customWidth="1"/>
    <col min="6" max="6" width="10.28515625" style="1" customWidth="1"/>
    <col min="7" max="7" width="12.7109375" style="1" customWidth="1"/>
    <col min="8" max="8" width="11.5703125" style="1" customWidth="1"/>
    <col min="9" max="9" width="9.28515625" style="1" customWidth="1"/>
    <col min="10" max="10" width="10.140625" style="1" customWidth="1"/>
    <col min="11" max="11" width="12.28515625" style="1" customWidth="1"/>
    <col min="12" max="12" width="11.7109375" style="1" customWidth="1"/>
    <col min="13" max="15" width="11.140625" style="1" hidden="1" customWidth="1"/>
    <col min="16" max="16" width="8.5703125" style="1" hidden="1" customWidth="1"/>
    <col min="17" max="17" width="8.7109375" style="1" hidden="1" customWidth="1"/>
    <col min="18" max="18" width="8.28515625" style="1" hidden="1" customWidth="1"/>
    <col min="19" max="19" width="11.140625" style="1" customWidth="1"/>
    <col min="20" max="20" width="9.42578125" style="1" customWidth="1"/>
    <col min="21" max="21" width="17.140625" style="1" customWidth="1"/>
    <col min="22" max="22" width="12.85546875" style="1" hidden="1" customWidth="1"/>
    <col min="23" max="23" width="35.42578125" style="1" hidden="1" customWidth="1"/>
    <col min="24" max="16384" width="11.42578125" style="1"/>
  </cols>
  <sheetData>
    <row r="3" spans="1:26">
      <c r="B3" s="2"/>
      <c r="I3" s="3"/>
      <c r="J3" s="3"/>
      <c r="K3" s="4"/>
      <c r="L3" s="5" t="s">
        <v>0</v>
      </c>
      <c r="O3" s="6"/>
      <c r="P3" s="6"/>
      <c r="Q3" s="6" t="s">
        <v>1</v>
      </c>
    </row>
    <row r="4" spans="1:26">
      <c r="B4" s="2"/>
      <c r="C4" s="3"/>
      <c r="D4" s="3"/>
      <c r="E4" s="3"/>
      <c r="F4" s="3"/>
      <c r="I4" s="3"/>
      <c r="J4" s="3"/>
      <c r="K4" s="3"/>
      <c r="L4" s="7">
        <v>1.9E-2</v>
      </c>
      <c r="O4" s="8">
        <v>0.01</v>
      </c>
      <c r="P4" s="121">
        <v>0.105</v>
      </c>
      <c r="Q4" s="9">
        <v>3.7999999999999999E-2</v>
      </c>
    </row>
    <row r="5" spans="1:26" ht="13.5" thickBot="1">
      <c r="B5" s="10" t="s">
        <v>2</v>
      </c>
      <c r="C5" s="3"/>
      <c r="D5" s="3"/>
      <c r="E5" s="3"/>
      <c r="F5" s="10" t="s">
        <v>126</v>
      </c>
      <c r="I5" s="3"/>
      <c r="J5" s="3"/>
      <c r="K5" s="3"/>
    </row>
    <row r="6" spans="1:26" s="25" customFormat="1" ht="105.75" customHeight="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8" t="s">
        <v>13</v>
      </c>
      <c r="K6" s="18" t="s">
        <v>14</v>
      </c>
      <c r="L6" s="19" t="s">
        <v>15</v>
      </c>
      <c r="M6" s="20" t="s">
        <v>16</v>
      </c>
      <c r="N6" s="20" t="s">
        <v>17</v>
      </c>
      <c r="O6" s="20" t="s">
        <v>18</v>
      </c>
      <c r="P6" s="20" t="s">
        <v>19</v>
      </c>
      <c r="Q6" s="20" t="s">
        <v>20</v>
      </c>
      <c r="R6" s="20" t="s">
        <v>21</v>
      </c>
      <c r="S6" s="20" t="s">
        <v>22</v>
      </c>
      <c r="T6" s="21" t="s">
        <v>23</v>
      </c>
      <c r="U6" s="22" t="s">
        <v>24</v>
      </c>
      <c r="V6" s="23" t="s">
        <v>25</v>
      </c>
      <c r="W6" s="24" t="s">
        <v>26</v>
      </c>
    </row>
    <row r="7" spans="1:26" s="30" customFormat="1" ht="56.25" hidden="1" customHeight="1">
      <c r="A7" s="26"/>
      <c r="B7" s="27"/>
      <c r="C7" s="142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9"/>
      <c r="Z7" s="31"/>
    </row>
    <row r="8" spans="1:26" s="136" customFormat="1" ht="45" customHeight="1">
      <c r="A8" s="32" t="s">
        <v>29</v>
      </c>
      <c r="B8" s="33" t="s">
        <v>30</v>
      </c>
      <c r="C8" s="34">
        <v>15</v>
      </c>
      <c r="D8" s="35">
        <v>754.53875970000001</v>
      </c>
      <c r="E8" s="36">
        <v>11318.081395499999</v>
      </c>
      <c r="F8" s="36"/>
      <c r="G8" s="36">
        <v>385.5</v>
      </c>
      <c r="H8" s="36">
        <f>'[1]HT-ADMINISTRATIVOS'!H10</f>
        <v>446</v>
      </c>
      <c r="I8" s="36">
        <f>'[1]HT-ADMINISTRATIVOS'!J10</f>
        <v>0</v>
      </c>
      <c r="J8" s="37">
        <f>E8*Q4</f>
        <v>430.08709302899996</v>
      </c>
      <c r="K8" s="36">
        <f>E8+F8+H8+I8+J8</f>
        <v>12194.168488529</v>
      </c>
      <c r="L8" s="36">
        <f t="shared" ref="L8:L12" si="0">K8+G8</f>
        <v>12579.668488529</v>
      </c>
      <c r="M8" s="28">
        <f>IF('[1]Calculo ISR '!$L$34&lt;0,0,'[1]Calculo ISR '!$L$34)</f>
        <v>2099.3806365020209</v>
      </c>
      <c r="N8" s="38">
        <f>E8*P4</f>
        <v>1188.3985465275</v>
      </c>
      <c r="O8" s="38"/>
      <c r="P8" s="38">
        <f>'[1]HT-ADMINISTRATIVOS'!Q10</f>
        <v>0</v>
      </c>
      <c r="Q8" s="38"/>
      <c r="R8" s="38">
        <f>'[1]HT-ADMINISTRATIVOS'!S10</f>
        <v>0</v>
      </c>
      <c r="S8" s="36">
        <f>M8+N8+O8+P8+Q8+R8</f>
        <v>3287.7791830295209</v>
      </c>
      <c r="T8" s="28">
        <f>IF('[1]Calculo ISR '!$L$34&gt;0,0,'[1]Calculo ISR '!$L$34)*-1</f>
        <v>0</v>
      </c>
      <c r="U8" s="36">
        <f>K8-S8</f>
        <v>8906.3893054994787</v>
      </c>
      <c r="V8" s="36">
        <f t="shared" ref="V8:V27" si="1">G8</f>
        <v>385.5</v>
      </c>
      <c r="W8" s="46"/>
      <c r="X8" s="47"/>
    </row>
    <row r="9" spans="1:26" s="48" customFormat="1" ht="45" customHeight="1">
      <c r="A9" s="32" t="s">
        <v>31</v>
      </c>
      <c r="B9" s="43" t="s">
        <v>32</v>
      </c>
      <c r="C9" s="34">
        <v>15</v>
      </c>
      <c r="D9" s="35">
        <v>230.34834514817072</v>
      </c>
      <c r="E9" s="36">
        <v>3455.2251772225609</v>
      </c>
      <c r="F9" s="36"/>
      <c r="G9" s="36">
        <f>'[1]HT-ADMINISTRATIVOS'!G11</f>
        <v>385.5</v>
      </c>
      <c r="H9" s="36">
        <f>'[1]HT-ADMINISTRATIVOS'!H11</f>
        <v>0</v>
      </c>
      <c r="I9" s="36">
        <f>'[1]HT-ADMINISTRATIVOS'!J11</f>
        <v>0</v>
      </c>
      <c r="J9" s="37">
        <f>E9*Q4</f>
        <v>131.29855673445732</v>
      </c>
      <c r="K9" s="36">
        <f>E9+F9+H9+I9+J9</f>
        <v>3586.5237339570181</v>
      </c>
      <c r="L9" s="36">
        <f t="shared" si="0"/>
        <v>3972.0237339570181</v>
      </c>
      <c r="M9" s="28">
        <f>IF('[1]Calculo ISR '!$M$34&lt;0,0,'[1]Calculo ISR '!$M$34)</f>
        <v>178.73069425452351</v>
      </c>
      <c r="N9" s="38">
        <f>E9*P4</f>
        <v>362.79864360836888</v>
      </c>
      <c r="O9" s="38">
        <v>959.26</v>
      </c>
      <c r="P9" s="38">
        <f>'[1]HT-ADMINISTRATIVOS'!Q11</f>
        <v>0</v>
      </c>
      <c r="Q9" s="38">
        <f>'[1]HT-ADMINISTRATIVOS'!R11</f>
        <v>0</v>
      </c>
      <c r="R9" s="38">
        <f>E9*O4</f>
        <v>34.55225177222561</v>
      </c>
      <c r="S9" s="36">
        <f>M9+N9+O9+P9+Q9+R9</f>
        <v>1535.341589635118</v>
      </c>
      <c r="T9" s="28">
        <f>IF('[1]Calculo ISR '!$M$34&gt;0,0,'[1]Calculo ISR '!$M$34)*-1</f>
        <v>0</v>
      </c>
      <c r="U9" s="36">
        <f t="shared" ref="U9:U15" si="2">K9-S9+T9</f>
        <v>2051.1821443219001</v>
      </c>
      <c r="V9" s="36">
        <f t="shared" si="1"/>
        <v>385.5</v>
      </c>
      <c r="W9" s="46"/>
      <c r="X9" s="47"/>
    </row>
    <row r="10" spans="1:26" s="48" customFormat="1" ht="45" customHeight="1">
      <c r="A10" s="32" t="s">
        <v>33</v>
      </c>
      <c r="B10" s="45" t="s">
        <v>34</v>
      </c>
      <c r="C10" s="34">
        <v>15</v>
      </c>
      <c r="D10" s="35">
        <v>242.09274535320057</v>
      </c>
      <c r="E10" s="36">
        <v>3631.3911802980087</v>
      </c>
      <c r="F10" s="36"/>
      <c r="G10" s="36">
        <f>'[1]HT-ADMINISTRATIVOS'!G12</f>
        <v>385.5</v>
      </c>
      <c r="H10" s="36">
        <f>'[1]HT-ADMINISTRATIVOS'!H12</f>
        <v>0</v>
      </c>
      <c r="I10" s="36">
        <f>'[1]HT-ADMINISTRATIVOS'!J12</f>
        <v>0</v>
      </c>
      <c r="J10" s="37">
        <f>E10*Q4</f>
        <v>137.99286485132433</v>
      </c>
      <c r="K10" s="36">
        <f>E10+F10+I10+J10</f>
        <v>3769.3840451493329</v>
      </c>
      <c r="L10" s="36">
        <f t="shared" si="0"/>
        <v>4154.8840451493325</v>
      </c>
      <c r="M10" s="28">
        <f>IF('[1]Calculo ISR '!$N$34&lt;0,0,'[1]Calculo ISR '!$N$34)</f>
        <v>312.18984722389325</v>
      </c>
      <c r="N10" s="38">
        <f>E10*P4</f>
        <v>381.29607393129089</v>
      </c>
      <c r="O10" s="38">
        <v>1077.99</v>
      </c>
      <c r="P10" s="38">
        <f>'[1]HT-ADMINISTRATIVOS'!Q12</f>
        <v>0</v>
      </c>
      <c r="Q10" s="38">
        <f>'[1]HT-ADMINISTRATIVOS'!R12</f>
        <v>0</v>
      </c>
      <c r="R10" s="38">
        <f>E10*O4</f>
        <v>36.313911802980087</v>
      </c>
      <c r="S10" s="36">
        <f t="shared" ref="S10:S31" si="3">M10+N10+O10+R10+P10+Q10</f>
        <v>1807.7898329581642</v>
      </c>
      <c r="T10" s="28">
        <f>IF('[1]Calculo ISR '!$N$34&gt;0,0,'[1]Calculo ISR '!$N$34)*-1</f>
        <v>0</v>
      </c>
      <c r="U10" s="36">
        <f t="shared" si="2"/>
        <v>1961.5942121911687</v>
      </c>
      <c r="V10" s="36">
        <f t="shared" si="1"/>
        <v>385.5</v>
      </c>
      <c r="W10" s="46"/>
      <c r="X10" s="47"/>
    </row>
    <row r="11" spans="1:26" s="48" customFormat="1" ht="45" customHeight="1">
      <c r="A11" s="32" t="s">
        <v>35</v>
      </c>
      <c r="B11" s="43" t="s">
        <v>36</v>
      </c>
      <c r="C11" s="34">
        <v>15</v>
      </c>
      <c r="D11" s="35">
        <v>219.22891544903311</v>
      </c>
      <c r="E11" s="36">
        <v>3288.4337317354966</v>
      </c>
      <c r="F11" s="36"/>
      <c r="G11" s="36">
        <f>'[1]HT-ADMINISTRATIVOS'!G13</f>
        <v>385.5</v>
      </c>
      <c r="H11" s="36">
        <f>'[1]HT-ADMINISTRATIVOS'!H13</f>
        <v>0</v>
      </c>
      <c r="I11" s="36">
        <f>'[1]HT-ADMINISTRATIVOS'!J13</f>
        <v>0</v>
      </c>
      <c r="J11" s="37">
        <f>E11*Q4</f>
        <v>124.96048180594887</v>
      </c>
      <c r="K11" s="36">
        <f t="shared" ref="K11:K33" si="4">E11+F11+H11+I11+J11</f>
        <v>3413.3942135414454</v>
      </c>
      <c r="L11" s="36">
        <f t="shared" si="0"/>
        <v>3798.8942135414454</v>
      </c>
      <c r="M11" s="28">
        <f>IF('[1]Calculo ISR '!$O$34&lt;0,0,'[1]Calculo ISR '!$O$34)</f>
        <v>142.19420243330924</v>
      </c>
      <c r="N11" s="38">
        <f>E11*P4</f>
        <v>345.28554183222712</v>
      </c>
      <c r="O11" s="38">
        <v>1462.22</v>
      </c>
      <c r="P11" s="38">
        <f>'[1]HT-ADMINISTRATIVOS'!Q13</f>
        <v>0</v>
      </c>
      <c r="Q11" s="38">
        <f>'[1]HT-ADMINISTRATIVOS'!R13</f>
        <v>0</v>
      </c>
      <c r="R11" s="38">
        <f>E11*O4</f>
        <v>32.884337317354969</v>
      </c>
      <c r="S11" s="36">
        <f t="shared" si="3"/>
        <v>1982.5840815828915</v>
      </c>
      <c r="T11" s="28">
        <f>IF('[1]Calculo ISR '!$O$34&gt;0,0,'[1]Calculo ISR '!$O$34)*-1</f>
        <v>0</v>
      </c>
      <c r="U11" s="36">
        <f t="shared" si="2"/>
        <v>1430.8101319585539</v>
      </c>
      <c r="V11" s="36">
        <f t="shared" si="1"/>
        <v>385.5</v>
      </c>
      <c r="W11" s="46"/>
      <c r="X11" s="47"/>
    </row>
    <row r="12" spans="1:26" s="48" customFormat="1" ht="45" customHeight="1">
      <c r="A12" s="32" t="s">
        <v>37</v>
      </c>
      <c r="B12" s="43" t="s">
        <v>38</v>
      </c>
      <c r="C12" s="34">
        <v>15</v>
      </c>
      <c r="D12" s="49">
        <v>242.09274535320057</v>
      </c>
      <c r="E12" s="36">
        <v>3631.3911802980087</v>
      </c>
      <c r="F12" s="36"/>
      <c r="G12" s="36">
        <f>'[1]HT-ADMINISTRATIVOS'!G14</f>
        <v>385.5</v>
      </c>
      <c r="H12" s="36">
        <f>'[1]HT-ADMINISTRATIVOS'!H14</f>
        <v>0</v>
      </c>
      <c r="I12" s="36">
        <f>'[1]HT-ADMINISTRATIVOS'!J14</f>
        <v>0</v>
      </c>
      <c r="J12" s="37">
        <f>E12*Q4</f>
        <v>137.99286485132433</v>
      </c>
      <c r="K12" s="36">
        <f t="shared" si="4"/>
        <v>3769.3840451493329</v>
      </c>
      <c r="L12" s="36">
        <f t="shared" si="0"/>
        <v>4154.8840451493325</v>
      </c>
      <c r="M12" s="28">
        <f>IF('[1]Calculo ISR '!$P$34&lt;0,0,'[1]Calculo ISR '!$P$34)</f>
        <v>312.18984722389325</v>
      </c>
      <c r="N12" s="38">
        <f>E12*P4</f>
        <v>381.29607393129089</v>
      </c>
      <c r="O12" s="38">
        <v>1170</v>
      </c>
      <c r="P12" s="38">
        <f>'[1]HT-ADMINISTRATIVOS'!Q14</f>
        <v>0</v>
      </c>
      <c r="Q12" s="38">
        <f>'[1]HT-ADMINISTRATIVOS'!R14</f>
        <v>0</v>
      </c>
      <c r="R12" s="38">
        <f>E12*O4</f>
        <v>36.313911802980087</v>
      </c>
      <c r="S12" s="36">
        <f t="shared" si="3"/>
        <v>1899.7998329581642</v>
      </c>
      <c r="T12" s="28">
        <f>IF('[1]Calculo ISR '!$P$34&gt;0,0,'[1]Calculo ISR '!$P$34)*-1</f>
        <v>0</v>
      </c>
      <c r="U12" s="36">
        <f t="shared" si="2"/>
        <v>1869.5842121911687</v>
      </c>
      <c r="V12" s="36">
        <f t="shared" si="1"/>
        <v>385.5</v>
      </c>
      <c r="W12" s="46"/>
      <c r="X12" s="47"/>
    </row>
    <row r="13" spans="1:26" s="48" customFormat="1" ht="45" customHeight="1">
      <c r="A13" s="32" t="s">
        <v>39</v>
      </c>
      <c r="B13" s="43" t="s">
        <v>40</v>
      </c>
      <c r="C13" s="34">
        <v>15</v>
      </c>
      <c r="D13" s="50">
        <v>171.33947607512999</v>
      </c>
      <c r="E13" s="36">
        <v>2570.0921411269501</v>
      </c>
      <c r="F13" s="36"/>
      <c r="G13" s="36">
        <f>'[1]HT-ADMINISTRATIVOS'!G15</f>
        <v>385.5</v>
      </c>
      <c r="H13" s="36">
        <f>'[1]HT-ADMINISTRATIVOS'!H15</f>
        <v>0</v>
      </c>
      <c r="I13" s="36">
        <f>'[1]HT-ADMINISTRATIVOS'!J15</f>
        <v>0</v>
      </c>
      <c r="J13" s="37">
        <f>E13*Q4</f>
        <v>97.663501362824107</v>
      </c>
      <c r="K13" s="36">
        <f t="shared" si="4"/>
        <v>2667.7556424897743</v>
      </c>
      <c r="L13" s="36">
        <f>K13+G13+T13</f>
        <v>3053.2556424897743</v>
      </c>
      <c r="M13" s="28">
        <f>IF('[1]Calculo ISR '!$Q$34&lt;0,0,'[1]Calculo ISR '!$Q$34)</f>
        <v>40.818725902887451</v>
      </c>
      <c r="N13" s="38">
        <f>E13*P4</f>
        <v>269.85967481832972</v>
      </c>
      <c r="O13" s="38">
        <v>584</v>
      </c>
      <c r="P13" s="38">
        <f>'[1]HT-ADMINISTRATIVOS'!Q15</f>
        <v>0</v>
      </c>
      <c r="Q13" s="38">
        <f>'[1]HT-ADMINISTRATIVOS'!R15</f>
        <v>0</v>
      </c>
      <c r="R13" s="38">
        <f>E13*O4</f>
        <v>25.700921411269501</v>
      </c>
      <c r="S13" s="36">
        <f t="shared" si="3"/>
        <v>920.37932213248666</v>
      </c>
      <c r="T13" s="28">
        <f>IF('[1]Calculo ISR '!$Q$34&gt;0,0,'[1]Calculo ISR '!$Q$34)</f>
        <v>0</v>
      </c>
      <c r="U13" s="36">
        <f t="shared" si="2"/>
        <v>1747.3763203572876</v>
      </c>
      <c r="V13" s="36">
        <f t="shared" si="1"/>
        <v>385.5</v>
      </c>
      <c r="W13" s="46"/>
      <c r="X13" s="47"/>
    </row>
    <row r="14" spans="1:26" s="48" customFormat="1" ht="45" customHeight="1">
      <c r="A14" s="32" t="s">
        <v>41</v>
      </c>
      <c r="B14" s="43" t="s">
        <v>42</v>
      </c>
      <c r="C14" s="34">
        <v>15</v>
      </c>
      <c r="D14" s="50">
        <v>163.00161009000001</v>
      </c>
      <c r="E14" s="36">
        <v>2445.02415135</v>
      </c>
      <c r="F14" s="36"/>
      <c r="G14" s="36">
        <f>'[1]HT-ADMINISTRATIVOS'!G16</f>
        <v>385.5</v>
      </c>
      <c r="H14" s="36">
        <f>'[1]HT-ADMINISTRATIVOS'!H16</f>
        <v>0</v>
      </c>
      <c r="I14" s="36">
        <f>'[1]HT-ADMINISTRATIVOS'!J16</f>
        <v>0</v>
      </c>
      <c r="J14" s="37">
        <f>E14*Q4</f>
        <v>92.910917751300005</v>
      </c>
      <c r="K14" s="36">
        <f t="shared" si="4"/>
        <v>2537.9350691013001</v>
      </c>
      <c r="L14" s="36">
        <f>K14+G14+T14</f>
        <v>2923.4350691013001</v>
      </c>
      <c r="M14" s="28">
        <f>IF('[1]Calculo ISR '!$R$34&lt;0,0,'[1]Calculo ISR '!$R$34)</f>
        <v>11.694247518221431</v>
      </c>
      <c r="N14" s="38">
        <f>E14*P4</f>
        <v>256.72753589174999</v>
      </c>
      <c r="O14" s="38">
        <v>625</v>
      </c>
      <c r="P14" s="38">
        <f>'[1]HT-ADMINISTRATIVOS'!Q16</f>
        <v>0</v>
      </c>
      <c r="Q14" s="38">
        <f>'[1]HT-ADMINISTRATIVOS'!R16</f>
        <v>0</v>
      </c>
      <c r="R14" s="38">
        <f>E14*O4</f>
        <v>24.4502415135</v>
      </c>
      <c r="S14" s="36">
        <f t="shared" si="3"/>
        <v>917.87202492347149</v>
      </c>
      <c r="T14" s="28">
        <f>IF('[1]Calculo ISR '!$R$34&gt;0,0,'[1]Calculo ISR '!$R$34)*-1</f>
        <v>0</v>
      </c>
      <c r="U14" s="36">
        <f t="shared" si="2"/>
        <v>1620.0630441778285</v>
      </c>
      <c r="V14" s="36">
        <f t="shared" si="1"/>
        <v>385.5</v>
      </c>
      <c r="W14" s="46"/>
      <c r="X14" s="47"/>
    </row>
    <row r="15" spans="1:26" s="48" customFormat="1" ht="45" customHeight="1">
      <c r="A15" s="33" t="s">
        <v>43</v>
      </c>
      <c r="B15" s="43" t="s">
        <v>44</v>
      </c>
      <c r="C15" s="34">
        <v>15</v>
      </c>
      <c r="D15" s="50">
        <v>534.93837680832996</v>
      </c>
      <c r="E15" s="36">
        <v>8024.0756521249496</v>
      </c>
      <c r="F15" s="36"/>
      <c r="G15" s="36">
        <f>'[1]HT-ADMINISTRATIVOS'!G17</f>
        <v>385.5</v>
      </c>
      <c r="H15" s="36">
        <f>'[1]HT-ADMINISTRATIVOS'!H17</f>
        <v>0</v>
      </c>
      <c r="I15" s="36">
        <f>'[1]HT-ADMINISTRATIVOS'!J17</f>
        <v>0</v>
      </c>
      <c r="J15" s="37">
        <f>E15*L4</f>
        <v>152.45743739037403</v>
      </c>
      <c r="K15" s="36">
        <f t="shared" si="4"/>
        <v>8176.5330895153238</v>
      </c>
      <c r="L15" s="36">
        <f>K15+G15</f>
        <v>8562.0330895153238</v>
      </c>
      <c r="M15" s="28">
        <f>IF('[1]Calculo ISR '!$S$34&lt;0,0,'[1]Calculo ISR '!$S$34)</f>
        <v>1199.3182919204733</v>
      </c>
      <c r="N15" s="38">
        <f>E15*P4</f>
        <v>842.52794347311965</v>
      </c>
      <c r="O15" s="38">
        <v>2675</v>
      </c>
      <c r="P15" s="38">
        <f>'[1]HT-ADMINISTRATIVOS'!Q17</f>
        <v>0</v>
      </c>
      <c r="Q15" s="38">
        <f>'[1]HT-ADMINISTRATIVOS'!R17</f>
        <v>0</v>
      </c>
      <c r="R15" s="38">
        <f>'[1]HT-ADMINISTRATIVOS'!S17</f>
        <v>0</v>
      </c>
      <c r="S15" s="36">
        <f t="shared" si="3"/>
        <v>4716.8462353935929</v>
      </c>
      <c r="T15" s="28">
        <f>IF('[1]Calculo ISR '!$S$34&gt;0,0,'[1]Calculo ISR '!$S$34)*-1</f>
        <v>0</v>
      </c>
      <c r="U15" s="36">
        <f t="shared" si="2"/>
        <v>3459.6868541217309</v>
      </c>
      <c r="V15" s="36">
        <f t="shared" si="1"/>
        <v>385.5</v>
      </c>
      <c r="W15" s="51"/>
      <c r="X15" s="52"/>
    </row>
    <row r="16" spans="1:26" s="48" customFormat="1" ht="45" customHeight="1">
      <c r="A16" s="33" t="s">
        <v>45</v>
      </c>
      <c r="B16" s="43" t="s">
        <v>46</v>
      </c>
      <c r="C16" s="34">
        <v>15</v>
      </c>
      <c r="D16" s="50">
        <v>267.35834171124986</v>
      </c>
      <c r="E16" s="36">
        <v>4010.3751256687478</v>
      </c>
      <c r="F16" s="36"/>
      <c r="G16" s="36">
        <v>385.5</v>
      </c>
      <c r="H16" s="36">
        <f>'[1]HT-ADMINISTRATIVOS'!H18</f>
        <v>0</v>
      </c>
      <c r="I16" s="36">
        <f>'[1]HT-ADMINISTRATIVOS'!J18</f>
        <v>0</v>
      </c>
      <c r="J16" s="37">
        <f>E16*L4</f>
        <v>76.197127387706203</v>
      </c>
      <c r="K16" s="36">
        <f t="shared" si="4"/>
        <v>4086.572253056454</v>
      </c>
      <c r="L16" s="36">
        <f>K16+G16</f>
        <v>4472.0722530564544</v>
      </c>
      <c r="M16" s="28">
        <f>IF('[1]Calculo ISR '!$T$34&lt;0,0,'[1]Calculo ISR '!$T$34)</f>
        <v>362.93996048903261</v>
      </c>
      <c r="N16" s="38">
        <f>E16*P4</f>
        <v>421.08938819521853</v>
      </c>
      <c r="O16" s="38">
        <v>1867.49</v>
      </c>
      <c r="P16" s="38"/>
      <c r="Q16" s="38"/>
      <c r="R16" s="38">
        <f>E16*O4</f>
        <v>40.103751256687481</v>
      </c>
      <c r="S16" s="36">
        <f>M16+N16+O16+Q16+R16+P16</f>
        <v>2691.6230999409386</v>
      </c>
      <c r="T16" s="28">
        <f>IF('[1]Calculo ISR '!$T$34&gt;0,0,'[1]Calculo ISR '!$T$34)*-1</f>
        <v>0</v>
      </c>
      <c r="U16" s="36">
        <f>K16-S16</f>
        <v>1394.9491531155154</v>
      </c>
      <c r="V16" s="36">
        <f t="shared" si="1"/>
        <v>385.5</v>
      </c>
      <c r="W16" s="51"/>
      <c r="X16" s="52"/>
    </row>
    <row r="17" spans="1:24" s="48" customFormat="1" ht="45" customHeight="1">
      <c r="A17" s="33" t="s">
        <v>47</v>
      </c>
      <c r="B17" s="43" t="s">
        <v>48</v>
      </c>
      <c r="C17" s="34">
        <v>15</v>
      </c>
      <c r="D17" s="50">
        <v>230.34834514817072</v>
      </c>
      <c r="E17" s="36">
        <v>3455.2251772225609</v>
      </c>
      <c r="F17" s="36"/>
      <c r="G17" s="36">
        <f>'[1]HT-ADMINISTRATIVOS'!G19</f>
        <v>385.5</v>
      </c>
      <c r="H17" s="36">
        <f>'[1]HT-ADMINISTRATIVOS'!H19</f>
        <v>446</v>
      </c>
      <c r="I17" s="36">
        <f>'[1]HT-ADMINISTRATIVOS'!J19</f>
        <v>0</v>
      </c>
      <c r="J17" s="37">
        <f>E17*L4</f>
        <v>65.649278367228661</v>
      </c>
      <c r="K17" s="36">
        <f t="shared" si="4"/>
        <v>3966.8744555897897</v>
      </c>
      <c r="L17" s="36">
        <f>K17+G17</f>
        <v>4352.3744555897902</v>
      </c>
      <c r="M17" s="28">
        <f>IF('[1]Calculo ISR '!$U$34&lt;0,0,'[1]Calculo ISR '!$U$34)</f>
        <v>343.7883128943663</v>
      </c>
      <c r="N17" s="38">
        <f>E17*P4</f>
        <v>362.79864360836888</v>
      </c>
      <c r="O17" s="38">
        <v>1571.6</v>
      </c>
      <c r="P17" s="38">
        <f>'[1]HT-ADMINISTRATIVOS'!Q19</f>
        <v>0</v>
      </c>
      <c r="Q17" s="38">
        <f>'[1]HT-ADMINISTRATIVOS'!R19</f>
        <v>0</v>
      </c>
      <c r="R17" s="38">
        <f>E17*O4</f>
        <v>34.55225177222561</v>
      </c>
      <c r="S17" s="36">
        <f t="shared" si="3"/>
        <v>2312.7392082749607</v>
      </c>
      <c r="T17" s="28">
        <f>IF('[1]Calculo ISR '!$U$34&gt;0,0,'[1]Calculo ISR '!$U$34)*-1</f>
        <v>0</v>
      </c>
      <c r="U17" s="36">
        <f t="shared" ref="U17:U32" si="5">K17-S17+T17</f>
        <v>1654.135247314829</v>
      </c>
      <c r="V17" s="36">
        <f t="shared" si="1"/>
        <v>385.5</v>
      </c>
      <c r="W17" s="51"/>
      <c r="X17" s="52"/>
    </row>
    <row r="18" spans="1:24" s="48" customFormat="1" ht="45" customHeight="1">
      <c r="A18" s="33" t="s">
        <v>49</v>
      </c>
      <c r="B18" s="43" t="s">
        <v>50</v>
      </c>
      <c r="C18" s="34">
        <v>15</v>
      </c>
      <c r="D18" s="50">
        <v>873.012693639492</v>
      </c>
      <c r="E18" s="36">
        <v>13095.19040459238</v>
      </c>
      <c r="F18" s="36"/>
      <c r="G18" s="36">
        <f>'[1]HT-ADMINISTRATIVOS'!G20</f>
        <v>385.5</v>
      </c>
      <c r="H18" s="36">
        <f>'[1]HT-ADMINISTRATIVOS'!H20</f>
        <v>0</v>
      </c>
      <c r="I18" s="36">
        <f>'[1]HT-ADMINISTRATIVOS'!J20</f>
        <v>0</v>
      </c>
      <c r="J18" s="37">
        <f>E18*L4</f>
        <v>248.80861768725521</v>
      </c>
      <c r="K18" s="36">
        <f t="shared" si="4"/>
        <v>13343.999022279635</v>
      </c>
      <c r="L18" s="36">
        <f>K18+G18</f>
        <v>13729.499022279635</v>
      </c>
      <c r="M18" s="28">
        <f>IF('[1]Calculo ISR '!$V$34&lt;0,0,'[1]Calculo ISR '!$V$34)</f>
        <v>2369.8207780401704</v>
      </c>
      <c r="N18" s="38">
        <f>E18*P4</f>
        <v>1374.9949924821999</v>
      </c>
      <c r="O18" s="38">
        <f>'[1]HT-ADMINISTRATIVOS'!P20</f>
        <v>0</v>
      </c>
      <c r="P18" s="38">
        <f>'[1]HT-ADMINISTRATIVOS'!Q20</f>
        <v>0</v>
      </c>
      <c r="Q18" s="38">
        <f>'[1]HT-ADMINISTRATIVOS'!R20</f>
        <v>0</v>
      </c>
      <c r="R18" s="38">
        <f>'[1]HT-ADMINISTRATIVOS'!S20</f>
        <v>0</v>
      </c>
      <c r="S18" s="36">
        <f t="shared" si="3"/>
        <v>3744.8157705223703</v>
      </c>
      <c r="T18" s="28">
        <f>IF('[1]Calculo ISR '!$V$34&gt;0,0,'[1]Calculo ISR '!$V$34)*-1</f>
        <v>0</v>
      </c>
      <c r="U18" s="36">
        <f t="shared" si="5"/>
        <v>9599.1832517572657</v>
      </c>
      <c r="V18" s="36">
        <f t="shared" si="1"/>
        <v>385.5</v>
      </c>
      <c r="W18" s="46"/>
      <c r="X18" s="47"/>
    </row>
    <row r="19" spans="1:24" s="48" customFormat="1" ht="45" customHeight="1">
      <c r="A19" s="53" t="s">
        <v>51</v>
      </c>
      <c r="B19" s="53" t="s">
        <v>52</v>
      </c>
      <c r="C19" s="34">
        <v>15</v>
      </c>
      <c r="D19" s="50">
        <v>219.22891544903311</v>
      </c>
      <c r="E19" s="36">
        <v>3288.4337317354966</v>
      </c>
      <c r="F19" s="36"/>
      <c r="G19" s="36">
        <f>'[1]HT-ADMINISTRATIVOS'!G21</f>
        <v>385.5</v>
      </c>
      <c r="H19" s="36">
        <f>'[1]HT-ADMINISTRATIVOS'!H21</f>
        <v>0</v>
      </c>
      <c r="I19" s="36">
        <f>'[1]HT-ADMINISTRATIVOS'!J21</f>
        <v>0</v>
      </c>
      <c r="J19" s="37">
        <f>'[1]HT-ADMINISTRATIVOS'!I21</f>
        <v>0</v>
      </c>
      <c r="K19" s="36">
        <f t="shared" si="4"/>
        <v>3288.4337317354966</v>
      </c>
      <c r="L19" s="36">
        <f>K19+G19</f>
        <v>3673.9337317354966</v>
      </c>
      <c r="M19" s="28">
        <f>IF('[1]Calculo ISR '!$W$34&lt;0,0,'[1]Calculo ISR '!$W$34)</f>
        <v>128.59850201282202</v>
      </c>
      <c r="N19" s="38">
        <f>E19*P4</f>
        <v>345.28554183222712</v>
      </c>
      <c r="O19" s="38">
        <v>1357.77</v>
      </c>
      <c r="P19" s="38">
        <f>'[1]HT-ADMINISTRATIVOS'!Q21</f>
        <v>0</v>
      </c>
      <c r="Q19" s="38">
        <f>'[1]HT-ADMINISTRATIVOS'!R21</f>
        <v>0</v>
      </c>
      <c r="R19" s="38">
        <f>E19*O4</f>
        <v>32.884337317354969</v>
      </c>
      <c r="S19" s="36">
        <f t="shared" si="3"/>
        <v>1864.5383811624042</v>
      </c>
      <c r="T19" s="28">
        <f>IF('[1]Calculo ISR '!$W$34&gt;0,0,'[1]Calculo ISR '!$W$34)*-1</f>
        <v>0</v>
      </c>
      <c r="U19" s="36">
        <f t="shared" si="5"/>
        <v>1423.8953505730924</v>
      </c>
      <c r="V19" s="36">
        <f t="shared" si="1"/>
        <v>385.5</v>
      </c>
      <c r="W19" s="46"/>
      <c r="X19" s="47"/>
    </row>
    <row r="20" spans="1:24" s="48" customFormat="1" ht="45" customHeight="1">
      <c r="A20" s="53" t="s">
        <v>53</v>
      </c>
      <c r="B20" s="53" t="s">
        <v>54</v>
      </c>
      <c r="C20" s="34">
        <v>15</v>
      </c>
      <c r="D20" s="50">
        <v>148.1300975275</v>
      </c>
      <c r="E20" s="36">
        <v>2221.9514629125001</v>
      </c>
      <c r="F20" s="36"/>
      <c r="G20" s="36">
        <f>'[1]HT-ADMINISTRATIVOS'!G22</f>
        <v>385.5</v>
      </c>
      <c r="H20" s="36">
        <f>'[1]HT-ADMINISTRATIVOS'!H22</f>
        <v>0</v>
      </c>
      <c r="I20" s="36">
        <f>'[1]HT-ADMINISTRATIVOS'!J22</f>
        <v>0</v>
      </c>
      <c r="J20" s="37">
        <f>'[1]HT-ADMINISTRATIVOS'!I22</f>
        <v>0</v>
      </c>
      <c r="K20" s="36">
        <f t="shared" si="4"/>
        <v>2221.9514629125001</v>
      </c>
      <c r="L20" s="36">
        <f>K20+G20+T20</f>
        <v>2644.5362317476201</v>
      </c>
      <c r="M20" s="28">
        <f>IF('[1]Calculo ISR '!$X$34&lt;0,0,'[1]Calculo ISR '!$X$34)</f>
        <v>0</v>
      </c>
      <c r="N20" s="38">
        <f>E20*P4</f>
        <v>233.30490360581251</v>
      </c>
      <c r="O20" s="38">
        <v>741</v>
      </c>
      <c r="P20" s="38">
        <f>'[1]HT-ADMINISTRATIVOS'!Q22</f>
        <v>0</v>
      </c>
      <c r="Q20" s="38">
        <f>'[1]HT-ADMINISTRATIVOS'!R22</f>
        <v>0</v>
      </c>
      <c r="R20" s="38">
        <f>E20*O4</f>
        <v>22.219514629125001</v>
      </c>
      <c r="S20" s="36">
        <f t="shared" si="3"/>
        <v>996.52441823493757</v>
      </c>
      <c r="T20" s="28">
        <f>IF('[1]Calculo ISR '!$X$34&gt;0,0,('[1]Calculo ISR '!$X$34)*-1)</f>
        <v>37.084768835120002</v>
      </c>
      <c r="U20" s="36">
        <f t="shared" si="5"/>
        <v>1262.5118135126827</v>
      </c>
      <c r="V20" s="36">
        <f t="shared" si="1"/>
        <v>385.5</v>
      </c>
      <c r="W20" s="46"/>
      <c r="X20" s="47"/>
    </row>
    <row r="21" spans="1:24" s="48" customFormat="1" ht="45" customHeight="1">
      <c r="A21" s="53" t="s">
        <v>55</v>
      </c>
      <c r="B21" s="53" t="s">
        <v>56</v>
      </c>
      <c r="C21" s="34">
        <v>15</v>
      </c>
      <c r="D21" s="50">
        <v>148.19297316999999</v>
      </c>
      <c r="E21" s="36">
        <v>2222.8945975499996</v>
      </c>
      <c r="F21" s="36"/>
      <c r="G21" s="36">
        <f>'[1]HT-ADMINISTRATIVOS'!G23</f>
        <v>385.5</v>
      </c>
      <c r="H21" s="36">
        <f>'[1]HT-ADMINISTRATIVOS'!H23</f>
        <v>446</v>
      </c>
      <c r="I21" s="36">
        <f>'[1]HT-ADMINISTRATIVOS'!J23</f>
        <v>0</v>
      </c>
      <c r="J21" s="37">
        <f>'[1]HT-ADMINISTRATIVOS'!I23</f>
        <v>0</v>
      </c>
      <c r="K21" s="36">
        <f t="shared" si="4"/>
        <v>2668.8945975499996</v>
      </c>
      <c r="L21" s="36">
        <f>K21+G21+T21</f>
        <v>3054.3945975499996</v>
      </c>
      <c r="M21" s="28">
        <f>IF('[1]Calculo ISR '!$Y$34&lt;0,0,'[1]Calculo ISR '!$Y$34)</f>
        <v>40.942644213439934</v>
      </c>
      <c r="N21" s="38">
        <f>E21*P4</f>
        <v>233.40393274274996</v>
      </c>
      <c r="O21" s="38">
        <v>851.76</v>
      </c>
      <c r="P21" s="38">
        <f>'[1]HT-ADMINISTRATIVOS'!Q23</f>
        <v>0</v>
      </c>
      <c r="Q21" s="38">
        <f>'[1]HT-ADMINISTRATIVOS'!R23</f>
        <v>0</v>
      </c>
      <c r="R21" s="38">
        <f>E21*O4</f>
        <v>22.228945975499997</v>
      </c>
      <c r="S21" s="36">
        <f t="shared" si="3"/>
        <v>1148.3355229316899</v>
      </c>
      <c r="T21" s="28">
        <f>IF('[1]Calculo ISR '!$Y$34&gt;0,0,'[1]Calculo ISR '!$Y$34)*-1</f>
        <v>0</v>
      </c>
      <c r="U21" s="36">
        <f t="shared" si="5"/>
        <v>1520.5590746183098</v>
      </c>
      <c r="V21" s="36">
        <f t="shared" si="1"/>
        <v>385.5</v>
      </c>
      <c r="W21" s="46"/>
      <c r="X21" s="47"/>
    </row>
    <row r="22" spans="1:24" s="48" customFormat="1" ht="45" customHeight="1">
      <c r="A22" s="53" t="s">
        <v>57</v>
      </c>
      <c r="B22" s="53" t="s">
        <v>58</v>
      </c>
      <c r="C22" s="34">
        <v>15</v>
      </c>
      <c r="D22" s="50">
        <v>198.84487564290151</v>
      </c>
      <c r="E22" s="36">
        <v>2982.6731346435226</v>
      </c>
      <c r="F22" s="43"/>
      <c r="G22" s="36">
        <f>'[1]HT-ADMINISTRATIVOS'!G26</f>
        <v>385.5</v>
      </c>
      <c r="H22" s="36">
        <f>'[1]HT-ADMINISTRATIVOS'!H26</f>
        <v>0</v>
      </c>
      <c r="I22" s="36">
        <f>'[1]HT-ADMINISTRATIVOS'!J26</f>
        <v>0</v>
      </c>
      <c r="J22" s="37">
        <f>'[1]HT-ADMINISTRATIVOS'!I26</f>
        <v>0</v>
      </c>
      <c r="K22" s="36">
        <f t="shared" si="4"/>
        <v>2982.6731346435226</v>
      </c>
      <c r="L22" s="36">
        <f>K22+G22</f>
        <v>3368.1731346435226</v>
      </c>
      <c r="M22" s="28">
        <f>IF('[1]Calculo ISR '!$Z$34&lt;0,0,'[1]Calculo ISR '!$Z$34)</f>
        <v>75.081749049215233</v>
      </c>
      <c r="N22" s="38">
        <f>E22*P4</f>
        <v>313.18067913756988</v>
      </c>
      <c r="O22" s="38">
        <v>829</v>
      </c>
      <c r="P22" s="38"/>
      <c r="Q22" s="38">
        <f>'[1]HT-ADMINISTRATIVOS'!R26</f>
        <v>0</v>
      </c>
      <c r="R22" s="38">
        <f>E22*O4</f>
        <v>29.826731346435228</v>
      </c>
      <c r="S22" s="36">
        <f>M22+N22+O22+R22+P22+Q22</f>
        <v>1247.0891595332205</v>
      </c>
      <c r="T22" s="28">
        <f>IF('[1]Calculo ISR '!$Z$34&gt;0,0,'[1]Calculo ISR '!$Z$34)*-1</f>
        <v>0</v>
      </c>
      <c r="U22" s="36">
        <f t="shared" si="5"/>
        <v>1735.5839751103022</v>
      </c>
      <c r="V22" s="36">
        <f t="shared" si="1"/>
        <v>385.5</v>
      </c>
      <c r="W22" s="46"/>
      <c r="X22" s="47"/>
    </row>
    <row r="23" spans="1:24" s="48" customFormat="1" ht="45" customHeight="1">
      <c r="A23" s="53" t="s">
        <v>59</v>
      </c>
      <c r="B23" s="53" t="s">
        <v>60</v>
      </c>
      <c r="C23" s="34">
        <v>15</v>
      </c>
      <c r="D23" s="50">
        <v>198.84487558991</v>
      </c>
      <c r="E23" s="36">
        <v>2982.6731338486502</v>
      </c>
      <c r="F23" s="43"/>
      <c r="G23" s="36">
        <f>'[1]HT-ADMINISTRATIVOS'!G27</f>
        <v>385.5</v>
      </c>
      <c r="H23" s="36">
        <f>'[1]HT-ADMINISTRATIVOS'!H27</f>
        <v>0</v>
      </c>
      <c r="I23" s="36">
        <f>'[1]HT-ADMINISTRATIVOS'!J27</f>
        <v>0</v>
      </c>
      <c r="J23" s="37">
        <f>'[1]HT-ADMINISTRATIVOS'!I27</f>
        <v>0</v>
      </c>
      <c r="K23" s="36">
        <f t="shared" si="4"/>
        <v>2982.6731338486502</v>
      </c>
      <c r="L23" s="36">
        <f>K23+G23</f>
        <v>3368.1731338486502</v>
      </c>
      <c r="M23" s="28">
        <f>IF('[1]Calculo ISR '!$AA$34&lt;0,0,'[1]Calculo ISR '!$AA$34)</f>
        <v>75.081748962733116</v>
      </c>
      <c r="N23" s="38">
        <f>E23*P4</f>
        <v>313.18067905410828</v>
      </c>
      <c r="O23" s="38">
        <f>'[1]HT-ADMINISTRATIVOS'!P27</f>
        <v>0</v>
      </c>
      <c r="P23" s="38">
        <f>'[1]HT-ADMINISTRATIVOS'!Q27</f>
        <v>0</v>
      </c>
      <c r="Q23" s="38">
        <f>'[1]HT-ADMINISTRATIVOS'!R27</f>
        <v>0</v>
      </c>
      <c r="R23" s="38">
        <f>E23*O4</f>
        <v>29.826731338486503</v>
      </c>
      <c r="S23" s="36">
        <f t="shared" si="3"/>
        <v>418.08915935532792</v>
      </c>
      <c r="T23" s="28">
        <f>IF('[1]Calculo ISR '!$AA$34&gt;0,0,'[1]Calculo ISR '!$AA$34)*-1</f>
        <v>0</v>
      </c>
      <c r="U23" s="36">
        <f t="shared" si="5"/>
        <v>2564.5839744933223</v>
      </c>
      <c r="V23" s="36">
        <f t="shared" si="1"/>
        <v>385.5</v>
      </c>
      <c r="W23" s="46"/>
      <c r="X23" s="47"/>
    </row>
    <row r="24" spans="1:24" s="48" customFormat="1" ht="45" customHeight="1">
      <c r="A24" s="54" t="s">
        <v>61</v>
      </c>
      <c r="B24" s="55" t="s">
        <v>62</v>
      </c>
      <c r="C24" s="34">
        <v>15</v>
      </c>
      <c r="D24" s="50">
        <v>198.84487558991</v>
      </c>
      <c r="E24" s="36">
        <v>2982.6731338486502</v>
      </c>
      <c r="F24" s="43"/>
      <c r="G24" s="36">
        <f>'[1]HT-ADMINISTRATIVOS'!G28</f>
        <v>385.5</v>
      </c>
      <c r="H24" s="36">
        <f>'[1]HT-ADMINISTRATIVOS'!H28</f>
        <v>446</v>
      </c>
      <c r="I24" s="36">
        <f>'[1]HT-ADMINISTRATIVOS'!J28</f>
        <v>0</v>
      </c>
      <c r="J24" s="37">
        <f>'[1]HT-ADMINISTRATIVOS'!I28</f>
        <v>0</v>
      </c>
      <c r="K24" s="36">
        <f t="shared" si="4"/>
        <v>3428.6731338486502</v>
      </c>
      <c r="L24" s="36">
        <f>K24+G24</f>
        <v>3814.1731338486502</v>
      </c>
      <c r="M24" s="28">
        <f>IF('[1]Calculo ISR '!$AB$34&lt;0,0,'[1]Calculo ISR '!$AB$34)</f>
        <v>143.85654896273311</v>
      </c>
      <c r="N24" s="38">
        <f>E24*P4</f>
        <v>313.18067905410828</v>
      </c>
      <c r="O24" s="38">
        <v>215.8</v>
      </c>
      <c r="P24" s="38">
        <f>'[1]HT-ADMINISTRATIVOS'!Q28</f>
        <v>0</v>
      </c>
      <c r="Q24" s="38">
        <f>'[1]HT-ADMINISTRATIVOS'!R28</f>
        <v>0</v>
      </c>
      <c r="R24" s="38">
        <f>E24*O4</f>
        <v>29.826731338486503</v>
      </c>
      <c r="S24" s="36">
        <f t="shared" si="3"/>
        <v>702.66395935532796</v>
      </c>
      <c r="T24" s="28">
        <f>IF('[1]Calculo ISR '!$AB$34&gt;0,0,'[1]Calculo ISR '!$AB$34)*-1</f>
        <v>0</v>
      </c>
      <c r="U24" s="36">
        <f t="shared" si="5"/>
        <v>2726.0091744933225</v>
      </c>
      <c r="V24" s="36">
        <f t="shared" si="1"/>
        <v>385.5</v>
      </c>
      <c r="W24" s="46"/>
      <c r="X24" s="47"/>
    </row>
    <row r="25" spans="1:24" s="48" customFormat="1" ht="45" customHeight="1">
      <c r="A25" s="54" t="s">
        <v>63</v>
      </c>
      <c r="B25" s="55" t="s">
        <v>64</v>
      </c>
      <c r="C25" s="34">
        <v>15</v>
      </c>
      <c r="D25" s="50">
        <v>180.11154727500002</v>
      </c>
      <c r="E25" s="36">
        <v>2701.6732091250005</v>
      </c>
      <c r="F25" s="43"/>
      <c r="G25" s="36">
        <f>'[1]HT-ADMINISTRATIVOS'!G29</f>
        <v>385.5</v>
      </c>
      <c r="H25" s="36">
        <f>'[1]HT-ADMINISTRATIVOS'!H29</f>
        <v>892</v>
      </c>
      <c r="I25" s="36">
        <f>'[1]HT-ADMINISTRATIVOS'!J29</f>
        <v>0</v>
      </c>
      <c r="J25" s="37">
        <f>'[1]HT-ADMINISTRATIVOS'!I29</f>
        <v>0</v>
      </c>
      <c r="K25" s="36">
        <f t="shared" si="4"/>
        <v>3593.6732091250005</v>
      </c>
      <c r="L25" s="36">
        <f>K25+G25</f>
        <v>3979.1732091250005</v>
      </c>
      <c r="M25" s="28">
        <f>IF('[1]Calculo ISR '!$AC$34&lt;0,0,'[1]Calculo ISR '!$AC$34)</f>
        <v>179.50855715280002</v>
      </c>
      <c r="N25" s="38">
        <f>E25*P4</f>
        <v>283.67568695812503</v>
      </c>
      <c r="O25" s="38">
        <v>0</v>
      </c>
      <c r="P25" s="38">
        <f>'[1]HT-ADMINISTRATIVOS'!Q29</f>
        <v>0</v>
      </c>
      <c r="Q25" s="38">
        <f>'[1]HT-ADMINISTRATIVOS'!R29</f>
        <v>0</v>
      </c>
      <c r="R25" s="38">
        <f>E25*O4</f>
        <v>27.016732091250006</v>
      </c>
      <c r="S25" s="36">
        <f t="shared" si="3"/>
        <v>490.20097620217507</v>
      </c>
      <c r="T25" s="28">
        <f>IF('[1]Calculo ISR '!$AC$34&gt;0,0,'[1]Calculo ISR '!$AC$34)*-1</f>
        <v>0</v>
      </c>
      <c r="U25" s="36">
        <f t="shared" si="5"/>
        <v>3103.4722329228252</v>
      </c>
      <c r="V25" s="36">
        <f t="shared" si="1"/>
        <v>385.5</v>
      </c>
      <c r="W25" s="46"/>
      <c r="X25" s="47"/>
    </row>
    <row r="26" spans="1:24" s="48" customFormat="1" ht="45" customHeight="1">
      <c r="A26" s="56" t="s">
        <v>65</v>
      </c>
      <c r="B26" s="55" t="s">
        <v>66</v>
      </c>
      <c r="C26" s="34">
        <v>15</v>
      </c>
      <c r="D26" s="50">
        <v>141.57938707</v>
      </c>
      <c r="E26" s="36">
        <v>2123.69080605</v>
      </c>
      <c r="F26" s="43"/>
      <c r="G26" s="36">
        <f>'[1]HT-ADMINISTRATIVOS'!G31</f>
        <v>385.5</v>
      </c>
      <c r="H26" s="36">
        <f>'[1]HT-ADMINISTRATIVOS'!H31</f>
        <v>446</v>
      </c>
      <c r="I26" s="36">
        <f>'[1]HT-ADMINISTRATIVOS'!J31</f>
        <v>0</v>
      </c>
      <c r="J26" s="37">
        <f>'[1]HT-ADMINISTRATIVOS'!I31</f>
        <v>0</v>
      </c>
      <c r="K26" s="36">
        <f t="shared" si="4"/>
        <v>2569.69080605</v>
      </c>
      <c r="L26" s="36">
        <f>K26+G26+T26</f>
        <v>2955.19080605</v>
      </c>
      <c r="M26" s="28">
        <f>IF('[1]Calculo ISR '!$AD$34&lt;0,0,'[1]Calculo ISR '!$AD$34)</f>
        <v>15.149271698239971</v>
      </c>
      <c r="N26" s="38">
        <f>E26*P4</f>
        <v>222.98753463525</v>
      </c>
      <c r="O26" s="38">
        <f>'[1]HT-ADMINISTRATIVOS'!P31</f>
        <v>0</v>
      </c>
      <c r="P26" s="38">
        <f>'[1]HT-ADMINISTRATIVOS'!Q31</f>
        <v>0</v>
      </c>
      <c r="Q26" s="38">
        <f>'[1]HT-ADMINISTRATIVOS'!R31</f>
        <v>0</v>
      </c>
      <c r="R26" s="38">
        <f>E26*O4</f>
        <v>21.236908060499999</v>
      </c>
      <c r="S26" s="36">
        <f t="shared" si="3"/>
        <v>259.37371439398999</v>
      </c>
      <c r="T26" s="28">
        <f>IF('[1]Calculo ISR '!$AD$34&gt;0,0,'[1]Calculo ISR '!$AD$34)*-1</f>
        <v>0</v>
      </c>
      <c r="U26" s="36">
        <f t="shared" si="5"/>
        <v>2310.3170916560102</v>
      </c>
      <c r="V26" s="36">
        <f t="shared" si="1"/>
        <v>385.5</v>
      </c>
      <c r="W26" s="46"/>
      <c r="X26" s="47"/>
    </row>
    <row r="27" spans="1:24" s="48" customFormat="1" ht="45" customHeight="1">
      <c r="A27" s="56" t="s">
        <v>67</v>
      </c>
      <c r="B27" s="57" t="s">
        <v>68</v>
      </c>
      <c r="C27" s="34">
        <v>15</v>
      </c>
      <c r="D27" s="50">
        <v>534.93837680832996</v>
      </c>
      <c r="E27" s="36">
        <v>8024.0756521249496</v>
      </c>
      <c r="F27" s="43"/>
      <c r="G27" s="36">
        <f>'[1]HT-ADMINISTRATIVOS'!G32</f>
        <v>385.5</v>
      </c>
      <c r="H27" s="36">
        <f>'[1]HT-ADMINISTRATIVOS'!H32</f>
        <v>0</v>
      </c>
      <c r="I27" s="36">
        <f>'[1]HT-ADMINISTRATIVOS'!J32</f>
        <v>0</v>
      </c>
      <c r="J27" s="37">
        <f>E27*L4</f>
        <v>152.45743739037403</v>
      </c>
      <c r="K27" s="36">
        <f t="shared" si="4"/>
        <v>8176.5330895153238</v>
      </c>
      <c r="L27" s="36">
        <f>K27+G27</f>
        <v>8562.0330895153238</v>
      </c>
      <c r="M27" s="28">
        <f>IF('[1]Calculo ISR '!$AE$34&lt;0,0,'[1]Calculo ISR '!$AE$34)</f>
        <v>1199.3182919204733</v>
      </c>
      <c r="N27" s="38">
        <f>E27*P4</f>
        <v>842.52794347311965</v>
      </c>
      <c r="O27" s="38">
        <v>2150.31</v>
      </c>
      <c r="P27" s="38">
        <f>'[1]HT-ADMINISTRATIVOS'!Q32</f>
        <v>0</v>
      </c>
      <c r="Q27" s="38">
        <f>'[1]HT-ADMINISTRATIVOS'!R32</f>
        <v>0</v>
      </c>
      <c r="R27" s="38">
        <f>'[1]HT-ADMINISTRATIVOS'!S32</f>
        <v>0</v>
      </c>
      <c r="S27" s="36">
        <f t="shared" si="3"/>
        <v>4192.1562353935933</v>
      </c>
      <c r="T27" s="28">
        <f>IF('[1]Calculo ISR '!$AE$34&gt;0,0,'[1]Calculo ISR '!$AE$34)*-1</f>
        <v>0</v>
      </c>
      <c r="U27" s="36">
        <f t="shared" si="5"/>
        <v>3984.3768541217305</v>
      </c>
      <c r="V27" s="36">
        <f t="shared" si="1"/>
        <v>385.5</v>
      </c>
      <c r="W27" s="46"/>
      <c r="X27" s="47"/>
    </row>
    <row r="28" spans="1:24" s="48" customFormat="1" ht="45" customHeight="1">
      <c r="A28" s="58" t="s">
        <v>69</v>
      </c>
      <c r="B28" s="59" t="s">
        <v>70</v>
      </c>
      <c r="C28" s="34">
        <v>15</v>
      </c>
      <c r="D28" s="50">
        <v>230.34834514817072</v>
      </c>
      <c r="E28" s="36">
        <v>3455.2251772225609</v>
      </c>
      <c r="F28" s="43"/>
      <c r="G28" s="36">
        <v>385.5</v>
      </c>
      <c r="H28" s="36">
        <f>'[1]HT-ADMINISTRATIVOS'!H33</f>
        <v>0</v>
      </c>
      <c r="I28" s="36">
        <f>'[1]HT-ADMINISTRATIVOS'!J33</f>
        <v>0</v>
      </c>
      <c r="J28" s="37">
        <f>'[1]HT-ADMINISTRATIVOS'!I33</f>
        <v>0</v>
      </c>
      <c r="K28" s="36">
        <f t="shared" si="4"/>
        <v>3455.2251772225609</v>
      </c>
      <c r="L28" s="36">
        <f>K28+G28</f>
        <v>3840.7251772225609</v>
      </c>
      <c r="M28" s="28">
        <f>IF('[1]Calculo ISR '!$AF$34&lt;0,0,'[1]Calculo ISR '!$AF$34)</f>
        <v>146.74541128181463</v>
      </c>
      <c r="N28" s="38">
        <f>E28*P4</f>
        <v>362.79864360836888</v>
      </c>
      <c r="O28" s="38"/>
      <c r="P28" s="143"/>
      <c r="Q28" s="38"/>
      <c r="R28" s="38">
        <f>E28*O4</f>
        <v>34.55225177222561</v>
      </c>
      <c r="S28" s="36">
        <f>M28+N28+O28+R28+P28+Q28</f>
        <v>544.09630666240912</v>
      </c>
      <c r="T28" s="28">
        <f>IF('[1]Calculo ISR '!$AF$34&gt;0,0,'[1]Calculo ISR '!$AF$34)*-1</f>
        <v>0</v>
      </c>
      <c r="U28" s="36">
        <f>K28-S28+T28</f>
        <v>2911.1288705601519</v>
      </c>
      <c r="V28" s="36">
        <v>385.5</v>
      </c>
      <c r="W28" s="46"/>
      <c r="X28" s="47"/>
    </row>
    <row r="29" spans="1:24" s="48" customFormat="1" ht="45" customHeight="1">
      <c r="A29" s="60" t="s">
        <v>71</v>
      </c>
      <c r="B29" s="61" t="s">
        <v>72</v>
      </c>
      <c r="C29" s="66">
        <v>15</v>
      </c>
      <c r="D29" s="50">
        <v>141.57938707</v>
      </c>
      <c r="E29" s="36">
        <v>2123.69080605</v>
      </c>
      <c r="F29" s="43"/>
      <c r="G29" s="36">
        <f>'[1]HT-ADMINISTRATIVOS'!G35</f>
        <v>385.5</v>
      </c>
      <c r="H29" s="36">
        <f>'[1]HT-ADMINISTRATIVOS'!H35</f>
        <v>0</v>
      </c>
      <c r="I29" s="36">
        <f>'[1]HT-ADMINISTRATIVOS'!J35</f>
        <v>0</v>
      </c>
      <c r="J29" s="37">
        <f>'[1]HT-ADMINISTRATIVOS'!I35</f>
        <v>0</v>
      </c>
      <c r="K29" s="36">
        <f t="shared" si="4"/>
        <v>2123.69080605</v>
      </c>
      <c r="L29" s="36">
        <f>K29+G29+T29</f>
        <v>2570.9163343517598</v>
      </c>
      <c r="M29" s="28">
        <f>IF('[1]Calculo ISR '!$AG$34&lt;0,0,'[1]Calculo ISR '!$AG$34)</f>
        <v>0</v>
      </c>
      <c r="N29" s="38">
        <f>E29*P4</f>
        <v>222.98753463525</v>
      </c>
      <c r="O29" s="38">
        <v>300</v>
      </c>
      <c r="P29" s="38">
        <f>'[1]HT-ADMINISTRATIVOS'!Q35</f>
        <v>0</v>
      </c>
      <c r="Q29" s="38">
        <f>'[1]HT-ADMINISTRATIVOS'!R35</f>
        <v>0</v>
      </c>
      <c r="R29" s="38">
        <f>E29*O4</f>
        <v>21.236908060499999</v>
      </c>
      <c r="S29" s="36">
        <f t="shared" si="3"/>
        <v>544.22444269574999</v>
      </c>
      <c r="T29" s="28">
        <f>IF('[1]Calculo ISR '!$AG$34&gt;0,0,'[1]Calculo ISR '!$AG$34)*-1</f>
        <v>61.725528301760008</v>
      </c>
      <c r="U29" s="36">
        <f t="shared" si="5"/>
        <v>1641.1918916560101</v>
      </c>
      <c r="V29" s="36">
        <f>G29</f>
        <v>385.5</v>
      </c>
      <c r="W29" s="67"/>
      <c r="X29" s="47"/>
    </row>
    <row r="30" spans="1:24" s="48" customFormat="1" ht="45" customHeight="1">
      <c r="A30" s="53" t="s">
        <v>73</v>
      </c>
      <c r="B30" s="61" t="s">
        <v>74</v>
      </c>
      <c r="C30" s="66">
        <v>15</v>
      </c>
      <c r="D30" s="50">
        <v>534.93837680832996</v>
      </c>
      <c r="E30" s="36">
        <v>8024.0756521249496</v>
      </c>
      <c r="F30" s="43"/>
      <c r="G30" s="36">
        <f>'[1]HT-ADMINISTRATIVOS'!G36</f>
        <v>385.5</v>
      </c>
      <c r="H30" s="36">
        <f>'[1]HT-ADMINISTRATIVOS'!H36</f>
        <v>0</v>
      </c>
      <c r="I30" s="36">
        <f>'[1]HT-ADMINISTRATIVOS'!J36</f>
        <v>0</v>
      </c>
      <c r="J30" s="37">
        <f>'[1]HT-ADMINISTRATIVOS'!I36</f>
        <v>0</v>
      </c>
      <c r="K30" s="36">
        <f t="shared" si="4"/>
        <v>8024.0756521249496</v>
      </c>
      <c r="L30" s="36">
        <f>K30+G30</f>
        <v>8409.5756521249496</v>
      </c>
      <c r="M30" s="28">
        <f>IF('[1]Calculo ISR '!$AH$34&lt;0,0,'[1]Calculo ISR '!$AH$34)</f>
        <v>1166.7533832938893</v>
      </c>
      <c r="N30" s="38">
        <f>E30*P4</f>
        <v>842.52794347311965</v>
      </c>
      <c r="O30" s="38">
        <f>'[1]HT-ADMINISTRATIVOS'!P36</f>
        <v>0</v>
      </c>
      <c r="P30" s="38">
        <f>'[1]HT-ADMINISTRATIVOS'!Q36</f>
        <v>0</v>
      </c>
      <c r="Q30" s="38">
        <f>'[1]HT-ADMINISTRATIVOS'!R36</f>
        <v>0</v>
      </c>
      <c r="R30" s="38">
        <f>'[1]HT-ADMINISTRATIVOS'!S36</f>
        <v>0</v>
      </c>
      <c r="S30" s="36">
        <f t="shared" si="3"/>
        <v>2009.281326767009</v>
      </c>
      <c r="T30" s="28">
        <f>IF('[1]Calculo ISR '!$AH$34&gt;0,0,'[1]Calculo ISR '!$AH$34)*-1</f>
        <v>0</v>
      </c>
      <c r="U30" s="36">
        <f t="shared" si="5"/>
        <v>6014.7943253579406</v>
      </c>
      <c r="V30" s="36">
        <f>G30</f>
        <v>385.5</v>
      </c>
      <c r="W30" s="67"/>
      <c r="X30" s="47"/>
    </row>
    <row r="31" spans="1:24" s="48" customFormat="1" ht="45" customHeight="1">
      <c r="A31" s="68" t="s">
        <v>75</v>
      </c>
      <c r="B31" s="61" t="s">
        <v>76</v>
      </c>
      <c r="C31" s="66">
        <v>15</v>
      </c>
      <c r="D31" s="50">
        <v>141.57938707</v>
      </c>
      <c r="E31" s="36">
        <v>2123.69080605</v>
      </c>
      <c r="F31" s="43"/>
      <c r="G31" s="36">
        <f>'[1]HT-ADMINISTRATIVOS'!G37</f>
        <v>385.5</v>
      </c>
      <c r="H31" s="36">
        <f>'[1]HT-ADMINISTRATIVOS'!H37</f>
        <v>0</v>
      </c>
      <c r="I31" s="36">
        <f>'[1]HT-ADMINISTRATIVOS'!J37</f>
        <v>0</v>
      </c>
      <c r="J31" s="37">
        <f>'[1]HT-ADMINISTRATIVOS'!I37</f>
        <v>0</v>
      </c>
      <c r="K31" s="36">
        <f t="shared" si="4"/>
        <v>2123.69080605</v>
      </c>
      <c r="L31" s="36">
        <f>K31+G31+T31</f>
        <v>2570.9163343517598</v>
      </c>
      <c r="M31" s="28">
        <f>IF('[1]Calculo ISR '!$AI$34&lt;0,0,'[1]Calculo ISR '!$AI$34)</f>
        <v>0</v>
      </c>
      <c r="N31" s="38">
        <f>E31*P4</f>
        <v>222.98753463525</v>
      </c>
      <c r="O31" s="38">
        <f>'[1]HT-ADMINISTRATIVOS'!P37</f>
        <v>0</v>
      </c>
      <c r="P31" s="38">
        <f>'[1]HT-ADMINISTRATIVOS'!Q37</f>
        <v>0</v>
      </c>
      <c r="Q31" s="38">
        <f>'[1]HT-ADMINISTRATIVOS'!R37</f>
        <v>0</v>
      </c>
      <c r="R31" s="38">
        <f>E31*O4</f>
        <v>21.236908060499999</v>
      </c>
      <c r="S31" s="36">
        <f t="shared" si="3"/>
        <v>244.22444269574999</v>
      </c>
      <c r="T31" s="28">
        <f>IF('[1]Calculo ISR '!$AI$34&gt;0,0,'[1]Calculo ISR '!$AI$34)*-1</f>
        <v>61.725528301760008</v>
      </c>
      <c r="U31" s="36">
        <f t="shared" si="5"/>
        <v>1941.1918916560101</v>
      </c>
      <c r="V31" s="36">
        <f>G31</f>
        <v>385.5</v>
      </c>
      <c r="W31" s="67"/>
      <c r="X31" s="47"/>
    </row>
    <row r="32" spans="1:24" s="81" customFormat="1" ht="45" customHeight="1">
      <c r="A32" s="69" t="s">
        <v>77</v>
      </c>
      <c r="B32" s="70" t="s">
        <v>78</v>
      </c>
      <c r="C32" s="71">
        <v>15</v>
      </c>
      <c r="D32" s="72">
        <v>873.012693639492</v>
      </c>
      <c r="E32" s="73">
        <v>13095.19040459238</v>
      </c>
      <c r="F32" s="73">
        <f>'[1]HT-ADMINISTRATIVOS'!F38</f>
        <v>0</v>
      </c>
      <c r="G32" s="73">
        <v>385.5</v>
      </c>
      <c r="H32" s="73">
        <f>'[1]HT-ADMINISTRATIVOS'!H38</f>
        <v>0</v>
      </c>
      <c r="I32" s="73">
        <f>'[1]HT-ADMINISTRATIVOS'!I38</f>
        <v>0</v>
      </c>
      <c r="J32" s="73">
        <f>'[1]HT-ADMINISTRATIVOS'!J38</f>
        <v>0</v>
      </c>
      <c r="K32" s="73">
        <f t="shared" si="4"/>
        <v>13095.19040459238</v>
      </c>
      <c r="L32" s="73">
        <f>K32+G32</f>
        <v>13480.69040459238</v>
      </c>
      <c r="M32" s="28">
        <f>IF('[1]Calculo ISR '!$AJ$34&lt;0,0,'[1]Calculo ISR '!$AJ$34)</f>
        <v>2311.300991160128</v>
      </c>
      <c r="N32" s="73">
        <f>E32*P4</f>
        <v>1374.9949924821999</v>
      </c>
      <c r="O32" s="73">
        <v>1489.84</v>
      </c>
      <c r="P32" s="73">
        <f>'[1]HT-ADMINISTRATIVOS'!Q38</f>
        <v>0</v>
      </c>
      <c r="Q32" s="73">
        <f>'[1]HT-ADMINISTRATIVOS'!R38</f>
        <v>0</v>
      </c>
      <c r="R32" s="73">
        <f>'[1]HT-ADMINISTRATIVOS'!S38</f>
        <v>0</v>
      </c>
      <c r="S32" s="73">
        <f t="shared" ref="S32:S39" si="6">M32+N32+O32+P32+Q32+R32</f>
        <v>5176.135983642328</v>
      </c>
      <c r="T32" s="28">
        <f>IF('[1]Calculo ISR '!$AJ$34&gt;0,0,'[1]Calculo ISR '!$AJ$34)*-1</f>
        <v>0</v>
      </c>
      <c r="U32" s="73">
        <f t="shared" si="5"/>
        <v>7919.0544209500522</v>
      </c>
      <c r="V32" s="73">
        <v>385.5</v>
      </c>
      <c r="W32" s="74"/>
      <c r="X32" s="47"/>
    </row>
    <row r="33" spans="1:26" s="81" customFormat="1" ht="45" customHeight="1">
      <c r="A33" s="53" t="s">
        <v>79</v>
      </c>
      <c r="B33" s="61" t="s">
        <v>80</v>
      </c>
      <c r="C33" s="66">
        <v>15</v>
      </c>
      <c r="D33" s="76">
        <v>534.93837680832996</v>
      </c>
      <c r="E33" s="50">
        <v>8024.0756521249496</v>
      </c>
      <c r="F33" s="50"/>
      <c r="G33" s="77">
        <f>385.5</f>
        <v>385.5</v>
      </c>
      <c r="H33" s="50"/>
      <c r="I33" s="50"/>
      <c r="J33" s="50"/>
      <c r="K33" s="78">
        <f t="shared" si="4"/>
        <v>8024.0756521249496</v>
      </c>
      <c r="L33" s="78">
        <f>K33+G33</f>
        <v>8409.5756521249496</v>
      </c>
      <c r="M33" s="28">
        <f>IF('[1]Calculo ISR '!$AK$34&lt;0,0,'[1]Calculo ISR '!$AK$34)</f>
        <v>1166.7533832938893</v>
      </c>
      <c r="N33" s="79">
        <f>E33*P4</f>
        <v>842.52794347311965</v>
      </c>
      <c r="O33" s="78"/>
      <c r="P33" s="50"/>
      <c r="Q33" s="78"/>
      <c r="R33" s="50"/>
      <c r="S33" s="50">
        <f t="shared" si="6"/>
        <v>2009.281326767009</v>
      </c>
      <c r="T33" s="28">
        <f>IF('[1]Calculo ISR '!$AK$34&gt;0,0,'[1]Calculo ISR '!$AK$34)*-1</f>
        <v>0</v>
      </c>
      <c r="U33" s="79">
        <f>K33-S33</f>
        <v>6014.7943253579406</v>
      </c>
      <c r="V33" s="73">
        <v>385.5</v>
      </c>
      <c r="W33" s="80"/>
      <c r="X33" s="47"/>
    </row>
    <row r="34" spans="1:26" s="81" customFormat="1" ht="45" customHeight="1">
      <c r="A34" s="91" t="s">
        <v>83</v>
      </c>
      <c r="B34" s="139" t="s">
        <v>84</v>
      </c>
      <c r="C34" s="66">
        <v>15</v>
      </c>
      <c r="D34" s="76">
        <v>180.10895980000001</v>
      </c>
      <c r="E34" s="50">
        <v>2701.6343970000003</v>
      </c>
      <c r="F34" s="50"/>
      <c r="G34" s="77">
        <f>385.5</f>
        <v>385.5</v>
      </c>
      <c r="H34" s="50">
        <v>892</v>
      </c>
      <c r="I34" s="50"/>
      <c r="J34" s="50"/>
      <c r="K34" s="78">
        <f t="shared" ref="K34:K39" si="7">E34+F34+H34+I34+J34</f>
        <v>3593.6343970000003</v>
      </c>
      <c r="L34" s="78">
        <f>K34+G34</f>
        <v>3979.1343970000003</v>
      </c>
      <c r="M34" s="28">
        <f>IF('[1]Calculo ISR '!$AM$34&lt;0,0,'[1]Calculo ISR '!$AM$34)</f>
        <v>179.50433439359998</v>
      </c>
      <c r="N34" s="92">
        <f>E34*P4</f>
        <v>283.67161168500002</v>
      </c>
      <c r="O34" s="78"/>
      <c r="P34" s="50"/>
      <c r="Q34" s="78"/>
      <c r="R34" s="50">
        <f>E34*O4</f>
        <v>27.016343970000005</v>
      </c>
      <c r="S34" s="50">
        <f>M34+N34+O34+P34+Q34+R34</f>
        <v>490.19229004859994</v>
      </c>
      <c r="T34" s="28">
        <f>IF('[1]Calculo ISR '!$AM$34&gt;0,0,'[1]Calculo ISR '!$AM$34)*-1</f>
        <v>0</v>
      </c>
      <c r="U34" s="79">
        <f t="shared" ref="U34:U39" si="8">K34-S34+T34</f>
        <v>3103.4421069514001</v>
      </c>
      <c r="V34" s="73">
        <v>385.5</v>
      </c>
      <c r="W34" s="80"/>
      <c r="X34" s="47"/>
    </row>
    <row r="35" spans="1:26" s="81" customFormat="1" ht="45" customHeight="1">
      <c r="A35" s="91" t="s">
        <v>85</v>
      </c>
      <c r="B35" s="139" t="s">
        <v>86</v>
      </c>
      <c r="C35" s="66">
        <v>15</v>
      </c>
      <c r="D35" s="76">
        <v>219.23158179999999</v>
      </c>
      <c r="E35" s="50">
        <v>3288.4737269999996</v>
      </c>
      <c r="F35" s="50"/>
      <c r="G35" s="77">
        <f>385.5</f>
        <v>385.5</v>
      </c>
      <c r="H35" s="50">
        <v>446</v>
      </c>
      <c r="I35" s="50"/>
      <c r="J35" s="50"/>
      <c r="K35" s="78">
        <f t="shared" si="7"/>
        <v>3734.4737269999996</v>
      </c>
      <c r="L35" s="78">
        <f>K35+G35</f>
        <v>4119.9737269999996</v>
      </c>
      <c r="M35" s="28">
        <f>IF('[1]Calculo ISR '!$AN$34&lt;0,0,'[1]Calculo ISR '!$AN$34)</f>
        <v>306.60419631999991</v>
      </c>
      <c r="N35" s="92">
        <f>E35*P4</f>
        <v>345.28974133499992</v>
      </c>
      <c r="O35" s="78"/>
      <c r="P35" s="50"/>
      <c r="Q35" s="78"/>
      <c r="R35" s="50">
        <v>0</v>
      </c>
      <c r="S35" s="50">
        <f t="shared" si="6"/>
        <v>651.89393765499983</v>
      </c>
      <c r="T35" s="28">
        <f>IF('[1]Calculo ISR '!$AN$34&gt;0,0,'[1]Calculo ISR '!$AN$34)*-1</f>
        <v>0</v>
      </c>
      <c r="U35" s="79">
        <f t="shared" si="8"/>
        <v>3082.5797893449999</v>
      </c>
      <c r="V35" s="73">
        <v>385.5</v>
      </c>
      <c r="W35" s="80"/>
      <c r="X35" s="47"/>
    </row>
    <row r="36" spans="1:26" s="81" customFormat="1" ht="45" customHeight="1">
      <c r="A36" s="91" t="s">
        <v>87</v>
      </c>
      <c r="B36" s="91" t="s">
        <v>88</v>
      </c>
      <c r="C36" s="66">
        <v>15</v>
      </c>
      <c r="D36" s="76">
        <v>534.93837680832996</v>
      </c>
      <c r="E36" s="50">
        <f>E33</f>
        <v>8024.0756521249496</v>
      </c>
      <c r="F36" s="50"/>
      <c r="G36" s="77">
        <v>385.5</v>
      </c>
      <c r="H36" s="50"/>
      <c r="I36" s="50"/>
      <c r="J36" s="50"/>
      <c r="K36" s="78">
        <f t="shared" si="7"/>
        <v>8024.0756521249496</v>
      </c>
      <c r="L36" s="78">
        <f>K36+G36+T36</f>
        <v>8409.5756521249496</v>
      </c>
      <c r="M36" s="28">
        <f>IF('[1]Calculo ISR '!$AO$34&lt;0,0,'[1]Calculo ISR '!$AO$34)</f>
        <v>1166.7533832938893</v>
      </c>
      <c r="N36" s="92">
        <f>E36*P4</f>
        <v>842.52794347311965</v>
      </c>
      <c r="O36" s="78">
        <v>1338</v>
      </c>
      <c r="P36" s="50"/>
      <c r="Q36" s="78"/>
      <c r="R36" s="50"/>
      <c r="S36" s="50">
        <f t="shared" si="6"/>
        <v>3347.281326767009</v>
      </c>
      <c r="T36" s="28">
        <f>IF('[1]Calculo ISR '!$AO$34&gt;0,0,'[1]Calculo ISR '!$AO$34)*-1</f>
        <v>0</v>
      </c>
      <c r="U36" s="79">
        <f t="shared" si="8"/>
        <v>4676.7943253579406</v>
      </c>
      <c r="V36" s="73">
        <f t="shared" ref="V36:V44" si="9">G36</f>
        <v>385.5</v>
      </c>
      <c r="W36" s="80"/>
      <c r="X36" s="47"/>
    </row>
    <row r="37" spans="1:26" s="81" customFormat="1" ht="45" customHeight="1">
      <c r="A37" s="91" t="s">
        <v>89</v>
      </c>
      <c r="B37" s="91" t="s">
        <v>90</v>
      </c>
      <c r="C37" s="66">
        <v>15</v>
      </c>
      <c r="D37" s="76">
        <v>171.34</v>
      </c>
      <c r="E37" s="50">
        <f>C37*D37</f>
        <v>2570.1</v>
      </c>
      <c r="F37" s="50"/>
      <c r="G37" s="77">
        <v>385.5</v>
      </c>
      <c r="H37" s="50"/>
      <c r="I37" s="50"/>
      <c r="J37" s="50"/>
      <c r="K37" s="78">
        <f t="shared" si="7"/>
        <v>2570.1</v>
      </c>
      <c r="L37" s="78">
        <f>K37+G37</f>
        <v>2955.6</v>
      </c>
      <c r="M37" s="28">
        <f>IF('[1]Calculo ISR '!$AP$34&lt;0,0,'[1]Calculo ISR '!$AP$34)</f>
        <v>15.193791999999974</v>
      </c>
      <c r="N37" s="92">
        <f>E37*P4</f>
        <v>269.8605</v>
      </c>
      <c r="O37" s="78"/>
      <c r="P37" s="50"/>
      <c r="Q37" s="78"/>
      <c r="R37" s="50"/>
      <c r="S37" s="50">
        <f t="shared" si="6"/>
        <v>285.05429199999998</v>
      </c>
      <c r="T37" s="28">
        <f>IF('[1]Calculo ISR '!$AP$34&gt;0,0,'[1]Calculo ISR '!$AP$34)*-1</f>
        <v>0</v>
      </c>
      <c r="U37" s="79">
        <f t="shared" si="8"/>
        <v>2285.0457080000001</v>
      </c>
      <c r="V37" s="73">
        <f t="shared" si="9"/>
        <v>385.5</v>
      </c>
      <c r="W37" s="80"/>
      <c r="X37" s="47"/>
    </row>
    <row r="38" spans="1:26" s="81" customFormat="1" ht="45" customHeight="1">
      <c r="A38" s="91" t="s">
        <v>91</v>
      </c>
      <c r="B38" s="91" t="s">
        <v>92</v>
      </c>
      <c r="C38" s="66">
        <v>15</v>
      </c>
      <c r="D38" s="76">
        <v>131.36093080000001</v>
      </c>
      <c r="E38" s="50">
        <v>1970.4139620000001</v>
      </c>
      <c r="F38" s="50"/>
      <c r="G38" s="77">
        <v>385.5</v>
      </c>
      <c r="H38" s="50"/>
      <c r="I38" s="50"/>
      <c r="J38" s="50"/>
      <c r="K38" s="78">
        <f t="shared" si="7"/>
        <v>1970.4139620000001</v>
      </c>
      <c r="L38" s="78">
        <f>K38+G38+T38</f>
        <v>2429.5253084320002</v>
      </c>
      <c r="M38" s="28">
        <f>IF('[1]Calculo ISR '!$AQ$34&lt;0,0,'[1]Calculo ISR '!$AQ$34)</f>
        <v>0</v>
      </c>
      <c r="N38" s="92">
        <f>E38*P4</f>
        <v>206.89346601</v>
      </c>
      <c r="O38" s="78">
        <v>493</v>
      </c>
      <c r="P38" s="50"/>
      <c r="Q38" s="78"/>
      <c r="R38" s="50"/>
      <c r="S38" s="50">
        <f t="shared" si="6"/>
        <v>699.89346601</v>
      </c>
      <c r="T38" s="28">
        <f>IF('[1]Calculo ISR '!$AQ$34&gt;0,0,'[1]Calculo ISR '!$AQ$34)*-1</f>
        <v>73.611346431999976</v>
      </c>
      <c r="U38" s="79">
        <f t="shared" si="8"/>
        <v>1344.1318424220001</v>
      </c>
      <c r="V38" s="73">
        <f t="shared" si="9"/>
        <v>385.5</v>
      </c>
      <c r="W38" s="80"/>
      <c r="X38" s="47"/>
    </row>
    <row r="39" spans="1:26" s="81" customFormat="1" ht="45" customHeight="1">
      <c r="A39" s="91" t="s">
        <v>93</v>
      </c>
      <c r="B39" s="91" t="s">
        <v>94</v>
      </c>
      <c r="C39" s="66">
        <v>15</v>
      </c>
      <c r="D39" s="76">
        <v>131.36093080000001</v>
      </c>
      <c r="E39" s="50">
        <v>1970.4139620000001</v>
      </c>
      <c r="F39" s="50"/>
      <c r="G39" s="77">
        <v>385.5</v>
      </c>
      <c r="H39" s="50"/>
      <c r="I39" s="50"/>
      <c r="J39" s="50"/>
      <c r="K39" s="78">
        <f t="shared" si="7"/>
        <v>1970.4139620000001</v>
      </c>
      <c r="L39" s="78">
        <f>K39+G39+T39</f>
        <v>2429.5253084320002</v>
      </c>
      <c r="M39" s="28">
        <f>IF('[1]Calculo ISR '!$AR$34&lt;0,0,'[1]Calculo ISR '!$AR$34)</f>
        <v>0</v>
      </c>
      <c r="N39" s="92">
        <f>E39*P4</f>
        <v>206.89346601</v>
      </c>
      <c r="O39" s="78"/>
      <c r="P39" s="50"/>
      <c r="Q39" s="78"/>
      <c r="R39" s="50"/>
      <c r="S39" s="50">
        <f t="shared" si="6"/>
        <v>206.89346601</v>
      </c>
      <c r="T39" s="28">
        <f>IF('[1]Calculo ISR '!$AR$34&gt;0,0,'[1]Calculo ISR '!$AR$34)*-1</f>
        <v>73.611346431999976</v>
      </c>
      <c r="U39" s="79">
        <f t="shared" si="8"/>
        <v>1837.1318424220001</v>
      </c>
      <c r="V39" s="73">
        <f t="shared" si="9"/>
        <v>385.5</v>
      </c>
      <c r="W39" s="80"/>
      <c r="X39" s="47"/>
    </row>
    <row r="40" spans="1:26" s="81" customFormat="1" ht="45" customHeight="1">
      <c r="A40" s="91" t="s">
        <v>95</v>
      </c>
      <c r="B40" s="91" t="s">
        <v>96</v>
      </c>
      <c r="C40" s="66">
        <v>15</v>
      </c>
      <c r="D40" s="76">
        <v>754.54</v>
      </c>
      <c r="E40" s="50">
        <f>C40*D40</f>
        <v>11318.099999999999</v>
      </c>
      <c r="F40" s="50"/>
      <c r="G40" s="77">
        <v>385.5</v>
      </c>
      <c r="H40" s="50"/>
      <c r="I40" s="50"/>
      <c r="J40" s="50"/>
      <c r="K40" s="78">
        <f>E40+H40+I40+J40</f>
        <v>11318.099999999999</v>
      </c>
      <c r="L40" s="78">
        <f>K40+G40</f>
        <v>11703.599999999999</v>
      </c>
      <c r="M40" s="28">
        <f>IF('[1]Calculo ISR '!$AS$34&lt;0,0,'[1]Calculo ISR '!$AS$34)</f>
        <v>1893.3293279999998</v>
      </c>
      <c r="N40" s="92">
        <f>E40*P4</f>
        <v>1188.4004999999997</v>
      </c>
      <c r="O40" s="78"/>
      <c r="P40" s="50"/>
      <c r="Q40" s="78"/>
      <c r="R40" s="50"/>
      <c r="S40" s="50">
        <f>M40+N40+O40+P40+Q40+R40</f>
        <v>3081.7298279999995</v>
      </c>
      <c r="T40" s="28">
        <f>IF('[1]Calculo ISR '!$AS$34&gt;0,0,'[1]Calculo ISR '!$AS$34)*-1</f>
        <v>0</v>
      </c>
      <c r="U40" s="79">
        <f>K40-S40</f>
        <v>8236.370171999999</v>
      </c>
      <c r="V40" s="73">
        <f t="shared" si="9"/>
        <v>385.5</v>
      </c>
      <c r="W40" s="80"/>
      <c r="X40" s="47"/>
    </row>
    <row r="41" spans="1:26" s="81" customFormat="1" ht="45" customHeight="1">
      <c r="A41" s="91" t="s">
        <v>97</v>
      </c>
      <c r="B41" s="91" t="s">
        <v>98</v>
      </c>
      <c r="C41" s="66">
        <v>15</v>
      </c>
      <c r="D41" s="76">
        <v>754.54</v>
      </c>
      <c r="E41" s="50">
        <f>D41*C41</f>
        <v>11318.099999999999</v>
      </c>
      <c r="F41" s="50"/>
      <c r="G41" s="77">
        <v>385.5</v>
      </c>
      <c r="H41" s="50"/>
      <c r="I41" s="50"/>
      <c r="J41" s="50"/>
      <c r="K41" s="78">
        <f>E41+H41+I41+J41</f>
        <v>11318.099999999999</v>
      </c>
      <c r="L41" s="78">
        <f>K41+G41</f>
        <v>11703.599999999999</v>
      </c>
      <c r="M41" s="28">
        <f>IF('[1]Calculo ISR '!$AT$34&lt;0,0,'[1]Calculo ISR '!$AT$34)</f>
        <v>1893.3293279999998</v>
      </c>
      <c r="N41" s="92">
        <f>E41*P4</f>
        <v>1188.4004999999997</v>
      </c>
      <c r="O41" s="78">
        <v>3773</v>
      </c>
      <c r="P41" s="50"/>
      <c r="Q41" s="78"/>
      <c r="R41" s="50"/>
      <c r="S41" s="50">
        <f>M41+N41+O41+P41+Q41+R41</f>
        <v>6854.7298279999995</v>
      </c>
      <c r="T41" s="28">
        <f>IF('[1]Calculo ISR '!$AT$34&gt;0,0,'[1]Calculo ISR '!$AT$34)*-1</f>
        <v>0</v>
      </c>
      <c r="U41" s="79">
        <f>K41-S41</f>
        <v>4463.370171999999</v>
      </c>
      <c r="V41" s="73">
        <f t="shared" si="9"/>
        <v>385.5</v>
      </c>
      <c r="W41" s="80"/>
      <c r="X41" s="47"/>
    </row>
    <row r="42" spans="1:26" s="81" customFormat="1" ht="45" customHeight="1">
      <c r="A42" s="91" t="s">
        <v>99</v>
      </c>
      <c r="B42" s="91" t="s">
        <v>100</v>
      </c>
      <c r="C42" s="66">
        <v>15</v>
      </c>
      <c r="D42" s="76">
        <v>171.34</v>
      </c>
      <c r="E42" s="50">
        <f>C42*D42</f>
        <v>2570.1</v>
      </c>
      <c r="F42" s="50"/>
      <c r="G42" s="77">
        <v>385.5</v>
      </c>
      <c r="H42" s="50"/>
      <c r="I42" s="50"/>
      <c r="J42" s="50"/>
      <c r="K42" s="78">
        <f>E42+F42+H42+I42+J42</f>
        <v>2570.1</v>
      </c>
      <c r="L42" s="78">
        <f>K42+G42</f>
        <v>2955.6</v>
      </c>
      <c r="M42" s="28">
        <f>IF('[1]Calculo ISR '!$AU$34&lt;0,0,'[1]Calculo ISR '!$AU$34)</f>
        <v>15.193791999999974</v>
      </c>
      <c r="N42" s="92">
        <f>E42*P4</f>
        <v>269.8605</v>
      </c>
      <c r="O42" s="78"/>
      <c r="P42" s="50"/>
      <c r="Q42" s="78"/>
      <c r="R42" s="50"/>
      <c r="S42" s="50">
        <f>M42+N42+O42+P42+Q42+R42</f>
        <v>285.05429199999998</v>
      </c>
      <c r="T42" s="28">
        <f>IF('[1]Calculo ISR '!$AU$34&gt;0,0,'[1]Calculo ISR '!$AU$34)*-1</f>
        <v>0</v>
      </c>
      <c r="U42" s="79">
        <f>K42-S42</f>
        <v>2285.0457080000001</v>
      </c>
      <c r="V42" s="73">
        <f t="shared" si="9"/>
        <v>385.5</v>
      </c>
      <c r="W42" s="80"/>
      <c r="X42" s="47"/>
    </row>
    <row r="43" spans="1:26" s="81" customFormat="1" ht="45" customHeight="1">
      <c r="A43" s="91" t="s">
        <v>101</v>
      </c>
      <c r="B43" s="91" t="s">
        <v>121</v>
      </c>
      <c r="C43" s="66">
        <v>15</v>
      </c>
      <c r="D43" s="76">
        <v>754.54</v>
      </c>
      <c r="E43" s="50">
        <f>C43*D43</f>
        <v>11318.099999999999</v>
      </c>
      <c r="F43" s="50"/>
      <c r="G43" s="77">
        <v>385.5</v>
      </c>
      <c r="H43" s="50"/>
      <c r="I43" s="50"/>
      <c r="J43" s="50"/>
      <c r="K43" s="78">
        <f>E43+F43+H43+I43+J43</f>
        <v>11318.099999999999</v>
      </c>
      <c r="L43" s="78">
        <f>K43+G43</f>
        <v>11703.599999999999</v>
      </c>
      <c r="M43" s="28">
        <f>IF('[1]Calculo ISR '!$AV$34&lt;0,0,'[1]Calculo ISR '!$AV$34)</f>
        <v>1893.3293279999998</v>
      </c>
      <c r="N43" s="92">
        <f>E43*P4</f>
        <v>1188.4004999999997</v>
      </c>
      <c r="O43" s="78"/>
      <c r="P43" s="50"/>
      <c r="Q43" s="78"/>
      <c r="R43" s="50"/>
      <c r="S43" s="50">
        <f>M43+N43+O43+P43+Q43+R43</f>
        <v>3081.7298279999995</v>
      </c>
      <c r="T43" s="28">
        <f>IF('[1]Calculo ISR '!$AV$34&gt;0,0,'[1]Calculo ISR '!$AV$34)*-1</f>
        <v>0</v>
      </c>
      <c r="U43" s="79">
        <f>K43-S43</f>
        <v>8236.370171999999</v>
      </c>
      <c r="V43" s="73">
        <f t="shared" si="9"/>
        <v>385.5</v>
      </c>
      <c r="W43" s="80"/>
      <c r="X43" s="47"/>
    </row>
    <row r="44" spans="1:26" s="81" customFormat="1" ht="45" customHeight="1">
      <c r="A44" s="91" t="s">
        <v>103</v>
      </c>
      <c r="B44" s="91" t="s">
        <v>122</v>
      </c>
      <c r="C44" s="66">
        <v>15</v>
      </c>
      <c r="D44" s="76">
        <v>171.34</v>
      </c>
      <c r="E44" s="50">
        <f>C44*D44</f>
        <v>2570.1</v>
      </c>
      <c r="F44" s="50"/>
      <c r="G44" s="77">
        <v>385.5</v>
      </c>
      <c r="H44" s="50"/>
      <c r="I44" s="50"/>
      <c r="J44" s="50"/>
      <c r="K44" s="78">
        <f>E44+F44+H44+I44+J44</f>
        <v>2570.1</v>
      </c>
      <c r="L44" s="78">
        <f>K44+G44</f>
        <v>2955.6</v>
      </c>
      <c r="M44" s="28">
        <v>15.19</v>
      </c>
      <c r="N44" s="92">
        <f>E44*P4</f>
        <v>269.8605</v>
      </c>
      <c r="O44" s="78"/>
      <c r="P44" s="50"/>
      <c r="Q44" s="78"/>
      <c r="R44" s="50"/>
      <c r="S44" s="50">
        <f>M44+N44+O44+P44+Q44+R44</f>
        <v>285.0505</v>
      </c>
      <c r="T44" s="28"/>
      <c r="U44" s="79">
        <f>K44-S44</f>
        <v>2285.0495000000001</v>
      </c>
      <c r="V44" s="73">
        <f t="shared" si="9"/>
        <v>385.5</v>
      </c>
      <c r="W44" s="80"/>
      <c r="X44" s="47"/>
    </row>
    <row r="45" spans="1:26" s="99" customFormat="1" ht="21.95" customHeight="1">
      <c r="A45" s="93"/>
      <c r="B45" s="94">
        <v>37</v>
      </c>
      <c r="C45" s="95">
        <f>SUM(C8:C44)</f>
        <v>555</v>
      </c>
      <c r="D45" s="95">
        <f>SUM(D8:D44)</f>
        <v>12328.053625151217</v>
      </c>
      <c r="E45" s="95">
        <f>SUM(E7:E44)</f>
        <v>184920.80437726821</v>
      </c>
      <c r="F45" s="95">
        <f t="shared" ref="F45:V45" si="10">SUM(F7:F44)</f>
        <v>0</v>
      </c>
      <c r="G45" s="95">
        <f t="shared" si="10"/>
        <v>14263.5</v>
      </c>
      <c r="H45" s="95">
        <f t="shared" si="10"/>
        <v>4460</v>
      </c>
      <c r="I45" s="95">
        <f t="shared" si="10"/>
        <v>0</v>
      </c>
      <c r="J45" s="95">
        <f t="shared" si="10"/>
        <v>1848.4761786091169</v>
      </c>
      <c r="K45" s="95">
        <f t="shared" si="10"/>
        <v>191229.28055587734</v>
      </c>
      <c r="L45" s="95">
        <f t="shared" si="10"/>
        <v>205800.53907417998</v>
      </c>
      <c r="M45" s="96">
        <f t="shared" si="10"/>
        <v>21400.583509412456</v>
      </c>
      <c r="N45" s="95">
        <f>SUM(N7:N44)</f>
        <v>19416.684459613163</v>
      </c>
      <c r="O45" s="95">
        <f t="shared" si="10"/>
        <v>25532.04</v>
      </c>
      <c r="P45" s="95">
        <f t="shared" si="10"/>
        <v>0</v>
      </c>
      <c r="Q45" s="95">
        <f t="shared" si="10"/>
        <v>0</v>
      </c>
      <c r="R45" s="95">
        <f t="shared" si="10"/>
        <v>583.98062260958716</v>
      </c>
      <c r="S45" s="95">
        <f t="shared" si="10"/>
        <v>66933.288591635181</v>
      </c>
      <c r="T45" s="95">
        <f t="shared" si="10"/>
        <v>307.75851830263997</v>
      </c>
      <c r="U45" s="95">
        <f t="shared" si="10"/>
        <v>124603.75048254477</v>
      </c>
      <c r="V45" s="95">
        <f t="shared" si="10"/>
        <v>14263.5</v>
      </c>
      <c r="W45" s="97"/>
      <c r="X45" s="98"/>
    </row>
    <row r="46" spans="1:26" s="6" customFormat="1" ht="5.25" customHeight="1">
      <c r="A46" s="122"/>
      <c r="B46" s="123"/>
      <c r="C46" s="124"/>
      <c r="D46" s="101"/>
      <c r="E46" s="101">
        <f>E45+'[1]HT-DOCENTE FIRMA'!E33</f>
        <v>281153.30437726818</v>
      </c>
      <c r="F46" s="101"/>
      <c r="G46" s="125">
        <f>G45+'[10]HT-DOCENTE FIRMA'!J40</f>
        <v>21522.42</v>
      </c>
      <c r="H46" s="125">
        <f>H45+'[10]HT-DOCENTE FIRMA'!L40</f>
        <v>6110.2000000000007</v>
      </c>
      <c r="I46" s="101"/>
      <c r="J46" s="101">
        <f>J45+'[10]HT-DOCENTE FIRMA'!M40</f>
        <v>2439.0211786091168</v>
      </c>
      <c r="K46" s="101"/>
      <c r="L46" s="101"/>
      <c r="M46" s="5">
        <f>M45+'[10]HT-DOCENTE FIRMA'!P40</f>
        <v>32742.934205412457</v>
      </c>
      <c r="N46" s="101"/>
      <c r="O46" s="101"/>
      <c r="P46" s="101"/>
      <c r="Q46" s="101"/>
      <c r="R46" s="101"/>
      <c r="S46" s="101"/>
      <c r="T46" s="101"/>
      <c r="U46" s="101">
        <f>U45+'[10]HT-DOCENTE FIRMA'!X40</f>
        <v>213195.24184254478</v>
      </c>
      <c r="V46" s="101"/>
      <c r="W46" s="126"/>
      <c r="X46" s="5"/>
    </row>
    <row r="47" spans="1:26" s="6" customFormat="1" ht="5.25" customHeight="1">
      <c r="A47" s="122"/>
      <c r="B47" s="123"/>
      <c r="C47" s="124"/>
      <c r="D47" s="101"/>
      <c r="E47" s="101">
        <f>E45+'[10]HT-DOCENTE FIRMA'!I40</f>
        <v>301546.55437726818</v>
      </c>
      <c r="F47" s="101"/>
      <c r="G47" s="125"/>
      <c r="H47" s="125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26"/>
      <c r="X47" s="5"/>
      <c r="Z47" s="5"/>
    </row>
    <row r="48" spans="1:26" s="6" customFormat="1" ht="5.25" customHeight="1">
      <c r="A48" s="127"/>
      <c r="B48" s="123"/>
      <c r="C48" s="122"/>
      <c r="D48" s="128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>
        <f>O45+'[10]HT-DOCENTE FIRMA'!R40</f>
        <v>36332.78</v>
      </c>
      <c r="P48" s="101"/>
      <c r="Q48" s="101"/>
      <c r="R48" s="101"/>
      <c r="S48" s="101"/>
      <c r="T48" s="101"/>
      <c r="U48" s="101"/>
      <c r="V48" s="101"/>
      <c r="W48" s="126"/>
      <c r="X48" s="5"/>
    </row>
    <row r="49" spans="1:24" s="6" customFormat="1" ht="5.25" customHeight="1">
      <c r="A49" s="129"/>
      <c r="B49" s="130"/>
      <c r="C49" s="131"/>
      <c r="D49" s="132"/>
      <c r="E49" s="133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5"/>
    </row>
    <row r="50" spans="1:24" ht="14.25" customHeight="1">
      <c r="A50" s="110" t="s">
        <v>105</v>
      </c>
      <c r="B50" s="110"/>
      <c r="C50" s="110"/>
      <c r="D50" s="111"/>
      <c r="E50" s="109"/>
      <c r="F50" s="113" t="s">
        <v>106</v>
      </c>
      <c r="G50" s="112"/>
      <c r="H50" s="112"/>
      <c r="I50" s="112"/>
      <c r="K50" s="113"/>
      <c r="L50" s="114"/>
      <c r="O50" s="115"/>
      <c r="P50" s="115"/>
      <c r="Q50" s="115"/>
      <c r="R50" s="115"/>
      <c r="S50" s="112" t="s">
        <v>129</v>
      </c>
      <c r="T50" s="112"/>
      <c r="U50" s="111"/>
      <c r="V50" s="111"/>
      <c r="W50" s="111"/>
      <c r="X50" s="100"/>
    </row>
    <row r="51" spans="1:24" ht="0.75" hidden="1" customHeight="1">
      <c r="A51" s="111"/>
      <c r="B51" s="111"/>
      <c r="C51" s="111"/>
      <c r="D51" s="111"/>
      <c r="E51" s="116"/>
      <c r="F51" s="116"/>
      <c r="G51" s="111"/>
      <c r="H51" s="111"/>
      <c r="I51" s="111"/>
      <c r="J51" s="111"/>
      <c r="K51" s="103"/>
      <c r="L51" s="103"/>
      <c r="O51" s="103"/>
      <c r="P51" s="115"/>
      <c r="Q51" s="103"/>
      <c r="R51" s="103"/>
      <c r="S51" s="111"/>
      <c r="T51" s="111"/>
      <c r="U51" s="111"/>
      <c r="V51" s="111"/>
      <c r="W51" s="111"/>
      <c r="X51" s="100"/>
    </row>
    <row r="52" spans="1:24" ht="0.75" hidden="1" customHeight="1">
      <c r="A52" s="111"/>
      <c r="B52" s="111"/>
      <c r="C52" s="111"/>
      <c r="D52" s="111"/>
      <c r="E52" s="109"/>
      <c r="F52" s="109"/>
      <c r="G52" s="111"/>
      <c r="H52" s="111"/>
      <c r="I52" s="111"/>
      <c r="J52" s="111"/>
      <c r="K52" s="109"/>
      <c r="L52" s="109"/>
      <c r="O52" s="109"/>
      <c r="P52" s="109"/>
      <c r="Q52" s="109"/>
      <c r="R52" s="109"/>
      <c r="S52" s="111"/>
      <c r="T52" s="111"/>
      <c r="U52" s="111"/>
      <c r="V52" s="111"/>
      <c r="W52" s="111"/>
      <c r="X52" s="100"/>
    </row>
    <row r="53" spans="1:24">
      <c r="A53" s="111"/>
      <c r="B53" s="113" t="s">
        <v>108</v>
      </c>
      <c r="C53" s="111"/>
      <c r="D53" s="111"/>
      <c r="E53" s="116"/>
      <c r="F53" s="118" t="s">
        <v>109</v>
      </c>
      <c r="G53" s="117"/>
      <c r="H53" s="117"/>
      <c r="I53" s="117"/>
      <c r="K53" s="118"/>
      <c r="L53" s="117" t="s">
        <v>127</v>
      </c>
      <c r="O53" s="109"/>
      <c r="P53" s="109"/>
      <c r="Q53" s="116"/>
      <c r="R53" s="109"/>
      <c r="T53" s="117"/>
      <c r="U53" s="117"/>
      <c r="V53" s="117"/>
      <c r="W53" s="111"/>
      <c r="X53" s="100"/>
    </row>
    <row r="54" spans="1:24" ht="15" customHeight="1">
      <c r="A54" s="110" t="s">
        <v>111</v>
      </c>
      <c r="B54" s="110"/>
      <c r="C54" s="110"/>
      <c r="D54" s="111"/>
      <c r="E54" s="109"/>
      <c r="F54" s="118" t="s">
        <v>112</v>
      </c>
      <c r="G54" s="117"/>
      <c r="H54" s="117"/>
      <c r="I54" s="117"/>
      <c r="K54" s="119" t="s">
        <v>128</v>
      </c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1"/>
      <c r="X54" s="100"/>
    </row>
    <row r="55" spans="1:24">
      <c r="A55" s="109"/>
      <c r="B55" s="120"/>
      <c r="C55" s="109"/>
      <c r="D55" s="109"/>
      <c r="E55" s="116"/>
      <c r="F55" s="116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0"/>
    </row>
    <row r="56" spans="1:24" s="2" customFormat="1">
      <c r="A56" s="109"/>
      <c r="B56" s="120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0"/>
    </row>
    <row r="57" spans="1:24" s="2" customFormat="1">
      <c r="A57" s="109"/>
      <c r="B57" s="120"/>
      <c r="C57" s="109"/>
      <c r="D57" s="109"/>
      <c r="E57" s="109"/>
      <c r="F57" s="109"/>
      <c r="G57" s="109"/>
      <c r="H57" s="109"/>
      <c r="I57" s="109"/>
      <c r="J57" s="109"/>
      <c r="K57" s="109"/>
      <c r="L57" s="116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0"/>
    </row>
    <row r="58" spans="1:24" s="2" customFormat="1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0"/>
    </row>
    <row r="59" spans="1:24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00"/>
    </row>
    <row r="60" spans="1:24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00"/>
    </row>
    <row r="61" spans="1:24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00"/>
    </row>
    <row r="62" spans="1:24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00"/>
    </row>
    <row r="63" spans="1:24">
      <c r="X63" s="100"/>
    </row>
    <row r="64" spans="1:24">
      <c r="X64" s="100"/>
    </row>
    <row r="65" spans="1:24">
      <c r="X65" s="100"/>
    </row>
    <row r="66" spans="1:24">
      <c r="X66" s="100"/>
    </row>
    <row r="67" spans="1:24">
      <c r="X67" s="100"/>
    </row>
    <row r="68" spans="1:24">
      <c r="X68" s="100"/>
    </row>
    <row r="69" spans="1:24" s="10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s="10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s="10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s="10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s="10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s="10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s="10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s="10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s="10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s="10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s="10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s="10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307" spans="99:99">
      <c r="CU307" s="1" t="s">
        <v>114</v>
      </c>
    </row>
  </sheetData>
  <mergeCells count="3">
    <mergeCell ref="A50:C50"/>
    <mergeCell ref="A54:C54"/>
    <mergeCell ref="K54:V54"/>
  </mergeCells>
  <printOptions horizontalCentered="1" verticalCentered="1"/>
  <pageMargins left="0.74803149606299213" right="0.19685039370078741" top="0.41" bottom="0.38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01-15 ENERO</vt:lpstr>
      <vt:lpstr>16-31 ENERO</vt:lpstr>
      <vt:lpstr>01-15 FEBRERO</vt:lpstr>
      <vt:lpstr>16-28 FEBRERO</vt:lpstr>
      <vt:lpstr>01-15 MARZO</vt:lpstr>
      <vt:lpstr>16-31 MARZO</vt:lpstr>
      <vt:lpstr>01-15 ABRIL</vt:lpstr>
      <vt:lpstr>16-30 ABRIL</vt:lpstr>
      <vt:lpstr>01-15 MAYO</vt:lpstr>
      <vt:lpstr>16-31 MAYO</vt:lpstr>
      <vt:lpstr>01-15 JUNIO</vt:lpstr>
      <vt:lpstr>16-30 JUNIO</vt:lpstr>
      <vt:lpstr>01-15 JULIO</vt:lpstr>
      <vt:lpstr>16-31 JULIO</vt:lpstr>
      <vt:lpstr>01-15 AGOSTO</vt:lpstr>
      <vt:lpstr>16-30 AGOSTO</vt:lpstr>
      <vt:lpstr>01-15 SEPTIEMBRE</vt:lpstr>
      <vt:lpstr>16-30 SEPTIEMBRE</vt:lpstr>
      <vt:lpstr>01-15 OCTUBRE</vt:lpstr>
      <vt:lpstr>16-31 OCTUBRE</vt:lpstr>
      <vt:lpstr>01-15 NOVIEMBRE</vt:lpstr>
      <vt:lpstr>16-30 NOVIEMBRE</vt:lpstr>
      <vt:lpstr>01-15 DICIEMBRE</vt:lpstr>
      <vt:lpstr>16-31 DICIEMBRE</vt:lpstr>
      <vt:lpstr>'01-15 ABRIL'!Títulos_a_imprimir</vt:lpstr>
      <vt:lpstr>'01-15 AGOSTO'!Títulos_a_imprimir</vt:lpstr>
      <vt:lpstr>'01-15 DICIEMBRE'!Títulos_a_imprimir</vt:lpstr>
      <vt:lpstr>'01-15 ENERO'!Títulos_a_imprimir</vt:lpstr>
      <vt:lpstr>'01-15 FEBRERO'!Títulos_a_imprimir</vt:lpstr>
      <vt:lpstr>'01-15 JULIO'!Títulos_a_imprimir</vt:lpstr>
      <vt:lpstr>'01-15 JUNIO'!Títulos_a_imprimir</vt:lpstr>
      <vt:lpstr>'01-15 MARZO'!Títulos_a_imprimir</vt:lpstr>
      <vt:lpstr>'01-15 MAYO'!Títulos_a_imprimir</vt:lpstr>
      <vt:lpstr>'01-15 NOVIEMBRE'!Títulos_a_imprimir</vt:lpstr>
      <vt:lpstr>'01-15 OCTUBRE'!Títulos_a_imprimir</vt:lpstr>
      <vt:lpstr>'01-15 SEPTIEMBRE'!Títulos_a_imprimir</vt:lpstr>
      <vt:lpstr>'16-28 FEBRERO'!Títulos_a_imprimir</vt:lpstr>
      <vt:lpstr>'16-30 ABRIL'!Títulos_a_imprimir</vt:lpstr>
      <vt:lpstr>'16-30 AGOSTO'!Títulos_a_imprimir</vt:lpstr>
      <vt:lpstr>'16-30 JUNIO'!Títulos_a_imprimir</vt:lpstr>
      <vt:lpstr>'16-30 NOVIEMBRE'!Títulos_a_imprimir</vt:lpstr>
      <vt:lpstr>'16-30 SEPTIEMBRE'!Títulos_a_imprimir</vt:lpstr>
      <vt:lpstr>'16-31 DICIEMBRE'!Títulos_a_imprimir</vt:lpstr>
      <vt:lpstr>'16-31 ENERO'!Títulos_a_imprimir</vt:lpstr>
      <vt:lpstr>'16-31 JULIO'!Títulos_a_imprimir</vt:lpstr>
      <vt:lpstr>'16-31 MARZO'!Títulos_a_imprimir</vt:lpstr>
      <vt:lpstr>'16-31 MAYO'!Títulos_a_imprimir</vt:lpstr>
      <vt:lpstr>'16-31 OCTUBRE'!Títulos_a_imprimir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2016-07-01T14:29:44Z</cp:lastPrinted>
  <dcterms:created xsi:type="dcterms:W3CDTF">2016-07-01T13:47:53Z</dcterms:created>
  <dcterms:modified xsi:type="dcterms:W3CDTF">2016-07-01T16:35:43Z</dcterms:modified>
</cp:coreProperties>
</file>