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1 ENERO" sheetId="1" r:id="rId1"/>
    <sheet name="2 ENERO" sheetId="2" r:id="rId2"/>
    <sheet name="1 FEBRERO" sheetId="3" r:id="rId3"/>
    <sheet name="2 FEBRERO" sheetId="4" r:id="rId4"/>
    <sheet name="1 MARZO" sheetId="5" r:id="rId5"/>
    <sheet name="2 MARZO" sheetId="6" r:id="rId6"/>
    <sheet name="1 ABRIL Y AGUINALDO 1" sheetId="8" r:id="rId7"/>
    <sheet name="2 ABRIL" sheetId="9" r:id="rId8"/>
    <sheet name="1 MAYO" sheetId="10" r:id="rId9"/>
    <sheet name="2 MAYO" sheetId="11" r:id="rId10"/>
    <sheet name="1 JUNIO" sheetId="12" r:id="rId11"/>
    <sheet name="2 JUNIO" sheetId="13" r:id="rId12"/>
    <sheet name="1 JULIO" sheetId="15" r:id="rId13"/>
    <sheet name="2 JULIO " sheetId="16" r:id="rId14"/>
    <sheet name="PRIMA VAC Y 1 AGOSTO" sheetId="18" r:id="rId15"/>
    <sheet name="Hoja1" sheetId="1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6" hidden="1">'1 ABRIL Y AGUINALDO 1'!$A$4:$AV$34</definedName>
    <definedName name="_xlnm._FilterDatabase" localSheetId="0" hidden="1">'1 ENERO'!$A$4:$AV$34</definedName>
    <definedName name="_xlnm._FilterDatabase" localSheetId="2" hidden="1">'1 FEBRERO'!$A$4:$AU$34</definedName>
    <definedName name="_xlnm._FilterDatabase" localSheetId="12" hidden="1">'1 JULIO'!$A$4:$AV$33</definedName>
    <definedName name="_xlnm._FilterDatabase" localSheetId="10" hidden="1">'1 JUNIO'!$A$4:$AV$33</definedName>
    <definedName name="_xlnm._FilterDatabase" localSheetId="4" hidden="1">'1 MARZO'!$A$4:$AV$33</definedName>
    <definedName name="_xlnm._FilterDatabase" localSheetId="8" hidden="1">'1 MAYO'!$A$4:$AU$33</definedName>
    <definedName name="_xlnm._FilterDatabase" localSheetId="7" hidden="1">'2 ABRIL'!$A$4:$AU$33</definedName>
    <definedName name="_xlnm._FilterDatabase" localSheetId="1" hidden="1">'2 ENERO'!$A$4:$AV$34</definedName>
    <definedName name="_xlnm._FilterDatabase" localSheetId="3" hidden="1">'2 FEBRERO'!$A$4:$AV$35</definedName>
    <definedName name="_xlnm._FilterDatabase" localSheetId="13" hidden="1">'2 JULIO '!$A$4:$AV$33</definedName>
    <definedName name="_xlnm._FilterDatabase" localSheetId="11" hidden="1">'2 JUNIO'!$A$4:$AV$33</definedName>
    <definedName name="_xlnm._FilterDatabase" localSheetId="5" hidden="1">'2 MARZO'!$A$4:$AU$33</definedName>
    <definedName name="_xlnm._FilterDatabase" localSheetId="9" hidden="1">'2 MAYO'!$A$4:$AW$33</definedName>
    <definedName name="_xlnm._FilterDatabase" localSheetId="14" hidden="1">'PRIMA VAC Y 1 AGOSTO'!$A$4:$AV$33</definedName>
  </definedNames>
  <calcPr calcId="145621"/>
</workbook>
</file>

<file path=xl/calcChain.xml><?xml version="1.0" encoding="utf-8"?>
<calcChain xmlns="http://schemas.openxmlformats.org/spreadsheetml/2006/main">
  <c r="AC6" i="18" l="1"/>
  <c r="AC7" i="18"/>
  <c r="AS7" i="18" s="1"/>
  <c r="AC8" i="18"/>
  <c r="AC9" i="18"/>
  <c r="AC10" i="18"/>
  <c r="AC11" i="18"/>
  <c r="AC12" i="18"/>
  <c r="AC13" i="18"/>
  <c r="AC14" i="18"/>
  <c r="AC15" i="18"/>
  <c r="AC16" i="18"/>
  <c r="AC18" i="18"/>
  <c r="AC19" i="18"/>
  <c r="AC20" i="18"/>
  <c r="AC21" i="18"/>
  <c r="AS21" i="18" s="1"/>
  <c r="AC22" i="18"/>
  <c r="AC23" i="18"/>
  <c r="AS23" i="18" s="1"/>
  <c r="AC24" i="18"/>
  <c r="AC25" i="18"/>
  <c r="AC26" i="18"/>
  <c r="AC27" i="18"/>
  <c r="AC28" i="18"/>
  <c r="AS28" i="18" s="1"/>
  <c r="AC29" i="18"/>
  <c r="AC30" i="18"/>
  <c r="AC31" i="18"/>
  <c r="AS31" i="18" s="1"/>
  <c r="AC32" i="18"/>
  <c r="AC5" i="18"/>
  <c r="AS5" i="18" s="1"/>
  <c r="Z13" i="18"/>
  <c r="Z14" i="18"/>
  <c r="Z15" i="18"/>
  <c r="AX17" i="18"/>
  <c r="Z17" i="18"/>
  <c r="Z18" i="18"/>
  <c r="Z20" i="18"/>
  <c r="Z25" i="18"/>
  <c r="Z27" i="18"/>
  <c r="Z29" i="18"/>
  <c r="AO33" i="18"/>
  <c r="AF33" i="18"/>
  <c r="R33" i="18"/>
  <c r="Q33" i="18"/>
  <c r="N33" i="18"/>
  <c r="AW32" i="18"/>
  <c r="Z32" i="18"/>
  <c r="A32" i="18"/>
  <c r="AW31" i="18"/>
  <c r="AX31" i="18"/>
  <c r="A31" i="18"/>
  <c r="AX30" i="18"/>
  <c r="AW30" i="18"/>
  <c r="AS30" i="18"/>
  <c r="Z30" i="18"/>
  <c r="A30" i="18"/>
  <c r="AW29" i="18"/>
  <c r="A29" i="18"/>
  <c r="AX28" i="18"/>
  <c r="AW28" i="18"/>
  <c r="Z28" i="18"/>
  <c r="A28" i="18"/>
  <c r="AX27" i="18"/>
  <c r="AW27" i="18"/>
  <c r="A27" i="18"/>
  <c r="Y33" i="18"/>
  <c r="AW26" i="18"/>
  <c r="A26" i="18"/>
  <c r="AW25" i="18"/>
  <c r="A25" i="18"/>
  <c r="AW24" i="18"/>
  <c r="A24" i="18"/>
  <c r="AW23" i="18"/>
  <c r="A23" i="18"/>
  <c r="AW22" i="18"/>
  <c r="A22" i="18"/>
  <c r="AX21" i="18"/>
  <c r="AW21" i="18"/>
  <c r="A21" i="18"/>
  <c r="AX20" i="18"/>
  <c r="AW20" i="18"/>
  <c r="A20" i="18"/>
  <c r="AX19" i="18"/>
  <c r="AW19" i="18"/>
  <c r="A19" i="18"/>
  <c r="AX18" i="18"/>
  <c r="AW18" i="18"/>
  <c r="A18" i="18"/>
  <c r="AW17" i="18"/>
  <c r="A17" i="18"/>
  <c r="AW16" i="18"/>
  <c r="AS16" i="18"/>
  <c r="A16" i="18"/>
  <c r="AW15" i="18"/>
  <c r="A15" i="18"/>
  <c r="AX14" i="18"/>
  <c r="AW14" i="18"/>
  <c r="AS14" i="18"/>
  <c r="A14" i="18"/>
  <c r="AW13" i="18"/>
  <c r="A13" i="18"/>
  <c r="AW12" i="18"/>
  <c r="A12" i="18"/>
  <c r="AW11" i="18"/>
  <c r="A11" i="18"/>
  <c r="AW10" i="18"/>
  <c r="A10" i="18"/>
  <c r="AX9" i="18"/>
  <c r="AW9" i="18"/>
  <c r="Z9" i="18"/>
  <c r="A9" i="18"/>
  <c r="AW8" i="18"/>
  <c r="A8" i="18"/>
  <c r="AX7" i="18"/>
  <c r="AW7" i="18"/>
  <c r="Z7" i="18"/>
  <c r="A7" i="18"/>
  <c r="AW6" i="18"/>
  <c r="A6" i="18"/>
  <c r="AW5" i="18"/>
  <c r="A5" i="18"/>
  <c r="E3" i="18"/>
  <c r="F3" i="18" s="1"/>
  <c r="G3" i="18" s="1"/>
  <c r="H3" i="18" s="1"/>
  <c r="I3" i="18" s="1"/>
  <c r="K3" i="18" s="1"/>
  <c r="L3" i="18" s="1"/>
  <c r="M3" i="18" s="1"/>
  <c r="N3" i="18" s="1"/>
  <c r="O3" i="18" s="1"/>
  <c r="P3" i="18" s="1"/>
  <c r="Q3" i="18" s="1"/>
  <c r="R3" i="18" s="1"/>
  <c r="S3" i="18" s="1"/>
  <c r="T3" i="18" s="1"/>
  <c r="U3" i="18" s="1"/>
  <c r="V3" i="18" s="1"/>
  <c r="W3" i="18" s="1"/>
  <c r="X3" i="18" s="1"/>
  <c r="Y3" i="18" s="1"/>
  <c r="Z3" i="18" s="1"/>
  <c r="AA3" i="18" s="1"/>
  <c r="AB3" i="18" s="1"/>
  <c r="AC3" i="18" s="1"/>
  <c r="AD3" i="18" s="1"/>
  <c r="AE3" i="18" s="1"/>
  <c r="AF3" i="18" s="1"/>
  <c r="AG3" i="18" s="1"/>
  <c r="AH3" i="18" s="1"/>
  <c r="AI3" i="18" s="1"/>
  <c r="AJ3" i="18" s="1"/>
  <c r="AK3" i="18" s="1"/>
  <c r="AL3" i="18" s="1"/>
  <c r="AM3" i="18" s="1"/>
  <c r="AN3" i="18" s="1"/>
  <c r="AO3" i="18" s="1"/>
  <c r="AP3" i="18" s="1"/>
  <c r="AQ3" i="18" s="1"/>
  <c r="AR3" i="18" s="1"/>
  <c r="AS3" i="18" s="1"/>
  <c r="AT3" i="18" s="1"/>
  <c r="B3" i="18"/>
  <c r="C3" i="18" s="1"/>
  <c r="D3" i="18" s="1"/>
  <c r="AY21" i="18" l="1"/>
  <c r="BB21" i="18" s="1"/>
  <c r="AY7" i="18"/>
  <c r="BD7" i="18" s="1"/>
  <c r="AY31" i="18"/>
  <c r="BD31" i="18" s="1"/>
  <c r="AY17" i="18"/>
  <c r="BD17" i="18" s="1"/>
  <c r="AY9" i="18"/>
  <c r="AZ9" i="18" s="1"/>
  <c r="AY14" i="18"/>
  <c r="BD14" i="18" s="1"/>
  <c r="AY19" i="18"/>
  <c r="BD19" i="18" s="1"/>
  <c r="AT28" i="18"/>
  <c r="Z24" i="18"/>
  <c r="Z12" i="18"/>
  <c r="AX8" i="18"/>
  <c r="AY8" i="18" s="1"/>
  <c r="AZ8" i="18" s="1"/>
  <c r="BA8" i="18" s="1"/>
  <c r="AS15" i="18"/>
  <c r="AT15" i="18" s="1"/>
  <c r="AS25" i="18"/>
  <c r="Z8" i="18"/>
  <c r="AX6" i="18"/>
  <c r="AY6" i="18" s="1"/>
  <c r="BD6" i="18" s="1"/>
  <c r="AS9" i="18"/>
  <c r="AS10" i="18"/>
  <c r="AX15" i="18"/>
  <c r="AY15" i="18" s="1"/>
  <c r="AZ15" i="18" s="1"/>
  <c r="BA15" i="18" s="1"/>
  <c r="AS18" i="18"/>
  <c r="AT18" i="18" s="1"/>
  <c r="AS19" i="18"/>
  <c r="AS20" i="18"/>
  <c r="AT20" i="18" s="1"/>
  <c r="AS22" i="18"/>
  <c r="AX24" i="18"/>
  <c r="AY24" i="18" s="1"/>
  <c r="AZ24" i="18" s="1"/>
  <c r="BA24" i="18" s="1"/>
  <c r="AX29" i="18"/>
  <c r="AY29" i="18" s="1"/>
  <c r="AZ29" i="18" s="1"/>
  <c r="BA29" i="18" s="1"/>
  <c r="AS32" i="18"/>
  <c r="AT32" i="18" s="1"/>
  <c r="Z31" i="18"/>
  <c r="AT31" i="18" s="1"/>
  <c r="Z21" i="18"/>
  <c r="AT21" i="18" s="1"/>
  <c r="AT9" i="18"/>
  <c r="AT25" i="18"/>
  <c r="Z16" i="18"/>
  <c r="AT16" i="18" s="1"/>
  <c r="AT7" i="18"/>
  <c r="AS11" i="18"/>
  <c r="AY20" i="18"/>
  <c r="AZ20" i="18" s="1"/>
  <c r="BA20" i="18" s="1"/>
  <c r="AS6" i="18"/>
  <c r="AS13" i="18"/>
  <c r="AT13" i="18" s="1"/>
  <c r="AL33" i="18"/>
  <c r="AS24" i="18"/>
  <c r="AS26" i="18"/>
  <c r="AS27" i="18"/>
  <c r="AT27" i="18" s="1"/>
  <c r="AX11" i="18"/>
  <c r="AY11" i="18" s="1"/>
  <c r="AX23" i="18"/>
  <c r="AY23" i="18" s="1"/>
  <c r="BD23" i="18" s="1"/>
  <c r="AY27" i="18"/>
  <c r="BB27" i="18" s="1"/>
  <c r="AY18" i="18"/>
  <c r="BD18" i="18" s="1"/>
  <c r="AY28" i="18"/>
  <c r="BB28" i="18" s="1"/>
  <c r="BB6" i="18"/>
  <c r="BD8" i="18"/>
  <c r="V33" i="18"/>
  <c r="AZ7" i="18"/>
  <c r="BA7" i="18" s="1"/>
  <c r="Z10" i="18"/>
  <c r="AX10" i="18"/>
  <c r="AY10" i="18" s="1"/>
  <c r="AZ14" i="18"/>
  <c r="BA14" i="18" s="1"/>
  <c r="BB14" i="18"/>
  <c r="AZ17" i="18"/>
  <c r="BA17" i="18" s="1"/>
  <c r="AX22" i="18"/>
  <c r="AY22" i="18" s="1"/>
  <c r="Z22" i="18"/>
  <c r="BD24" i="18"/>
  <c r="BB29" i="18"/>
  <c r="AC33" i="18"/>
  <c r="BB7" i="18"/>
  <c r="Z11" i="18"/>
  <c r="BB17" i="18"/>
  <c r="Z19" i="18"/>
  <c r="Z5" i="18"/>
  <c r="K33" i="18"/>
  <c r="AX5" i="18"/>
  <c r="AY5" i="18" s="1"/>
  <c r="AZ19" i="18"/>
  <c r="BA19" i="18" s="1"/>
  <c r="BB19" i="18"/>
  <c r="AR33" i="18"/>
  <c r="S33" i="18"/>
  <c r="AS8" i="18"/>
  <c r="AT8" i="18" s="1"/>
  <c r="BA9" i="18"/>
  <c r="AX12" i="18"/>
  <c r="AY12" i="18" s="1"/>
  <c r="AX13" i="18"/>
  <c r="AY13" i="18" s="1"/>
  <c r="BB15" i="18"/>
  <c r="AX16" i="18"/>
  <c r="AY16" i="18" s="1"/>
  <c r="AS17" i="18"/>
  <c r="AT17" i="18" s="1"/>
  <c r="BD20" i="18"/>
  <c r="BB31" i="18"/>
  <c r="AI33" i="18"/>
  <c r="AX25" i="18"/>
  <c r="AY25" i="18" s="1"/>
  <c r="AT30" i="18"/>
  <c r="AY30" i="18"/>
  <c r="AX32" i="18"/>
  <c r="AY32" i="18" s="1"/>
  <c r="BD21" i="18"/>
  <c r="Z6" i="18"/>
  <c r="AS12" i="18"/>
  <c r="AT14" i="18"/>
  <c r="AZ21" i="18"/>
  <c r="BA21" i="18" s="1"/>
  <c r="BC21" i="18" s="1"/>
  <c r="Z23" i="18"/>
  <c r="AT23" i="18" s="1"/>
  <c r="AX26" i="18"/>
  <c r="AY26" i="18" s="1"/>
  <c r="Z26" i="18"/>
  <c r="AZ27" i="18"/>
  <c r="BA27" i="18" s="1"/>
  <c r="BC27" i="18" s="1"/>
  <c r="AS29" i="18"/>
  <c r="AT29" i="18" s="1"/>
  <c r="AR33" i="16"/>
  <c r="AO33" i="16"/>
  <c r="Y33" i="16"/>
  <c r="R33" i="16"/>
  <c r="Q33" i="16"/>
  <c r="K33" i="16"/>
  <c r="AW32" i="16"/>
  <c r="AC32" i="16"/>
  <c r="V32" i="16"/>
  <c r="Z32" i="16" s="1"/>
  <c r="S32" i="16"/>
  <c r="AX32" i="16" s="1"/>
  <c r="A32" i="16"/>
  <c r="AW31" i="16"/>
  <c r="AC31" i="16"/>
  <c r="S31" i="16"/>
  <c r="AX31" i="16" s="1"/>
  <c r="A31" i="16"/>
  <c r="AW30" i="16"/>
  <c r="AC30" i="16"/>
  <c r="S30" i="16"/>
  <c r="AX30" i="16" s="1"/>
  <c r="A30" i="16"/>
  <c r="AW29" i="16"/>
  <c r="AC29" i="16"/>
  <c r="S29" i="16"/>
  <c r="AX29" i="16" s="1"/>
  <c r="AY29" i="16" s="1"/>
  <c r="A29" i="16"/>
  <c r="AW28" i="16"/>
  <c r="AC28" i="16"/>
  <c r="V28" i="16"/>
  <c r="Z28" i="16" s="1"/>
  <c r="S28" i="16"/>
  <c r="AX28" i="16" s="1"/>
  <c r="A28" i="16"/>
  <c r="AW27" i="16"/>
  <c r="AC27" i="16"/>
  <c r="S27" i="16"/>
  <c r="AX27" i="16" s="1"/>
  <c r="A27" i="16"/>
  <c r="AW26" i="16"/>
  <c r="AL26" i="16"/>
  <c r="AC26" i="16"/>
  <c r="S26" i="16"/>
  <c r="V26" i="16" s="1"/>
  <c r="Z26" i="16" s="1"/>
  <c r="A26" i="16"/>
  <c r="AW25" i="16"/>
  <c r="AL25" i="16"/>
  <c r="AC25" i="16"/>
  <c r="S25" i="16"/>
  <c r="V25" i="16" s="1"/>
  <c r="Z25" i="16" s="1"/>
  <c r="A25" i="16"/>
  <c r="AW24" i="16"/>
  <c r="AL24" i="16"/>
  <c r="AC24" i="16"/>
  <c r="S24" i="16"/>
  <c r="A24" i="16"/>
  <c r="AW23" i="16"/>
  <c r="AL23" i="16"/>
  <c r="AC23" i="16"/>
  <c r="S23" i="16"/>
  <c r="AX23" i="16" s="1"/>
  <c r="A23" i="16"/>
  <c r="AW22" i="16"/>
  <c r="AL22" i="16"/>
  <c r="AC22" i="16"/>
  <c r="S22" i="16"/>
  <c r="AX22" i="16" s="1"/>
  <c r="A22" i="16"/>
  <c r="AW21" i="16"/>
  <c r="S21" i="16"/>
  <c r="V21" i="16" s="1"/>
  <c r="Z21" i="16" s="1"/>
  <c r="A21" i="16"/>
  <c r="AW20" i="16"/>
  <c r="AL20" i="16"/>
  <c r="AC20" i="16"/>
  <c r="S20" i="16"/>
  <c r="AX20" i="16" s="1"/>
  <c r="A20" i="16"/>
  <c r="AW19" i="16"/>
  <c r="AL19" i="16"/>
  <c r="AC19" i="16"/>
  <c r="S19" i="16"/>
  <c r="V19" i="16" s="1"/>
  <c r="Z19" i="16" s="1"/>
  <c r="A19" i="16"/>
  <c r="AW18" i="16"/>
  <c r="AL18" i="16"/>
  <c r="AF18" i="16"/>
  <c r="AF33" i="16" s="1"/>
  <c r="AC18" i="16"/>
  <c r="S18" i="16"/>
  <c r="V18" i="16" s="1"/>
  <c r="Z18" i="16" s="1"/>
  <c r="A18" i="16"/>
  <c r="AW17" i="16"/>
  <c r="AL17" i="16"/>
  <c r="S17" i="16"/>
  <c r="A17" i="16"/>
  <c r="AW16" i="16"/>
  <c r="AL16" i="16"/>
  <c r="AC16" i="16"/>
  <c r="S16" i="16"/>
  <c r="AX16" i="16" s="1"/>
  <c r="A16" i="16"/>
  <c r="AW15" i="16"/>
  <c r="AL15" i="16"/>
  <c r="AC15" i="16"/>
  <c r="S15" i="16"/>
  <c r="AX15" i="16" s="1"/>
  <c r="A15" i="16"/>
  <c r="AW14" i="16"/>
  <c r="AC14" i="16"/>
  <c r="S14" i="16"/>
  <c r="V14" i="16" s="1"/>
  <c r="Z14" i="16" s="1"/>
  <c r="A14" i="16"/>
  <c r="AW13" i="16"/>
  <c r="AC13" i="16"/>
  <c r="S13" i="16"/>
  <c r="AX13" i="16" s="1"/>
  <c r="AY13" i="16" s="1"/>
  <c r="A13" i="16"/>
  <c r="AW12" i="16"/>
  <c r="AC12" i="16"/>
  <c r="S12" i="16"/>
  <c r="V12" i="16" s="1"/>
  <c r="Z12" i="16" s="1"/>
  <c r="A12" i="16"/>
  <c r="AW11" i="16"/>
  <c r="AC11" i="16"/>
  <c r="S11" i="16"/>
  <c r="A11" i="16"/>
  <c r="AW10" i="16"/>
  <c r="AL10" i="16"/>
  <c r="AC10" i="16"/>
  <c r="S10" i="16"/>
  <c r="AX10" i="16" s="1"/>
  <c r="AY10" i="16" s="1"/>
  <c r="A10" i="16"/>
  <c r="AW9" i="16"/>
  <c r="AL9" i="16"/>
  <c r="AC9" i="16"/>
  <c r="S9" i="16"/>
  <c r="AX9" i="16" s="1"/>
  <c r="A9" i="16"/>
  <c r="AW8" i="16"/>
  <c r="AL8" i="16"/>
  <c r="AC8" i="16"/>
  <c r="S8" i="16"/>
  <c r="AX8" i="16" s="1"/>
  <c r="A8" i="16"/>
  <c r="AW7" i="16"/>
  <c r="AL7" i="16"/>
  <c r="AC7" i="16"/>
  <c r="S7" i="16"/>
  <c r="AX7" i="16" s="1"/>
  <c r="A7" i="16"/>
  <c r="AW6" i="16"/>
  <c r="AL6" i="16"/>
  <c r="AC6" i="16"/>
  <c r="S6" i="16"/>
  <c r="S33" i="16" s="1"/>
  <c r="A6" i="16"/>
  <c r="AW5" i="16"/>
  <c r="AL5" i="16"/>
  <c r="AC5" i="16"/>
  <c r="S5" i="16"/>
  <c r="V5" i="16" s="1"/>
  <c r="Z5" i="16" s="1"/>
  <c r="A5" i="16"/>
  <c r="B3" i="16"/>
  <c r="C3" i="16" s="1"/>
  <c r="D3" i="16" s="1"/>
  <c r="E3" i="16" s="1"/>
  <c r="F3" i="16" s="1"/>
  <c r="G3" i="16" s="1"/>
  <c r="H3" i="16" s="1"/>
  <c r="I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AB3" i="16" s="1"/>
  <c r="AC3" i="16" s="1"/>
  <c r="AD3" i="16" s="1"/>
  <c r="AE3" i="16" s="1"/>
  <c r="AF3" i="16" s="1"/>
  <c r="AG3" i="16" s="1"/>
  <c r="AH3" i="16" s="1"/>
  <c r="AI3" i="16" s="1"/>
  <c r="AJ3" i="16" s="1"/>
  <c r="AK3" i="16" s="1"/>
  <c r="AL3" i="16" s="1"/>
  <c r="AM3" i="16" s="1"/>
  <c r="AN3" i="16" s="1"/>
  <c r="AO3" i="16" s="1"/>
  <c r="AP3" i="16" s="1"/>
  <c r="AQ3" i="16" s="1"/>
  <c r="AR3" i="16" s="1"/>
  <c r="AS3" i="16" s="1"/>
  <c r="AT3" i="16" s="1"/>
  <c r="AY8" i="16" l="1"/>
  <c r="BB8" i="16" s="1"/>
  <c r="AY16" i="16"/>
  <c r="BB16" i="16" s="1"/>
  <c r="AY31" i="16"/>
  <c r="BD31" i="16" s="1"/>
  <c r="AY20" i="16"/>
  <c r="AZ20" i="16" s="1"/>
  <c r="V31" i="16"/>
  <c r="Z31" i="16" s="1"/>
  <c r="V8" i="16"/>
  <c r="Z8" i="16" s="1"/>
  <c r="V10" i="16"/>
  <c r="Z10" i="16" s="1"/>
  <c r="V16" i="16"/>
  <c r="Z16" i="16" s="1"/>
  <c r="AX21" i="16"/>
  <c r="AY21" i="16" s="1"/>
  <c r="BD21" i="16" s="1"/>
  <c r="AY27" i="16"/>
  <c r="BD27" i="16" s="1"/>
  <c r="AY28" i="16"/>
  <c r="BB28" i="16" s="1"/>
  <c r="AY32" i="16"/>
  <c r="AX25" i="16"/>
  <c r="AY25" i="16" s="1"/>
  <c r="BD25" i="16" s="1"/>
  <c r="AY9" i="16"/>
  <c r="BB9" i="16" s="1"/>
  <c r="AY22" i="16"/>
  <c r="AZ22" i="16" s="1"/>
  <c r="BA22" i="16" s="1"/>
  <c r="V29" i="16"/>
  <c r="Z29" i="16" s="1"/>
  <c r="AY7" i="16"/>
  <c r="AY15" i="16"/>
  <c r="AZ15" i="16" s="1"/>
  <c r="BA15" i="16" s="1"/>
  <c r="AY23" i="16"/>
  <c r="BB23" i="16" s="1"/>
  <c r="BD15" i="18"/>
  <c r="AZ18" i="18"/>
  <c r="BA18" i="18" s="1"/>
  <c r="AT12" i="18"/>
  <c r="AZ31" i="18"/>
  <c r="BA31" i="18" s="1"/>
  <c r="BB9" i="18"/>
  <c r="BC9" i="18" s="1"/>
  <c r="BE9" i="18" s="1"/>
  <c r="BB8" i="18"/>
  <c r="BD9" i="18"/>
  <c r="BB24" i="18"/>
  <c r="AZ6" i="18"/>
  <c r="BA6" i="18" s="1"/>
  <c r="BC6" i="18" s="1"/>
  <c r="BE6" i="18" s="1"/>
  <c r="AT26" i="18"/>
  <c r="AT6" i="18"/>
  <c r="AT11" i="18"/>
  <c r="AT10" i="18"/>
  <c r="BB20" i="18"/>
  <c r="BC20" i="18" s="1"/>
  <c r="BE20" i="18" s="1"/>
  <c r="AZ23" i="18"/>
  <c r="BA23" i="18" s="1"/>
  <c r="AZ28" i="18"/>
  <c r="BA28" i="18" s="1"/>
  <c r="BC28" i="18" s="1"/>
  <c r="BB23" i="18"/>
  <c r="BB18" i="18"/>
  <c r="BC18" i="18" s="1"/>
  <c r="BE18" i="18" s="1"/>
  <c r="BC29" i="18"/>
  <c r="AT19" i="18"/>
  <c r="BD29" i="18"/>
  <c r="AT24" i="18"/>
  <c r="BE21" i="18"/>
  <c r="AT22" i="18"/>
  <c r="BC19" i="18"/>
  <c r="BE19" i="18" s="1"/>
  <c r="BC14" i="18"/>
  <c r="BE14" i="18" s="1"/>
  <c r="BD27" i="18"/>
  <c r="BE27" i="18" s="1"/>
  <c r="BC17" i="18"/>
  <c r="BE17" i="18" s="1"/>
  <c r="BC15" i="18"/>
  <c r="BE15" i="18" s="1"/>
  <c r="BD28" i="18"/>
  <c r="BC31" i="18"/>
  <c r="BE31" i="18" s="1"/>
  <c r="BC8" i="18"/>
  <c r="BE8" i="18" s="1"/>
  <c r="BC24" i="18"/>
  <c r="BE24" i="18" s="1"/>
  <c r="BC7" i="18"/>
  <c r="BE7" i="18" s="1"/>
  <c r="BD30" i="18"/>
  <c r="AZ30" i="18"/>
  <c r="BA30" i="18" s="1"/>
  <c r="BB30" i="18"/>
  <c r="BB25" i="18"/>
  <c r="AZ25" i="18"/>
  <c r="BA25" i="18" s="1"/>
  <c r="BD25" i="18"/>
  <c r="BD16" i="18"/>
  <c r="AZ16" i="18"/>
  <c r="BA16" i="18" s="1"/>
  <c r="BB16" i="18"/>
  <c r="BB12" i="18"/>
  <c r="AZ12" i="18"/>
  <c r="BA12" i="18" s="1"/>
  <c r="BD12" i="18"/>
  <c r="BB11" i="18"/>
  <c r="BD11" i="18"/>
  <c r="AZ11" i="18"/>
  <c r="BA11" i="18" s="1"/>
  <c r="Z33" i="18"/>
  <c r="AT5" i="18"/>
  <c r="BB26" i="18"/>
  <c r="BD26" i="18"/>
  <c r="AZ26" i="18"/>
  <c r="BA26" i="18" s="1"/>
  <c r="BD22" i="18"/>
  <c r="BB22" i="18"/>
  <c r="AZ22" i="18"/>
  <c r="BA22" i="18" s="1"/>
  <c r="AZ10" i="18"/>
  <c r="BA10" i="18" s="1"/>
  <c r="BD10" i="18"/>
  <c r="BB10" i="18"/>
  <c r="BD32" i="18"/>
  <c r="AZ32" i="18"/>
  <c r="BA32" i="18" s="1"/>
  <c r="BB32" i="18"/>
  <c r="BD13" i="18"/>
  <c r="AZ13" i="18"/>
  <c r="BA13" i="18" s="1"/>
  <c r="BB13" i="18"/>
  <c r="BD5" i="18"/>
  <c r="BB5" i="18"/>
  <c r="AZ5" i="18"/>
  <c r="BA5" i="18" s="1"/>
  <c r="AS33" i="18"/>
  <c r="AZ10" i="16"/>
  <c r="BB10" i="16"/>
  <c r="AZ7" i="16"/>
  <c r="BA7" i="16" s="1"/>
  <c r="BD7" i="16"/>
  <c r="AX19" i="16"/>
  <c r="AY19" i="16" s="1"/>
  <c r="V23" i="16"/>
  <c r="Z23" i="16" s="1"/>
  <c r="V7" i="16"/>
  <c r="Z7" i="16" s="1"/>
  <c r="V22" i="16"/>
  <c r="Z22" i="16" s="1"/>
  <c r="V13" i="16"/>
  <c r="Z13" i="16" s="1"/>
  <c r="V27" i="16"/>
  <c r="Z27" i="16" s="1"/>
  <c r="AX12" i="16"/>
  <c r="AY12" i="16" s="1"/>
  <c r="BD12" i="16" s="1"/>
  <c r="V20" i="16"/>
  <c r="Z20" i="16" s="1"/>
  <c r="V30" i="16"/>
  <c r="Z30" i="16" s="1"/>
  <c r="V17" i="16"/>
  <c r="Z17" i="16" s="1"/>
  <c r="AX17" i="16"/>
  <c r="AY17" i="16" s="1"/>
  <c r="BD29" i="16"/>
  <c r="AZ29" i="16"/>
  <c r="BA29" i="16" s="1"/>
  <c r="BB29" i="16"/>
  <c r="BB13" i="16"/>
  <c r="BD13" i="16"/>
  <c r="AZ13" i="16"/>
  <c r="BD22" i="16"/>
  <c r="BB27" i="16"/>
  <c r="V6" i="16"/>
  <c r="Z6" i="16" s="1"/>
  <c r="V11" i="16"/>
  <c r="Z11" i="16" s="1"/>
  <c r="AX11" i="16"/>
  <c r="AY11" i="16" s="1"/>
  <c r="AX14" i="16"/>
  <c r="AY14" i="16" s="1"/>
  <c r="AZ21" i="16"/>
  <c r="BA21" i="16" s="1"/>
  <c r="BB21" i="16"/>
  <c r="AX24" i="16"/>
  <c r="AY24" i="16" s="1"/>
  <c r="V24" i="16"/>
  <c r="Z24" i="16" s="1"/>
  <c r="BD8" i="16"/>
  <c r="AZ8" i="16"/>
  <c r="BA8" i="16" s="1"/>
  <c r="BB25" i="16"/>
  <c r="AZ25" i="16"/>
  <c r="BA25" i="16" s="1"/>
  <c r="BB7" i="16"/>
  <c r="V9" i="16"/>
  <c r="Z9" i="16" s="1"/>
  <c r="BA20" i="16"/>
  <c r="BB20" i="16"/>
  <c r="N33" i="16"/>
  <c r="AX5" i="16"/>
  <c r="AY5" i="16" s="1"/>
  <c r="AC33" i="16"/>
  <c r="AX6" i="16"/>
  <c r="AY6" i="16" s="1"/>
  <c r="BA13" i="16"/>
  <c r="V15" i="16"/>
  <c r="Z15" i="16" s="1"/>
  <c r="BB19" i="16"/>
  <c r="BD20" i="16"/>
  <c r="BD32" i="16"/>
  <c r="AZ32" i="16"/>
  <c r="BA32" i="16" s="1"/>
  <c r="BB32" i="16"/>
  <c r="AL33" i="16"/>
  <c r="BA10" i="16"/>
  <c r="BD10" i="16"/>
  <c r="AX26" i="16"/>
  <c r="AY26" i="16" s="1"/>
  <c r="AY30" i="16"/>
  <c r="BB31" i="16"/>
  <c r="AX18" i="16"/>
  <c r="AY18" i="16" s="1"/>
  <c r="AZ31" i="16"/>
  <c r="BA31" i="16" s="1"/>
  <c r="AF18" i="15"/>
  <c r="S32" i="15"/>
  <c r="S31" i="15"/>
  <c r="S30" i="15"/>
  <c r="V30" i="15" s="1"/>
  <c r="S29" i="15"/>
  <c r="V29" i="15" s="1"/>
  <c r="Z29" i="15" s="1"/>
  <c r="S28" i="15"/>
  <c r="V28" i="15" s="1"/>
  <c r="Z28" i="15" s="1"/>
  <c r="S27" i="15"/>
  <c r="V27" i="15" s="1"/>
  <c r="Z27" i="15" s="1"/>
  <c r="S26" i="15"/>
  <c r="AX26" i="15" s="1"/>
  <c r="S25" i="15"/>
  <c r="S24" i="15"/>
  <c r="S23" i="15"/>
  <c r="S22" i="15"/>
  <c r="AX22" i="15" s="1"/>
  <c r="S21" i="15"/>
  <c r="V21" i="15" s="1"/>
  <c r="Z21" i="15" s="1"/>
  <c r="S20" i="15"/>
  <c r="AX20" i="15" s="1"/>
  <c r="S19" i="15"/>
  <c r="AX19" i="15" s="1"/>
  <c r="AY19" i="15" s="1"/>
  <c r="S18" i="15"/>
  <c r="AX18" i="15" s="1"/>
  <c r="S17" i="15"/>
  <c r="S16" i="15"/>
  <c r="S15" i="15"/>
  <c r="S14" i="15"/>
  <c r="V14" i="15" s="1"/>
  <c r="Z14" i="15" s="1"/>
  <c r="S13" i="15"/>
  <c r="AX13" i="15" s="1"/>
  <c r="S12" i="15"/>
  <c r="S11" i="15"/>
  <c r="S10" i="15"/>
  <c r="V10" i="15" s="1"/>
  <c r="Z10" i="15" s="1"/>
  <c r="S9" i="15"/>
  <c r="AX9" i="15" s="1"/>
  <c r="S8" i="15"/>
  <c r="S7" i="15"/>
  <c r="S6" i="15"/>
  <c r="S5" i="15"/>
  <c r="N30" i="15"/>
  <c r="N5" i="15"/>
  <c r="N33" i="15" s="1"/>
  <c r="AR33" i="15"/>
  <c r="AO33" i="15"/>
  <c r="Y33" i="15"/>
  <c r="K33" i="15"/>
  <c r="AW32" i="15"/>
  <c r="AC32" i="15"/>
  <c r="V32" i="15"/>
  <c r="R33" i="15"/>
  <c r="Q33" i="15"/>
  <c r="A32" i="15"/>
  <c r="AW31" i="15"/>
  <c r="AC31" i="15"/>
  <c r="V31" i="15"/>
  <c r="Z31" i="15" s="1"/>
  <c r="A31" i="15"/>
  <c r="AW30" i="15"/>
  <c r="AC30" i="15"/>
  <c r="A30" i="15"/>
  <c r="AW29" i="15"/>
  <c r="AC29" i="15"/>
  <c r="A29" i="15"/>
  <c r="AW28" i="15"/>
  <c r="AC28" i="15"/>
  <c r="A28" i="15"/>
  <c r="AW27" i="15"/>
  <c r="AC27" i="15"/>
  <c r="A27" i="15"/>
  <c r="AW26" i="15"/>
  <c r="AL26" i="15"/>
  <c r="AC26" i="15"/>
  <c r="A26" i="15"/>
  <c r="AW25" i="15"/>
  <c r="AL25" i="15"/>
  <c r="AC25" i="15"/>
  <c r="A25" i="15"/>
  <c r="AW24" i="15"/>
  <c r="AL24" i="15"/>
  <c r="AC24" i="15"/>
  <c r="AX24" i="15"/>
  <c r="A24" i="15"/>
  <c r="AW23" i="15"/>
  <c r="AL23" i="15"/>
  <c r="AC23" i="15"/>
  <c r="A23" i="15"/>
  <c r="AW22" i="15"/>
  <c r="AL22" i="15"/>
  <c r="AC22" i="15"/>
  <c r="A22" i="15"/>
  <c r="AW21" i="15"/>
  <c r="A21" i="15"/>
  <c r="AW20" i="15"/>
  <c r="AL20" i="15"/>
  <c r="AC20" i="15"/>
  <c r="A20" i="15"/>
  <c r="AW19" i="15"/>
  <c r="AL19" i="15"/>
  <c r="AC19" i="15"/>
  <c r="A19" i="15"/>
  <c r="AW18" i="15"/>
  <c r="AL18" i="15"/>
  <c r="AF33" i="15"/>
  <c r="AC18" i="15"/>
  <c r="A18" i="15"/>
  <c r="AW17" i="15"/>
  <c r="AL17" i="15"/>
  <c r="AX17" i="15"/>
  <c r="A17" i="15"/>
  <c r="AW16" i="15"/>
  <c r="AL16" i="15"/>
  <c r="AC16" i="15"/>
  <c r="AX16" i="15"/>
  <c r="A16" i="15"/>
  <c r="AW15" i="15"/>
  <c r="AL15" i="15"/>
  <c r="AC15" i="15"/>
  <c r="AX15" i="15"/>
  <c r="A15" i="15"/>
  <c r="AW14" i="15"/>
  <c r="AC14" i="15"/>
  <c r="A14" i="15"/>
  <c r="AW13" i="15"/>
  <c r="AC13" i="15"/>
  <c r="A13" i="15"/>
  <c r="AW12" i="15"/>
  <c r="AC12" i="15"/>
  <c r="V12" i="15"/>
  <c r="Z12" i="15" s="1"/>
  <c r="A12" i="15"/>
  <c r="AW11" i="15"/>
  <c r="AC11" i="15"/>
  <c r="AX11" i="15"/>
  <c r="A11" i="15"/>
  <c r="AW10" i="15"/>
  <c r="AL10" i="15"/>
  <c r="AC10" i="15"/>
  <c r="A10" i="15"/>
  <c r="AW9" i="15"/>
  <c r="AL9" i="15"/>
  <c r="AC9" i="15"/>
  <c r="A9" i="15"/>
  <c r="AW8" i="15"/>
  <c r="AL8" i="15"/>
  <c r="AC8" i="15"/>
  <c r="A8" i="15"/>
  <c r="AX7" i="15"/>
  <c r="AW7" i="15"/>
  <c r="AL7" i="15"/>
  <c r="AC7" i="15"/>
  <c r="V7" i="15"/>
  <c r="Z7" i="15" s="1"/>
  <c r="A7" i="15"/>
  <c r="AW6" i="15"/>
  <c r="AL6" i="15"/>
  <c r="AC6" i="15"/>
  <c r="A6" i="15"/>
  <c r="AW5" i="15"/>
  <c r="AL5" i="15"/>
  <c r="AC5" i="15"/>
  <c r="A5" i="15"/>
  <c r="B3" i="15"/>
  <c r="C3" i="15" s="1"/>
  <c r="D3" i="15" s="1"/>
  <c r="E3" i="15" s="1"/>
  <c r="F3" i="15" s="1"/>
  <c r="G3" i="15" s="1"/>
  <c r="H3" i="15" s="1"/>
  <c r="I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AE3" i="15" s="1"/>
  <c r="AF3" i="15" s="1"/>
  <c r="AG3" i="15" s="1"/>
  <c r="AH3" i="15" s="1"/>
  <c r="AI3" i="15" s="1"/>
  <c r="AJ3" i="15" s="1"/>
  <c r="AK3" i="15" s="1"/>
  <c r="AL3" i="15" s="1"/>
  <c r="AM3" i="15" s="1"/>
  <c r="AN3" i="15" s="1"/>
  <c r="AO3" i="15" s="1"/>
  <c r="AP3" i="15" s="1"/>
  <c r="AQ3" i="15" s="1"/>
  <c r="AR3" i="15" s="1"/>
  <c r="AS3" i="15" s="1"/>
  <c r="AT3" i="15" s="1"/>
  <c r="AY24" i="15" l="1"/>
  <c r="AZ24" i="15" s="1"/>
  <c r="AY22" i="15"/>
  <c r="BB22" i="15" s="1"/>
  <c r="AY26" i="15"/>
  <c r="BD26" i="15" s="1"/>
  <c r="AY11" i="15"/>
  <c r="AZ11" i="15" s="1"/>
  <c r="AY9" i="15"/>
  <c r="BD9" i="15" s="1"/>
  <c r="AY13" i="15"/>
  <c r="BD13" i="15" s="1"/>
  <c r="AY7" i="15"/>
  <c r="AZ7" i="15" s="1"/>
  <c r="BA7" i="15" s="1"/>
  <c r="AY15" i="15"/>
  <c r="BD15" i="15" s="1"/>
  <c r="AY20" i="15"/>
  <c r="BB20" i="15" s="1"/>
  <c r="BD23" i="16"/>
  <c r="BD15" i="16"/>
  <c r="BD9" i="16"/>
  <c r="AZ16" i="16"/>
  <c r="BA16" i="16" s="1"/>
  <c r="BC16" i="16" s="1"/>
  <c r="BD16" i="16"/>
  <c r="AZ28" i="16"/>
  <c r="BA28" i="16" s="1"/>
  <c r="BB12" i="16"/>
  <c r="AZ27" i="16"/>
  <c r="BA27" i="16" s="1"/>
  <c r="BC27" i="16" s="1"/>
  <c r="BD28" i="16"/>
  <c r="AZ12" i="16"/>
  <c r="BA12" i="16" s="1"/>
  <c r="BB15" i="16"/>
  <c r="BC15" i="16" s="1"/>
  <c r="AZ9" i="16"/>
  <c r="BA9" i="16" s="1"/>
  <c r="BB22" i="16"/>
  <c r="BC22" i="16" s="1"/>
  <c r="BE22" i="16" s="1"/>
  <c r="AI22" i="16" s="1"/>
  <c r="AS22" i="16" s="1"/>
  <c r="AT22" i="16" s="1"/>
  <c r="AZ23" i="16"/>
  <c r="BA23" i="16" s="1"/>
  <c r="BC23" i="16" s="1"/>
  <c r="BE27" i="16"/>
  <c r="AI27" i="16" s="1"/>
  <c r="AS27" i="16" s="1"/>
  <c r="AT27" i="16" s="1"/>
  <c r="BE28" i="18"/>
  <c r="BC23" i="18"/>
  <c r="BE23" i="18" s="1"/>
  <c r="BC10" i="16"/>
  <c r="BE10" i="16" s="1"/>
  <c r="AI10" i="16" s="1"/>
  <c r="AS10" i="16" s="1"/>
  <c r="AT10" i="16" s="1"/>
  <c r="AT33" i="18"/>
  <c r="BE29" i="18"/>
  <c r="BC10" i="18"/>
  <c r="BE10" i="18" s="1"/>
  <c r="BC26" i="18"/>
  <c r="BE26" i="18" s="1"/>
  <c r="BC13" i="18"/>
  <c r="BE13" i="18" s="1"/>
  <c r="BC30" i="18"/>
  <c r="BE30" i="18" s="1"/>
  <c r="BC11" i="18"/>
  <c r="BE11" i="18" s="1"/>
  <c r="BC12" i="18"/>
  <c r="BE12" i="18" s="1"/>
  <c r="BC25" i="18"/>
  <c r="BE25" i="18" s="1"/>
  <c r="BC22" i="18"/>
  <c r="BE22" i="18" s="1"/>
  <c r="BC16" i="18"/>
  <c r="BE16" i="18" s="1"/>
  <c r="BC32" i="16"/>
  <c r="BE32" i="16" s="1"/>
  <c r="AI32" i="16" s="1"/>
  <c r="AS32" i="16" s="1"/>
  <c r="AT32" i="16" s="1"/>
  <c r="BC21" i="16"/>
  <c r="BC32" i="18"/>
  <c r="BE32" i="18" s="1"/>
  <c r="BC5" i="18"/>
  <c r="BE5" i="18" s="1"/>
  <c r="BE23" i="16"/>
  <c r="AI23" i="16" s="1"/>
  <c r="AS23" i="16" s="1"/>
  <c r="AT23" i="16" s="1"/>
  <c r="BE21" i="16"/>
  <c r="AI21" i="16" s="1"/>
  <c r="AS21" i="16" s="1"/>
  <c r="AT21" i="16" s="1"/>
  <c r="BC25" i="16"/>
  <c r="BE25" i="16" s="1"/>
  <c r="AI25" i="16" s="1"/>
  <c r="AS25" i="16" s="1"/>
  <c r="AT25" i="16" s="1"/>
  <c r="AZ19" i="16"/>
  <c r="BA19" i="16" s="1"/>
  <c r="BC19" i="16" s="1"/>
  <c r="BD19" i="16"/>
  <c r="BC8" i="16"/>
  <c r="BE8" i="16" s="1"/>
  <c r="AI8" i="16" s="1"/>
  <c r="AS8" i="16" s="1"/>
  <c r="AT8" i="16" s="1"/>
  <c r="BC9" i="16"/>
  <c r="BC28" i="16"/>
  <c r="BE15" i="16"/>
  <c r="AI15" i="16" s="1"/>
  <c r="AS15" i="16" s="1"/>
  <c r="AT15" i="16" s="1"/>
  <c r="BC29" i="16"/>
  <c r="BE29" i="16" s="1"/>
  <c r="AI29" i="16" s="1"/>
  <c r="AS29" i="16" s="1"/>
  <c r="AT29" i="16" s="1"/>
  <c r="BE16" i="16"/>
  <c r="AI16" i="16" s="1"/>
  <c r="AS16" i="16" s="1"/>
  <c r="AT16" i="16" s="1"/>
  <c r="BC13" i="16"/>
  <c r="BE13" i="16" s="1"/>
  <c r="AI13" i="16" s="1"/>
  <c r="AS13" i="16" s="1"/>
  <c r="AT13" i="16" s="1"/>
  <c r="BC31" i="16"/>
  <c r="BE31" i="16" s="1"/>
  <c r="AI31" i="16" s="1"/>
  <c r="AS31" i="16" s="1"/>
  <c r="AT31" i="16" s="1"/>
  <c r="BD14" i="16"/>
  <c r="AZ14" i="16"/>
  <c r="BA14" i="16" s="1"/>
  <c r="BB14" i="16"/>
  <c r="BD17" i="16"/>
  <c r="AZ17" i="16"/>
  <c r="BA17" i="16" s="1"/>
  <c r="BB17" i="16"/>
  <c r="BB30" i="16"/>
  <c r="AZ30" i="16"/>
  <c r="BA30" i="16" s="1"/>
  <c r="BD30" i="16"/>
  <c r="BB5" i="16"/>
  <c r="BD5" i="16"/>
  <c r="AZ5" i="16"/>
  <c r="BA5" i="16" s="1"/>
  <c r="BD24" i="16"/>
  <c r="AZ24" i="16"/>
  <c r="BA24" i="16" s="1"/>
  <c r="BB24" i="16"/>
  <c r="BD11" i="16"/>
  <c r="AZ11" i="16"/>
  <c r="BA11" i="16" s="1"/>
  <c r="BB11" i="16"/>
  <c r="V33" i="16"/>
  <c r="BD18" i="16"/>
  <c r="AZ18" i="16"/>
  <c r="BA18" i="16" s="1"/>
  <c r="BB18" i="16"/>
  <c r="BD26" i="16"/>
  <c r="AZ26" i="16"/>
  <c r="BA26" i="16" s="1"/>
  <c r="BB26" i="16"/>
  <c r="BC20" i="16"/>
  <c r="BE20" i="16" s="1"/>
  <c r="AI20" i="16" s="1"/>
  <c r="AS20" i="16" s="1"/>
  <c r="AT20" i="16" s="1"/>
  <c r="BD6" i="16"/>
  <c r="AZ6" i="16"/>
  <c r="BA6" i="16" s="1"/>
  <c r="BB6" i="16"/>
  <c r="BC7" i="16"/>
  <c r="BE7" i="16" s="1"/>
  <c r="AI7" i="16" s="1"/>
  <c r="AS7" i="16" s="1"/>
  <c r="AT7" i="16" s="1"/>
  <c r="Z33" i="16"/>
  <c r="V18" i="15"/>
  <c r="Z18" i="15" s="1"/>
  <c r="AX5" i="15"/>
  <c r="AY5" i="15" s="1"/>
  <c r="BB5" i="15" s="1"/>
  <c r="AZ22" i="15"/>
  <c r="AX27" i="15"/>
  <c r="AY27" i="15" s="1"/>
  <c r="AZ27" i="15" s="1"/>
  <c r="V9" i="15"/>
  <c r="Z9" i="15" s="1"/>
  <c r="V15" i="15"/>
  <c r="Z15" i="15" s="1"/>
  <c r="V19" i="15"/>
  <c r="Z19" i="15" s="1"/>
  <c r="V22" i="15"/>
  <c r="Z22" i="15" s="1"/>
  <c r="V24" i="15"/>
  <c r="Z24" i="15" s="1"/>
  <c r="V5" i="15"/>
  <c r="Z5" i="15" s="1"/>
  <c r="V11" i="15"/>
  <c r="Z11" i="15" s="1"/>
  <c r="V17" i="15"/>
  <c r="Z17" i="15" s="1"/>
  <c r="AX21" i="15"/>
  <c r="AY21" i="15" s="1"/>
  <c r="AX10" i="15"/>
  <c r="AY10" i="15" s="1"/>
  <c r="V16" i="15"/>
  <c r="Z16" i="15" s="1"/>
  <c r="AX30" i="15"/>
  <c r="AY30" i="15" s="1"/>
  <c r="AZ30" i="15" s="1"/>
  <c r="BB9" i="15"/>
  <c r="AZ9" i="15"/>
  <c r="BA9" i="15" s="1"/>
  <c r="AX8" i="15"/>
  <c r="AY8" i="15" s="1"/>
  <c r="V8" i="15"/>
  <c r="Z8" i="15" s="1"/>
  <c r="BB11" i="15"/>
  <c r="BD11" i="15"/>
  <c r="BA11" i="15"/>
  <c r="AX14" i="15"/>
  <c r="AY14" i="15" s="1"/>
  <c r="BD20" i="15"/>
  <c r="AZ20" i="15"/>
  <c r="BA20" i="15" s="1"/>
  <c r="BA24" i="15"/>
  <c r="BD24" i="15"/>
  <c r="BB19" i="15"/>
  <c r="BD19" i="15"/>
  <c r="AZ19" i="15"/>
  <c r="BA19" i="15" s="1"/>
  <c r="AX23" i="15"/>
  <c r="AY23" i="15" s="1"/>
  <c r="V23" i="15"/>
  <c r="Z23" i="15" s="1"/>
  <c r="AL33" i="15"/>
  <c r="AX6" i="15"/>
  <c r="AY6" i="15" s="1"/>
  <c r="V6" i="15"/>
  <c r="Z6" i="15" s="1"/>
  <c r="AX25" i="15"/>
  <c r="AY25" i="15" s="1"/>
  <c r="V25" i="15"/>
  <c r="Z25" i="15" s="1"/>
  <c r="AY16" i="15"/>
  <c r="Z30" i="15"/>
  <c r="AX31" i="15"/>
  <c r="AY31" i="15" s="1"/>
  <c r="AC33" i="15"/>
  <c r="AX12" i="15"/>
  <c r="AY12" i="15" s="1"/>
  <c r="V13" i="15"/>
  <c r="Z13" i="15" s="1"/>
  <c r="BB15" i="15"/>
  <c r="AY17" i="15"/>
  <c r="AY18" i="15"/>
  <c r="V20" i="15"/>
  <c r="Z20" i="15" s="1"/>
  <c r="AX28" i="15"/>
  <c r="AY28" i="15" s="1"/>
  <c r="S33" i="15"/>
  <c r="AZ15" i="15"/>
  <c r="BA15" i="15" s="1"/>
  <c r="AZ26" i="15"/>
  <c r="BA26" i="15" s="1"/>
  <c r="AX32" i="15"/>
  <c r="AY32" i="15" s="1"/>
  <c r="AX29" i="15"/>
  <c r="AY29" i="15" s="1"/>
  <c r="Z32" i="15"/>
  <c r="V26" i="15"/>
  <c r="Z26" i="15" s="1"/>
  <c r="R32" i="13"/>
  <c r="R33" i="13" s="1"/>
  <c r="Q32" i="13"/>
  <c r="N30" i="13"/>
  <c r="N5" i="13"/>
  <c r="AR33" i="13"/>
  <c r="AO33" i="13"/>
  <c r="Y33" i="13"/>
  <c r="Q33" i="13"/>
  <c r="K33" i="13"/>
  <c r="AW32" i="13"/>
  <c r="AC32" i="13"/>
  <c r="S32" i="13"/>
  <c r="A32" i="13"/>
  <c r="AW31" i="13"/>
  <c r="AC31" i="13"/>
  <c r="S31" i="13"/>
  <c r="V31" i="13" s="1"/>
  <c r="Z31" i="13" s="1"/>
  <c r="A31" i="13"/>
  <c r="AW30" i="13"/>
  <c r="AC30" i="13"/>
  <c r="S30" i="13"/>
  <c r="AX30" i="13" s="1"/>
  <c r="A30" i="13"/>
  <c r="AW29" i="13"/>
  <c r="AC29" i="13"/>
  <c r="S29" i="13"/>
  <c r="V29" i="13" s="1"/>
  <c r="Z29" i="13" s="1"/>
  <c r="A29" i="13"/>
  <c r="AW28" i="13"/>
  <c r="AC28" i="13"/>
  <c r="S28" i="13"/>
  <c r="AX28" i="13" s="1"/>
  <c r="AY28" i="13" s="1"/>
  <c r="A28" i="13"/>
  <c r="AW27" i="13"/>
  <c r="AC27" i="13"/>
  <c r="S27" i="13"/>
  <c r="AX27" i="13" s="1"/>
  <c r="AY27" i="13" s="1"/>
  <c r="A27" i="13"/>
  <c r="AW26" i="13"/>
  <c r="AL26" i="13"/>
  <c r="AC26" i="13"/>
  <c r="S26" i="13"/>
  <c r="A26" i="13"/>
  <c r="AW25" i="13"/>
  <c r="AL25" i="13"/>
  <c r="AC25" i="13"/>
  <c r="S25" i="13"/>
  <c r="AX25" i="13" s="1"/>
  <c r="AY25" i="13" s="1"/>
  <c r="A25" i="13"/>
  <c r="AW24" i="13"/>
  <c r="AL24" i="13"/>
  <c r="AC24" i="13"/>
  <c r="S24" i="13"/>
  <c r="A24" i="13"/>
  <c r="AW23" i="13"/>
  <c r="AL23" i="13"/>
  <c r="AC23" i="13"/>
  <c r="S23" i="13"/>
  <c r="AX23" i="13" s="1"/>
  <c r="A23" i="13"/>
  <c r="AW22" i="13"/>
  <c r="AL22" i="13"/>
  <c r="AC22" i="13"/>
  <c r="S22" i="13"/>
  <c r="A22" i="13"/>
  <c r="AW21" i="13"/>
  <c r="S21" i="13"/>
  <c r="V21" i="13" s="1"/>
  <c r="Z21" i="13" s="1"/>
  <c r="A21" i="13"/>
  <c r="AW20" i="13"/>
  <c r="AL20" i="13"/>
  <c r="AC20" i="13"/>
  <c r="S20" i="13"/>
  <c r="AX20" i="13" s="1"/>
  <c r="A20" i="13"/>
  <c r="AW19" i="13"/>
  <c r="AL19" i="13"/>
  <c r="AC19" i="13"/>
  <c r="S19" i="13"/>
  <c r="A19" i="13"/>
  <c r="AW18" i="13"/>
  <c r="AL18" i="13"/>
  <c r="AF18" i="13"/>
  <c r="AF33" i="13" s="1"/>
  <c r="AC18" i="13"/>
  <c r="S18" i="13"/>
  <c r="V18" i="13" s="1"/>
  <c r="Z18" i="13" s="1"/>
  <c r="A18" i="13"/>
  <c r="AW17" i="13"/>
  <c r="AL17" i="13"/>
  <c r="S17" i="13"/>
  <c r="V17" i="13" s="1"/>
  <c r="Z17" i="13" s="1"/>
  <c r="A17" i="13"/>
  <c r="AX16" i="13"/>
  <c r="AY16" i="13" s="1"/>
  <c r="BB16" i="13" s="1"/>
  <c r="AW16" i="13"/>
  <c r="AL16" i="13"/>
  <c r="AC16" i="13"/>
  <c r="V16" i="13"/>
  <c r="Z16" i="13" s="1"/>
  <c r="S16" i="13"/>
  <c r="A16" i="13"/>
  <c r="AW15" i="13"/>
  <c r="AL15" i="13"/>
  <c r="AC15" i="13"/>
  <c r="S15" i="13"/>
  <c r="A15" i="13"/>
  <c r="AW14" i="13"/>
  <c r="AC14" i="13"/>
  <c r="S14" i="13"/>
  <c r="AX14" i="13" s="1"/>
  <c r="A14" i="13"/>
  <c r="AW13" i="13"/>
  <c r="AC13" i="13"/>
  <c r="S13" i="13"/>
  <c r="AX13" i="13" s="1"/>
  <c r="A13" i="13"/>
  <c r="AW12" i="13"/>
  <c r="AC12" i="13"/>
  <c r="S12" i="13"/>
  <c r="AX12" i="13" s="1"/>
  <c r="AY12" i="13" s="1"/>
  <c r="BB12" i="13" s="1"/>
  <c r="A12" i="13"/>
  <c r="AW11" i="13"/>
  <c r="AC11" i="13"/>
  <c r="S11" i="13"/>
  <c r="V11" i="13" s="1"/>
  <c r="Z11" i="13" s="1"/>
  <c r="A11" i="13"/>
  <c r="AW10" i="13"/>
  <c r="AL10" i="13"/>
  <c r="AC10" i="13"/>
  <c r="S10" i="13"/>
  <c r="V10" i="13" s="1"/>
  <c r="Z10" i="13" s="1"/>
  <c r="A10" i="13"/>
  <c r="AW9" i="13"/>
  <c r="AL9" i="13"/>
  <c r="AC9" i="13"/>
  <c r="S9" i="13"/>
  <c r="AX9" i="13" s="1"/>
  <c r="A9" i="13"/>
  <c r="AW8" i="13"/>
  <c r="AL8" i="13"/>
  <c r="AC8" i="13"/>
  <c r="S8" i="13"/>
  <c r="AX8" i="13" s="1"/>
  <c r="A8" i="13"/>
  <c r="AW7" i="13"/>
  <c r="AL7" i="13"/>
  <c r="AC7" i="13"/>
  <c r="S7" i="13"/>
  <c r="A7" i="13"/>
  <c r="AW6" i="13"/>
  <c r="AL6" i="13"/>
  <c r="AC6" i="13"/>
  <c r="S6" i="13"/>
  <c r="AX6" i="13" s="1"/>
  <c r="A6" i="13"/>
  <c r="AW5" i="13"/>
  <c r="AL5" i="13"/>
  <c r="AC5" i="13"/>
  <c r="S5" i="13"/>
  <c r="A5" i="13"/>
  <c r="E3" i="13"/>
  <c r="F3" i="13" s="1"/>
  <c r="G3" i="13" s="1"/>
  <c r="H3" i="13" s="1"/>
  <c r="I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AE3" i="13" s="1"/>
  <c r="AF3" i="13" s="1"/>
  <c r="AG3" i="13" s="1"/>
  <c r="AH3" i="13" s="1"/>
  <c r="AI3" i="13" s="1"/>
  <c r="AJ3" i="13" s="1"/>
  <c r="AK3" i="13" s="1"/>
  <c r="AL3" i="13" s="1"/>
  <c r="AM3" i="13" s="1"/>
  <c r="AN3" i="13" s="1"/>
  <c r="AO3" i="13" s="1"/>
  <c r="AP3" i="13" s="1"/>
  <c r="AQ3" i="13" s="1"/>
  <c r="AR3" i="13" s="1"/>
  <c r="AS3" i="13" s="1"/>
  <c r="AT3" i="13" s="1"/>
  <c r="B3" i="13"/>
  <c r="C3" i="13" s="1"/>
  <c r="D3" i="13" s="1"/>
  <c r="AY20" i="13" l="1"/>
  <c r="BB20" i="13" s="1"/>
  <c r="AX31" i="13"/>
  <c r="AY31" i="13" s="1"/>
  <c r="V32" i="13"/>
  <c r="AY8" i="13"/>
  <c r="BB8" i="13" s="1"/>
  <c r="AY13" i="13"/>
  <c r="AZ13" i="13" s="1"/>
  <c r="BA13" i="13" s="1"/>
  <c r="V13" i="13"/>
  <c r="Z13" i="13" s="1"/>
  <c r="AY30" i="13"/>
  <c r="BD30" i="13" s="1"/>
  <c r="AY6" i="13"/>
  <c r="BB6" i="13" s="1"/>
  <c r="AX10" i="13"/>
  <c r="AY10" i="13" s="1"/>
  <c r="BD10" i="13" s="1"/>
  <c r="AY14" i="13"/>
  <c r="AY23" i="13"/>
  <c r="AZ23" i="13" s="1"/>
  <c r="BA23" i="13" s="1"/>
  <c r="BA22" i="15"/>
  <c r="BD7" i="15"/>
  <c r="BD22" i="15"/>
  <c r="BB26" i="15"/>
  <c r="BB24" i="15"/>
  <c r="BB13" i="15"/>
  <c r="BB7" i="15"/>
  <c r="AZ13" i="15"/>
  <c r="BA13" i="15" s="1"/>
  <c r="BC12" i="16"/>
  <c r="BE12" i="16" s="1"/>
  <c r="AI12" i="16" s="1"/>
  <c r="AS12" i="16" s="1"/>
  <c r="AT12" i="16" s="1"/>
  <c r="BE9" i="16"/>
  <c r="AI9" i="16" s="1"/>
  <c r="AS9" i="16" s="1"/>
  <c r="AT9" i="16" s="1"/>
  <c r="BE28" i="16"/>
  <c r="AI28" i="16" s="1"/>
  <c r="AS28" i="16" s="1"/>
  <c r="AT28" i="16" s="1"/>
  <c r="BC24" i="16"/>
  <c r="BE24" i="16" s="1"/>
  <c r="AI24" i="16" s="1"/>
  <c r="AS24" i="16" s="1"/>
  <c r="AT24" i="16" s="1"/>
  <c r="BE19" i="16"/>
  <c r="AI19" i="16" s="1"/>
  <c r="AS19" i="16" s="1"/>
  <c r="AT19" i="16" s="1"/>
  <c r="BC18" i="16"/>
  <c r="BC26" i="16"/>
  <c r="BE26" i="16" s="1"/>
  <c r="AI26" i="16" s="1"/>
  <c r="AS26" i="16" s="1"/>
  <c r="AT26" i="16" s="1"/>
  <c r="BC11" i="16"/>
  <c r="BE11" i="16" s="1"/>
  <c r="AI11" i="16" s="1"/>
  <c r="AS11" i="16" s="1"/>
  <c r="AT11" i="16" s="1"/>
  <c r="BC17" i="16"/>
  <c r="BE17" i="16" s="1"/>
  <c r="AI17" i="16" s="1"/>
  <c r="AS17" i="16" s="1"/>
  <c r="AT17" i="16" s="1"/>
  <c r="BC30" i="16"/>
  <c r="BE30" i="16" s="1"/>
  <c r="AI30" i="16" s="1"/>
  <c r="AS30" i="16" s="1"/>
  <c r="AT30" i="16" s="1"/>
  <c r="BC6" i="16"/>
  <c r="BE6" i="16" s="1"/>
  <c r="AI6" i="16" s="1"/>
  <c r="AS6" i="16" s="1"/>
  <c r="AT6" i="16" s="1"/>
  <c r="BC5" i="16"/>
  <c r="BE5" i="16" s="1"/>
  <c r="AI5" i="16" s="1"/>
  <c r="AS5" i="16" s="1"/>
  <c r="BC14" i="16"/>
  <c r="BE14" i="16" s="1"/>
  <c r="AI14" i="16" s="1"/>
  <c r="AS14" i="16" s="1"/>
  <c r="AT14" i="16" s="1"/>
  <c r="BE18" i="16"/>
  <c r="AI18" i="16" s="1"/>
  <c r="AS18" i="16" s="1"/>
  <c r="AT18" i="16" s="1"/>
  <c r="BC7" i="15"/>
  <c r="BE7" i="15" s="1"/>
  <c r="AI7" i="15" s="1"/>
  <c r="AS7" i="15" s="1"/>
  <c r="AT7" i="15" s="1"/>
  <c r="BC24" i="15"/>
  <c r="BE24" i="15" s="1"/>
  <c r="AI24" i="15" s="1"/>
  <c r="AS24" i="15" s="1"/>
  <c r="AT24" i="15" s="1"/>
  <c r="BD27" i="15"/>
  <c r="BB30" i="15"/>
  <c r="BC15" i="15"/>
  <c r="BE15" i="15" s="1"/>
  <c r="AI15" i="15" s="1"/>
  <c r="AS15" i="15" s="1"/>
  <c r="AT15" i="15" s="1"/>
  <c r="BC26" i="15"/>
  <c r="BE26" i="15" s="1"/>
  <c r="AI26" i="15" s="1"/>
  <c r="AS26" i="15" s="1"/>
  <c r="AT26" i="15" s="1"/>
  <c r="BC19" i="15"/>
  <c r="BE19" i="15" s="1"/>
  <c r="AI19" i="15" s="1"/>
  <c r="AS19" i="15" s="1"/>
  <c r="AT19" i="15" s="1"/>
  <c r="BA30" i="15"/>
  <c r="BA27" i="15"/>
  <c r="BB27" i="15"/>
  <c r="AZ5" i="15"/>
  <c r="BA5" i="15" s="1"/>
  <c r="BC5" i="15" s="1"/>
  <c r="BD30" i="15"/>
  <c r="BD5" i="15"/>
  <c r="BC9" i="15"/>
  <c r="BE9" i="15" s="1"/>
  <c r="AI9" i="15" s="1"/>
  <c r="AS9" i="15" s="1"/>
  <c r="AT9" i="15" s="1"/>
  <c r="BD32" i="15"/>
  <c r="AZ32" i="15"/>
  <c r="BA32" i="15" s="1"/>
  <c r="BB32" i="15"/>
  <c r="BD18" i="15"/>
  <c r="AZ18" i="15"/>
  <c r="BA18" i="15" s="1"/>
  <c r="BB18" i="15"/>
  <c r="BD23" i="15"/>
  <c r="AZ23" i="15"/>
  <c r="BA23" i="15" s="1"/>
  <c r="BB23" i="15"/>
  <c r="BB17" i="15"/>
  <c r="BD17" i="15"/>
  <c r="AZ17" i="15"/>
  <c r="BA17" i="15" s="1"/>
  <c r="AZ10" i="15"/>
  <c r="BA10" i="15" s="1"/>
  <c r="BD10" i="15"/>
  <c r="BB10" i="15"/>
  <c r="Z33" i="15"/>
  <c r="V33" i="15"/>
  <c r="BD28" i="15"/>
  <c r="AZ28" i="15"/>
  <c r="BA28" i="15" s="1"/>
  <c r="BB28" i="15"/>
  <c r="BD12" i="15"/>
  <c r="BB12" i="15"/>
  <c r="AZ12" i="15"/>
  <c r="BA12" i="15" s="1"/>
  <c r="BD16" i="15"/>
  <c r="AZ16" i="15"/>
  <c r="BA16" i="15" s="1"/>
  <c r="BB16" i="15"/>
  <c r="BC20" i="15"/>
  <c r="BE20" i="15" s="1"/>
  <c r="AI20" i="15" s="1"/>
  <c r="AS20" i="15" s="1"/>
  <c r="AT20" i="15" s="1"/>
  <c r="BB6" i="15"/>
  <c r="BD6" i="15"/>
  <c r="AZ6" i="15"/>
  <c r="BA6" i="15" s="1"/>
  <c r="BD14" i="15"/>
  <c r="AZ14" i="15"/>
  <c r="BA14" i="15" s="1"/>
  <c r="BB14" i="15"/>
  <c r="BC11" i="15"/>
  <c r="BE11" i="15" s="1"/>
  <c r="AI11" i="15" s="1"/>
  <c r="AS11" i="15" s="1"/>
  <c r="AT11" i="15" s="1"/>
  <c r="BB8" i="15"/>
  <c r="AZ8" i="15"/>
  <c r="BA8" i="15" s="1"/>
  <c r="BD8" i="15"/>
  <c r="BB29" i="15"/>
  <c r="BD29" i="15"/>
  <c r="AZ29" i="15"/>
  <c r="BA29" i="15" s="1"/>
  <c r="BC22" i="15"/>
  <c r="BD31" i="15"/>
  <c r="AZ31" i="15"/>
  <c r="BA31" i="15" s="1"/>
  <c r="BB31" i="15"/>
  <c r="BD21" i="15"/>
  <c r="AZ21" i="15"/>
  <c r="BA21" i="15" s="1"/>
  <c r="BB21" i="15"/>
  <c r="BD25" i="15"/>
  <c r="AZ25" i="15"/>
  <c r="BA25" i="15" s="1"/>
  <c r="BB25" i="15"/>
  <c r="AZ12" i="13"/>
  <c r="BA12" i="13" s="1"/>
  <c r="BC12" i="13" s="1"/>
  <c r="V9" i="13"/>
  <c r="Z9" i="13" s="1"/>
  <c r="AX18" i="13"/>
  <c r="AY18" i="13" s="1"/>
  <c r="BD18" i="13" s="1"/>
  <c r="V20" i="13"/>
  <c r="Z20" i="13" s="1"/>
  <c r="V23" i="13"/>
  <c r="Z23" i="13" s="1"/>
  <c r="V25" i="13"/>
  <c r="Z25" i="13" s="1"/>
  <c r="V27" i="13"/>
  <c r="Z27" i="13" s="1"/>
  <c r="AX29" i="13"/>
  <c r="AY29" i="13" s="1"/>
  <c r="BD29" i="13" s="1"/>
  <c r="V30" i="13"/>
  <c r="Z30" i="13" s="1"/>
  <c r="Z32" i="13"/>
  <c r="V6" i="13"/>
  <c r="Z6" i="13" s="1"/>
  <c r="V8" i="13"/>
  <c r="Z8" i="13" s="1"/>
  <c r="BD8" i="13"/>
  <c r="BD28" i="13"/>
  <c r="AZ28" i="13"/>
  <c r="BA28" i="13" s="1"/>
  <c r="BB28" i="13"/>
  <c r="BD6" i="13"/>
  <c r="AZ6" i="13"/>
  <c r="BA6" i="13" s="1"/>
  <c r="BD14" i="13"/>
  <c r="AZ14" i="13"/>
  <c r="BA14" i="13" s="1"/>
  <c r="BB14" i="13"/>
  <c r="BB27" i="13"/>
  <c r="BD27" i="13"/>
  <c r="AZ27" i="13"/>
  <c r="BA27" i="13" s="1"/>
  <c r="N33" i="13"/>
  <c r="AX7" i="13"/>
  <c r="AY7" i="13" s="1"/>
  <c r="V7" i="13"/>
  <c r="Z7" i="13" s="1"/>
  <c r="BB13" i="13"/>
  <c r="AX15" i="13"/>
  <c r="AY15" i="13" s="1"/>
  <c r="V15" i="13"/>
  <c r="Z15" i="13" s="1"/>
  <c r="BD20" i="13"/>
  <c r="AX22" i="13"/>
  <c r="AY22" i="13" s="1"/>
  <c r="V22" i="13"/>
  <c r="Z22" i="13" s="1"/>
  <c r="BD25" i="13"/>
  <c r="AZ25" i="13"/>
  <c r="BA25" i="13" s="1"/>
  <c r="BB25" i="13"/>
  <c r="S33" i="13"/>
  <c r="AX5" i="13"/>
  <c r="AY5" i="13" s="1"/>
  <c r="V5" i="13"/>
  <c r="BD23" i="13"/>
  <c r="AC33" i="13"/>
  <c r="BB23" i="13"/>
  <c r="AX19" i="13"/>
  <c r="AY19" i="13" s="1"/>
  <c r="V19" i="13"/>
  <c r="Z19" i="13" s="1"/>
  <c r="BD31" i="13"/>
  <c r="AZ31" i="13"/>
  <c r="BA31" i="13" s="1"/>
  <c r="BB31" i="13"/>
  <c r="BB30" i="13"/>
  <c r="AL33" i="13"/>
  <c r="AY9" i="13"/>
  <c r="AX11" i="13"/>
  <c r="AY11" i="13" s="1"/>
  <c r="BD12" i="13"/>
  <c r="V14" i="13"/>
  <c r="Z14" i="13" s="1"/>
  <c r="AX26" i="13"/>
  <c r="AY26" i="13" s="1"/>
  <c r="V26" i="13"/>
  <c r="Z26" i="13" s="1"/>
  <c r="V28" i="13"/>
  <c r="Z28" i="13" s="1"/>
  <c r="BD16" i="13"/>
  <c r="AZ16" i="13"/>
  <c r="BA16" i="13" s="1"/>
  <c r="BC16" i="13" s="1"/>
  <c r="AX17" i="13"/>
  <c r="AY17" i="13" s="1"/>
  <c r="AX21" i="13"/>
  <c r="AY21" i="13" s="1"/>
  <c r="AX24" i="13"/>
  <c r="AY24" i="13" s="1"/>
  <c r="V24" i="13"/>
  <c r="Z24" i="13" s="1"/>
  <c r="AX32" i="13"/>
  <c r="AY32" i="13" s="1"/>
  <c r="V12" i="13"/>
  <c r="Z12" i="13" s="1"/>
  <c r="B3" i="11"/>
  <c r="C3" i="11" s="1"/>
  <c r="D3" i="11" s="1"/>
  <c r="E3" i="11" s="1"/>
  <c r="F3" i="11" s="1"/>
  <c r="G3" i="11" s="1"/>
  <c r="H3" i="11" s="1"/>
  <c r="I3" i="11" s="1"/>
  <c r="J3" i="11" s="1"/>
  <c r="L3" i="11" s="1"/>
  <c r="M3" i="11" s="1"/>
  <c r="N3" i="11" s="1"/>
  <c r="O3" i="11" s="1"/>
  <c r="P3" i="11" s="1"/>
  <c r="Q3" i="11" s="1"/>
  <c r="R3" i="11" s="1"/>
  <c r="S3" i="11" s="1"/>
  <c r="T3" i="11" s="1"/>
  <c r="U3" i="11" s="1"/>
  <c r="V3" i="11" s="1"/>
  <c r="W3" i="11" s="1"/>
  <c r="X3" i="11" s="1"/>
  <c r="Y3" i="11" s="1"/>
  <c r="Z3" i="11" s="1"/>
  <c r="AA3" i="11" s="1"/>
  <c r="AB3" i="11" s="1"/>
  <c r="AC3" i="11" s="1"/>
  <c r="AD3" i="11" s="1"/>
  <c r="AE3" i="11" s="1"/>
  <c r="AF3" i="11" s="1"/>
  <c r="AG3" i="11" s="1"/>
  <c r="AH3" i="11" s="1"/>
  <c r="AI3" i="11" s="1"/>
  <c r="AJ3" i="11" s="1"/>
  <c r="AK3" i="11" s="1"/>
  <c r="AL3" i="11" s="1"/>
  <c r="AM3" i="11" s="1"/>
  <c r="AN3" i="11" s="1"/>
  <c r="AO3" i="11" s="1"/>
  <c r="AP3" i="11" s="1"/>
  <c r="AQ3" i="11" s="1"/>
  <c r="AR3" i="11" s="1"/>
  <c r="AS3" i="11" s="1"/>
  <c r="AT3" i="11" s="1"/>
  <c r="AU3" i="11" s="1"/>
  <c r="O5" i="11"/>
  <c r="T5" i="11"/>
  <c r="W5" i="11" s="1"/>
  <c r="AD5" i="11"/>
  <c r="AM5" i="11"/>
  <c r="T6" i="11"/>
  <c r="W6" i="11" s="1"/>
  <c r="AA6" i="11" s="1"/>
  <c r="AD6" i="11"/>
  <c r="AM6" i="11"/>
  <c r="T7" i="11"/>
  <c r="W7" i="11" s="1"/>
  <c r="AA7" i="11" s="1"/>
  <c r="AD7" i="11"/>
  <c r="AM7" i="11"/>
  <c r="T8" i="11"/>
  <c r="W8" i="11" s="1"/>
  <c r="AA8" i="11" s="1"/>
  <c r="AD8" i="11"/>
  <c r="AM8" i="11"/>
  <c r="T9" i="11"/>
  <c r="W9" i="11" s="1"/>
  <c r="AA9" i="11" s="1"/>
  <c r="AD9" i="11"/>
  <c r="AM9" i="11"/>
  <c r="T10" i="11"/>
  <c r="W10" i="11" s="1"/>
  <c r="AA10" i="11" s="1"/>
  <c r="AD10" i="11"/>
  <c r="AM10" i="11"/>
  <c r="T11" i="11"/>
  <c r="W11" i="11" s="1"/>
  <c r="AA11" i="11" s="1"/>
  <c r="AD11" i="11"/>
  <c r="T12" i="11"/>
  <c r="W12" i="11"/>
  <c r="AA12" i="11" s="1"/>
  <c r="AD12" i="11"/>
  <c r="T13" i="11"/>
  <c r="W13" i="11" s="1"/>
  <c r="AA13" i="11" s="1"/>
  <c r="AD13" i="11"/>
  <c r="T14" i="11"/>
  <c r="W14" i="11" s="1"/>
  <c r="AA14" i="11" s="1"/>
  <c r="AD14" i="11"/>
  <c r="T15" i="11"/>
  <c r="W15" i="11" s="1"/>
  <c r="AA15" i="11" s="1"/>
  <c r="AD15" i="11"/>
  <c r="AM15" i="11"/>
  <c r="T16" i="11"/>
  <c r="W16" i="11" s="1"/>
  <c r="AA16" i="11" s="1"/>
  <c r="AD16" i="11"/>
  <c r="AM16" i="11"/>
  <c r="T17" i="11"/>
  <c r="W17" i="11" s="1"/>
  <c r="AA17" i="11" s="1"/>
  <c r="AM17" i="11"/>
  <c r="T18" i="11"/>
  <c r="W18" i="11" s="1"/>
  <c r="AA18" i="11" s="1"/>
  <c r="AD18" i="11"/>
  <c r="AG18" i="11"/>
  <c r="AM18" i="11"/>
  <c r="T19" i="11"/>
  <c r="W19" i="11" s="1"/>
  <c r="AA19" i="11" s="1"/>
  <c r="AD19" i="11"/>
  <c r="AM19" i="11"/>
  <c r="T20" i="11"/>
  <c r="W20" i="11" s="1"/>
  <c r="AA20" i="11" s="1"/>
  <c r="AD20" i="11"/>
  <c r="AM20" i="11"/>
  <c r="T21" i="11"/>
  <c r="W21" i="11" s="1"/>
  <c r="AA21" i="11" s="1"/>
  <c r="AD21" i="11"/>
  <c r="T22" i="11"/>
  <c r="W22" i="11"/>
  <c r="AA22" i="11" s="1"/>
  <c r="AD22" i="11"/>
  <c r="AM22" i="11"/>
  <c r="T23" i="11"/>
  <c r="W23" i="11"/>
  <c r="AA23" i="11" s="1"/>
  <c r="AD23" i="11"/>
  <c r="AM23" i="11"/>
  <c r="T24" i="11"/>
  <c r="W24" i="11"/>
  <c r="AA24" i="11" s="1"/>
  <c r="AD24" i="11"/>
  <c r="AM24" i="11"/>
  <c r="T25" i="11"/>
  <c r="W25" i="11"/>
  <c r="AA25" i="11" s="1"/>
  <c r="AD25" i="11"/>
  <c r="AM25" i="11"/>
  <c r="T26" i="11"/>
  <c r="W26" i="11"/>
  <c r="AA26" i="11" s="1"/>
  <c r="AD26" i="11"/>
  <c r="AM26" i="11"/>
  <c r="T27" i="11"/>
  <c r="W27" i="11"/>
  <c r="AA27" i="11" s="1"/>
  <c r="AD27" i="11"/>
  <c r="T28" i="11"/>
  <c r="W28" i="11" s="1"/>
  <c r="AA28" i="11" s="1"/>
  <c r="AD28" i="11"/>
  <c r="T29" i="11"/>
  <c r="W29" i="11" s="1"/>
  <c r="AA29" i="11" s="1"/>
  <c r="AD29" i="11"/>
  <c r="B3" i="4"/>
  <c r="C3" i="4" s="1"/>
  <c r="D3" i="4" s="1"/>
  <c r="E3" i="4" s="1"/>
  <c r="F3" i="4" s="1"/>
  <c r="G3" i="4" s="1"/>
  <c r="H3" i="4" s="1"/>
  <c r="I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S5" i="4"/>
  <c r="V5" i="4" s="1"/>
  <c r="Z5" i="4" s="1"/>
  <c r="AC5" i="4"/>
  <c r="AL5" i="4"/>
  <c r="S6" i="4"/>
  <c r="V6" i="4"/>
  <c r="Z6" i="4" s="1"/>
  <c r="AC6" i="4"/>
  <c r="AL6" i="4"/>
  <c r="S7" i="4"/>
  <c r="V7" i="4" s="1"/>
  <c r="Z7" i="4" s="1"/>
  <c r="AC7" i="4"/>
  <c r="AL7" i="4"/>
  <c r="S8" i="4"/>
  <c r="V8" i="4" s="1"/>
  <c r="Z8" i="4" s="1"/>
  <c r="AC8" i="4"/>
  <c r="AL8" i="4"/>
  <c r="S9" i="4"/>
  <c r="V9" i="4"/>
  <c r="Z9" i="4" s="1"/>
  <c r="AC9" i="4"/>
  <c r="AL9" i="4"/>
  <c r="S10" i="4"/>
  <c r="V10" i="4" s="1"/>
  <c r="Z10" i="4" s="1"/>
  <c r="AC10" i="4"/>
  <c r="AL10" i="4"/>
  <c r="S11" i="4"/>
  <c r="V11" i="4"/>
  <c r="Z11" i="4" s="1"/>
  <c r="AC11" i="4"/>
  <c r="S12" i="4"/>
  <c r="V12" i="4" s="1"/>
  <c r="Z12" i="4" s="1"/>
  <c r="AC12" i="4"/>
  <c r="S13" i="4"/>
  <c r="V13" i="4"/>
  <c r="Z13" i="4" s="1"/>
  <c r="AC13" i="4"/>
  <c r="S14" i="4"/>
  <c r="V14" i="4" s="1"/>
  <c r="Z14" i="4" s="1"/>
  <c r="AC14" i="4"/>
  <c r="S15" i="4"/>
  <c r="V15" i="4" s="1"/>
  <c r="Z15" i="4" s="1"/>
  <c r="AC15" i="4"/>
  <c r="AL15" i="4"/>
  <c r="S16" i="4"/>
  <c r="V16" i="4"/>
  <c r="Z16" i="4"/>
  <c r="AC16" i="4"/>
  <c r="AL16" i="4"/>
  <c r="S17" i="4"/>
  <c r="V17" i="4"/>
  <c r="Z17" i="4" s="1"/>
  <c r="AC17" i="4"/>
  <c r="AL17" i="4"/>
  <c r="S18" i="4"/>
  <c r="V18" i="4" s="1"/>
  <c r="Z18" i="4" s="1"/>
  <c r="AC18" i="4"/>
  <c r="S19" i="4"/>
  <c r="V19" i="4" s="1"/>
  <c r="Z19" i="4" s="1"/>
  <c r="AC19" i="4"/>
  <c r="AF19" i="4"/>
  <c r="AL19" i="4"/>
  <c r="S20" i="4"/>
  <c r="V20" i="4"/>
  <c r="Z20" i="4" s="1"/>
  <c r="AC20" i="4"/>
  <c r="AL20" i="4"/>
  <c r="S21" i="4"/>
  <c r="V21" i="4" s="1"/>
  <c r="Z21" i="4" s="1"/>
  <c r="AC21" i="4"/>
  <c r="AL21" i="4"/>
  <c r="S22" i="4"/>
  <c r="V22" i="4"/>
  <c r="Z22" i="4"/>
  <c r="AC22" i="4"/>
  <c r="S23" i="4"/>
  <c r="V23" i="4" s="1"/>
  <c r="Z23" i="4" s="1"/>
  <c r="AC23" i="4"/>
  <c r="AL23" i="4"/>
  <c r="S24" i="4"/>
  <c r="V24" i="4" s="1"/>
  <c r="Z24" i="4" s="1"/>
  <c r="AC24" i="4"/>
  <c r="AL24" i="4"/>
  <c r="S25" i="4"/>
  <c r="V25" i="4" s="1"/>
  <c r="Z25" i="4" s="1"/>
  <c r="AC25" i="4"/>
  <c r="AL25" i="4"/>
  <c r="S26" i="4"/>
  <c r="V26" i="4" s="1"/>
  <c r="Z26" i="4" s="1"/>
  <c r="AC26" i="4"/>
  <c r="AL26" i="4"/>
  <c r="S27" i="4"/>
  <c r="V27" i="4" s="1"/>
  <c r="Z27" i="4" s="1"/>
  <c r="AC27" i="4"/>
  <c r="AL27" i="4"/>
  <c r="K28" i="4"/>
  <c r="Q28" i="4"/>
  <c r="R28" i="4"/>
  <c r="S29" i="4"/>
  <c r="V29" i="4" s="1"/>
  <c r="Z29" i="4" s="1"/>
  <c r="AC29" i="4"/>
  <c r="S30" i="4"/>
  <c r="V30" i="4"/>
  <c r="Z30" i="4" s="1"/>
  <c r="AC30" i="4"/>
  <c r="B3" i="3"/>
  <c r="C3" i="3"/>
  <c r="D3" i="3" s="1"/>
  <c r="E3" i="3"/>
  <c r="F3" i="3" s="1"/>
  <c r="G3" i="3" s="1"/>
  <c r="H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R5" i="3"/>
  <c r="U5" i="3"/>
  <c r="Y5" i="3" s="1"/>
  <c r="AB5" i="3"/>
  <c r="AK5" i="3"/>
  <c r="R6" i="3"/>
  <c r="U6" i="3"/>
  <c r="Y6" i="3" s="1"/>
  <c r="AB6" i="3"/>
  <c r="AK6" i="3"/>
  <c r="R7" i="3"/>
  <c r="U7" i="3"/>
  <c r="Y7" i="3" s="1"/>
  <c r="AB7" i="3"/>
  <c r="AK7" i="3"/>
  <c r="R8" i="3"/>
  <c r="U8" i="3"/>
  <c r="Y8" i="3" s="1"/>
  <c r="AB8" i="3"/>
  <c r="AK8" i="3"/>
  <c r="R9" i="3"/>
  <c r="U9" i="3"/>
  <c r="Y9" i="3" s="1"/>
  <c r="AB9" i="3"/>
  <c r="AK9" i="3"/>
  <c r="R10" i="3"/>
  <c r="U10" i="3"/>
  <c r="Y10" i="3" s="1"/>
  <c r="AB10" i="3"/>
  <c r="AK10" i="3"/>
  <c r="R11" i="3"/>
  <c r="U11" i="3"/>
  <c r="Y11" i="3" s="1"/>
  <c r="AB11" i="3"/>
  <c r="R12" i="3"/>
  <c r="U12" i="3" s="1"/>
  <c r="Y12" i="3" s="1"/>
  <c r="AB12" i="3"/>
  <c r="R13" i="3"/>
  <c r="U13" i="3"/>
  <c r="Y13" i="3"/>
  <c r="AB13" i="3"/>
  <c r="R14" i="3"/>
  <c r="U14" i="3" s="1"/>
  <c r="Y14" i="3" s="1"/>
  <c r="AB14" i="3"/>
  <c r="R15" i="3"/>
  <c r="U15" i="3" s="1"/>
  <c r="Y15" i="3" s="1"/>
  <c r="AB15" i="3"/>
  <c r="AK15" i="3"/>
  <c r="R16" i="3"/>
  <c r="U16" i="3" s="1"/>
  <c r="Y16" i="3" s="1"/>
  <c r="AB16" i="3"/>
  <c r="AK16" i="3"/>
  <c r="R17" i="3"/>
  <c r="U17" i="3" s="1"/>
  <c r="Y17" i="3" s="1"/>
  <c r="AB17" i="3"/>
  <c r="AK17" i="3"/>
  <c r="R18" i="3"/>
  <c r="U18" i="3" s="1"/>
  <c r="Y18" i="3" s="1"/>
  <c r="AB18" i="3"/>
  <c r="R19" i="3"/>
  <c r="U19" i="3"/>
  <c r="Y19" i="3" s="1"/>
  <c r="AB19" i="3"/>
  <c r="AE19" i="3"/>
  <c r="AK19" i="3"/>
  <c r="R20" i="3"/>
  <c r="U20" i="3"/>
  <c r="Y20" i="3" s="1"/>
  <c r="AB20" i="3"/>
  <c r="AK20" i="3"/>
  <c r="R21" i="3"/>
  <c r="U21" i="3"/>
  <c r="Y21" i="3" s="1"/>
  <c r="AB21" i="3"/>
  <c r="AK21" i="3"/>
  <c r="R22" i="3"/>
  <c r="U22" i="3"/>
  <c r="Y22" i="3" s="1"/>
  <c r="AB22" i="3"/>
  <c r="R23" i="3"/>
  <c r="U23" i="3" s="1"/>
  <c r="Y23" i="3" s="1"/>
  <c r="AB23" i="3"/>
  <c r="AK23" i="3"/>
  <c r="R24" i="3"/>
  <c r="U24" i="3"/>
  <c r="Y24" i="3" s="1"/>
  <c r="AB24" i="3"/>
  <c r="AK24" i="3"/>
  <c r="R25" i="3"/>
  <c r="U25" i="3" s="1"/>
  <c r="Y25" i="3" s="1"/>
  <c r="AB25" i="3"/>
  <c r="AK25" i="3"/>
  <c r="R26" i="3"/>
  <c r="U26" i="3"/>
  <c r="Y26" i="3" s="1"/>
  <c r="AB26" i="3"/>
  <c r="AK26" i="3"/>
  <c r="R27" i="3"/>
  <c r="U27" i="3" s="1"/>
  <c r="Y27" i="3" s="1"/>
  <c r="AB27" i="3"/>
  <c r="AK27" i="3"/>
  <c r="R28" i="3"/>
  <c r="U28" i="3"/>
  <c r="Y28" i="3" s="1"/>
  <c r="AB28" i="3"/>
  <c r="AK28" i="3"/>
  <c r="J29" i="3"/>
  <c r="R30" i="3"/>
  <c r="U30" i="3" s="1"/>
  <c r="Y30" i="3" s="1"/>
  <c r="AB30" i="3"/>
  <c r="Y29" i="3" l="1"/>
  <c r="AB29" i="3"/>
  <c r="R29" i="3"/>
  <c r="U29" i="3" s="1"/>
  <c r="AZ30" i="13"/>
  <c r="BA30" i="13" s="1"/>
  <c r="BB10" i="13"/>
  <c r="AZ20" i="13"/>
  <c r="BA20" i="13" s="1"/>
  <c r="BC20" i="13" s="1"/>
  <c r="BD13" i="13"/>
  <c r="AZ10" i="13"/>
  <c r="BA10" i="13" s="1"/>
  <c r="BC10" i="13" s="1"/>
  <c r="BE10" i="13" s="1"/>
  <c r="AI10" i="13" s="1"/>
  <c r="AS10" i="13" s="1"/>
  <c r="AT10" i="13" s="1"/>
  <c r="AZ8" i="13"/>
  <c r="BA8" i="13" s="1"/>
  <c r="BC8" i="13" s="1"/>
  <c r="BE8" i="13" s="1"/>
  <c r="AI8" i="13" s="1"/>
  <c r="AS8" i="13" s="1"/>
  <c r="AT8" i="13" s="1"/>
  <c r="BC13" i="15"/>
  <c r="BE13" i="15" s="1"/>
  <c r="AI13" i="15" s="1"/>
  <c r="AS13" i="15" s="1"/>
  <c r="AT13" i="15" s="1"/>
  <c r="BE22" i="15"/>
  <c r="AI22" i="15" s="1"/>
  <c r="AS22" i="15" s="1"/>
  <c r="AT22" i="15" s="1"/>
  <c r="AS33" i="16"/>
  <c r="AT5" i="16"/>
  <c r="AT33" i="16" s="1"/>
  <c r="AI33" i="16"/>
  <c r="BC14" i="15"/>
  <c r="BE14" i="15" s="1"/>
  <c r="AI14" i="15" s="1"/>
  <c r="AS14" i="15" s="1"/>
  <c r="AT14" i="15" s="1"/>
  <c r="BC29" i="15"/>
  <c r="BE29" i="15" s="1"/>
  <c r="AI29" i="15" s="1"/>
  <c r="AS29" i="15" s="1"/>
  <c r="AT29" i="15" s="1"/>
  <c r="BC8" i="15"/>
  <c r="BE8" i="15" s="1"/>
  <c r="AI8" i="15" s="1"/>
  <c r="AS8" i="15" s="1"/>
  <c r="AT8" i="15" s="1"/>
  <c r="BC30" i="15"/>
  <c r="BC25" i="15"/>
  <c r="BE25" i="15" s="1"/>
  <c r="AI25" i="15" s="1"/>
  <c r="AS25" i="15" s="1"/>
  <c r="AT25" i="15" s="1"/>
  <c r="BE5" i="15"/>
  <c r="AI5" i="15" s="1"/>
  <c r="AS5" i="15" s="1"/>
  <c r="AT5" i="15" s="1"/>
  <c r="BC10" i="15"/>
  <c r="BE10" i="15" s="1"/>
  <c r="AI10" i="15" s="1"/>
  <c r="AS10" i="15" s="1"/>
  <c r="AT10" i="15" s="1"/>
  <c r="BC28" i="15"/>
  <c r="BE28" i="15" s="1"/>
  <c r="AI28" i="15" s="1"/>
  <c r="AS28" i="15" s="1"/>
  <c r="AT28" i="15" s="1"/>
  <c r="BC17" i="15"/>
  <c r="BE17" i="15" s="1"/>
  <c r="AI17" i="15" s="1"/>
  <c r="AS17" i="15" s="1"/>
  <c r="AT17" i="15" s="1"/>
  <c r="BC32" i="15"/>
  <c r="BE32" i="15" s="1"/>
  <c r="AI32" i="15" s="1"/>
  <c r="AS32" i="15" s="1"/>
  <c r="AT32" i="15" s="1"/>
  <c r="BC27" i="15"/>
  <c r="BE27" i="15" s="1"/>
  <c r="AI27" i="15" s="1"/>
  <c r="AS27" i="15" s="1"/>
  <c r="AT27" i="15" s="1"/>
  <c r="BE30" i="15"/>
  <c r="AI30" i="15" s="1"/>
  <c r="AS30" i="15" s="1"/>
  <c r="AT30" i="15" s="1"/>
  <c r="BC31" i="15"/>
  <c r="BE31" i="15" s="1"/>
  <c r="AI31" i="15" s="1"/>
  <c r="AS31" i="15" s="1"/>
  <c r="AT31" i="15" s="1"/>
  <c r="BC18" i="15"/>
  <c r="BE18" i="15" s="1"/>
  <c r="AI18" i="15" s="1"/>
  <c r="AS18" i="15" s="1"/>
  <c r="AT18" i="15" s="1"/>
  <c r="BC21" i="15"/>
  <c r="BE21" i="15" s="1"/>
  <c r="AI21" i="15" s="1"/>
  <c r="AS21" i="15" s="1"/>
  <c r="AT21" i="15" s="1"/>
  <c r="BC16" i="15"/>
  <c r="BE16" i="15" s="1"/>
  <c r="AI16" i="15" s="1"/>
  <c r="AS16" i="15" s="1"/>
  <c r="AT16" i="15" s="1"/>
  <c r="BC6" i="15"/>
  <c r="BE6" i="15" s="1"/>
  <c r="AI6" i="15" s="1"/>
  <c r="BC12" i="15"/>
  <c r="BE12" i="15" s="1"/>
  <c r="AI12" i="15" s="1"/>
  <c r="AS12" i="15" s="1"/>
  <c r="AT12" i="15" s="1"/>
  <c r="BC23" i="15"/>
  <c r="BE23" i="15" s="1"/>
  <c r="AI23" i="15" s="1"/>
  <c r="AS23" i="15" s="1"/>
  <c r="AT23" i="15" s="1"/>
  <c r="BB18" i="13"/>
  <c r="BC6" i="13"/>
  <c r="BE6" i="13" s="1"/>
  <c r="AI6" i="13" s="1"/>
  <c r="AS6" i="13" s="1"/>
  <c r="AT6" i="13" s="1"/>
  <c r="BE12" i="13"/>
  <c r="AI12" i="13" s="1"/>
  <c r="AS12" i="13" s="1"/>
  <c r="AT12" i="13" s="1"/>
  <c r="BE16" i="13"/>
  <c r="AI16" i="13" s="1"/>
  <c r="AS16" i="13" s="1"/>
  <c r="AT16" i="13" s="1"/>
  <c r="AZ18" i="13"/>
  <c r="BA18" i="13" s="1"/>
  <c r="BC18" i="13" s="1"/>
  <c r="BE18" i="13" s="1"/>
  <c r="AI18" i="13" s="1"/>
  <c r="AS18" i="13" s="1"/>
  <c r="AT18" i="13" s="1"/>
  <c r="BB29" i="13"/>
  <c r="AZ29" i="13"/>
  <c r="BA29" i="13" s="1"/>
  <c r="BE20" i="13"/>
  <c r="AI20" i="13" s="1"/>
  <c r="AS20" i="13" s="1"/>
  <c r="AT20" i="13" s="1"/>
  <c r="BC13" i="13"/>
  <c r="BE13" i="13" s="1"/>
  <c r="AI13" i="13" s="1"/>
  <c r="AS13" i="13" s="1"/>
  <c r="AT13" i="13" s="1"/>
  <c r="BC28" i="13"/>
  <c r="BE28" i="13" s="1"/>
  <c r="AI28" i="13" s="1"/>
  <c r="AS28" i="13" s="1"/>
  <c r="AT28" i="13" s="1"/>
  <c r="BC31" i="13"/>
  <c r="BE31" i="13" s="1"/>
  <c r="AI31" i="13" s="1"/>
  <c r="AS31" i="13" s="1"/>
  <c r="AT31" i="13" s="1"/>
  <c r="BC25" i="13"/>
  <c r="BE25" i="13" s="1"/>
  <c r="AI25" i="13" s="1"/>
  <c r="AS25" i="13" s="1"/>
  <c r="AT25" i="13" s="1"/>
  <c r="BC27" i="13"/>
  <c r="BE27" i="13" s="1"/>
  <c r="AI27" i="13" s="1"/>
  <c r="AS27" i="13" s="1"/>
  <c r="AT27" i="13" s="1"/>
  <c r="BC23" i="13"/>
  <c r="BE23" i="13" s="1"/>
  <c r="AI23" i="13" s="1"/>
  <c r="AS23" i="13" s="1"/>
  <c r="AT23" i="13" s="1"/>
  <c r="BB32" i="13"/>
  <c r="AZ32" i="13"/>
  <c r="BA32" i="13" s="1"/>
  <c r="BD32" i="13"/>
  <c r="BD21" i="13"/>
  <c r="AZ21" i="13"/>
  <c r="BA21" i="13" s="1"/>
  <c r="BB21" i="13"/>
  <c r="BB26" i="13"/>
  <c r="BD26" i="13"/>
  <c r="AZ26" i="13"/>
  <c r="BA26" i="13" s="1"/>
  <c r="BC30" i="13"/>
  <c r="BE30" i="13" s="1"/>
  <c r="AI30" i="13" s="1"/>
  <c r="AS30" i="13" s="1"/>
  <c r="AT30" i="13" s="1"/>
  <c r="BD17" i="13"/>
  <c r="AZ17" i="13"/>
  <c r="BA17" i="13" s="1"/>
  <c r="BB17" i="13"/>
  <c r="BB24" i="13"/>
  <c r="BD24" i="13"/>
  <c r="AZ24" i="13"/>
  <c r="BA24" i="13" s="1"/>
  <c r="BD11" i="13"/>
  <c r="AZ11" i="13"/>
  <c r="BA11" i="13" s="1"/>
  <c r="BB11" i="13"/>
  <c r="BB19" i="13"/>
  <c r="AZ19" i="13"/>
  <c r="BA19" i="13" s="1"/>
  <c r="BD19" i="13"/>
  <c r="BB22" i="13"/>
  <c r="AZ22" i="13"/>
  <c r="BA22" i="13" s="1"/>
  <c r="BD22" i="13"/>
  <c r="V33" i="13"/>
  <c r="BB7" i="13"/>
  <c r="AZ7" i="13"/>
  <c r="BA7" i="13" s="1"/>
  <c r="BD7" i="13"/>
  <c r="BC14" i="13"/>
  <c r="BE14" i="13" s="1"/>
  <c r="AI14" i="13" s="1"/>
  <c r="AS14" i="13" s="1"/>
  <c r="AT14" i="13" s="1"/>
  <c r="BB9" i="13"/>
  <c r="BD9" i="13"/>
  <c r="AZ9" i="13"/>
  <c r="BA9" i="13" s="1"/>
  <c r="BB5" i="13"/>
  <c r="AZ5" i="13"/>
  <c r="BA5" i="13" s="1"/>
  <c r="BD5" i="13"/>
  <c r="BB15" i="13"/>
  <c r="AZ15" i="13"/>
  <c r="BA15" i="13" s="1"/>
  <c r="BD15" i="13"/>
  <c r="Z5" i="13"/>
  <c r="AA5" i="11"/>
  <c r="Z28" i="4"/>
  <c r="AC28" i="4"/>
  <c r="S28" i="4"/>
  <c r="V28" i="4" s="1"/>
  <c r="AL28" i="4"/>
  <c r="AW5" i="4"/>
  <c r="AX5" i="4"/>
  <c r="AW6" i="4"/>
  <c r="AW7" i="4"/>
  <c r="AX7" i="4"/>
  <c r="AW8" i="4"/>
  <c r="AW9" i="4"/>
  <c r="AW10" i="4"/>
  <c r="AW11" i="4"/>
  <c r="AW12" i="4"/>
  <c r="AW13" i="4"/>
  <c r="AX13" i="4"/>
  <c r="AW14" i="4"/>
  <c r="AW15" i="4"/>
  <c r="AX15" i="4"/>
  <c r="AW16" i="4"/>
  <c r="AW17" i="4"/>
  <c r="AX17" i="4"/>
  <c r="AW18" i="4"/>
  <c r="AW19" i="4"/>
  <c r="AX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R33" i="12"/>
  <c r="AO33" i="12"/>
  <c r="Y33" i="12"/>
  <c r="K33" i="12"/>
  <c r="AW32" i="12"/>
  <c r="AC32" i="12"/>
  <c r="S32" i="12"/>
  <c r="R32" i="12"/>
  <c r="R33" i="12" s="1"/>
  <c r="Q32" i="12"/>
  <c r="Q33" i="12" s="1"/>
  <c r="A32" i="12"/>
  <c r="AW31" i="12"/>
  <c r="AC31" i="12"/>
  <c r="S31" i="12"/>
  <c r="AX31" i="12" s="1"/>
  <c r="AY31" i="12" s="1"/>
  <c r="A31" i="12"/>
  <c r="AW30" i="12"/>
  <c r="AC30" i="12"/>
  <c r="S30" i="12"/>
  <c r="V30" i="12" s="1"/>
  <c r="Z30" i="12" s="1"/>
  <c r="N30" i="12"/>
  <c r="A30" i="12"/>
  <c r="AW29" i="12"/>
  <c r="AC29" i="12"/>
  <c r="S29" i="12"/>
  <c r="V29" i="12" s="1"/>
  <c r="Z29" i="12" s="1"/>
  <c r="A29" i="12"/>
  <c r="AW28" i="12"/>
  <c r="AC28" i="12"/>
  <c r="V28" i="12"/>
  <c r="Z28" i="12" s="1"/>
  <c r="S28" i="12"/>
  <c r="AX28" i="12" s="1"/>
  <c r="A28" i="12"/>
  <c r="AW27" i="12"/>
  <c r="AC27" i="12"/>
  <c r="S27" i="12"/>
  <c r="V27" i="12" s="1"/>
  <c r="Z27" i="12" s="1"/>
  <c r="A27" i="12"/>
  <c r="AW26" i="12"/>
  <c r="AL26" i="12"/>
  <c r="AC26" i="12"/>
  <c r="S26" i="12"/>
  <c r="A26" i="12"/>
  <c r="AW25" i="12"/>
  <c r="AL25" i="12"/>
  <c r="AC25" i="12"/>
  <c r="S25" i="12"/>
  <c r="A25" i="12"/>
  <c r="AW24" i="12"/>
  <c r="AL24" i="12"/>
  <c r="AC24" i="12"/>
  <c r="S24" i="12"/>
  <c r="A24" i="12"/>
  <c r="AW23" i="12"/>
  <c r="AL23" i="12"/>
  <c r="AC23" i="12"/>
  <c r="S23" i="12"/>
  <c r="A23" i="12"/>
  <c r="AW22" i="12"/>
  <c r="AL22" i="12"/>
  <c r="AC22" i="12"/>
  <c r="S22" i="12"/>
  <c r="A22" i="12"/>
  <c r="AW21" i="12"/>
  <c r="S21" i="12"/>
  <c r="A21" i="12"/>
  <c r="AW20" i="12"/>
  <c r="AL20" i="12"/>
  <c r="AC20" i="12"/>
  <c r="S20" i="12"/>
  <c r="A20" i="12"/>
  <c r="AW19" i="12"/>
  <c r="AL19" i="12"/>
  <c r="AC19" i="12"/>
  <c r="S19" i="12"/>
  <c r="A19" i="12"/>
  <c r="AW18" i="12"/>
  <c r="AL18" i="12"/>
  <c r="AF18" i="12"/>
  <c r="AF33" i="12" s="1"/>
  <c r="AC18" i="12"/>
  <c r="S18" i="12"/>
  <c r="AX18" i="12" s="1"/>
  <c r="A18" i="12"/>
  <c r="AW17" i="12"/>
  <c r="AL17" i="12"/>
  <c r="S17" i="12"/>
  <c r="V17" i="12" s="1"/>
  <c r="Z17" i="12" s="1"/>
  <c r="A17" i="12"/>
  <c r="AW16" i="12"/>
  <c r="AL16" i="12"/>
  <c r="AC16" i="12"/>
  <c r="S16" i="12"/>
  <c r="A16" i="12"/>
  <c r="AW15" i="12"/>
  <c r="AL15" i="12"/>
  <c r="AC15" i="12"/>
  <c r="S15" i="12"/>
  <c r="V15" i="12" s="1"/>
  <c r="Z15" i="12" s="1"/>
  <c r="A15" i="12"/>
  <c r="AW14" i="12"/>
  <c r="AC14" i="12"/>
  <c r="S14" i="12"/>
  <c r="AX14" i="12" s="1"/>
  <c r="A14" i="12"/>
  <c r="AW13" i="12"/>
  <c r="AC13" i="12"/>
  <c r="S13" i="12"/>
  <c r="V13" i="12" s="1"/>
  <c r="Z13" i="12" s="1"/>
  <c r="A13" i="12"/>
  <c r="AW12" i="12"/>
  <c r="AC12" i="12"/>
  <c r="S12" i="12"/>
  <c r="V12" i="12" s="1"/>
  <c r="Z12" i="12" s="1"/>
  <c r="A12" i="12"/>
  <c r="AW11" i="12"/>
  <c r="AC11" i="12"/>
  <c r="S11" i="12"/>
  <c r="AX11" i="12" s="1"/>
  <c r="AY11" i="12" s="1"/>
  <c r="BD11" i="12" s="1"/>
  <c r="A11" i="12"/>
  <c r="AW10" i="12"/>
  <c r="AL10" i="12"/>
  <c r="AC10" i="12"/>
  <c r="S10" i="12"/>
  <c r="A10" i="12"/>
  <c r="AW9" i="12"/>
  <c r="AL9" i="12"/>
  <c r="AC9" i="12"/>
  <c r="S9" i="12"/>
  <c r="AX9" i="12" s="1"/>
  <c r="A9" i="12"/>
  <c r="AW8" i="12"/>
  <c r="AL8" i="12"/>
  <c r="AC8" i="12"/>
  <c r="S8" i="12"/>
  <c r="A8" i="12"/>
  <c r="AW7" i="12"/>
  <c r="AL7" i="12"/>
  <c r="AC7" i="12"/>
  <c r="S7" i="12"/>
  <c r="AX7" i="12" s="1"/>
  <c r="AY7" i="12" s="1"/>
  <c r="BB7" i="12" s="1"/>
  <c r="A7" i="12"/>
  <c r="AW6" i="12"/>
  <c r="AL6" i="12"/>
  <c r="AC6" i="12"/>
  <c r="S6" i="12"/>
  <c r="A6" i="12"/>
  <c r="AW5" i="12"/>
  <c r="AL5" i="12"/>
  <c r="AC5" i="12"/>
  <c r="S5" i="12"/>
  <c r="N5" i="12"/>
  <c r="N33" i="12" s="1"/>
  <c r="A5" i="12"/>
  <c r="B3" i="12"/>
  <c r="C3" i="12" s="1"/>
  <c r="D3" i="12" s="1"/>
  <c r="E3" i="12" s="1"/>
  <c r="F3" i="12" s="1"/>
  <c r="G3" i="12" s="1"/>
  <c r="H3" i="12" s="1"/>
  <c r="I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O3" i="12" s="1"/>
  <c r="AP3" i="12" s="1"/>
  <c r="AQ3" i="12" s="1"/>
  <c r="AR3" i="12" s="1"/>
  <c r="AS3" i="12" s="1"/>
  <c r="AT3" i="12" s="1"/>
  <c r="AS33" i="11"/>
  <c r="AP33" i="11"/>
  <c r="Z33" i="11"/>
  <c r="L33" i="11"/>
  <c r="AX32" i="11"/>
  <c r="AD32" i="11"/>
  <c r="T32" i="11"/>
  <c r="S32" i="11"/>
  <c r="S33" i="11" s="1"/>
  <c r="R32" i="11"/>
  <c r="R33" i="11" s="1"/>
  <c r="A32" i="11"/>
  <c r="AX31" i="11"/>
  <c r="AD31" i="11"/>
  <c r="W31" i="11"/>
  <c r="AA31" i="11" s="1"/>
  <c r="T31" i="11"/>
  <c r="AY31" i="11" s="1"/>
  <c r="AZ31" i="11" s="1"/>
  <c r="A31" i="11"/>
  <c r="AX30" i="11"/>
  <c r="AD30" i="11"/>
  <c r="T30" i="11"/>
  <c r="W30" i="11" s="1"/>
  <c r="O30" i="11"/>
  <c r="O33" i="11" s="1"/>
  <c r="A30" i="11"/>
  <c r="AY29" i="11"/>
  <c r="AX29" i="11"/>
  <c r="A29" i="11"/>
  <c r="AX28" i="11"/>
  <c r="AY28" i="11"/>
  <c r="A28" i="11"/>
  <c r="AX27" i="11"/>
  <c r="A27" i="11"/>
  <c r="AX26" i="11"/>
  <c r="A26" i="11"/>
  <c r="AX25" i="11"/>
  <c r="A25" i="11"/>
  <c r="AX24" i="11"/>
  <c r="A24" i="11"/>
  <c r="AX23" i="11"/>
  <c r="A23" i="11"/>
  <c r="AX22" i="11"/>
  <c r="A22" i="11"/>
  <c r="AZ21" i="11"/>
  <c r="AX21" i="11"/>
  <c r="AY21" i="11"/>
  <c r="A21" i="11"/>
  <c r="BC20" i="11"/>
  <c r="AY20" i="11"/>
  <c r="AZ20" i="11" s="1"/>
  <c r="AX20" i="11"/>
  <c r="A20" i="11"/>
  <c r="AY19" i="11"/>
  <c r="AX19" i="11"/>
  <c r="A19" i="11"/>
  <c r="AY18" i="11"/>
  <c r="AX18" i="11"/>
  <c r="AG33" i="11"/>
  <c r="A18" i="11"/>
  <c r="AX17" i="11"/>
  <c r="AY17" i="11"/>
  <c r="AZ17" i="11" s="1"/>
  <c r="A17" i="11"/>
  <c r="AY16" i="11"/>
  <c r="AZ16" i="11" s="1"/>
  <c r="BC16" i="11" s="1"/>
  <c r="AX16" i="11"/>
  <c r="A16" i="11"/>
  <c r="AY15" i="11"/>
  <c r="AX15" i="11"/>
  <c r="A15" i="11"/>
  <c r="AX14" i="11"/>
  <c r="A14" i="11"/>
  <c r="AY13" i="11"/>
  <c r="AX13" i="11"/>
  <c r="A13" i="11"/>
  <c r="AY12" i="11"/>
  <c r="AX12" i="11"/>
  <c r="A12" i="11"/>
  <c r="AX11" i="11"/>
  <c r="AY11" i="11"/>
  <c r="AZ11" i="11" s="1"/>
  <c r="A11" i="11"/>
  <c r="AX10" i="11"/>
  <c r="A10" i="11"/>
  <c r="AY9" i="11"/>
  <c r="AZ9" i="11" s="1"/>
  <c r="AX9" i="11"/>
  <c r="A9" i="11"/>
  <c r="AY8" i="11"/>
  <c r="AX8" i="11"/>
  <c r="A8" i="11"/>
  <c r="AX7" i="11"/>
  <c r="A7" i="11"/>
  <c r="AX6" i="11"/>
  <c r="A6" i="11"/>
  <c r="AX5" i="11"/>
  <c r="A5" i="11"/>
  <c r="AQ33" i="10"/>
  <c r="AN33" i="10"/>
  <c r="X33" i="10"/>
  <c r="J33" i="10"/>
  <c r="AV32" i="10"/>
  <c r="AB32" i="10"/>
  <c r="R32" i="10"/>
  <c r="Q32" i="10"/>
  <c r="Q33" i="10" s="1"/>
  <c r="P32" i="10"/>
  <c r="P33" i="10" s="1"/>
  <c r="A32" i="10"/>
  <c r="AV31" i="10"/>
  <c r="AB31" i="10"/>
  <c r="R31" i="10"/>
  <c r="U31" i="10" s="1"/>
  <c r="Y31" i="10" s="1"/>
  <c r="A31" i="10"/>
  <c r="AV30" i="10"/>
  <c r="AB30" i="10"/>
  <c r="R30" i="10"/>
  <c r="U30" i="10" s="1"/>
  <c r="M30" i="10"/>
  <c r="A30" i="10"/>
  <c r="AV29" i="10"/>
  <c r="AB29" i="10"/>
  <c r="Y29" i="10"/>
  <c r="U29" i="10"/>
  <c r="R29" i="10"/>
  <c r="AW29" i="10" s="1"/>
  <c r="A29" i="10"/>
  <c r="AV28" i="10"/>
  <c r="AB28" i="10"/>
  <c r="R28" i="10"/>
  <c r="U28" i="10" s="1"/>
  <c r="Y28" i="10" s="1"/>
  <c r="A28" i="10"/>
  <c r="AV27" i="10"/>
  <c r="AB27" i="10"/>
  <c r="R27" i="10"/>
  <c r="AW27" i="10" s="1"/>
  <c r="AX27" i="10" s="1"/>
  <c r="A27" i="10"/>
  <c r="AV26" i="10"/>
  <c r="AK26" i="10"/>
  <c r="AB26" i="10"/>
  <c r="R26" i="10"/>
  <c r="AW26" i="10" s="1"/>
  <c r="AX26" i="10" s="1"/>
  <c r="A26" i="10"/>
  <c r="AV25" i="10"/>
  <c r="AK25" i="10"/>
  <c r="AB25" i="10"/>
  <c r="R25" i="10"/>
  <c r="AW25" i="10" s="1"/>
  <c r="AX25" i="10" s="1"/>
  <c r="A25" i="10"/>
  <c r="AV24" i="10"/>
  <c r="AK24" i="10"/>
  <c r="AB24" i="10"/>
  <c r="R24" i="10"/>
  <c r="U24" i="10" s="1"/>
  <c r="Y24" i="10" s="1"/>
  <c r="A24" i="10"/>
  <c r="AV23" i="10"/>
  <c r="AK23" i="10"/>
  <c r="AB23" i="10"/>
  <c r="R23" i="10"/>
  <c r="A23" i="10"/>
  <c r="AW22" i="10"/>
  <c r="AX22" i="10" s="1"/>
  <c r="AV22" i="10"/>
  <c r="AK22" i="10"/>
  <c r="AB22" i="10"/>
  <c r="U22" i="10"/>
  <c r="Y22" i="10" s="1"/>
  <c r="R22" i="10"/>
  <c r="A22" i="10"/>
  <c r="AV21" i="10"/>
  <c r="AB21" i="10"/>
  <c r="R21" i="10"/>
  <c r="U21" i="10" s="1"/>
  <c r="Y21" i="10" s="1"/>
  <c r="A21" i="10"/>
  <c r="AV20" i="10"/>
  <c r="AK20" i="10"/>
  <c r="AB20" i="10"/>
  <c r="R20" i="10"/>
  <c r="AW20" i="10" s="1"/>
  <c r="AX20" i="10" s="1"/>
  <c r="A20" i="10"/>
  <c r="AV19" i="10"/>
  <c r="AK19" i="10"/>
  <c r="AB19" i="10"/>
  <c r="R19" i="10"/>
  <c r="A19" i="10"/>
  <c r="AW18" i="10"/>
  <c r="AX18" i="10" s="1"/>
  <c r="AV18" i="10"/>
  <c r="AK18" i="10"/>
  <c r="AE18" i="10"/>
  <c r="AE33" i="10" s="1"/>
  <c r="AB18" i="10"/>
  <c r="R18" i="10"/>
  <c r="U18" i="10" s="1"/>
  <c r="Y18" i="10" s="1"/>
  <c r="A18" i="10"/>
  <c r="AV17" i="10"/>
  <c r="AK17" i="10"/>
  <c r="AB17" i="10"/>
  <c r="R17" i="10"/>
  <c r="A17" i="10"/>
  <c r="AV16" i="10"/>
  <c r="AK16" i="10"/>
  <c r="AB16" i="10"/>
  <c r="R16" i="10"/>
  <c r="AW16" i="10" s="1"/>
  <c r="AX16" i="10" s="1"/>
  <c r="BC16" i="10" s="1"/>
  <c r="A16" i="10"/>
  <c r="AV15" i="10"/>
  <c r="AK15" i="10"/>
  <c r="AB15" i="10"/>
  <c r="R15" i="10"/>
  <c r="AW15" i="10" s="1"/>
  <c r="AX15" i="10" s="1"/>
  <c r="BC15" i="10" s="1"/>
  <c r="A15" i="10"/>
  <c r="AV14" i="10"/>
  <c r="AB14" i="10"/>
  <c r="R14" i="10"/>
  <c r="U14" i="10" s="1"/>
  <c r="Y14" i="10" s="1"/>
  <c r="A14" i="10"/>
  <c r="AV13" i="10"/>
  <c r="AB13" i="10"/>
  <c r="R13" i="10"/>
  <c r="AW13" i="10" s="1"/>
  <c r="AX13" i="10" s="1"/>
  <c r="AY13" i="10" s="1"/>
  <c r="A13" i="10"/>
  <c r="AV12" i="10"/>
  <c r="AB12" i="10"/>
  <c r="R12" i="10"/>
  <c r="U12" i="10" s="1"/>
  <c r="Y12" i="10" s="1"/>
  <c r="A12" i="10"/>
  <c r="AV11" i="10"/>
  <c r="AB11" i="10"/>
  <c r="R11" i="10"/>
  <c r="U11" i="10" s="1"/>
  <c r="Y11" i="10" s="1"/>
  <c r="A11" i="10"/>
  <c r="AV10" i="10"/>
  <c r="AK10" i="10"/>
  <c r="AB10" i="10"/>
  <c r="R10" i="10"/>
  <c r="AW10" i="10" s="1"/>
  <c r="AX10" i="10" s="1"/>
  <c r="A10" i="10"/>
  <c r="AV9" i="10"/>
  <c r="AK9" i="10"/>
  <c r="AB9" i="10"/>
  <c r="R9" i="10"/>
  <c r="AW9" i="10" s="1"/>
  <c r="AX9" i="10" s="1"/>
  <c r="BC9" i="10" s="1"/>
  <c r="A9" i="10"/>
  <c r="AV8" i="10"/>
  <c r="AK8" i="10"/>
  <c r="AB8" i="10"/>
  <c r="R8" i="10"/>
  <c r="AW8" i="10" s="1"/>
  <c r="AX8" i="10" s="1"/>
  <c r="A8" i="10"/>
  <c r="AW7" i="10"/>
  <c r="AX7" i="10" s="1"/>
  <c r="BC7" i="10" s="1"/>
  <c r="AV7" i="10"/>
  <c r="AK7" i="10"/>
  <c r="AB7" i="10"/>
  <c r="U7" i="10"/>
  <c r="Y7" i="10" s="1"/>
  <c r="R7" i="10"/>
  <c r="A7" i="10"/>
  <c r="AV6" i="10"/>
  <c r="AK6" i="10"/>
  <c r="AB6" i="10"/>
  <c r="R6" i="10"/>
  <c r="AW6" i="10" s="1"/>
  <c r="AX6" i="10" s="1"/>
  <c r="A6" i="10"/>
  <c r="AV5" i="10"/>
  <c r="AK5" i="10"/>
  <c r="AB5" i="10"/>
  <c r="R5" i="10"/>
  <c r="AW5" i="10" s="1"/>
  <c r="AX5" i="10" s="1"/>
  <c r="BA5" i="10" s="1"/>
  <c r="M5" i="10"/>
  <c r="A5" i="10"/>
  <c r="E3" i="10"/>
  <c r="F3" i="10" s="1"/>
  <c r="G3" i="10" s="1"/>
  <c r="H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AK3" i="10" s="1"/>
  <c r="AL3" i="10" s="1"/>
  <c r="AM3" i="10" s="1"/>
  <c r="AN3" i="10" s="1"/>
  <c r="AO3" i="10" s="1"/>
  <c r="AP3" i="10" s="1"/>
  <c r="AQ3" i="10" s="1"/>
  <c r="AR3" i="10" s="1"/>
  <c r="AS3" i="10" s="1"/>
  <c r="B3" i="10"/>
  <c r="C3" i="10" s="1"/>
  <c r="D3" i="10" s="1"/>
  <c r="AQ33" i="9"/>
  <c r="AN33" i="9"/>
  <c r="X33" i="9"/>
  <c r="J33" i="9"/>
  <c r="AV32" i="9"/>
  <c r="AB32" i="9"/>
  <c r="R32" i="9"/>
  <c r="Q32" i="9"/>
  <c r="Q33" i="9" s="1"/>
  <c r="P32" i="9"/>
  <c r="P33" i="9" s="1"/>
  <c r="A32" i="9"/>
  <c r="AV31" i="9"/>
  <c r="AB31" i="9"/>
  <c r="R31" i="9"/>
  <c r="AW31" i="9" s="1"/>
  <c r="AX31" i="9" s="1"/>
  <c r="A31" i="9"/>
  <c r="AV30" i="9"/>
  <c r="AB30" i="9"/>
  <c r="R30" i="9"/>
  <c r="U30" i="9" s="1"/>
  <c r="Y30" i="9" s="1"/>
  <c r="M30" i="9"/>
  <c r="A30" i="9"/>
  <c r="AV29" i="9"/>
  <c r="AB29" i="9"/>
  <c r="R29" i="9"/>
  <c r="U29" i="9" s="1"/>
  <c r="Y29" i="9" s="1"/>
  <c r="A29" i="9"/>
  <c r="AV28" i="9"/>
  <c r="AB28" i="9"/>
  <c r="R28" i="9"/>
  <c r="AW28" i="9" s="1"/>
  <c r="A28" i="9"/>
  <c r="AV27" i="9"/>
  <c r="AB27" i="9"/>
  <c r="R27" i="9"/>
  <c r="U27" i="9" s="1"/>
  <c r="Y27" i="9" s="1"/>
  <c r="A27" i="9"/>
  <c r="AV26" i="9"/>
  <c r="AK26" i="9"/>
  <c r="AB26" i="9"/>
  <c r="R26" i="9"/>
  <c r="A26" i="9"/>
  <c r="AV25" i="9"/>
  <c r="AK25" i="9"/>
  <c r="AB25" i="9"/>
  <c r="R25" i="9"/>
  <c r="A25" i="9"/>
  <c r="AV24" i="9"/>
  <c r="AK24" i="9"/>
  <c r="AB24" i="9"/>
  <c r="R24" i="9"/>
  <c r="A24" i="9"/>
  <c r="AV23" i="9"/>
  <c r="AK23" i="9"/>
  <c r="AB23" i="9"/>
  <c r="R23" i="9"/>
  <c r="A23" i="9"/>
  <c r="AV22" i="9"/>
  <c r="AK22" i="9"/>
  <c r="AB22" i="9"/>
  <c r="R22" i="9"/>
  <c r="A22" i="9"/>
  <c r="AV21" i="9"/>
  <c r="AB21" i="9"/>
  <c r="R21" i="9"/>
  <c r="AW21" i="9" s="1"/>
  <c r="AX21" i="9" s="1"/>
  <c r="A21" i="9"/>
  <c r="AW20" i="9"/>
  <c r="AX20" i="9" s="1"/>
  <c r="BC20" i="9" s="1"/>
  <c r="AV20" i="9"/>
  <c r="AK20" i="9"/>
  <c r="AB20" i="9"/>
  <c r="U20" i="9"/>
  <c r="Y20" i="9" s="1"/>
  <c r="R20" i="9"/>
  <c r="A20" i="9"/>
  <c r="AV19" i="9"/>
  <c r="AK19" i="9"/>
  <c r="AB19" i="9"/>
  <c r="R19" i="9"/>
  <c r="AW19" i="9" s="1"/>
  <c r="AX19" i="9" s="1"/>
  <c r="BC19" i="9" s="1"/>
  <c r="A19" i="9"/>
  <c r="AV18" i="9"/>
  <c r="AK18" i="9"/>
  <c r="AE18" i="9"/>
  <c r="AE33" i="9" s="1"/>
  <c r="AB18" i="9"/>
  <c r="R18" i="9"/>
  <c r="U18" i="9" s="1"/>
  <c r="Y18" i="9" s="1"/>
  <c r="A18" i="9"/>
  <c r="AV17" i="9"/>
  <c r="AK17" i="9"/>
  <c r="AB17" i="9"/>
  <c r="R17" i="9"/>
  <c r="A17" i="9"/>
  <c r="AV16" i="9"/>
  <c r="AK16" i="9"/>
  <c r="AB16" i="9"/>
  <c r="R16" i="9"/>
  <c r="A16" i="9"/>
  <c r="AV15" i="9"/>
  <c r="AK15" i="9"/>
  <c r="AB15" i="9"/>
  <c r="R15" i="9"/>
  <c r="U15" i="9" s="1"/>
  <c r="Y15" i="9" s="1"/>
  <c r="A15" i="9"/>
  <c r="AV14" i="9"/>
  <c r="AB14" i="9"/>
  <c r="U14" i="9"/>
  <c r="Y14" i="9" s="1"/>
  <c r="R14" i="9"/>
  <c r="AW14" i="9" s="1"/>
  <c r="A14" i="9"/>
  <c r="AV13" i="9"/>
  <c r="AB13" i="9"/>
  <c r="R13" i="9"/>
  <c r="U13" i="9" s="1"/>
  <c r="Y13" i="9" s="1"/>
  <c r="A13" i="9"/>
  <c r="AV12" i="9"/>
  <c r="AB12" i="9"/>
  <c r="R12" i="9"/>
  <c r="U12" i="9" s="1"/>
  <c r="Y12" i="9" s="1"/>
  <c r="A12" i="9"/>
  <c r="AV11" i="9"/>
  <c r="AB11" i="9"/>
  <c r="U11" i="9"/>
  <c r="Y11" i="9" s="1"/>
  <c r="R11" i="9"/>
  <c r="AW11" i="9" s="1"/>
  <c r="A11" i="9"/>
  <c r="AV10" i="9"/>
  <c r="AK10" i="9"/>
  <c r="AB10" i="9"/>
  <c r="R10" i="9"/>
  <c r="A10" i="9"/>
  <c r="AV9" i="9"/>
  <c r="AK9" i="9"/>
  <c r="AB9" i="9"/>
  <c r="R9" i="9"/>
  <c r="AW9" i="9" s="1"/>
  <c r="A9" i="9"/>
  <c r="AV8" i="9"/>
  <c r="AK8" i="9"/>
  <c r="AB8" i="9"/>
  <c r="R8" i="9"/>
  <c r="A8" i="9"/>
  <c r="AV7" i="9"/>
  <c r="AK7" i="9"/>
  <c r="AB7" i="9"/>
  <c r="R7" i="9"/>
  <c r="AW7" i="9" s="1"/>
  <c r="A7" i="9"/>
  <c r="AV6" i="9"/>
  <c r="AK6" i="9"/>
  <c r="AB6" i="9"/>
  <c r="R6" i="9"/>
  <c r="A6" i="9"/>
  <c r="AV5" i="9"/>
  <c r="AK5" i="9"/>
  <c r="AB5" i="9"/>
  <c r="R5" i="9"/>
  <c r="M5" i="9"/>
  <c r="M33" i="9" s="1"/>
  <c r="A5" i="9"/>
  <c r="B3" i="9"/>
  <c r="C3" i="9" s="1"/>
  <c r="D3" i="9" s="1"/>
  <c r="E3" i="9" s="1"/>
  <c r="F3" i="9" s="1"/>
  <c r="G3" i="9" s="1"/>
  <c r="H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AM3" i="9" s="1"/>
  <c r="AN3" i="9" s="1"/>
  <c r="AO3" i="9" s="1"/>
  <c r="AP3" i="9" s="1"/>
  <c r="AQ3" i="9" s="1"/>
  <c r="AR3" i="9" s="1"/>
  <c r="AS3" i="9" s="1"/>
  <c r="AO34" i="8"/>
  <c r="AF34" i="8"/>
  <c r="R34" i="8"/>
  <c r="Q34" i="8"/>
  <c r="N34" i="8"/>
  <c r="AW33" i="8"/>
  <c r="AI33" i="8"/>
  <c r="AC33" i="8"/>
  <c r="S33" i="8"/>
  <c r="V33" i="8" s="1"/>
  <c r="K33" i="8"/>
  <c r="A33" i="8"/>
  <c r="AW32" i="8"/>
  <c r="AI32" i="8"/>
  <c r="AC32" i="8"/>
  <c r="S32" i="8"/>
  <c r="V32" i="8" s="1"/>
  <c r="K32" i="8"/>
  <c r="A32" i="8"/>
  <c r="AX31" i="8"/>
  <c r="AW31" i="8"/>
  <c r="AR31" i="8"/>
  <c r="AI31" i="8"/>
  <c r="V31" i="8"/>
  <c r="Z31" i="8" s="1"/>
  <c r="A31" i="8"/>
  <c r="AW30" i="8"/>
  <c r="AR30" i="8"/>
  <c r="AI30" i="8"/>
  <c r="AC30" i="8"/>
  <c r="S30" i="8"/>
  <c r="V30" i="8" s="1"/>
  <c r="K30" i="8"/>
  <c r="A30" i="8"/>
  <c r="AX29" i="8"/>
  <c r="AW29" i="8"/>
  <c r="AR29" i="8"/>
  <c r="AI29" i="8"/>
  <c r="V29" i="8"/>
  <c r="Z29" i="8" s="1"/>
  <c r="A29" i="8"/>
  <c r="AX28" i="8"/>
  <c r="AW28" i="8"/>
  <c r="AR28" i="8"/>
  <c r="AI28" i="8"/>
  <c r="V28" i="8"/>
  <c r="Z28" i="8" s="1"/>
  <c r="A28" i="8"/>
  <c r="AR27" i="8"/>
  <c r="AI27" i="8"/>
  <c r="Y27" i="8"/>
  <c r="Y34" i="8" s="1"/>
  <c r="V27" i="8"/>
  <c r="AW26" i="8"/>
  <c r="AR26" i="8"/>
  <c r="AL26" i="8"/>
  <c r="AI26" i="8"/>
  <c r="AC26" i="8"/>
  <c r="S26" i="8"/>
  <c r="K26" i="8"/>
  <c r="A26" i="8"/>
  <c r="AW25" i="8"/>
  <c r="AR25" i="8"/>
  <c r="AL25" i="8"/>
  <c r="AI25" i="8"/>
  <c r="AC25" i="8"/>
  <c r="S25" i="8"/>
  <c r="K25" i="8"/>
  <c r="A25" i="8"/>
  <c r="AW24" i="8"/>
  <c r="AR24" i="8"/>
  <c r="AL24" i="8"/>
  <c r="AI24" i="8"/>
  <c r="AC24" i="8"/>
  <c r="S24" i="8"/>
  <c r="K24" i="8"/>
  <c r="A24" i="8"/>
  <c r="AW23" i="8"/>
  <c r="AR23" i="8"/>
  <c r="AL23" i="8"/>
  <c r="AI23" i="8"/>
  <c r="AC23" i="8"/>
  <c r="S23" i="8"/>
  <c r="K23" i="8"/>
  <c r="A23" i="8"/>
  <c r="AW22" i="8"/>
  <c r="AR22" i="8"/>
  <c r="AL22" i="8"/>
  <c r="AI22" i="8"/>
  <c r="AC22" i="8"/>
  <c r="S22" i="8"/>
  <c r="K22" i="8"/>
  <c r="A22" i="8"/>
  <c r="AW21" i="8"/>
  <c r="AR21" i="8"/>
  <c r="AI21" i="8"/>
  <c r="AC21" i="8"/>
  <c r="S21" i="8"/>
  <c r="V21" i="8" s="1"/>
  <c r="K21" i="8"/>
  <c r="A21" i="8"/>
  <c r="AX20" i="8"/>
  <c r="AW20" i="8"/>
  <c r="AY20" i="8" s="1"/>
  <c r="AR20" i="8"/>
  <c r="AI20" i="8"/>
  <c r="V20" i="8"/>
  <c r="Z20" i="8" s="1"/>
  <c r="A20" i="8"/>
  <c r="AW19" i="8"/>
  <c r="AR19" i="8"/>
  <c r="AL19" i="8"/>
  <c r="AI19" i="8"/>
  <c r="AC19" i="8"/>
  <c r="S19" i="8"/>
  <c r="V19" i="8" s="1"/>
  <c r="K19" i="8"/>
  <c r="A19" i="8"/>
  <c r="AX18" i="8"/>
  <c r="AW18" i="8"/>
  <c r="AR18" i="8"/>
  <c r="AI18" i="8"/>
  <c r="V18" i="8"/>
  <c r="Z18" i="8" s="1"/>
  <c r="A18" i="8"/>
  <c r="AW17" i="8"/>
  <c r="AR17" i="8"/>
  <c r="AL17" i="8"/>
  <c r="AI17" i="8"/>
  <c r="AC17" i="8"/>
  <c r="S17" i="8"/>
  <c r="V17" i="8" s="1"/>
  <c r="K17" i="8"/>
  <c r="A17" i="8"/>
  <c r="AW16" i="8"/>
  <c r="AR16" i="8"/>
  <c r="AL16" i="8"/>
  <c r="AI16" i="8"/>
  <c r="AC16" i="8"/>
  <c r="S16" i="8"/>
  <c r="V16" i="8" s="1"/>
  <c r="K16" i="8"/>
  <c r="A16" i="8"/>
  <c r="AW15" i="8"/>
  <c r="AR15" i="8"/>
  <c r="AL15" i="8"/>
  <c r="AI15" i="8"/>
  <c r="AC15" i="8"/>
  <c r="S15" i="8"/>
  <c r="V15" i="8" s="1"/>
  <c r="K15" i="8"/>
  <c r="A15" i="8"/>
  <c r="AX14" i="8"/>
  <c r="AW14" i="8"/>
  <c r="AY14" i="8" s="1"/>
  <c r="BD14" i="8" s="1"/>
  <c r="AR14" i="8"/>
  <c r="AI14" i="8"/>
  <c r="V14" i="8"/>
  <c r="Z14" i="8" s="1"/>
  <c r="A14" i="8"/>
  <c r="AW13" i="8"/>
  <c r="AR13" i="8"/>
  <c r="AI13" i="8"/>
  <c r="AC13" i="8"/>
  <c r="S13" i="8"/>
  <c r="V13" i="8" s="1"/>
  <c r="K13" i="8"/>
  <c r="A13" i="8"/>
  <c r="AW12" i="8"/>
  <c r="AR12" i="8"/>
  <c r="AI12" i="8"/>
  <c r="AC12" i="8"/>
  <c r="S12" i="8"/>
  <c r="V12" i="8" s="1"/>
  <c r="K12" i="8"/>
  <c r="A12" i="8"/>
  <c r="AW11" i="8"/>
  <c r="AR11" i="8"/>
  <c r="AI11" i="8"/>
  <c r="AC11" i="8"/>
  <c r="S11" i="8"/>
  <c r="K11" i="8"/>
  <c r="A11" i="8"/>
  <c r="AW10" i="8"/>
  <c r="AR10" i="8"/>
  <c r="AL10" i="8"/>
  <c r="AI10" i="8"/>
  <c r="AC10" i="8"/>
  <c r="S10" i="8"/>
  <c r="K10" i="8"/>
  <c r="A10" i="8"/>
  <c r="AX9" i="8"/>
  <c r="AW9" i="8"/>
  <c r="AR9" i="8"/>
  <c r="AI9" i="8"/>
  <c r="Z9" i="8"/>
  <c r="V9" i="8"/>
  <c r="A9" i="8"/>
  <c r="AW8" i="8"/>
  <c r="AR8" i="8"/>
  <c r="AL8" i="8"/>
  <c r="AI8" i="8"/>
  <c r="AC8" i="8"/>
  <c r="S8" i="8"/>
  <c r="V8" i="8" s="1"/>
  <c r="K8" i="8"/>
  <c r="A8" i="8"/>
  <c r="AX7" i="8"/>
  <c r="AW7" i="8"/>
  <c r="AR7" i="8"/>
  <c r="AI7" i="8"/>
  <c r="V7" i="8"/>
  <c r="Z7" i="8" s="1"/>
  <c r="A7" i="8"/>
  <c r="AW6" i="8"/>
  <c r="AR6" i="8"/>
  <c r="AL6" i="8"/>
  <c r="AI6" i="8"/>
  <c r="AC6" i="8"/>
  <c r="S6" i="8"/>
  <c r="K6" i="8"/>
  <c r="A6" i="8"/>
  <c r="AW5" i="8"/>
  <c r="AR5" i="8"/>
  <c r="AI5" i="8"/>
  <c r="AC5" i="8"/>
  <c r="S5" i="8"/>
  <c r="V5" i="8" s="1"/>
  <c r="K5" i="8"/>
  <c r="A5" i="8"/>
  <c r="B3" i="8"/>
  <c r="C3" i="8" s="1"/>
  <c r="D3" i="8" s="1"/>
  <c r="E3" i="8" s="1"/>
  <c r="F3" i="8" s="1"/>
  <c r="G3" i="8" s="1"/>
  <c r="H3" i="8" s="1"/>
  <c r="I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AT3" i="8" s="1"/>
  <c r="AQ33" i="6"/>
  <c r="AN33" i="6"/>
  <c r="X33" i="6"/>
  <c r="AV32" i="6"/>
  <c r="R32" i="6"/>
  <c r="U32" i="6" s="1"/>
  <c r="Q32" i="6"/>
  <c r="Q33" i="6" s="1"/>
  <c r="P32" i="6"/>
  <c r="P33" i="6" s="1"/>
  <c r="J32" i="6"/>
  <c r="A32" i="6"/>
  <c r="AV31" i="6"/>
  <c r="AB31" i="6"/>
  <c r="R31" i="6"/>
  <c r="A31" i="6"/>
  <c r="AV30" i="6"/>
  <c r="AB30" i="6"/>
  <c r="U30" i="6"/>
  <c r="Y30" i="6" s="1"/>
  <c r="R30" i="6"/>
  <c r="AW30" i="6" s="1"/>
  <c r="AX30" i="6" s="1"/>
  <c r="AY30" i="6" s="1"/>
  <c r="M30" i="6"/>
  <c r="A30" i="6"/>
  <c r="AV29" i="6"/>
  <c r="AB29" i="6"/>
  <c r="R29" i="6"/>
  <c r="U29" i="6" s="1"/>
  <c r="Y29" i="6" s="1"/>
  <c r="A29" i="6"/>
  <c r="AV28" i="6"/>
  <c r="AB28" i="6"/>
  <c r="R28" i="6"/>
  <c r="AW28" i="6" s="1"/>
  <c r="AX28" i="6" s="1"/>
  <c r="A28" i="6"/>
  <c r="AV27" i="6"/>
  <c r="AB27" i="6"/>
  <c r="U27" i="6"/>
  <c r="Y27" i="6" s="1"/>
  <c r="R27" i="6"/>
  <c r="AW27" i="6" s="1"/>
  <c r="AX27" i="6" s="1"/>
  <c r="BC27" i="6" s="1"/>
  <c r="A27" i="6"/>
  <c r="AV26" i="6"/>
  <c r="AK26" i="6"/>
  <c r="AB26" i="6"/>
  <c r="R26" i="6"/>
  <c r="A26" i="6"/>
  <c r="AV25" i="6"/>
  <c r="AK25" i="6"/>
  <c r="AB25" i="6"/>
  <c r="R25" i="6"/>
  <c r="AW25" i="6" s="1"/>
  <c r="AX25" i="6" s="1"/>
  <c r="A25" i="6"/>
  <c r="AV24" i="6"/>
  <c r="AK24" i="6"/>
  <c r="AB24" i="6"/>
  <c r="R24" i="6"/>
  <c r="A24" i="6"/>
  <c r="AV23" i="6"/>
  <c r="AK23" i="6"/>
  <c r="AB23" i="6"/>
  <c r="R23" i="6"/>
  <c r="AW23" i="6" s="1"/>
  <c r="AX23" i="6" s="1"/>
  <c r="A23" i="6"/>
  <c r="AV22" i="6"/>
  <c r="AK22" i="6"/>
  <c r="AB22" i="6"/>
  <c r="R22" i="6"/>
  <c r="A22" i="6"/>
  <c r="AV21" i="6"/>
  <c r="AB21" i="6"/>
  <c r="U21" i="6"/>
  <c r="Y21" i="6" s="1"/>
  <c r="R21" i="6"/>
  <c r="AW21" i="6" s="1"/>
  <c r="AX21" i="6" s="1"/>
  <c r="A21" i="6"/>
  <c r="AV20" i="6"/>
  <c r="AK20" i="6"/>
  <c r="AB20" i="6"/>
  <c r="R20" i="6"/>
  <c r="U20" i="6" s="1"/>
  <c r="Y20" i="6" s="1"/>
  <c r="A20" i="6"/>
  <c r="AV19" i="6"/>
  <c r="AK19" i="6"/>
  <c r="AB19" i="6"/>
  <c r="R19" i="6"/>
  <c r="U19" i="6" s="1"/>
  <c r="Y19" i="6" s="1"/>
  <c r="A19" i="6"/>
  <c r="AV18" i="6"/>
  <c r="AK18" i="6"/>
  <c r="AE18" i="6"/>
  <c r="AB18" i="6"/>
  <c r="R18" i="6"/>
  <c r="A18" i="6"/>
  <c r="AV17" i="6"/>
  <c r="AK17" i="6"/>
  <c r="AB17" i="6"/>
  <c r="R17" i="6"/>
  <c r="U17" i="6" s="1"/>
  <c r="Y17" i="6" s="1"/>
  <c r="A17" i="6"/>
  <c r="AV16" i="6"/>
  <c r="AK16" i="6"/>
  <c r="AB16" i="6"/>
  <c r="R16" i="6"/>
  <c r="A16" i="6"/>
  <c r="AV15" i="6"/>
  <c r="AK15" i="6"/>
  <c r="AB15" i="6"/>
  <c r="R15" i="6"/>
  <c r="AW15" i="6" s="1"/>
  <c r="AX15" i="6" s="1"/>
  <c r="A15" i="6"/>
  <c r="AV14" i="6"/>
  <c r="AB14" i="6"/>
  <c r="R14" i="6"/>
  <c r="AW14" i="6" s="1"/>
  <c r="AX14" i="6" s="1"/>
  <c r="BC14" i="6" s="1"/>
  <c r="A14" i="6"/>
  <c r="AV13" i="6"/>
  <c r="AB13" i="6"/>
  <c r="R13" i="6"/>
  <c r="U13" i="6" s="1"/>
  <c r="Y13" i="6" s="1"/>
  <c r="A13" i="6"/>
  <c r="AV12" i="6"/>
  <c r="AB12" i="6"/>
  <c r="R12" i="6"/>
  <c r="A12" i="6"/>
  <c r="AV11" i="6"/>
  <c r="AB11" i="6"/>
  <c r="R11" i="6"/>
  <c r="AW11" i="6" s="1"/>
  <c r="AX11" i="6" s="1"/>
  <c r="BA11" i="6" s="1"/>
  <c r="A11" i="6"/>
  <c r="AV10" i="6"/>
  <c r="AK10" i="6"/>
  <c r="AB10" i="6"/>
  <c r="R10" i="6"/>
  <c r="A10" i="6"/>
  <c r="AV9" i="6"/>
  <c r="AK9" i="6"/>
  <c r="AB9" i="6"/>
  <c r="R9" i="6"/>
  <c r="AW9" i="6" s="1"/>
  <c r="AX9" i="6" s="1"/>
  <c r="A9" i="6"/>
  <c r="AV8" i="6"/>
  <c r="AK8" i="6"/>
  <c r="AB8" i="6"/>
  <c r="R8" i="6"/>
  <c r="A8" i="6"/>
  <c r="AV7" i="6"/>
  <c r="AK7" i="6"/>
  <c r="AB7" i="6"/>
  <c r="R7" i="6"/>
  <c r="AW7" i="6" s="1"/>
  <c r="AX7" i="6" s="1"/>
  <c r="A7" i="6"/>
  <c r="AV6" i="6"/>
  <c r="AK6" i="6"/>
  <c r="AB6" i="6"/>
  <c r="R6" i="6"/>
  <c r="A6" i="6"/>
  <c r="AV5" i="6"/>
  <c r="AK5" i="6"/>
  <c r="AB5" i="6"/>
  <c r="U5" i="6"/>
  <c r="Y5" i="6" s="1"/>
  <c r="R5" i="6"/>
  <c r="AW5" i="6" s="1"/>
  <c r="AX5" i="6" s="1"/>
  <c r="M5" i="6"/>
  <c r="M33" i="6" s="1"/>
  <c r="A5" i="6"/>
  <c r="C3" i="6"/>
  <c r="D3" i="6" s="1"/>
  <c r="E3" i="6" s="1"/>
  <c r="F3" i="6" s="1"/>
  <c r="G3" i="6" s="1"/>
  <c r="H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B3" i="6"/>
  <c r="AR33" i="5"/>
  <c r="AO33" i="5"/>
  <c r="Y33" i="5"/>
  <c r="AW32" i="5"/>
  <c r="R32" i="5"/>
  <c r="R33" i="5" s="1"/>
  <c r="Q32" i="5"/>
  <c r="Q33" i="5" s="1"/>
  <c r="K32" i="5"/>
  <c r="S32" i="5" s="1"/>
  <c r="A32" i="5"/>
  <c r="AW31" i="5"/>
  <c r="AC31" i="5"/>
  <c r="S31" i="5"/>
  <c r="V31" i="5" s="1"/>
  <c r="Z31" i="5" s="1"/>
  <c r="A31" i="5"/>
  <c r="AW30" i="5"/>
  <c r="AC30" i="5"/>
  <c r="S30" i="5"/>
  <c r="N30" i="5"/>
  <c r="N33" i="5" s="1"/>
  <c r="A30" i="5"/>
  <c r="AW29" i="5"/>
  <c r="AC29" i="5"/>
  <c r="S29" i="5"/>
  <c r="V29" i="5" s="1"/>
  <c r="Z29" i="5" s="1"/>
  <c r="A29" i="5"/>
  <c r="AW28" i="5"/>
  <c r="AC28" i="5"/>
  <c r="S28" i="5"/>
  <c r="AX28" i="5" s="1"/>
  <c r="A28" i="5"/>
  <c r="AW27" i="5"/>
  <c r="AC27" i="5"/>
  <c r="S27" i="5"/>
  <c r="AX27" i="5" s="1"/>
  <c r="A27" i="5"/>
  <c r="AW26" i="5"/>
  <c r="AL26" i="5"/>
  <c r="AC26" i="5"/>
  <c r="S26" i="5"/>
  <c r="A26" i="5"/>
  <c r="AW25" i="5"/>
  <c r="AL25" i="5"/>
  <c r="AC25" i="5"/>
  <c r="S25" i="5"/>
  <c r="AX25" i="5" s="1"/>
  <c r="A25" i="5"/>
  <c r="AW24" i="5"/>
  <c r="AL24" i="5"/>
  <c r="AC24" i="5"/>
  <c r="S24" i="5"/>
  <c r="A24" i="5"/>
  <c r="AW23" i="5"/>
  <c r="AL23" i="5"/>
  <c r="AC23" i="5"/>
  <c r="S23" i="5"/>
  <c r="V23" i="5" s="1"/>
  <c r="Z23" i="5" s="1"/>
  <c r="A23" i="5"/>
  <c r="AW22" i="5"/>
  <c r="AL22" i="5"/>
  <c r="AC22" i="5"/>
  <c r="S22" i="5"/>
  <c r="A22" i="5"/>
  <c r="AW21" i="5"/>
  <c r="AC21" i="5"/>
  <c r="S21" i="5"/>
  <c r="V21" i="5" s="1"/>
  <c r="Z21" i="5" s="1"/>
  <c r="A21" i="5"/>
  <c r="AW20" i="5"/>
  <c r="AL20" i="5"/>
  <c r="AC20" i="5"/>
  <c r="S20" i="5"/>
  <c r="AX20" i="5" s="1"/>
  <c r="A20" i="5"/>
  <c r="AW19" i="5"/>
  <c r="AL19" i="5"/>
  <c r="AC19" i="5"/>
  <c r="S19" i="5"/>
  <c r="AX19" i="5" s="1"/>
  <c r="AY19" i="5" s="1"/>
  <c r="BD19" i="5" s="1"/>
  <c r="A19" i="5"/>
  <c r="AW18" i="5"/>
  <c r="AL18" i="5"/>
  <c r="AF18" i="5"/>
  <c r="AF33" i="5" s="1"/>
  <c r="AC18" i="5"/>
  <c r="S18" i="5"/>
  <c r="V18" i="5" s="1"/>
  <c r="Z18" i="5" s="1"/>
  <c r="A18" i="5"/>
  <c r="AW17" i="5"/>
  <c r="AL17" i="5"/>
  <c r="AC17" i="5"/>
  <c r="S17" i="5"/>
  <c r="AX17" i="5" s="1"/>
  <c r="A17" i="5"/>
  <c r="AW16" i="5"/>
  <c r="AL16" i="5"/>
  <c r="AC16" i="5"/>
  <c r="S16" i="5"/>
  <c r="A16" i="5"/>
  <c r="AW15" i="5"/>
  <c r="AL15" i="5"/>
  <c r="AC15" i="5"/>
  <c r="S15" i="5"/>
  <c r="AX15" i="5" s="1"/>
  <c r="A15" i="5"/>
  <c r="AW14" i="5"/>
  <c r="AC14" i="5"/>
  <c r="S14" i="5"/>
  <c r="AX14" i="5" s="1"/>
  <c r="A14" i="5"/>
  <c r="AW13" i="5"/>
  <c r="AC13" i="5"/>
  <c r="S13" i="5"/>
  <c r="V13" i="5" s="1"/>
  <c r="Z13" i="5" s="1"/>
  <c r="A13" i="5"/>
  <c r="AW12" i="5"/>
  <c r="AC12" i="5"/>
  <c r="S12" i="5"/>
  <c r="AX12" i="5" s="1"/>
  <c r="A12" i="5"/>
  <c r="AW11" i="5"/>
  <c r="AC11" i="5"/>
  <c r="S11" i="5"/>
  <c r="V11" i="5" s="1"/>
  <c r="Z11" i="5" s="1"/>
  <c r="A11" i="5"/>
  <c r="AW10" i="5"/>
  <c r="AL10" i="5"/>
  <c r="AC10" i="5"/>
  <c r="S10" i="5"/>
  <c r="A10" i="5"/>
  <c r="AW9" i="5"/>
  <c r="AL9" i="5"/>
  <c r="AC9" i="5"/>
  <c r="S9" i="5"/>
  <c r="V9" i="5" s="1"/>
  <c r="Z9" i="5" s="1"/>
  <c r="A9" i="5"/>
  <c r="AW8" i="5"/>
  <c r="AL8" i="5"/>
  <c r="AC8" i="5"/>
  <c r="S8" i="5"/>
  <c r="A8" i="5"/>
  <c r="AW7" i="5"/>
  <c r="AL7" i="5"/>
  <c r="AC7" i="5"/>
  <c r="S7" i="5"/>
  <c r="A7" i="5"/>
  <c r="AW6" i="5"/>
  <c r="AL6" i="5"/>
  <c r="AC6" i="5"/>
  <c r="S6" i="5"/>
  <c r="A6" i="5"/>
  <c r="AW5" i="5"/>
  <c r="AL5" i="5"/>
  <c r="AC5" i="5"/>
  <c r="S5" i="5"/>
  <c r="A5" i="5"/>
  <c r="B3" i="5"/>
  <c r="C3" i="5" s="1"/>
  <c r="D3" i="5" s="1"/>
  <c r="E3" i="5" s="1"/>
  <c r="F3" i="5" s="1"/>
  <c r="G3" i="5" s="1"/>
  <c r="H3" i="5" s="1"/>
  <c r="I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R35" i="4"/>
  <c r="AO35" i="4"/>
  <c r="Y35" i="4"/>
  <c r="R34" i="4"/>
  <c r="Q34" i="4"/>
  <c r="K34" i="4"/>
  <c r="AC34" i="4" s="1"/>
  <c r="A34" i="4"/>
  <c r="AC33" i="4"/>
  <c r="S33" i="4"/>
  <c r="V33" i="4" s="1"/>
  <c r="Z33" i="4" s="1"/>
  <c r="A33" i="4"/>
  <c r="AC32" i="4"/>
  <c r="S32" i="4"/>
  <c r="N32" i="4"/>
  <c r="A32" i="4"/>
  <c r="AC31" i="4"/>
  <c r="S31" i="4"/>
  <c r="V31" i="4" s="1"/>
  <c r="Z31" i="4" s="1"/>
  <c r="A31" i="4"/>
  <c r="A30" i="4"/>
  <c r="AX29" i="4"/>
  <c r="AY29" i="4" s="1"/>
  <c r="A29" i="4"/>
  <c r="A28" i="4"/>
  <c r="AX27" i="4"/>
  <c r="AY27" i="4" s="1"/>
  <c r="A27" i="4"/>
  <c r="AX26" i="4"/>
  <c r="A26" i="4"/>
  <c r="AX25" i="4"/>
  <c r="AY25" i="4" s="1"/>
  <c r="A25" i="4"/>
  <c r="AX24" i="4"/>
  <c r="A24" i="4"/>
  <c r="AX23" i="4"/>
  <c r="AY23" i="4" s="1"/>
  <c r="A23" i="4"/>
  <c r="A22" i="4"/>
  <c r="AX21" i="4"/>
  <c r="A21" i="4"/>
  <c r="A20" i="4"/>
  <c r="AF35" i="4"/>
  <c r="A19" i="4"/>
  <c r="A18" i="4"/>
  <c r="A17" i="4"/>
  <c r="A16" i="4"/>
  <c r="A15" i="4"/>
  <c r="A14" i="4"/>
  <c r="A13" i="4"/>
  <c r="A12" i="4"/>
  <c r="A11" i="4"/>
  <c r="A10" i="4"/>
  <c r="AX9" i="4"/>
  <c r="AY9" i="4" s="1"/>
  <c r="A9" i="4"/>
  <c r="A8" i="4"/>
  <c r="A7" i="4"/>
  <c r="A6" i="4"/>
  <c r="A5" i="4"/>
  <c r="AQ34" i="3"/>
  <c r="AN34" i="3"/>
  <c r="X34" i="3"/>
  <c r="Q34" i="3"/>
  <c r="P34" i="3"/>
  <c r="AV33" i="3"/>
  <c r="AB33" i="3"/>
  <c r="R33" i="3"/>
  <c r="U33" i="3" s="1"/>
  <c r="Y33" i="3" s="1"/>
  <c r="A33" i="3"/>
  <c r="AV32" i="3"/>
  <c r="AB32" i="3"/>
  <c r="U32" i="3"/>
  <c r="R32" i="3"/>
  <c r="M32" i="3"/>
  <c r="A32" i="3"/>
  <c r="AV31" i="3"/>
  <c r="AB31" i="3"/>
  <c r="U31" i="3"/>
  <c r="Y31" i="3" s="1"/>
  <c r="R31" i="3"/>
  <c r="AW31" i="3" s="1"/>
  <c r="AX31" i="3" s="1"/>
  <c r="A31" i="3"/>
  <c r="AV30" i="3"/>
  <c r="A30" i="3"/>
  <c r="AV29" i="3"/>
  <c r="J34" i="3"/>
  <c r="A29" i="3"/>
  <c r="AV28" i="3"/>
  <c r="A28" i="3"/>
  <c r="AV27" i="3"/>
  <c r="A27" i="3"/>
  <c r="AV26" i="3"/>
  <c r="A26" i="3"/>
  <c r="AV25" i="3"/>
  <c r="A25" i="3"/>
  <c r="AV24" i="3"/>
  <c r="A24" i="3"/>
  <c r="AV23" i="3"/>
  <c r="A23" i="3"/>
  <c r="AV22" i="3"/>
  <c r="AW22" i="3"/>
  <c r="A22" i="3"/>
  <c r="AW21" i="3"/>
  <c r="AX21" i="3" s="1"/>
  <c r="BA21" i="3" s="1"/>
  <c r="AV21" i="3"/>
  <c r="A21" i="3"/>
  <c r="AW20" i="3"/>
  <c r="AX20" i="3" s="1"/>
  <c r="BA20" i="3" s="1"/>
  <c r="AV20" i="3"/>
  <c r="A20" i="3"/>
  <c r="AV19" i="3"/>
  <c r="AE34" i="3"/>
  <c r="A19" i="3"/>
  <c r="AV18" i="3"/>
  <c r="AW18" i="3"/>
  <c r="AX18" i="3" s="1"/>
  <c r="A18" i="3"/>
  <c r="AW17" i="3"/>
  <c r="AV17" i="3"/>
  <c r="A17" i="3"/>
  <c r="AW16" i="3"/>
  <c r="AV16" i="3"/>
  <c r="A16" i="3"/>
  <c r="AW15" i="3"/>
  <c r="AX15" i="3" s="1"/>
  <c r="AY15" i="3" s="1"/>
  <c r="AV15" i="3"/>
  <c r="A15" i="3"/>
  <c r="AV14" i="3"/>
  <c r="A14" i="3"/>
  <c r="AV13" i="3"/>
  <c r="AW13" i="3"/>
  <c r="AX13" i="3" s="1"/>
  <c r="A13" i="3"/>
  <c r="AW12" i="3"/>
  <c r="AV12" i="3"/>
  <c r="A12" i="3"/>
  <c r="AV11" i="3"/>
  <c r="A11" i="3"/>
  <c r="AW10" i="3"/>
  <c r="AX10" i="3" s="1"/>
  <c r="AV10" i="3"/>
  <c r="A10" i="3"/>
  <c r="AW9" i="3"/>
  <c r="AV9" i="3"/>
  <c r="A9" i="3"/>
  <c r="AW8" i="3"/>
  <c r="AV8" i="3"/>
  <c r="A8" i="3"/>
  <c r="AW7" i="3"/>
  <c r="AV7" i="3"/>
  <c r="A7" i="3"/>
  <c r="AW6" i="3"/>
  <c r="AV6" i="3"/>
  <c r="A6" i="3"/>
  <c r="AW5" i="3"/>
  <c r="AV5" i="3"/>
  <c r="A5" i="3"/>
  <c r="AR34" i="2"/>
  <c r="AO34" i="2"/>
  <c r="Y34" i="2"/>
  <c r="R34" i="2"/>
  <c r="Q34" i="2"/>
  <c r="K34" i="2"/>
  <c r="AW33" i="2"/>
  <c r="AC33" i="2"/>
  <c r="S33" i="2"/>
  <c r="AX33" i="2" s="1"/>
  <c r="A33" i="2"/>
  <c r="AW32" i="2"/>
  <c r="AC32" i="2"/>
  <c r="S32" i="2"/>
  <c r="V32" i="2" s="1"/>
  <c r="Z32" i="2" s="1"/>
  <c r="N32" i="2"/>
  <c r="N34" i="2" s="1"/>
  <c r="A32" i="2"/>
  <c r="AW31" i="2"/>
  <c r="AC31" i="2"/>
  <c r="S31" i="2"/>
  <c r="V31" i="2" s="1"/>
  <c r="Z31" i="2" s="1"/>
  <c r="A31" i="2"/>
  <c r="AW30" i="2"/>
  <c r="AC30" i="2"/>
  <c r="S30" i="2"/>
  <c r="A30" i="2"/>
  <c r="AW29" i="2"/>
  <c r="AL29" i="2"/>
  <c r="AC29" i="2"/>
  <c r="S29" i="2"/>
  <c r="V29" i="2" s="1"/>
  <c r="Z29" i="2" s="1"/>
  <c r="A29" i="2"/>
  <c r="AW28" i="2"/>
  <c r="AL28" i="2"/>
  <c r="AC28" i="2"/>
  <c r="S28" i="2"/>
  <c r="AX28" i="2" s="1"/>
  <c r="A28" i="2"/>
  <c r="AX27" i="2"/>
  <c r="AY27" i="2" s="1"/>
  <c r="AW27" i="2"/>
  <c r="AL27" i="2"/>
  <c r="AC27" i="2"/>
  <c r="V27" i="2"/>
  <c r="Z27" i="2" s="1"/>
  <c r="S27" i="2"/>
  <c r="A27" i="2"/>
  <c r="AW26" i="2"/>
  <c r="AL26" i="2"/>
  <c r="AC26" i="2"/>
  <c r="S26" i="2"/>
  <c r="AX26" i="2" s="1"/>
  <c r="A26" i="2"/>
  <c r="AX25" i="2"/>
  <c r="AY25" i="2" s="1"/>
  <c r="AW25" i="2"/>
  <c r="AL25" i="2"/>
  <c r="AC25" i="2"/>
  <c r="V25" i="2"/>
  <c r="Z25" i="2" s="1"/>
  <c r="S25" i="2"/>
  <c r="A25" i="2"/>
  <c r="AW24" i="2"/>
  <c r="AL24" i="2"/>
  <c r="AC24" i="2"/>
  <c r="S24" i="2"/>
  <c r="V24" i="2" s="1"/>
  <c r="Z24" i="2" s="1"/>
  <c r="A24" i="2"/>
  <c r="AW23" i="2"/>
  <c r="AL23" i="2"/>
  <c r="AC23" i="2"/>
  <c r="S23" i="2"/>
  <c r="V23" i="2" s="1"/>
  <c r="Z23" i="2" s="1"/>
  <c r="A23" i="2"/>
  <c r="AW22" i="2"/>
  <c r="AC22" i="2"/>
  <c r="S22" i="2"/>
  <c r="V22" i="2" s="1"/>
  <c r="Z22" i="2" s="1"/>
  <c r="A22" i="2"/>
  <c r="AW21" i="2"/>
  <c r="AL21" i="2"/>
  <c r="AC21" i="2"/>
  <c r="V21" i="2"/>
  <c r="Z21" i="2" s="1"/>
  <c r="S21" i="2"/>
  <c r="AX21" i="2" s="1"/>
  <c r="AY21" i="2" s="1"/>
  <c r="A21" i="2"/>
  <c r="AW20" i="2"/>
  <c r="AL20" i="2"/>
  <c r="AC20" i="2"/>
  <c r="S20" i="2"/>
  <c r="A20" i="2"/>
  <c r="AX19" i="2"/>
  <c r="AW19" i="2"/>
  <c r="AL19" i="2"/>
  <c r="AF19" i="2"/>
  <c r="AF34" i="2" s="1"/>
  <c r="AC19" i="2"/>
  <c r="V19" i="2"/>
  <c r="Z19" i="2" s="1"/>
  <c r="S19" i="2"/>
  <c r="A19" i="2"/>
  <c r="AW18" i="2"/>
  <c r="AC18" i="2"/>
  <c r="S18" i="2"/>
  <c r="V18" i="2" s="1"/>
  <c r="Z18" i="2" s="1"/>
  <c r="A18" i="2"/>
  <c r="AW17" i="2"/>
  <c r="AL17" i="2"/>
  <c r="AC17" i="2"/>
  <c r="S17" i="2"/>
  <c r="AX17" i="2" s="1"/>
  <c r="AY17" i="2" s="1"/>
  <c r="A17" i="2"/>
  <c r="AW16" i="2"/>
  <c r="AL16" i="2"/>
  <c r="AC16" i="2"/>
  <c r="S16" i="2"/>
  <c r="A16" i="2"/>
  <c r="AW15" i="2"/>
  <c r="AL15" i="2"/>
  <c r="AC15" i="2"/>
  <c r="S15" i="2"/>
  <c r="V15" i="2" s="1"/>
  <c r="Z15" i="2" s="1"/>
  <c r="A15" i="2"/>
  <c r="AW14" i="2"/>
  <c r="AC14" i="2"/>
  <c r="V14" i="2"/>
  <c r="Z14" i="2" s="1"/>
  <c r="S14" i="2"/>
  <c r="AX14" i="2" s="1"/>
  <c r="A14" i="2"/>
  <c r="AW13" i="2"/>
  <c r="AC13" i="2"/>
  <c r="S13" i="2"/>
  <c r="V13" i="2" s="1"/>
  <c r="Z13" i="2" s="1"/>
  <c r="A13" i="2"/>
  <c r="AW12" i="2"/>
  <c r="AC12" i="2"/>
  <c r="S12" i="2"/>
  <c r="V12" i="2" s="1"/>
  <c r="Z12" i="2" s="1"/>
  <c r="A12" i="2"/>
  <c r="AW11" i="2"/>
  <c r="AC11" i="2"/>
  <c r="V11" i="2"/>
  <c r="Z11" i="2" s="1"/>
  <c r="S11" i="2"/>
  <c r="AX11" i="2" s="1"/>
  <c r="AY11" i="2" s="1"/>
  <c r="BD11" i="2" s="1"/>
  <c r="A11" i="2"/>
  <c r="AW10" i="2"/>
  <c r="AL10" i="2"/>
  <c r="AC10" i="2"/>
  <c r="S10" i="2"/>
  <c r="A10" i="2"/>
  <c r="AW9" i="2"/>
  <c r="AL9" i="2"/>
  <c r="AC9" i="2"/>
  <c r="S9" i="2"/>
  <c r="V9" i="2" s="1"/>
  <c r="Z9" i="2" s="1"/>
  <c r="A9" i="2"/>
  <c r="AW8" i="2"/>
  <c r="AL8" i="2"/>
  <c r="AC8" i="2"/>
  <c r="V8" i="2"/>
  <c r="Z8" i="2" s="1"/>
  <c r="S8" i="2"/>
  <c r="AX8" i="2" s="1"/>
  <c r="AY8" i="2" s="1"/>
  <c r="A8" i="2"/>
  <c r="AW7" i="2"/>
  <c r="AL7" i="2"/>
  <c r="AC7" i="2"/>
  <c r="S7" i="2"/>
  <c r="A7" i="2"/>
  <c r="AW6" i="2"/>
  <c r="AL6" i="2"/>
  <c r="AC6" i="2"/>
  <c r="S6" i="2"/>
  <c r="AX6" i="2" s="1"/>
  <c r="AY6" i="2" s="1"/>
  <c r="A6" i="2"/>
  <c r="AW5" i="2"/>
  <c r="AL5" i="2"/>
  <c r="AC5" i="2"/>
  <c r="S5" i="2"/>
  <c r="A5" i="2"/>
  <c r="B3" i="2"/>
  <c r="C3" i="2" s="1"/>
  <c r="D3" i="2" s="1"/>
  <c r="E3" i="2" s="1"/>
  <c r="F3" i="2" s="1"/>
  <c r="G3" i="2" s="1"/>
  <c r="H3" i="2" s="1"/>
  <c r="I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R34" i="1"/>
  <c r="AO34" i="1"/>
  <c r="Y34" i="1"/>
  <c r="N34" i="1"/>
  <c r="AW33" i="1"/>
  <c r="AC33" i="1"/>
  <c r="S33" i="1"/>
  <c r="AX33" i="1" s="1"/>
  <c r="AY33" i="1" s="1"/>
  <c r="AZ33" i="1" s="1"/>
  <c r="A33" i="1"/>
  <c r="AW32" i="1"/>
  <c r="AC32" i="1"/>
  <c r="S32" i="1"/>
  <c r="AX32" i="1" s="1"/>
  <c r="AY32" i="1" s="1"/>
  <c r="A32" i="1"/>
  <c r="AW31" i="1"/>
  <c r="AC31" i="1"/>
  <c r="S31" i="1"/>
  <c r="V31" i="1" s="1"/>
  <c r="Z31" i="1" s="1"/>
  <c r="A31" i="1"/>
  <c r="AW30" i="1"/>
  <c r="AC30" i="1"/>
  <c r="S30" i="1"/>
  <c r="V30" i="1" s="1"/>
  <c r="Z30" i="1" s="1"/>
  <c r="A30" i="1"/>
  <c r="AW29" i="1"/>
  <c r="R29" i="1"/>
  <c r="R34" i="1" s="1"/>
  <c r="Q29" i="1"/>
  <c r="Q34" i="1" s="1"/>
  <c r="K29" i="1"/>
  <c r="A29" i="1"/>
  <c r="AW28" i="1"/>
  <c r="AL28" i="1"/>
  <c r="AC28" i="1"/>
  <c r="S28" i="1"/>
  <c r="A28" i="1"/>
  <c r="AW27" i="1"/>
  <c r="AL27" i="1"/>
  <c r="AC27" i="1"/>
  <c r="S27" i="1"/>
  <c r="AX27" i="1" s="1"/>
  <c r="A27" i="1"/>
  <c r="AW26" i="1"/>
  <c r="AL26" i="1"/>
  <c r="AC26" i="1"/>
  <c r="S26" i="1"/>
  <c r="A26" i="1"/>
  <c r="AW25" i="1"/>
  <c r="AL25" i="1"/>
  <c r="AC25" i="1"/>
  <c r="S25" i="1"/>
  <c r="V25" i="1" s="1"/>
  <c r="Z25" i="1" s="1"/>
  <c r="A25" i="1"/>
  <c r="AW24" i="1"/>
  <c r="AL24" i="1"/>
  <c r="AC24" i="1"/>
  <c r="S24" i="1"/>
  <c r="A24" i="1"/>
  <c r="AW23" i="1"/>
  <c r="AL23" i="1"/>
  <c r="AC23" i="1"/>
  <c r="S23" i="1"/>
  <c r="AX23" i="1" s="1"/>
  <c r="A23" i="1"/>
  <c r="AW22" i="1"/>
  <c r="S22" i="1"/>
  <c r="AX22" i="1" s="1"/>
  <c r="A22" i="1"/>
  <c r="AW21" i="1"/>
  <c r="AL21" i="1"/>
  <c r="S21" i="1"/>
  <c r="AX21" i="1" s="1"/>
  <c r="A21" i="1"/>
  <c r="AW20" i="1"/>
  <c r="AL20" i="1"/>
  <c r="AC20" i="1"/>
  <c r="S20" i="1"/>
  <c r="V20" i="1" s="1"/>
  <c r="Z20" i="1" s="1"/>
  <c r="A20" i="1"/>
  <c r="AW19" i="1"/>
  <c r="AL19" i="1"/>
  <c r="AF19" i="1"/>
  <c r="AF34" i="1" s="1"/>
  <c r="AC19" i="1"/>
  <c r="S19" i="1"/>
  <c r="V19" i="1" s="1"/>
  <c r="Z19" i="1" s="1"/>
  <c r="A19" i="1"/>
  <c r="AW18" i="1"/>
  <c r="AC18" i="1"/>
  <c r="S18" i="1"/>
  <c r="A18" i="1"/>
  <c r="AW17" i="1"/>
  <c r="AL17" i="1"/>
  <c r="S17" i="1"/>
  <c r="AX17" i="1" s="1"/>
  <c r="A17" i="1"/>
  <c r="AW16" i="1"/>
  <c r="AL16" i="1"/>
  <c r="AC16" i="1"/>
  <c r="S16" i="1"/>
  <c r="A16" i="1"/>
  <c r="AW15" i="1"/>
  <c r="AL15" i="1"/>
  <c r="AC15" i="1"/>
  <c r="S15" i="1"/>
  <c r="V15" i="1" s="1"/>
  <c r="Z15" i="1" s="1"/>
  <c r="A15" i="1"/>
  <c r="AW14" i="1"/>
  <c r="AC14" i="1"/>
  <c r="S14" i="1"/>
  <c r="AX14" i="1" s="1"/>
  <c r="A14" i="1"/>
  <c r="AW13" i="1"/>
  <c r="AC13" i="1"/>
  <c r="S13" i="1"/>
  <c r="V13" i="1" s="1"/>
  <c r="Z13" i="1" s="1"/>
  <c r="A13" i="1"/>
  <c r="AW12" i="1"/>
  <c r="AC12" i="1"/>
  <c r="S12" i="1"/>
  <c r="A12" i="1"/>
  <c r="AW11" i="1"/>
  <c r="AC11" i="1"/>
  <c r="S11" i="1"/>
  <c r="AX11" i="1" s="1"/>
  <c r="AY11" i="1" s="1"/>
  <c r="A11" i="1"/>
  <c r="AW10" i="1"/>
  <c r="AL10" i="1"/>
  <c r="AC10" i="1"/>
  <c r="S10" i="1"/>
  <c r="A10" i="1"/>
  <c r="AW9" i="1"/>
  <c r="AL9" i="1"/>
  <c r="AC9" i="1"/>
  <c r="S9" i="1"/>
  <c r="AX9" i="1" s="1"/>
  <c r="AY9" i="1" s="1"/>
  <c r="A9" i="1"/>
  <c r="AW8" i="1"/>
  <c r="AL8" i="1"/>
  <c r="AC8" i="1"/>
  <c r="S8" i="1"/>
  <c r="V8" i="1" s="1"/>
  <c r="Z8" i="1" s="1"/>
  <c r="A8" i="1"/>
  <c r="AW7" i="1"/>
  <c r="AL7" i="1"/>
  <c r="AC7" i="1"/>
  <c r="S7" i="1"/>
  <c r="A7" i="1"/>
  <c r="AW6" i="1"/>
  <c r="AL6" i="1"/>
  <c r="AC6" i="1"/>
  <c r="S6" i="1"/>
  <c r="AX6" i="1" s="1"/>
  <c r="AY6" i="1" s="1"/>
  <c r="BB6" i="1" s="1"/>
  <c r="A6" i="1"/>
  <c r="AW5" i="1"/>
  <c r="AL5" i="1"/>
  <c r="AC5" i="1"/>
  <c r="S5" i="1"/>
  <c r="A5" i="1"/>
  <c r="B3" i="1"/>
  <c r="C3" i="1" s="1"/>
  <c r="D3" i="1" s="1"/>
  <c r="E3" i="1" s="1"/>
  <c r="F3" i="1" s="1"/>
  <c r="G3" i="1" s="1"/>
  <c r="H3" i="1" s="1"/>
  <c r="I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Y17" i="1" l="1"/>
  <c r="BB17" i="1" s="1"/>
  <c r="AY23" i="1"/>
  <c r="AY27" i="1"/>
  <c r="V33" i="1"/>
  <c r="Z33" i="1" s="1"/>
  <c r="AY21" i="1"/>
  <c r="AZ21" i="1" s="1"/>
  <c r="AY22" i="1"/>
  <c r="BD22" i="1"/>
  <c r="AZ22" i="1"/>
  <c r="V21" i="1"/>
  <c r="Z21" i="1" s="1"/>
  <c r="AX8" i="1"/>
  <c r="AY8" i="1" s="1"/>
  <c r="AX13" i="1"/>
  <c r="AY13" i="1" s="1"/>
  <c r="V23" i="1"/>
  <c r="Z23" i="1" s="1"/>
  <c r="AX30" i="1"/>
  <c r="AY30" i="1" s="1"/>
  <c r="V6" i="1"/>
  <c r="Z6" i="1" s="1"/>
  <c r="V14" i="1"/>
  <c r="Z14" i="1" s="1"/>
  <c r="V27" i="1"/>
  <c r="Z27" i="1" s="1"/>
  <c r="V32" i="1"/>
  <c r="Z32" i="1" s="1"/>
  <c r="AX31" i="1"/>
  <c r="V9" i="1"/>
  <c r="Z9" i="1" s="1"/>
  <c r="V11" i="1"/>
  <c r="Z11" i="1" s="1"/>
  <c r="AY14" i="1"/>
  <c r="AZ14" i="1" s="1"/>
  <c r="BA14" i="1" s="1"/>
  <c r="V17" i="1"/>
  <c r="Z17" i="1" s="1"/>
  <c r="V22" i="1"/>
  <c r="Z22" i="1" s="1"/>
  <c r="AY14" i="2"/>
  <c r="AY28" i="2"/>
  <c r="AZ28" i="2" s="1"/>
  <c r="BA28" i="2" s="1"/>
  <c r="AX22" i="2"/>
  <c r="AY22" i="2" s="1"/>
  <c r="AX23" i="2"/>
  <c r="AY23" i="2" s="1"/>
  <c r="AX29" i="2"/>
  <c r="AY29" i="2" s="1"/>
  <c r="V33" i="2"/>
  <c r="Z33" i="2" s="1"/>
  <c r="V6" i="2"/>
  <c r="Z6" i="2" s="1"/>
  <c r="AX12" i="2"/>
  <c r="AY12" i="2" s="1"/>
  <c r="BD12" i="2" s="1"/>
  <c r="AX24" i="2"/>
  <c r="AY24" i="2" s="1"/>
  <c r="BD24" i="2" s="1"/>
  <c r="AX32" i="2"/>
  <c r="AY32" i="2" s="1"/>
  <c r="AZ32" i="2" s="1"/>
  <c r="BA32" i="2" s="1"/>
  <c r="AX18" i="2"/>
  <c r="AY18" i="2" s="1"/>
  <c r="AX13" i="2"/>
  <c r="V26" i="2"/>
  <c r="Z26" i="2" s="1"/>
  <c r="AX31" i="2"/>
  <c r="AY31" i="2" s="1"/>
  <c r="BD31" i="2" s="1"/>
  <c r="AX7" i="3"/>
  <c r="BA15" i="3"/>
  <c r="BC21" i="3"/>
  <c r="AX8" i="3"/>
  <c r="AX9" i="3"/>
  <c r="AY9" i="3" s="1"/>
  <c r="AZ9" i="3" s="1"/>
  <c r="BC15" i="3"/>
  <c r="AW32" i="3"/>
  <c r="AX32" i="3" s="1"/>
  <c r="BC32" i="3" s="1"/>
  <c r="AX5" i="3"/>
  <c r="AX17" i="3"/>
  <c r="AY21" i="3"/>
  <c r="AX6" i="3"/>
  <c r="AX16" i="3"/>
  <c r="AY24" i="4"/>
  <c r="AZ24" i="4" s="1"/>
  <c r="BA24" i="4" s="1"/>
  <c r="AY26" i="4"/>
  <c r="AZ26" i="4" s="1"/>
  <c r="BA26" i="4" s="1"/>
  <c r="AX32" i="4"/>
  <c r="AY32" i="4" s="1"/>
  <c r="BB32" i="4" s="1"/>
  <c r="AY5" i="4"/>
  <c r="AY21" i="4"/>
  <c r="BD21" i="4" s="1"/>
  <c r="V32" i="4"/>
  <c r="Z32" i="4" s="1"/>
  <c r="AY19" i="4"/>
  <c r="AY17" i="4"/>
  <c r="BD17" i="4" s="1"/>
  <c r="AY15" i="4"/>
  <c r="BB15" i="4" s="1"/>
  <c r="AY13" i="4"/>
  <c r="BB13" i="4" s="1"/>
  <c r="AY7" i="4"/>
  <c r="BD7" i="4" s="1"/>
  <c r="AX31" i="4"/>
  <c r="AY31" i="4" s="1"/>
  <c r="AY15" i="5"/>
  <c r="AY20" i="5"/>
  <c r="BD20" i="5" s="1"/>
  <c r="AY25" i="5"/>
  <c r="AY17" i="5"/>
  <c r="V19" i="5"/>
  <c r="Z19" i="5" s="1"/>
  <c r="AY27" i="5"/>
  <c r="AZ27" i="5" s="1"/>
  <c r="BA27" i="5" s="1"/>
  <c r="U9" i="6"/>
  <c r="Y9" i="6" s="1"/>
  <c r="U14" i="6"/>
  <c r="Y14" i="6" s="1"/>
  <c r="AW17" i="6"/>
  <c r="AX17" i="6" s="1"/>
  <c r="BA17" i="6" s="1"/>
  <c r="AW19" i="6"/>
  <c r="AX19" i="6" s="1"/>
  <c r="AW20" i="6"/>
  <c r="AX20" i="6" s="1"/>
  <c r="BC20" i="6" s="1"/>
  <c r="U23" i="6"/>
  <c r="Y23" i="6" s="1"/>
  <c r="U25" i="6"/>
  <c r="Y25" i="6" s="1"/>
  <c r="U28" i="6"/>
  <c r="Y28" i="6" s="1"/>
  <c r="U7" i="6"/>
  <c r="Y7" i="6" s="1"/>
  <c r="U15" i="6"/>
  <c r="Y15" i="6" s="1"/>
  <c r="AY18" i="8"/>
  <c r="BD18" i="8" s="1"/>
  <c r="AZ18" i="8"/>
  <c r="AY31" i="8"/>
  <c r="AS31" i="8"/>
  <c r="AX7" i="9"/>
  <c r="U19" i="9"/>
  <c r="Y19" i="9" s="1"/>
  <c r="U28" i="9"/>
  <c r="Y28" i="9" s="1"/>
  <c r="AW18" i="9"/>
  <c r="AW5" i="9"/>
  <c r="AX5" i="9" s="1"/>
  <c r="AX9" i="9"/>
  <c r="AY9" i="9" s="1"/>
  <c r="AZ9" i="9" s="1"/>
  <c r="AX14" i="9"/>
  <c r="AY14" i="9" s="1"/>
  <c r="U21" i="9"/>
  <c r="Y21" i="9" s="1"/>
  <c r="U31" i="9"/>
  <c r="Y31" i="9" s="1"/>
  <c r="BC10" i="10"/>
  <c r="BA10" i="10"/>
  <c r="BA6" i="10"/>
  <c r="AY6" i="10"/>
  <c r="BC6" i="10"/>
  <c r="BC8" i="10"/>
  <c r="BA8" i="10"/>
  <c r="AY8" i="10"/>
  <c r="BC22" i="10"/>
  <c r="BA22" i="10"/>
  <c r="U5" i="10"/>
  <c r="U6" i="10"/>
  <c r="Y6" i="10" s="1"/>
  <c r="U8" i="10"/>
  <c r="Y8" i="10" s="1"/>
  <c r="U13" i="10"/>
  <c r="Y13" i="10" s="1"/>
  <c r="AW24" i="10"/>
  <c r="AX24" i="10" s="1"/>
  <c r="U32" i="10"/>
  <c r="Y30" i="10"/>
  <c r="U9" i="10"/>
  <c r="Y9" i="10" s="1"/>
  <c r="U10" i="10"/>
  <c r="Y10" i="10" s="1"/>
  <c r="U16" i="10"/>
  <c r="Y16" i="10" s="1"/>
  <c r="U20" i="10"/>
  <c r="Y20" i="10" s="1"/>
  <c r="U26" i="10"/>
  <c r="Y26" i="10" s="1"/>
  <c r="U27" i="10"/>
  <c r="Y27" i="10" s="1"/>
  <c r="AW30" i="10"/>
  <c r="AX30" i="10" s="1"/>
  <c r="R33" i="10"/>
  <c r="U15" i="10"/>
  <c r="Y15" i="10" s="1"/>
  <c r="U25" i="10"/>
  <c r="Y25" i="10" s="1"/>
  <c r="AW32" i="10"/>
  <c r="AX32" i="10" s="1"/>
  <c r="AZ13" i="11"/>
  <c r="BE16" i="11"/>
  <c r="AY30" i="11"/>
  <c r="AZ30" i="11" s="1"/>
  <c r="BE30" i="11" s="1"/>
  <c r="AZ8" i="11"/>
  <c r="AZ12" i="11"/>
  <c r="AZ15" i="11"/>
  <c r="BA16" i="11"/>
  <c r="BB16" i="11" s="1"/>
  <c r="BD16" i="11" s="1"/>
  <c r="BF16" i="11" s="1"/>
  <c r="AJ16" i="11" s="1"/>
  <c r="AT16" i="11" s="1"/>
  <c r="AU16" i="11" s="1"/>
  <c r="AA30" i="11"/>
  <c r="AZ18" i="11"/>
  <c r="BC18" i="11" s="1"/>
  <c r="AZ19" i="11"/>
  <c r="AZ28" i="11"/>
  <c r="BC28" i="11" s="1"/>
  <c r="AZ29" i="11"/>
  <c r="AY32" i="11"/>
  <c r="AZ32" i="11" s="1"/>
  <c r="AY9" i="12"/>
  <c r="BD9" i="12" s="1"/>
  <c r="AY14" i="12"/>
  <c r="V18" i="12"/>
  <c r="Z18" i="12" s="1"/>
  <c r="V11" i="12"/>
  <c r="Z11" i="12" s="1"/>
  <c r="V31" i="12"/>
  <c r="Z31" i="12" s="1"/>
  <c r="V14" i="12"/>
  <c r="Z14" i="12" s="1"/>
  <c r="AX17" i="12"/>
  <c r="AY17" i="12" s="1"/>
  <c r="BD17" i="12" s="1"/>
  <c r="AX29" i="12"/>
  <c r="AY29" i="12" s="1"/>
  <c r="BB29" i="12" s="1"/>
  <c r="AX32" i="12"/>
  <c r="AY32" i="12" s="1"/>
  <c r="AZ32" i="12" s="1"/>
  <c r="V7" i="12"/>
  <c r="Z7" i="12" s="1"/>
  <c r="V9" i="12"/>
  <c r="Z9" i="12" s="1"/>
  <c r="AY18" i="12"/>
  <c r="BB18" i="12" s="1"/>
  <c r="AX30" i="12"/>
  <c r="AY30" i="12" s="1"/>
  <c r="BB30" i="12" s="1"/>
  <c r="AS9" i="8"/>
  <c r="AT9" i="8" s="1"/>
  <c r="AX12" i="8"/>
  <c r="AY12" i="8" s="1"/>
  <c r="AZ12" i="8" s="1"/>
  <c r="BA12" i="8" s="1"/>
  <c r="AS6" i="15"/>
  <c r="AI33" i="15"/>
  <c r="AS20" i="8"/>
  <c r="AT20" i="8" s="1"/>
  <c r="AX30" i="8"/>
  <c r="AY30" i="8" s="1"/>
  <c r="AZ30" i="8" s="1"/>
  <c r="BA30" i="8" s="1"/>
  <c r="BC29" i="13"/>
  <c r="BE29" i="13" s="1"/>
  <c r="AI29" i="13" s="1"/>
  <c r="AS29" i="13" s="1"/>
  <c r="AT29" i="13" s="1"/>
  <c r="AX10" i="8"/>
  <c r="AY10" i="8" s="1"/>
  <c r="AX11" i="8"/>
  <c r="BC7" i="13"/>
  <c r="BC22" i="13"/>
  <c r="BC24" i="13"/>
  <c r="BE24" i="13" s="1"/>
  <c r="AI24" i="13" s="1"/>
  <c r="AS24" i="13" s="1"/>
  <c r="AT24" i="13" s="1"/>
  <c r="BC17" i="13"/>
  <c r="BE17" i="13" s="1"/>
  <c r="AI17" i="13" s="1"/>
  <c r="AS17" i="13" s="1"/>
  <c r="AT17" i="13" s="1"/>
  <c r="BC26" i="13"/>
  <c r="BE26" i="13" s="1"/>
  <c r="AI26" i="13" s="1"/>
  <c r="AS26" i="13" s="1"/>
  <c r="AT26" i="13" s="1"/>
  <c r="BC32" i="13"/>
  <c r="BE32" i="13" s="1"/>
  <c r="AI32" i="13" s="1"/>
  <c r="AS32" i="13" s="1"/>
  <c r="AT32" i="13" s="1"/>
  <c r="BC19" i="13"/>
  <c r="BE19" i="13" s="1"/>
  <c r="AI19" i="13" s="1"/>
  <c r="AS19" i="13" s="1"/>
  <c r="AT19" i="13" s="1"/>
  <c r="BC11" i="13"/>
  <c r="BE11" i="13" s="1"/>
  <c r="AI11" i="13" s="1"/>
  <c r="AS11" i="13" s="1"/>
  <c r="AT11" i="13" s="1"/>
  <c r="BE7" i="13"/>
  <c r="AI7" i="13" s="1"/>
  <c r="AS7" i="13" s="1"/>
  <c r="AT7" i="13" s="1"/>
  <c r="BE22" i="13"/>
  <c r="AI22" i="13" s="1"/>
  <c r="AS22" i="13" s="1"/>
  <c r="AT22" i="13" s="1"/>
  <c r="BC9" i="13"/>
  <c r="BE9" i="13" s="1"/>
  <c r="AI9" i="13" s="1"/>
  <c r="AS9" i="13" s="1"/>
  <c r="AT9" i="13" s="1"/>
  <c r="Z33" i="13"/>
  <c r="BC21" i="13"/>
  <c r="BE21" i="13" s="1"/>
  <c r="AI21" i="13" s="1"/>
  <c r="AS21" i="13" s="1"/>
  <c r="AT21" i="13" s="1"/>
  <c r="BC5" i="13"/>
  <c r="BE5" i="13" s="1"/>
  <c r="AI5" i="13" s="1"/>
  <c r="BC15" i="13"/>
  <c r="BE15" i="13" s="1"/>
  <c r="AI15" i="13" s="1"/>
  <c r="AS15" i="13" s="1"/>
  <c r="AT15" i="13" s="1"/>
  <c r="AS14" i="8"/>
  <c r="AT14" i="8" s="1"/>
  <c r="AS12" i="8"/>
  <c r="AX22" i="8"/>
  <c r="AY22" i="8" s="1"/>
  <c r="AX24" i="8"/>
  <c r="AY24" i="8" s="1"/>
  <c r="AX26" i="8"/>
  <c r="AY26" i="8" s="1"/>
  <c r="Z27" i="8"/>
  <c r="AS32" i="8"/>
  <c r="AX11" i="9"/>
  <c r="BC11" i="9" s="1"/>
  <c r="AW12" i="9"/>
  <c r="AX12" i="9" s="1"/>
  <c r="BC12" i="9" s="1"/>
  <c r="AX18" i="9"/>
  <c r="AY18" i="9" s="1"/>
  <c r="AY19" i="9"/>
  <c r="AZ19" i="9" s="1"/>
  <c r="AX28" i="9"/>
  <c r="AW29" i="9"/>
  <c r="AX29" i="9" s="1"/>
  <c r="AY29" i="9" s="1"/>
  <c r="U32" i="9"/>
  <c r="Y32" i="9" s="1"/>
  <c r="BA19" i="9"/>
  <c r="U9" i="9"/>
  <c r="Y9" i="9" s="1"/>
  <c r="AW13" i="9"/>
  <c r="AX13" i="9" s="1"/>
  <c r="BA20" i="9"/>
  <c r="AW30" i="9"/>
  <c r="AX30" i="9" s="1"/>
  <c r="BA30" i="9" s="1"/>
  <c r="AX6" i="8"/>
  <c r="AY6" i="8" s="1"/>
  <c r="BB6" i="8" s="1"/>
  <c r="V11" i="8"/>
  <c r="Z11" i="8" s="1"/>
  <c r="Z12" i="8"/>
  <c r="AS13" i="8"/>
  <c r="AS15" i="8"/>
  <c r="AS16" i="8"/>
  <c r="AS17" i="8"/>
  <c r="AS18" i="8"/>
  <c r="AT18" i="8" s="1"/>
  <c r="Z32" i="8"/>
  <c r="AS33" i="8"/>
  <c r="AS6" i="8"/>
  <c r="AS8" i="8"/>
  <c r="AS30" i="8"/>
  <c r="AS22" i="8"/>
  <c r="AS24" i="8"/>
  <c r="AS26" i="8"/>
  <c r="AS27" i="8"/>
  <c r="AS28" i="8"/>
  <c r="AT28" i="8" s="1"/>
  <c r="Z30" i="8"/>
  <c r="AY12" i="5"/>
  <c r="BD12" i="5" s="1"/>
  <c r="AY14" i="5"/>
  <c r="BD14" i="5" s="1"/>
  <c r="V20" i="5"/>
  <c r="Z20" i="5" s="1"/>
  <c r="V27" i="5"/>
  <c r="Z27" i="5" s="1"/>
  <c r="AY28" i="5"/>
  <c r="AZ28" i="5" s="1"/>
  <c r="BA28" i="5" s="1"/>
  <c r="AX31" i="5"/>
  <c r="AY31" i="5" s="1"/>
  <c r="AZ31" i="5" s="1"/>
  <c r="BA31" i="5" s="1"/>
  <c r="AX11" i="5"/>
  <c r="AY11" i="5" s="1"/>
  <c r="AZ11" i="5" s="1"/>
  <c r="V12" i="5"/>
  <c r="Z12" i="5" s="1"/>
  <c r="AX18" i="5"/>
  <c r="AY18" i="5" s="1"/>
  <c r="BB18" i="5" s="1"/>
  <c r="V32" i="5"/>
  <c r="Z32" i="5" s="1"/>
  <c r="AX9" i="5"/>
  <c r="AY9" i="5" s="1"/>
  <c r="BD9" i="5" s="1"/>
  <c r="V15" i="5"/>
  <c r="Z15" i="5" s="1"/>
  <c r="V17" i="5"/>
  <c r="Z17" i="5" s="1"/>
  <c r="AX23" i="5"/>
  <c r="AY23" i="5" s="1"/>
  <c r="BB23" i="5" s="1"/>
  <c r="V25" i="5"/>
  <c r="Z25" i="5" s="1"/>
  <c r="V28" i="5"/>
  <c r="Z28" i="5" s="1"/>
  <c r="AX30" i="5"/>
  <c r="AY30" i="5" s="1"/>
  <c r="BD30" i="5" s="1"/>
  <c r="V14" i="5"/>
  <c r="Z14" i="5" s="1"/>
  <c r="AX29" i="5"/>
  <c r="AY29" i="5" s="1"/>
  <c r="V30" i="5"/>
  <c r="Z30" i="5" s="1"/>
  <c r="AS19" i="8"/>
  <c r="AX8" i="8"/>
  <c r="AY8" i="8" s="1"/>
  <c r="AS11" i="8"/>
  <c r="Z33" i="8"/>
  <c r="AR34" i="8"/>
  <c r="Z8" i="8"/>
  <c r="AX32" i="8"/>
  <c r="AY32" i="8" s="1"/>
  <c r="AZ9" i="4"/>
  <c r="BA9" i="4" s="1"/>
  <c r="BD9" i="4"/>
  <c r="BB9" i="4"/>
  <c r="BB23" i="4"/>
  <c r="BD23" i="4"/>
  <c r="AZ23" i="4"/>
  <c r="BA23" i="4" s="1"/>
  <c r="BB24" i="4"/>
  <c r="BD24" i="4"/>
  <c r="BB25" i="4"/>
  <c r="AZ25" i="4"/>
  <c r="BA25" i="4" s="1"/>
  <c r="BD25" i="4"/>
  <c r="BD26" i="4"/>
  <c r="BB26" i="4"/>
  <c r="BB27" i="4"/>
  <c r="BD27" i="4"/>
  <c r="AZ27" i="4"/>
  <c r="BA27" i="4" s="1"/>
  <c r="BB29" i="4"/>
  <c r="AZ29" i="4"/>
  <c r="BA29" i="4" s="1"/>
  <c r="BD29" i="4"/>
  <c r="BB21" i="4"/>
  <c r="AZ21" i="4"/>
  <c r="BA21" i="4" s="1"/>
  <c r="AX10" i="4"/>
  <c r="AY10" i="4" s="1"/>
  <c r="AX11" i="4"/>
  <c r="AY11" i="4" s="1"/>
  <c r="AX18" i="4"/>
  <c r="AY18" i="4" s="1"/>
  <c r="AX30" i="4"/>
  <c r="AY30" i="4" s="1"/>
  <c r="BD32" i="4"/>
  <c r="AZ5" i="4"/>
  <c r="BA5" i="4" s="1"/>
  <c r="BD5" i="4"/>
  <c r="AX22" i="4"/>
  <c r="AY22" i="4" s="1"/>
  <c r="AZ17" i="4"/>
  <c r="BA17" i="4" s="1"/>
  <c r="AX8" i="4"/>
  <c r="AY8" i="4" s="1"/>
  <c r="AX12" i="4"/>
  <c r="AY12" i="4" s="1"/>
  <c r="AX16" i="4"/>
  <c r="AY16" i="4" s="1"/>
  <c r="AX33" i="4"/>
  <c r="AY33" i="4" s="1"/>
  <c r="AZ13" i="4"/>
  <c r="BA13" i="4" s="1"/>
  <c r="BC13" i="4" s="1"/>
  <c r="BB5" i="4"/>
  <c r="AX20" i="4"/>
  <c r="AY20" i="4" s="1"/>
  <c r="BB17" i="4"/>
  <c r="R35" i="4"/>
  <c r="AX14" i="4"/>
  <c r="AY14" i="4" s="1"/>
  <c r="AX6" i="4"/>
  <c r="AY6" i="4" s="1"/>
  <c r="S34" i="4"/>
  <c r="AX34" i="4" s="1"/>
  <c r="AY34" i="4" s="1"/>
  <c r="AZ9" i="12"/>
  <c r="BA9" i="12" s="1"/>
  <c r="BB9" i="12"/>
  <c r="S33" i="12"/>
  <c r="AX5" i="12"/>
  <c r="AY5" i="12" s="1"/>
  <c r="V5" i="12"/>
  <c r="AX8" i="12"/>
  <c r="AY8" i="12" s="1"/>
  <c r="V8" i="12"/>
  <c r="Z8" i="12" s="1"/>
  <c r="AX12" i="12"/>
  <c r="AY12" i="12" s="1"/>
  <c r="AZ18" i="12"/>
  <c r="BA18" i="12" s="1"/>
  <c r="AX20" i="12"/>
  <c r="AY20" i="12" s="1"/>
  <c r="V20" i="12"/>
  <c r="Z20" i="12" s="1"/>
  <c r="BB11" i="12"/>
  <c r="BB14" i="12"/>
  <c r="BD14" i="12"/>
  <c r="AZ17" i="12"/>
  <c r="BA17" i="12" s="1"/>
  <c r="AX19" i="12"/>
  <c r="AY19" i="12" s="1"/>
  <c r="V19" i="12"/>
  <c r="Z19" i="12" s="1"/>
  <c r="AZ30" i="12"/>
  <c r="BA30" i="12" s="1"/>
  <c r="BA32" i="12"/>
  <c r="BD32" i="12"/>
  <c r="AC33" i="12"/>
  <c r="AX10" i="12"/>
  <c r="AY10" i="12" s="1"/>
  <c r="V10" i="12"/>
  <c r="Z10" i="12" s="1"/>
  <c r="AX15" i="12"/>
  <c r="AY15" i="12" s="1"/>
  <c r="AY28" i="12"/>
  <c r="AX6" i="12"/>
  <c r="AY6" i="12" s="1"/>
  <c r="V6" i="12"/>
  <c r="Z6" i="12" s="1"/>
  <c r="BD7" i="12"/>
  <c r="AZ7" i="12"/>
  <c r="BA7" i="12" s="1"/>
  <c r="BC7" i="12" s="1"/>
  <c r="AZ11" i="12"/>
  <c r="BA11" i="12" s="1"/>
  <c r="AZ14" i="12"/>
  <c r="BA14" i="12" s="1"/>
  <c r="V21" i="12"/>
  <c r="Z21" i="12" s="1"/>
  <c r="AX21" i="12"/>
  <c r="AY21" i="12" s="1"/>
  <c r="BD29" i="12"/>
  <c r="AL33" i="12"/>
  <c r="AX13" i="12"/>
  <c r="AY13" i="12" s="1"/>
  <c r="AX16" i="12"/>
  <c r="AY16" i="12" s="1"/>
  <c r="V16" i="12"/>
  <c r="Z16" i="12" s="1"/>
  <c r="AX22" i="12"/>
  <c r="AY22" i="12" s="1"/>
  <c r="V22" i="12"/>
  <c r="Z22" i="12" s="1"/>
  <c r="AX23" i="12"/>
  <c r="AY23" i="12" s="1"/>
  <c r="V23" i="12"/>
  <c r="Z23" i="12" s="1"/>
  <c r="AX24" i="12"/>
  <c r="AY24" i="12" s="1"/>
  <c r="V24" i="12"/>
  <c r="Z24" i="12" s="1"/>
  <c r="AX25" i="12"/>
  <c r="AY25" i="12" s="1"/>
  <c r="V25" i="12"/>
  <c r="Z25" i="12" s="1"/>
  <c r="AX26" i="12"/>
  <c r="AY26" i="12" s="1"/>
  <c r="V26" i="12"/>
  <c r="Z26" i="12" s="1"/>
  <c r="BD31" i="12"/>
  <c r="AZ31" i="12"/>
  <c r="BA31" i="12" s="1"/>
  <c r="BB31" i="12"/>
  <c r="AX27" i="12"/>
  <c r="AY27" i="12" s="1"/>
  <c r="V32" i="12"/>
  <c r="Z32" i="12" s="1"/>
  <c r="BE13" i="11"/>
  <c r="BA13" i="11"/>
  <c r="BB13" i="11" s="1"/>
  <c r="BC13" i="11"/>
  <c r="BE17" i="11"/>
  <c r="BA17" i="11"/>
  <c r="BB17" i="11" s="1"/>
  <c r="BC17" i="11"/>
  <c r="BA9" i="11"/>
  <c r="BB9" i="11" s="1"/>
  <c r="AY10" i="11"/>
  <c r="AZ10" i="11" s="1"/>
  <c r="BC11" i="11"/>
  <c r="BE11" i="11"/>
  <c r="BE12" i="11"/>
  <c r="BC12" i="11"/>
  <c r="BA15" i="11"/>
  <c r="BB15" i="11" s="1"/>
  <c r="BE15" i="11"/>
  <c r="AD33" i="11"/>
  <c r="BC8" i="11"/>
  <c r="BA8" i="11"/>
  <c r="BB8" i="11" s="1"/>
  <c r="BC9" i="11"/>
  <c r="BA12" i="11"/>
  <c r="BB12" i="11" s="1"/>
  <c r="BC15" i="11"/>
  <c r="BE18" i="11"/>
  <c r="BA18" i="11"/>
  <c r="BB18" i="11" s="1"/>
  <c r="BD18" i="11" s="1"/>
  <c r="BC30" i="11"/>
  <c r="BE32" i="11"/>
  <c r="BC32" i="11"/>
  <c r="BA32" i="11"/>
  <c r="BB32" i="11" s="1"/>
  <c r="BE9" i="11"/>
  <c r="BA11" i="11"/>
  <c r="BB11" i="11" s="1"/>
  <c r="AY14" i="11"/>
  <c r="AZ14" i="11" s="1"/>
  <c r="BE28" i="11"/>
  <c r="T33" i="11"/>
  <c r="AY5" i="11"/>
  <c r="AZ5" i="11" s="1"/>
  <c r="AY6" i="11"/>
  <c r="AZ6" i="11" s="1"/>
  <c r="AY7" i="11"/>
  <c r="AZ7" i="11" s="1"/>
  <c r="BE8" i="11"/>
  <c r="BA20" i="11"/>
  <c r="BB20" i="11" s="1"/>
  <c r="BD20" i="11" s="1"/>
  <c r="BE20" i="11"/>
  <c r="BE21" i="11"/>
  <c r="BA21" i="11"/>
  <c r="BB21" i="11" s="1"/>
  <c r="BC21" i="11"/>
  <c r="BE29" i="11"/>
  <c r="BC29" i="11"/>
  <c r="BA29" i="11"/>
  <c r="BB29" i="11" s="1"/>
  <c r="AM33" i="11"/>
  <c r="AY22" i="11"/>
  <c r="AZ22" i="11" s="1"/>
  <c r="AY23" i="11"/>
  <c r="AZ23" i="11" s="1"/>
  <c r="AY24" i="11"/>
  <c r="AZ24" i="11" s="1"/>
  <c r="AY25" i="11"/>
  <c r="AZ25" i="11" s="1"/>
  <c r="AY26" i="11"/>
  <c r="AZ26" i="11" s="1"/>
  <c r="BE31" i="11"/>
  <c r="BA31" i="11"/>
  <c r="BB31" i="11" s="1"/>
  <c r="BC31" i="11"/>
  <c r="AY27" i="11"/>
  <c r="AZ27" i="11" s="1"/>
  <c r="W32" i="11"/>
  <c r="AA32" i="11" s="1"/>
  <c r="AB33" i="10"/>
  <c r="BA7" i="10"/>
  <c r="BA9" i="10"/>
  <c r="AY9" i="10"/>
  <c r="AZ9" i="10" s="1"/>
  <c r="BA13" i="10"/>
  <c r="BC13" i="10"/>
  <c r="AZ13" i="10"/>
  <c r="AW14" i="10"/>
  <c r="AX14" i="10" s="1"/>
  <c r="BC20" i="10"/>
  <c r="AY20" i="10"/>
  <c r="AZ20" i="10" s="1"/>
  <c r="AW21" i="10"/>
  <c r="AX21" i="10" s="1"/>
  <c r="BA26" i="10"/>
  <c r="AY26" i="10"/>
  <c r="AZ26" i="10" s="1"/>
  <c r="BC26" i="10"/>
  <c r="BC27" i="10"/>
  <c r="AY27" i="10"/>
  <c r="AZ27" i="10" s="1"/>
  <c r="BA27" i="10"/>
  <c r="Y5" i="10"/>
  <c r="M33" i="10"/>
  <c r="AK33" i="10"/>
  <c r="AY5" i="10"/>
  <c r="AZ5" i="10" s="1"/>
  <c r="BB5" i="10" s="1"/>
  <c r="AZ8" i="10"/>
  <c r="BB8" i="10" s="1"/>
  <c r="BD8" i="10" s="1"/>
  <c r="AH8" i="10" s="1"/>
  <c r="AR8" i="10" s="1"/>
  <c r="AS8" i="10" s="1"/>
  <c r="BA20" i="10"/>
  <c r="AY25" i="10"/>
  <c r="AZ25" i="10" s="1"/>
  <c r="BA25" i="10"/>
  <c r="BC30" i="10"/>
  <c r="AY30" i="10"/>
  <c r="AZ30" i="10" s="1"/>
  <c r="BA30" i="10"/>
  <c r="AY16" i="10"/>
  <c r="AZ16" i="10" s="1"/>
  <c r="U17" i="10"/>
  <c r="Y17" i="10" s="1"/>
  <c r="AW17" i="10"/>
  <c r="AX17" i="10" s="1"/>
  <c r="BC18" i="10"/>
  <c r="AY18" i="10"/>
  <c r="AZ18" i="10" s="1"/>
  <c r="AW19" i="10"/>
  <c r="AX19" i="10" s="1"/>
  <c r="U19" i="10"/>
  <c r="Y19" i="10" s="1"/>
  <c r="BA24" i="10"/>
  <c r="BC24" i="10"/>
  <c r="BC5" i="10"/>
  <c r="AZ6" i="10"/>
  <c r="AY7" i="10"/>
  <c r="AZ7" i="10" s="1"/>
  <c r="AY10" i="10"/>
  <c r="AZ10" i="10" s="1"/>
  <c r="BB10" i="10" s="1"/>
  <c r="BD10" i="10" s="1"/>
  <c r="AH10" i="10" s="1"/>
  <c r="AR10" i="10" s="1"/>
  <c r="AS10" i="10" s="1"/>
  <c r="AW11" i="10"/>
  <c r="AX11" i="10" s="1"/>
  <c r="BA15" i="10"/>
  <c r="AY15" i="10"/>
  <c r="AZ15" i="10" s="1"/>
  <c r="BA16" i="10"/>
  <c r="BA18" i="10"/>
  <c r="AY22" i="10"/>
  <c r="AZ22" i="10" s="1"/>
  <c r="U23" i="10"/>
  <c r="Y23" i="10" s="1"/>
  <c r="AW23" i="10"/>
  <c r="AX23" i="10" s="1"/>
  <c r="AY24" i="10"/>
  <c r="AZ24" i="10" s="1"/>
  <c r="BC25" i="10"/>
  <c r="AW28" i="10"/>
  <c r="AX28" i="10" s="1"/>
  <c r="BC32" i="10"/>
  <c r="AY32" i="10"/>
  <c r="AZ32" i="10" s="1"/>
  <c r="BA32" i="10"/>
  <c r="AW12" i="10"/>
  <c r="AX12" i="10" s="1"/>
  <c r="AW31" i="10"/>
  <c r="AX31" i="10" s="1"/>
  <c r="AX29" i="10"/>
  <c r="Y32" i="10"/>
  <c r="BA11" i="9"/>
  <c r="AY11" i="9"/>
  <c r="AZ11" i="9" s="1"/>
  <c r="BC7" i="9"/>
  <c r="AY7" i="9"/>
  <c r="AZ7" i="9" s="1"/>
  <c r="BA7" i="9"/>
  <c r="AW10" i="9"/>
  <c r="AX10" i="9" s="1"/>
  <c r="U10" i="9"/>
  <c r="Y10" i="9" s="1"/>
  <c r="BA14" i="9"/>
  <c r="BC14" i="9"/>
  <c r="AW6" i="9"/>
  <c r="AX6" i="9" s="1"/>
  <c r="U6" i="9"/>
  <c r="Y6" i="9" s="1"/>
  <c r="BC9" i="9"/>
  <c r="BC28" i="9"/>
  <c r="AY28" i="9"/>
  <c r="AZ28" i="9" s="1"/>
  <c r="BA28" i="9"/>
  <c r="AB33" i="9"/>
  <c r="BA5" i="9"/>
  <c r="BC5" i="9"/>
  <c r="AY5" i="9"/>
  <c r="AZ5" i="9" s="1"/>
  <c r="AY12" i="9"/>
  <c r="AZ12" i="9" s="1"/>
  <c r="BC21" i="9"/>
  <c r="AY21" i="9"/>
  <c r="AZ21" i="9" s="1"/>
  <c r="BA21" i="9"/>
  <c r="AW16" i="9"/>
  <c r="AX16" i="9" s="1"/>
  <c r="U16" i="9"/>
  <c r="Y16" i="9" s="1"/>
  <c r="AW17" i="9"/>
  <c r="AX17" i="9" s="1"/>
  <c r="U17" i="9"/>
  <c r="Y17" i="9" s="1"/>
  <c r="AW22" i="9"/>
  <c r="AX22" i="9" s="1"/>
  <c r="U22" i="9"/>
  <c r="Y22" i="9" s="1"/>
  <c r="AW23" i="9"/>
  <c r="AX23" i="9" s="1"/>
  <c r="U23" i="9"/>
  <c r="Y23" i="9" s="1"/>
  <c r="AW24" i="9"/>
  <c r="AX24" i="9" s="1"/>
  <c r="U24" i="9"/>
  <c r="Y24" i="9" s="1"/>
  <c r="AW25" i="9"/>
  <c r="AX25" i="9" s="1"/>
  <c r="U25" i="9"/>
  <c r="Y25" i="9" s="1"/>
  <c r="AW26" i="9"/>
  <c r="AX26" i="9" s="1"/>
  <c r="U26" i="9"/>
  <c r="Y26" i="9" s="1"/>
  <c r="AY30" i="9"/>
  <c r="AZ30" i="9" s="1"/>
  <c r="R33" i="9"/>
  <c r="AZ18" i="9"/>
  <c r="AW8" i="9"/>
  <c r="AX8" i="9" s="1"/>
  <c r="U8" i="9"/>
  <c r="Y8" i="9" s="1"/>
  <c r="AW15" i="9"/>
  <c r="AX15" i="9" s="1"/>
  <c r="BA18" i="9"/>
  <c r="BA29" i="9"/>
  <c r="BC31" i="9"/>
  <c r="AY31" i="9"/>
  <c r="AZ31" i="9" s="1"/>
  <c r="BA31" i="9"/>
  <c r="U5" i="9"/>
  <c r="AK33" i="9"/>
  <c r="U7" i="9"/>
  <c r="Y7" i="9" s="1"/>
  <c r="BC18" i="9"/>
  <c r="AY20" i="9"/>
  <c r="AZ20" i="9" s="1"/>
  <c r="AW27" i="9"/>
  <c r="AX27" i="9" s="1"/>
  <c r="BC29" i="9"/>
  <c r="AW32" i="9"/>
  <c r="AX32" i="9" s="1"/>
  <c r="BD12" i="8"/>
  <c r="BD31" i="8"/>
  <c r="AZ31" i="8"/>
  <c r="BA31" i="8" s="1"/>
  <c r="BB31" i="8"/>
  <c r="AS5" i="8"/>
  <c r="AC34" i="8"/>
  <c r="BD30" i="8"/>
  <c r="BB30" i="8"/>
  <c r="AX23" i="8"/>
  <c r="AY23" i="8" s="1"/>
  <c r="V23" i="8"/>
  <c r="Z23" i="8" s="1"/>
  <c r="AX13" i="8"/>
  <c r="AY13" i="8" s="1"/>
  <c r="Z13" i="8"/>
  <c r="BB20" i="8"/>
  <c r="BD20" i="8"/>
  <c r="AZ20" i="8"/>
  <c r="BA20" i="8" s="1"/>
  <c r="AX25" i="8"/>
  <c r="AY25" i="8" s="1"/>
  <c r="V25" i="8"/>
  <c r="Z25" i="8" s="1"/>
  <c r="Z5" i="8"/>
  <c r="AX5" i="8"/>
  <c r="AY5" i="8" s="1"/>
  <c r="V6" i="8"/>
  <c r="Z6" i="8" s="1"/>
  <c r="AT6" i="8" s="1"/>
  <c r="AL34" i="8"/>
  <c r="AY9" i="8"/>
  <c r="V10" i="8"/>
  <c r="Z10" i="8" s="1"/>
  <c r="BB14" i="8"/>
  <c r="AX19" i="8"/>
  <c r="AY19" i="8" s="1"/>
  <c r="Z19" i="8"/>
  <c r="AT19" i="8" s="1"/>
  <c r="AS23" i="8"/>
  <c r="AS25" i="8"/>
  <c r="AY29" i="8"/>
  <c r="AX33" i="8"/>
  <c r="AY33" i="8" s="1"/>
  <c r="K34" i="8"/>
  <c r="S34" i="8"/>
  <c r="AI34" i="8"/>
  <c r="AY11" i="8"/>
  <c r="AX16" i="8"/>
  <c r="AY16" i="8" s="1"/>
  <c r="Z16" i="8"/>
  <c r="BA18" i="8"/>
  <c r="Z21" i="8"/>
  <c r="AX21" i="8"/>
  <c r="AY21" i="8" s="1"/>
  <c r="AY28" i="8"/>
  <c r="AT31" i="8"/>
  <c r="AS7" i="8"/>
  <c r="AT7" i="8" s="1"/>
  <c r="AY7" i="8"/>
  <c r="AS10" i="8"/>
  <c r="AZ14" i="8"/>
  <c r="BA14" i="8" s="1"/>
  <c r="AX15" i="8"/>
  <c r="AY15" i="8" s="1"/>
  <c r="Z15" i="8"/>
  <c r="AX17" i="8"/>
  <c r="AY17" i="8" s="1"/>
  <c r="Z17" i="8"/>
  <c r="AS21" i="8"/>
  <c r="V22" i="8"/>
  <c r="Z22" i="8" s="1"/>
  <c r="V24" i="8"/>
  <c r="Z24" i="8" s="1"/>
  <c r="V26" i="8"/>
  <c r="Z26" i="8" s="1"/>
  <c r="AS29" i="8"/>
  <c r="AT29" i="8" s="1"/>
  <c r="BC5" i="6"/>
  <c r="AY5" i="6"/>
  <c r="AZ5" i="6" s="1"/>
  <c r="BA5" i="6"/>
  <c r="BC9" i="6"/>
  <c r="AY9" i="6"/>
  <c r="AZ9" i="6" s="1"/>
  <c r="BA9" i="6"/>
  <c r="BC7" i="6"/>
  <c r="AY7" i="6"/>
  <c r="AZ7" i="6" s="1"/>
  <c r="BC15" i="6"/>
  <c r="AY15" i="6"/>
  <c r="AZ15" i="6" s="1"/>
  <c r="AE33" i="6"/>
  <c r="AK33" i="6"/>
  <c r="R33" i="6"/>
  <c r="AW6" i="6"/>
  <c r="AX6" i="6" s="1"/>
  <c r="U6" i="6"/>
  <c r="Y6" i="6" s="1"/>
  <c r="BA7" i="6"/>
  <c r="BA15" i="6"/>
  <c r="BC19" i="6"/>
  <c r="AY19" i="6"/>
  <c r="AZ19" i="6" s="1"/>
  <c r="BA19" i="6"/>
  <c r="BC23" i="6"/>
  <c r="AY23" i="6"/>
  <c r="AZ23" i="6" s="1"/>
  <c r="BA23" i="6"/>
  <c r="AW26" i="6"/>
  <c r="AX26" i="6" s="1"/>
  <c r="U26" i="6"/>
  <c r="Y26" i="6" s="1"/>
  <c r="BC28" i="6"/>
  <c r="AY28" i="6"/>
  <c r="AZ28" i="6" s="1"/>
  <c r="BA28" i="6"/>
  <c r="AY11" i="6"/>
  <c r="AZ11" i="6" s="1"/>
  <c r="BB11" i="6" s="1"/>
  <c r="BC11" i="6"/>
  <c r="BA14" i="6"/>
  <c r="AY14" i="6"/>
  <c r="AZ14" i="6" s="1"/>
  <c r="BC21" i="6"/>
  <c r="AY21" i="6"/>
  <c r="AZ21" i="6" s="1"/>
  <c r="BA21" i="6"/>
  <c r="AW31" i="6"/>
  <c r="AX31" i="6" s="1"/>
  <c r="U31" i="6"/>
  <c r="Y31" i="6" s="1"/>
  <c r="AW8" i="6"/>
  <c r="AX8" i="6" s="1"/>
  <c r="U8" i="6"/>
  <c r="Y8" i="6" s="1"/>
  <c r="AW12" i="6"/>
  <c r="AX12" i="6" s="1"/>
  <c r="U12" i="6"/>
  <c r="Y12" i="6" s="1"/>
  <c r="BC17" i="6"/>
  <c r="BC25" i="6"/>
  <c r="AY25" i="6"/>
  <c r="AZ25" i="6" s="1"/>
  <c r="BA25" i="6"/>
  <c r="BA30" i="6"/>
  <c r="AZ30" i="6"/>
  <c r="BC30" i="6"/>
  <c r="AW10" i="6"/>
  <c r="AX10" i="6" s="1"/>
  <c r="U10" i="6"/>
  <c r="Y10" i="6" s="1"/>
  <c r="U11" i="6"/>
  <c r="Y11" i="6" s="1"/>
  <c r="AW18" i="6"/>
  <c r="AX18" i="6" s="1"/>
  <c r="U18" i="6"/>
  <c r="Y18" i="6" s="1"/>
  <c r="BA20" i="6"/>
  <c r="AW22" i="6"/>
  <c r="AX22" i="6" s="1"/>
  <c r="U22" i="6"/>
  <c r="Y22" i="6" s="1"/>
  <c r="BA27" i="6"/>
  <c r="AW29" i="6"/>
  <c r="AX29" i="6" s="1"/>
  <c r="AW24" i="6"/>
  <c r="AX24" i="6" s="1"/>
  <c r="U24" i="6"/>
  <c r="Y24" i="6" s="1"/>
  <c r="AW13" i="6"/>
  <c r="AX13" i="6" s="1"/>
  <c r="AW16" i="6"/>
  <c r="AX16" i="6" s="1"/>
  <c r="U16" i="6"/>
  <c r="Y16" i="6" s="1"/>
  <c r="AY20" i="6"/>
  <c r="AZ20" i="6" s="1"/>
  <c r="AY27" i="6"/>
  <c r="AZ27" i="6" s="1"/>
  <c r="BB27" i="6" s="1"/>
  <c r="BD27" i="6" s="1"/>
  <c r="AH27" i="6" s="1"/>
  <c r="AR27" i="6" s="1"/>
  <c r="AS27" i="6" s="1"/>
  <c r="AB32" i="6"/>
  <c r="Y32" i="6"/>
  <c r="AW32" i="6"/>
  <c r="AX32" i="6" s="1"/>
  <c r="J33" i="6"/>
  <c r="AZ12" i="5"/>
  <c r="BA12" i="5" s="1"/>
  <c r="AX13" i="5"/>
  <c r="AY13" i="5" s="1"/>
  <c r="BD17" i="5"/>
  <c r="AZ17" i="5"/>
  <c r="BA17" i="5" s="1"/>
  <c r="AZ20" i="5"/>
  <c r="BA20" i="5" s="1"/>
  <c r="AX21" i="5"/>
  <c r="AY21" i="5" s="1"/>
  <c r="BD27" i="5"/>
  <c r="AX5" i="5"/>
  <c r="AY5" i="5" s="1"/>
  <c r="V5" i="5"/>
  <c r="S33" i="5"/>
  <c r="AX6" i="5"/>
  <c r="AY6" i="5" s="1"/>
  <c r="V6" i="5"/>
  <c r="Z6" i="5" s="1"/>
  <c r="AX7" i="5"/>
  <c r="AY7" i="5" s="1"/>
  <c r="V7" i="5"/>
  <c r="Z7" i="5" s="1"/>
  <c r="BB12" i="5"/>
  <c r="AZ14" i="5"/>
  <c r="BA14" i="5" s="1"/>
  <c r="BB17" i="5"/>
  <c r="AZ19" i="5"/>
  <c r="BA19" i="5" s="1"/>
  <c r="BB19" i="5"/>
  <c r="BB20" i="5"/>
  <c r="BB28" i="5"/>
  <c r="AZ9" i="5"/>
  <c r="BA9" i="5" s="1"/>
  <c r="BB9" i="5"/>
  <c r="BD15" i="5"/>
  <c r="AZ15" i="5"/>
  <c r="BA15" i="5" s="1"/>
  <c r="AX16" i="5"/>
  <c r="AY16" i="5" s="1"/>
  <c r="V16" i="5"/>
  <c r="Z16" i="5" s="1"/>
  <c r="BD18" i="5"/>
  <c r="BD23" i="5"/>
  <c r="AZ23" i="5"/>
  <c r="BA23" i="5" s="1"/>
  <c r="AX26" i="5"/>
  <c r="AY26" i="5" s="1"/>
  <c r="V26" i="5"/>
  <c r="Z26" i="5" s="1"/>
  <c r="BD29" i="5"/>
  <c r="AZ29" i="5"/>
  <c r="BD11" i="5"/>
  <c r="BB15" i="5"/>
  <c r="BD25" i="5"/>
  <c r="AZ25" i="5"/>
  <c r="BA25" i="5" s="1"/>
  <c r="BB25" i="5"/>
  <c r="BD31" i="5"/>
  <c r="BB31" i="5"/>
  <c r="AX10" i="5"/>
  <c r="AY10" i="5" s="1"/>
  <c r="V10" i="5"/>
  <c r="Z10" i="5" s="1"/>
  <c r="AX22" i="5"/>
  <c r="AY22" i="5" s="1"/>
  <c r="V22" i="5"/>
  <c r="Z22" i="5" s="1"/>
  <c r="AX24" i="5"/>
  <c r="AY24" i="5" s="1"/>
  <c r="V24" i="5"/>
  <c r="Z24" i="5" s="1"/>
  <c r="AL33" i="5"/>
  <c r="AX8" i="5"/>
  <c r="AY8" i="5" s="1"/>
  <c r="V8" i="5"/>
  <c r="Z8" i="5" s="1"/>
  <c r="AC32" i="5"/>
  <c r="AC33" i="5" s="1"/>
  <c r="AX32" i="5"/>
  <c r="AY32" i="5" s="1"/>
  <c r="K33" i="5"/>
  <c r="AL35" i="4"/>
  <c r="V34" i="4"/>
  <c r="Z34" i="4" s="1"/>
  <c r="Q35" i="4"/>
  <c r="N35" i="4"/>
  <c r="K35" i="4"/>
  <c r="AY10" i="3"/>
  <c r="AZ10" i="3" s="1"/>
  <c r="AW11" i="3"/>
  <c r="AX11" i="3" s="1"/>
  <c r="BC16" i="3"/>
  <c r="AY16" i="3"/>
  <c r="AZ16" i="3" s="1"/>
  <c r="BC18" i="3"/>
  <c r="AY18" i="3"/>
  <c r="AZ18" i="3" s="1"/>
  <c r="BA18" i="3"/>
  <c r="AW23" i="3"/>
  <c r="AX23" i="3" s="1"/>
  <c r="AW27" i="3"/>
  <c r="AX27" i="3" s="1"/>
  <c r="AW30" i="3"/>
  <c r="AX30" i="3" s="1"/>
  <c r="BC31" i="3"/>
  <c r="AY31" i="3"/>
  <c r="AZ31" i="3" s="1"/>
  <c r="BA31" i="3"/>
  <c r="BA32" i="3"/>
  <c r="AY32" i="3"/>
  <c r="AZ32" i="3" s="1"/>
  <c r="AY6" i="3"/>
  <c r="AZ6" i="3" s="1"/>
  <c r="BA9" i="3"/>
  <c r="BA10" i="3"/>
  <c r="AW14" i="3"/>
  <c r="AX14" i="3" s="1"/>
  <c r="BA16" i="3"/>
  <c r="BC20" i="3"/>
  <c r="AY20" i="3"/>
  <c r="AZ20" i="3" s="1"/>
  <c r="BB20" i="3" s="1"/>
  <c r="AX22" i="3"/>
  <c r="AW26" i="3"/>
  <c r="AX26" i="3" s="1"/>
  <c r="AK34" i="3"/>
  <c r="BA6" i="3"/>
  <c r="BC10" i="3"/>
  <c r="BC13" i="3"/>
  <c r="AY13" i="3"/>
  <c r="AZ13" i="3" s="1"/>
  <c r="BA13" i="3"/>
  <c r="AW25" i="3"/>
  <c r="AX25" i="3" s="1"/>
  <c r="BA5" i="3"/>
  <c r="BC6" i="3"/>
  <c r="AY8" i="3"/>
  <c r="AZ8" i="3" s="1"/>
  <c r="AW19" i="3"/>
  <c r="AX19" i="3" s="1"/>
  <c r="AW24" i="3"/>
  <c r="AX24" i="3" s="1"/>
  <c r="AW28" i="3"/>
  <c r="AX28" i="3" s="1"/>
  <c r="AW33" i="3"/>
  <c r="AX33" i="3" s="1"/>
  <c r="AZ15" i="3"/>
  <c r="BB15" i="3" s="1"/>
  <c r="BD15" i="3" s="1"/>
  <c r="AH15" i="3" s="1"/>
  <c r="AR15" i="3" s="1"/>
  <c r="AS15" i="3" s="1"/>
  <c r="M34" i="3"/>
  <c r="Y32" i="3"/>
  <c r="AX12" i="3"/>
  <c r="AZ21" i="3"/>
  <c r="BB21" i="3" s="1"/>
  <c r="BD21" i="3" s="1"/>
  <c r="AH21" i="3" s="1"/>
  <c r="AR21" i="3" s="1"/>
  <c r="AS21" i="3" s="1"/>
  <c r="BD17" i="2"/>
  <c r="AZ17" i="2"/>
  <c r="BA17" i="2" s="1"/>
  <c r="BB17" i="2"/>
  <c r="BB32" i="2"/>
  <c r="BD6" i="2"/>
  <c r="AZ6" i="2"/>
  <c r="BA6" i="2" s="1"/>
  <c r="BB6" i="2"/>
  <c r="BD8" i="2"/>
  <c r="AZ8" i="2"/>
  <c r="BA8" i="2" s="1"/>
  <c r="BB8" i="2"/>
  <c r="AZ12" i="2"/>
  <c r="BA12" i="2" s="1"/>
  <c r="BB12" i="2"/>
  <c r="BB25" i="2"/>
  <c r="AZ25" i="2"/>
  <c r="BA25" i="2" s="1"/>
  <c r="BD25" i="2"/>
  <c r="AZ18" i="2"/>
  <c r="BA18" i="2" s="1"/>
  <c r="BB31" i="2"/>
  <c r="AZ11" i="2"/>
  <c r="BA11" i="2" s="1"/>
  <c r="AY13" i="2"/>
  <c r="BD21" i="2"/>
  <c r="AZ21" i="2"/>
  <c r="BA21" i="2" s="1"/>
  <c r="BB21" i="2"/>
  <c r="BB22" i="2"/>
  <c r="AY33" i="2"/>
  <c r="AL34" i="2"/>
  <c r="AX7" i="2"/>
  <c r="AY7" i="2" s="1"/>
  <c r="V7" i="2"/>
  <c r="Z7" i="2" s="1"/>
  <c r="AX9" i="2"/>
  <c r="AY9" i="2" s="1"/>
  <c r="AX10" i="2"/>
  <c r="AY10" i="2" s="1"/>
  <c r="V10" i="2"/>
  <c r="Z10" i="2" s="1"/>
  <c r="V17" i="2"/>
  <c r="Z17" i="2" s="1"/>
  <c r="BD18" i="2"/>
  <c r="AZ22" i="2"/>
  <c r="BA22" i="2" s="1"/>
  <c r="AZ27" i="2"/>
  <c r="BA27" i="2" s="1"/>
  <c r="BD27" i="2"/>
  <c r="BD28" i="2"/>
  <c r="BB28" i="2"/>
  <c r="BC28" i="2" s="1"/>
  <c r="AC34" i="2"/>
  <c r="BB11" i="2"/>
  <c r="AX16" i="2"/>
  <c r="AY16" i="2" s="1"/>
  <c r="V16" i="2"/>
  <c r="Z16" i="2" s="1"/>
  <c r="AZ24" i="2"/>
  <c r="BA24" i="2" s="1"/>
  <c r="BB14" i="2"/>
  <c r="BD14" i="2"/>
  <c r="BB18" i="2"/>
  <c r="BB24" i="2"/>
  <c r="S34" i="2"/>
  <c r="AX5" i="2"/>
  <c r="AY5" i="2" s="1"/>
  <c r="V5" i="2"/>
  <c r="AZ14" i="2"/>
  <c r="BA14" i="2" s="1"/>
  <c r="AY19" i="2"/>
  <c r="AX20" i="2"/>
  <c r="AY20" i="2" s="1"/>
  <c r="V20" i="2"/>
  <c r="Z20" i="2" s="1"/>
  <c r="BD22" i="2"/>
  <c r="BB27" i="2"/>
  <c r="V28" i="2"/>
  <c r="Z28" i="2" s="1"/>
  <c r="AX30" i="2"/>
  <c r="AY30" i="2" s="1"/>
  <c r="V30" i="2"/>
  <c r="Z30" i="2" s="1"/>
  <c r="AX15" i="2"/>
  <c r="AY15" i="2" s="1"/>
  <c r="AY26" i="2"/>
  <c r="BD9" i="1"/>
  <c r="AZ9" i="1"/>
  <c r="BA9" i="1" s="1"/>
  <c r="BB9" i="1"/>
  <c r="BD23" i="1"/>
  <c r="AZ23" i="1"/>
  <c r="BA23" i="1" s="1"/>
  <c r="BB23" i="1"/>
  <c r="BB8" i="1"/>
  <c r="AZ8" i="1"/>
  <c r="BA8" i="1" s="1"/>
  <c r="BD8" i="1"/>
  <c r="BD27" i="1"/>
  <c r="AZ27" i="1"/>
  <c r="BA27" i="1" s="1"/>
  <c r="BB27" i="1"/>
  <c r="AX5" i="1"/>
  <c r="AY5" i="1" s="1"/>
  <c r="V5" i="1"/>
  <c r="BD11" i="1"/>
  <c r="S29" i="1"/>
  <c r="V29" i="1" s="1"/>
  <c r="AL29" i="1"/>
  <c r="AL34" i="1" s="1"/>
  <c r="AC29" i="1"/>
  <c r="AC34" i="1" s="1"/>
  <c r="Z29" i="1"/>
  <c r="BD30" i="1"/>
  <c r="AZ30" i="1"/>
  <c r="BA30" i="1" s="1"/>
  <c r="BB30" i="1"/>
  <c r="AX12" i="1"/>
  <c r="AY12" i="1" s="1"/>
  <c r="V12" i="1"/>
  <c r="Z12" i="1" s="1"/>
  <c r="BD17" i="1"/>
  <c r="AX25" i="1"/>
  <c r="AY25" i="1" s="1"/>
  <c r="AX26" i="1"/>
  <c r="AY26" i="1" s="1"/>
  <c r="V26" i="1"/>
  <c r="Z26" i="1" s="1"/>
  <c r="AZ11" i="1"/>
  <c r="BA11" i="1" s="1"/>
  <c r="AX15" i="1"/>
  <c r="AY15" i="1" s="1"/>
  <c r="AX16" i="1"/>
  <c r="AY16" i="1" s="1"/>
  <c r="V16" i="1"/>
  <c r="Z16" i="1" s="1"/>
  <c r="AX18" i="1"/>
  <c r="AY18" i="1" s="1"/>
  <c r="V18" i="1"/>
  <c r="Z18" i="1" s="1"/>
  <c r="AX20" i="1"/>
  <c r="AY20" i="1" s="1"/>
  <c r="BB32" i="1"/>
  <c r="BD32" i="1"/>
  <c r="BA33" i="1"/>
  <c r="BD33" i="1"/>
  <c r="BB33" i="1"/>
  <c r="BB14" i="1"/>
  <c r="BD14" i="1"/>
  <c r="K34" i="1"/>
  <c r="BD6" i="1"/>
  <c r="AZ6" i="1"/>
  <c r="BA6" i="1" s="1"/>
  <c r="BC6" i="1" s="1"/>
  <c r="AX7" i="1"/>
  <c r="AY7" i="1" s="1"/>
  <c r="V7" i="1"/>
  <c r="Z7" i="1" s="1"/>
  <c r="BB11" i="1"/>
  <c r="AZ17" i="1"/>
  <c r="BA17" i="1" s="1"/>
  <c r="BC17" i="1" s="1"/>
  <c r="BB21" i="1"/>
  <c r="BD21" i="1"/>
  <c r="BA21" i="1"/>
  <c r="BB22" i="1"/>
  <c r="BA22" i="1"/>
  <c r="AZ32" i="1"/>
  <c r="BA32" i="1" s="1"/>
  <c r="AX19" i="1"/>
  <c r="AY19" i="1" s="1"/>
  <c r="AX24" i="1"/>
  <c r="AY24" i="1" s="1"/>
  <c r="V24" i="1"/>
  <c r="Z24" i="1" s="1"/>
  <c r="AX28" i="1"/>
  <c r="AY28" i="1" s="1"/>
  <c r="V28" i="1"/>
  <c r="Z28" i="1" s="1"/>
  <c r="AY31" i="1"/>
  <c r="AX10" i="1"/>
  <c r="AY10" i="1" s="1"/>
  <c r="V10" i="1"/>
  <c r="Z10" i="1" s="1"/>
  <c r="AX29" i="1" l="1"/>
  <c r="AY29" i="1" s="1"/>
  <c r="BD13" i="1"/>
  <c r="AZ13" i="1"/>
  <c r="BA13" i="1" s="1"/>
  <c r="BB13" i="1"/>
  <c r="BC13" i="1" s="1"/>
  <c r="BE13" i="1" s="1"/>
  <c r="AI13" i="1" s="1"/>
  <c r="AS13" i="1" s="1"/>
  <c r="AT13" i="1" s="1"/>
  <c r="S34" i="1"/>
  <c r="AZ31" i="2"/>
  <c r="BA31" i="2" s="1"/>
  <c r="BD32" i="2"/>
  <c r="BD23" i="2"/>
  <c r="AZ23" i="2"/>
  <c r="BA23" i="2" s="1"/>
  <c r="BD29" i="2"/>
  <c r="BB29" i="2"/>
  <c r="AZ29" i="2"/>
  <c r="BA29" i="2" s="1"/>
  <c r="BC29" i="2" s="1"/>
  <c r="BE29" i="2" s="1"/>
  <c r="AI29" i="2" s="1"/>
  <c r="AS29" i="2" s="1"/>
  <c r="AT29" i="2" s="1"/>
  <c r="BB23" i="2"/>
  <c r="BA17" i="3"/>
  <c r="BC17" i="3"/>
  <c r="AY17" i="3"/>
  <c r="AZ17" i="3" s="1"/>
  <c r="BB17" i="3" s="1"/>
  <c r="BD17" i="3" s="1"/>
  <c r="AH17" i="3" s="1"/>
  <c r="AR17" i="3" s="1"/>
  <c r="AS17" i="3" s="1"/>
  <c r="BC7" i="3"/>
  <c r="BA7" i="3"/>
  <c r="AY7" i="3"/>
  <c r="AZ7" i="3" s="1"/>
  <c r="BC9" i="3"/>
  <c r="BC5" i="3"/>
  <c r="AY5" i="3"/>
  <c r="AZ5" i="3" s="1"/>
  <c r="BC8" i="3"/>
  <c r="BA8" i="3"/>
  <c r="BB8" i="3" s="1"/>
  <c r="BD8" i="3" s="1"/>
  <c r="AH8" i="3" s="1"/>
  <c r="AR8" i="3" s="1"/>
  <c r="AS8" i="3" s="1"/>
  <c r="AZ7" i="4"/>
  <c r="BA7" i="4" s="1"/>
  <c r="BC7" i="4" s="1"/>
  <c r="BE7" i="4" s="1"/>
  <c r="AI7" i="4" s="1"/>
  <c r="AS7" i="4" s="1"/>
  <c r="AT7" i="4" s="1"/>
  <c r="AZ32" i="4"/>
  <c r="BA32" i="4" s="1"/>
  <c r="BC32" i="4" s="1"/>
  <c r="BE32" i="4" s="1"/>
  <c r="AI32" i="4" s="1"/>
  <c r="AS32" i="4" s="1"/>
  <c r="AT32" i="4" s="1"/>
  <c r="BD13" i="4"/>
  <c r="BD15" i="4"/>
  <c r="AZ15" i="4"/>
  <c r="BA15" i="4" s="1"/>
  <c r="BC15" i="4" s="1"/>
  <c r="BE15" i="4" s="1"/>
  <c r="AI15" i="4" s="1"/>
  <c r="AS15" i="4" s="1"/>
  <c r="AT15" i="4" s="1"/>
  <c r="BB7" i="4"/>
  <c r="BB31" i="4"/>
  <c r="AZ31" i="4"/>
  <c r="BA31" i="4" s="1"/>
  <c r="BD31" i="4"/>
  <c r="BB19" i="4"/>
  <c r="AZ19" i="4"/>
  <c r="BA19" i="4" s="1"/>
  <c r="BD19" i="4"/>
  <c r="BD28" i="5"/>
  <c r="BB27" i="5"/>
  <c r="AZ18" i="5"/>
  <c r="BA18" i="5" s="1"/>
  <c r="BB30" i="5"/>
  <c r="AY17" i="6"/>
  <c r="AZ17" i="6" s="1"/>
  <c r="BB18" i="8"/>
  <c r="BB12" i="8"/>
  <c r="AT27" i="8"/>
  <c r="BA9" i="9"/>
  <c r="AZ14" i="9"/>
  <c r="BB22" i="10"/>
  <c r="BD22" i="10" s="1"/>
  <c r="AH22" i="10" s="1"/>
  <c r="AR22" i="10" s="1"/>
  <c r="AS22" i="10" s="1"/>
  <c r="BB6" i="10"/>
  <c r="BD6" i="10" s="1"/>
  <c r="AH6" i="10" s="1"/>
  <c r="AR6" i="10" s="1"/>
  <c r="AS6" i="10" s="1"/>
  <c r="BA28" i="11"/>
  <c r="BB28" i="11" s="1"/>
  <c r="BA30" i="11"/>
  <c r="BB30" i="11" s="1"/>
  <c r="BC19" i="11"/>
  <c r="BE19" i="11"/>
  <c r="BA19" i="11"/>
  <c r="BB19" i="11" s="1"/>
  <c r="BD18" i="12"/>
  <c r="AZ29" i="12"/>
  <c r="BA29" i="12" s="1"/>
  <c r="BB17" i="12"/>
  <c r="BC17" i="12" s="1"/>
  <c r="BE17" i="12" s="1"/>
  <c r="AI17" i="12" s="1"/>
  <c r="AS17" i="12" s="1"/>
  <c r="AT17" i="12" s="1"/>
  <c r="BD30" i="12"/>
  <c r="BB32" i="12"/>
  <c r="BB15" i="6"/>
  <c r="BD15" i="6" s="1"/>
  <c r="AH15" i="6" s="1"/>
  <c r="AR15" i="6" s="1"/>
  <c r="AS15" i="6" s="1"/>
  <c r="BC21" i="1"/>
  <c r="BE21" i="1" s="1"/>
  <c r="AI21" i="1" s="1"/>
  <c r="AS21" i="1" s="1"/>
  <c r="AT21" i="1" s="1"/>
  <c r="BC27" i="1"/>
  <c r="BE27" i="1" s="1"/>
  <c r="AI27" i="1" s="1"/>
  <c r="AS27" i="1" s="1"/>
  <c r="AT27" i="1" s="1"/>
  <c r="BD6" i="8"/>
  <c r="BB7" i="10"/>
  <c r="BD7" i="10" s="1"/>
  <c r="AH7" i="10" s="1"/>
  <c r="AR7" i="10" s="1"/>
  <c r="AS7" i="10" s="1"/>
  <c r="AT22" i="8"/>
  <c r="AT16" i="8"/>
  <c r="AT6" i="15"/>
  <c r="AT33" i="15" s="1"/>
  <c r="AS33" i="15"/>
  <c r="BC5" i="4"/>
  <c r="BE5" i="4" s="1"/>
  <c r="AI5" i="4" s="1"/>
  <c r="AS5" i="4" s="1"/>
  <c r="AT5" i="4" s="1"/>
  <c r="BE6" i="1"/>
  <c r="AI6" i="1" s="1"/>
  <c r="AS6" i="1" s="1"/>
  <c r="AT6" i="1" s="1"/>
  <c r="BC11" i="12"/>
  <c r="BE11" i="12" s="1"/>
  <c r="AI11" i="12" s="1"/>
  <c r="AS11" i="12" s="1"/>
  <c r="AT11" i="12" s="1"/>
  <c r="AT11" i="8"/>
  <c r="AT30" i="8"/>
  <c r="AZ6" i="8"/>
  <c r="BA6" i="8" s="1"/>
  <c r="BC6" i="8" s="1"/>
  <c r="BC25" i="2"/>
  <c r="BE25" i="2" s="1"/>
  <c r="AI25" i="2" s="1"/>
  <c r="AS25" i="2" s="1"/>
  <c r="AT25" i="2" s="1"/>
  <c r="BC32" i="2"/>
  <c r="BE32" i="2" s="1"/>
  <c r="AI32" i="2" s="1"/>
  <c r="AS32" i="2" s="1"/>
  <c r="AT32" i="2" s="1"/>
  <c r="AT15" i="8"/>
  <c r="AI33" i="13"/>
  <c r="AS5" i="13"/>
  <c r="BB19" i="9"/>
  <c r="BD19" i="9" s="1"/>
  <c r="AH19" i="9" s="1"/>
  <c r="AR19" i="9" s="1"/>
  <c r="AS19" i="9" s="1"/>
  <c r="BE28" i="2"/>
  <c r="AI28" i="2" s="1"/>
  <c r="AS28" i="2" s="1"/>
  <c r="AT28" i="2" s="1"/>
  <c r="BB30" i="6"/>
  <c r="BD30" i="6" s="1"/>
  <c r="AH30" i="6" s="1"/>
  <c r="AR30" i="6" s="1"/>
  <c r="AS30" i="6" s="1"/>
  <c r="BB20" i="9"/>
  <c r="BD20" i="9" s="1"/>
  <c r="AH20" i="9" s="1"/>
  <c r="AR20" i="9" s="1"/>
  <c r="AS20" i="9" s="1"/>
  <c r="BB16" i="10"/>
  <c r="BD16" i="10" s="1"/>
  <c r="AH16" i="10" s="1"/>
  <c r="AR16" i="10" s="1"/>
  <c r="AS16" i="10" s="1"/>
  <c r="BD5" i="10"/>
  <c r="AH5" i="10" s="1"/>
  <c r="AR5" i="10" s="1"/>
  <c r="AS5" i="10" s="1"/>
  <c r="BB26" i="10"/>
  <c r="BD26" i="10" s="1"/>
  <c r="AH26" i="10" s="1"/>
  <c r="AR26" i="10" s="1"/>
  <c r="AS26" i="10" s="1"/>
  <c r="BF18" i="11"/>
  <c r="AJ18" i="11" s="1"/>
  <c r="AT18" i="11" s="1"/>
  <c r="AU18" i="11" s="1"/>
  <c r="BC9" i="12"/>
  <c r="BE9" i="12" s="1"/>
  <c r="AI9" i="12" s="1"/>
  <c r="AS9" i="12" s="1"/>
  <c r="AT9" i="12" s="1"/>
  <c r="AT32" i="8"/>
  <c r="AT12" i="8"/>
  <c r="BC8" i="2"/>
  <c r="BE8" i="2" s="1"/>
  <c r="AI8" i="2" s="1"/>
  <c r="AS8" i="2" s="1"/>
  <c r="AT8" i="2" s="1"/>
  <c r="BB20" i="6"/>
  <c r="BD20" i="6" s="1"/>
  <c r="AH20" i="6" s="1"/>
  <c r="AR20" i="6" s="1"/>
  <c r="AS20" i="6" s="1"/>
  <c r="BB25" i="6"/>
  <c r="BD25" i="6" s="1"/>
  <c r="AH25" i="6" s="1"/>
  <c r="AR25" i="6" s="1"/>
  <c r="AS25" i="6" s="1"/>
  <c r="BD17" i="11"/>
  <c r="BF17" i="11" s="1"/>
  <c r="AJ17" i="11" s="1"/>
  <c r="AT17" i="11" s="1"/>
  <c r="AU17" i="11" s="1"/>
  <c r="BF20" i="11"/>
  <c r="AJ20" i="11" s="1"/>
  <c r="AT20" i="11" s="1"/>
  <c r="AU20" i="11" s="1"/>
  <c r="BB24" i="10"/>
  <c r="BD24" i="10" s="1"/>
  <c r="AH24" i="10" s="1"/>
  <c r="AR24" i="10" s="1"/>
  <c r="AS24" i="10" s="1"/>
  <c r="BB30" i="10"/>
  <c r="BD30" i="10" s="1"/>
  <c r="AH30" i="10" s="1"/>
  <c r="AR30" i="10" s="1"/>
  <c r="AS30" i="10" s="1"/>
  <c r="BB30" i="9"/>
  <c r="BC30" i="9"/>
  <c r="BA12" i="9"/>
  <c r="BB12" i="9" s="1"/>
  <c r="BD12" i="9" s="1"/>
  <c r="AH12" i="9" s="1"/>
  <c r="AR12" i="9" s="1"/>
  <c r="AS12" i="9" s="1"/>
  <c r="AZ29" i="9"/>
  <c r="BB29" i="9" s="1"/>
  <c r="BD29" i="9" s="1"/>
  <c r="AH29" i="9" s="1"/>
  <c r="AR29" i="9" s="1"/>
  <c r="AS29" i="9" s="1"/>
  <c r="BB21" i="9"/>
  <c r="BD21" i="9" s="1"/>
  <c r="AH21" i="9" s="1"/>
  <c r="AR21" i="9" s="1"/>
  <c r="AS21" i="9" s="1"/>
  <c r="BB14" i="9"/>
  <c r="BB5" i="9"/>
  <c r="BD5" i="9" s="1"/>
  <c r="AH5" i="9" s="1"/>
  <c r="AR5" i="9" s="1"/>
  <c r="BB11" i="9"/>
  <c r="BD11" i="9" s="1"/>
  <c r="AH11" i="9" s="1"/>
  <c r="AR11" i="9" s="1"/>
  <c r="AS11" i="9" s="1"/>
  <c r="AT8" i="8"/>
  <c r="AT13" i="8"/>
  <c r="AT26" i="8"/>
  <c r="AT17" i="8"/>
  <c r="AT24" i="8"/>
  <c r="AT33" i="8"/>
  <c r="BB28" i="6"/>
  <c r="BD28" i="6" s="1"/>
  <c r="AH28" i="6" s="1"/>
  <c r="AR28" i="6" s="1"/>
  <c r="AS28" i="6" s="1"/>
  <c r="BB23" i="6"/>
  <c r="BD23" i="6" s="1"/>
  <c r="AH23" i="6" s="1"/>
  <c r="AR23" i="6" s="1"/>
  <c r="AS23" i="6" s="1"/>
  <c r="BB5" i="6"/>
  <c r="BD5" i="6" s="1"/>
  <c r="AH5" i="6" s="1"/>
  <c r="BB9" i="6"/>
  <c r="BD9" i="6" s="1"/>
  <c r="AH9" i="6" s="1"/>
  <c r="AR9" i="6" s="1"/>
  <c r="AS9" i="6" s="1"/>
  <c r="BA29" i="5"/>
  <c r="BA11" i="5"/>
  <c r="BB14" i="5"/>
  <c r="BC14" i="5" s="1"/>
  <c r="BE14" i="5" s="1"/>
  <c r="AI14" i="5" s="1"/>
  <c r="AS14" i="5" s="1"/>
  <c r="AT14" i="5" s="1"/>
  <c r="BC25" i="5"/>
  <c r="BE25" i="5" s="1"/>
  <c r="AI25" i="5" s="1"/>
  <c r="AS25" i="5" s="1"/>
  <c r="AT25" i="5" s="1"/>
  <c r="BC9" i="5"/>
  <c r="BE9" i="5" s="1"/>
  <c r="AI9" i="5" s="1"/>
  <c r="AS9" i="5" s="1"/>
  <c r="AT9" i="5" s="1"/>
  <c r="BB29" i="5"/>
  <c r="BC20" i="5"/>
  <c r="BE20" i="5" s="1"/>
  <c r="AI20" i="5" s="1"/>
  <c r="AS20" i="5" s="1"/>
  <c r="AT20" i="5" s="1"/>
  <c r="BB11" i="5"/>
  <c r="AZ30" i="5"/>
  <c r="BA30" i="5" s="1"/>
  <c r="BC27" i="5"/>
  <c r="BE27" i="5" s="1"/>
  <c r="AI27" i="5" s="1"/>
  <c r="AS27" i="5" s="1"/>
  <c r="AT27" i="5" s="1"/>
  <c r="BC12" i="5"/>
  <c r="BE12" i="5" s="1"/>
  <c r="AI12" i="5" s="1"/>
  <c r="AS12" i="5" s="1"/>
  <c r="AT12" i="5" s="1"/>
  <c r="BC26" i="4"/>
  <c r="BE26" i="4" s="1"/>
  <c r="AI26" i="4" s="1"/>
  <c r="AS26" i="4" s="1"/>
  <c r="AT26" i="4" s="1"/>
  <c r="BB10" i="3"/>
  <c r="BD10" i="3" s="1"/>
  <c r="AH10" i="3" s="1"/>
  <c r="AR10" i="3" s="1"/>
  <c r="AS10" i="3" s="1"/>
  <c r="BB31" i="3"/>
  <c r="BD31" i="3" s="1"/>
  <c r="AH31" i="3" s="1"/>
  <c r="AR31" i="3" s="1"/>
  <c r="AS31" i="3" s="1"/>
  <c r="BC22" i="2"/>
  <c r="BE22" i="2" s="1"/>
  <c r="AI22" i="2" s="1"/>
  <c r="AS22" i="2" s="1"/>
  <c r="AT22" i="2" s="1"/>
  <c r="BC12" i="2"/>
  <c r="BE12" i="2" s="1"/>
  <c r="AI12" i="2" s="1"/>
  <c r="AS12" i="2" s="1"/>
  <c r="AT12" i="2" s="1"/>
  <c r="BC31" i="2"/>
  <c r="BE31" i="2" s="1"/>
  <c r="AI31" i="2" s="1"/>
  <c r="AS31" i="2" s="1"/>
  <c r="AT31" i="2" s="1"/>
  <c r="BC32" i="1"/>
  <c r="BE32" i="1" s="1"/>
  <c r="AI32" i="1" s="1"/>
  <c r="AS32" i="1" s="1"/>
  <c r="AT32" i="1" s="1"/>
  <c r="BC9" i="1"/>
  <c r="BE9" i="1" s="1"/>
  <c r="AI9" i="1" s="1"/>
  <c r="AS9" i="1" s="1"/>
  <c r="AT9" i="1" s="1"/>
  <c r="BC11" i="1"/>
  <c r="BE11" i="1" s="1"/>
  <c r="AI11" i="1" s="1"/>
  <c r="AS11" i="1" s="1"/>
  <c r="AT11" i="1" s="1"/>
  <c r="BB18" i="10"/>
  <c r="BD18" i="10" s="1"/>
  <c r="AH18" i="10" s="1"/>
  <c r="AR18" i="10" s="1"/>
  <c r="AS18" i="10" s="1"/>
  <c r="BD9" i="11"/>
  <c r="BF9" i="11" s="1"/>
  <c r="AJ9" i="11" s="1"/>
  <c r="AT9" i="11" s="1"/>
  <c r="AU9" i="11" s="1"/>
  <c r="BE17" i="1"/>
  <c r="AI17" i="1" s="1"/>
  <c r="AS17" i="1" s="1"/>
  <c r="AT17" i="1" s="1"/>
  <c r="BC14" i="1"/>
  <c r="BE14" i="1" s="1"/>
  <c r="AI14" i="1" s="1"/>
  <c r="AS14" i="1" s="1"/>
  <c r="AT14" i="1" s="1"/>
  <c r="BC33" i="1"/>
  <c r="BE33" i="1" s="1"/>
  <c r="AI33" i="1" s="1"/>
  <c r="AS33" i="1" s="1"/>
  <c r="AT33" i="1" s="1"/>
  <c r="BC27" i="2"/>
  <c r="BE27" i="2" s="1"/>
  <c r="AI27" i="2" s="1"/>
  <c r="AS27" i="2" s="1"/>
  <c r="AT27" i="2" s="1"/>
  <c r="BC6" i="2"/>
  <c r="BE6" i="2" s="1"/>
  <c r="AI6" i="2" s="1"/>
  <c r="AS6" i="2" s="1"/>
  <c r="AT6" i="2" s="1"/>
  <c r="BC18" i="5"/>
  <c r="BE18" i="5" s="1"/>
  <c r="AI18" i="5" s="1"/>
  <c r="AS18" i="5" s="1"/>
  <c r="AT18" i="5" s="1"/>
  <c r="BC23" i="5"/>
  <c r="BE23" i="5" s="1"/>
  <c r="AI23" i="5" s="1"/>
  <c r="AS23" i="5" s="1"/>
  <c r="AT23" i="5" s="1"/>
  <c r="BC28" i="5"/>
  <c r="BE28" i="5" s="1"/>
  <c r="AI28" i="5" s="1"/>
  <c r="AS28" i="5" s="1"/>
  <c r="AT28" i="5" s="1"/>
  <c r="BB17" i="6"/>
  <c r="BD17" i="6" s="1"/>
  <c r="AH17" i="6" s="1"/>
  <c r="AR17" i="6" s="1"/>
  <c r="AS17" i="6" s="1"/>
  <c r="BB19" i="6"/>
  <c r="BD19" i="6" s="1"/>
  <c r="AH19" i="6" s="1"/>
  <c r="AR19" i="6" s="1"/>
  <c r="AS19" i="6" s="1"/>
  <c r="BB7" i="6"/>
  <c r="BD7" i="6" s="1"/>
  <c r="AH7" i="6" s="1"/>
  <c r="AR7" i="6" s="1"/>
  <c r="AS7" i="6" s="1"/>
  <c r="BB31" i="9"/>
  <c r="BD31" i="9" s="1"/>
  <c r="AH31" i="9" s="1"/>
  <c r="AR31" i="9" s="1"/>
  <c r="AS31" i="9" s="1"/>
  <c r="BB9" i="9"/>
  <c r="BD9" i="9" s="1"/>
  <c r="AH9" i="9" s="1"/>
  <c r="AR9" i="9" s="1"/>
  <c r="AS9" i="9" s="1"/>
  <c r="BB32" i="10"/>
  <c r="BD32" i="10" s="1"/>
  <c r="AH32" i="10" s="1"/>
  <c r="AR32" i="10" s="1"/>
  <c r="AS32" i="10" s="1"/>
  <c r="BB27" i="10"/>
  <c r="BD27" i="10" s="1"/>
  <c r="AH27" i="10" s="1"/>
  <c r="AR27" i="10" s="1"/>
  <c r="AS27" i="10" s="1"/>
  <c r="BB9" i="10"/>
  <c r="BD9" i="10" s="1"/>
  <c r="AH9" i="10" s="1"/>
  <c r="AR9" i="10" s="1"/>
  <c r="AS9" i="10" s="1"/>
  <c r="BD31" i="11"/>
  <c r="BF31" i="11" s="1"/>
  <c r="AJ31" i="11" s="1"/>
  <c r="AT31" i="11" s="1"/>
  <c r="AU31" i="11" s="1"/>
  <c r="BD12" i="11"/>
  <c r="BF12" i="11" s="1"/>
  <c r="AJ12" i="11" s="1"/>
  <c r="AT12" i="11" s="1"/>
  <c r="AU12" i="11" s="1"/>
  <c r="BD13" i="11"/>
  <c r="BF13" i="11" s="1"/>
  <c r="AJ13" i="11" s="1"/>
  <c r="AT13" i="11" s="1"/>
  <c r="AU13" i="11" s="1"/>
  <c r="BC30" i="12"/>
  <c r="BE30" i="12" s="1"/>
  <c r="AI30" i="12" s="1"/>
  <c r="AS30" i="12" s="1"/>
  <c r="AT30" i="12" s="1"/>
  <c r="BE13" i="4"/>
  <c r="AI13" i="4" s="1"/>
  <c r="AS13" i="4" s="1"/>
  <c r="AT13" i="4" s="1"/>
  <c r="BC17" i="5"/>
  <c r="BE17" i="5" s="1"/>
  <c r="AI17" i="5" s="1"/>
  <c r="AS17" i="5" s="1"/>
  <c r="AT17" i="5" s="1"/>
  <c r="BD11" i="6"/>
  <c r="AH11" i="6" s="1"/>
  <c r="AR11" i="6" s="1"/>
  <c r="AS11" i="6" s="1"/>
  <c r="BC30" i="1"/>
  <c r="BE30" i="1" s="1"/>
  <c r="AI30" i="1" s="1"/>
  <c r="AS30" i="1" s="1"/>
  <c r="AT30" i="1" s="1"/>
  <c r="BC8" i="1"/>
  <c r="BE8" i="1" s="1"/>
  <c r="AI8" i="1" s="1"/>
  <c r="AS8" i="1" s="1"/>
  <c r="AT8" i="1" s="1"/>
  <c r="BC14" i="2"/>
  <c r="BE14" i="2" s="1"/>
  <c r="AI14" i="2" s="1"/>
  <c r="AS14" i="2" s="1"/>
  <c r="AT14" i="2" s="1"/>
  <c r="BC24" i="2"/>
  <c r="BE24" i="2" s="1"/>
  <c r="AI24" i="2" s="1"/>
  <c r="AS24" i="2" s="1"/>
  <c r="AT24" i="2" s="1"/>
  <c r="BC11" i="2"/>
  <c r="BE11" i="2" s="1"/>
  <c r="AI11" i="2" s="1"/>
  <c r="AS11" i="2" s="1"/>
  <c r="AT11" i="2" s="1"/>
  <c r="BC17" i="2"/>
  <c r="BE17" i="2" s="1"/>
  <c r="AI17" i="2" s="1"/>
  <c r="AS17" i="2" s="1"/>
  <c r="AT17" i="2" s="1"/>
  <c r="BC31" i="5"/>
  <c r="BE31" i="5" s="1"/>
  <c r="AI31" i="5" s="1"/>
  <c r="AS31" i="5" s="1"/>
  <c r="AT31" i="5" s="1"/>
  <c r="BB21" i="6"/>
  <c r="BD21" i="6" s="1"/>
  <c r="AH21" i="6" s="1"/>
  <c r="AR21" i="6" s="1"/>
  <c r="AS21" i="6" s="1"/>
  <c r="BB28" i="9"/>
  <c r="BD28" i="9" s="1"/>
  <c r="AH28" i="9" s="1"/>
  <c r="AR28" i="9" s="1"/>
  <c r="AS28" i="9" s="1"/>
  <c r="BB7" i="9"/>
  <c r="BD7" i="9" s="1"/>
  <c r="AH7" i="9" s="1"/>
  <c r="AR7" i="9" s="1"/>
  <c r="AS7" i="9" s="1"/>
  <c r="BB20" i="10"/>
  <c r="BD20" i="10" s="1"/>
  <c r="AH20" i="10" s="1"/>
  <c r="AR20" i="10" s="1"/>
  <c r="AS20" i="10" s="1"/>
  <c r="BD29" i="11"/>
  <c r="BF29" i="11" s="1"/>
  <c r="AJ29" i="11" s="1"/>
  <c r="AT29" i="11" s="1"/>
  <c r="AU29" i="11" s="1"/>
  <c r="BD21" i="11"/>
  <c r="BF21" i="11" s="1"/>
  <c r="AJ21" i="11" s="1"/>
  <c r="AT21" i="11" s="1"/>
  <c r="AU21" i="11" s="1"/>
  <c r="BD8" i="11"/>
  <c r="BF8" i="11" s="1"/>
  <c r="AJ8" i="11" s="1"/>
  <c r="AT8" i="11" s="1"/>
  <c r="AU8" i="11" s="1"/>
  <c r="BD15" i="11"/>
  <c r="BF15" i="11" s="1"/>
  <c r="AJ15" i="11" s="1"/>
  <c r="AT15" i="11" s="1"/>
  <c r="AU15" i="11" s="1"/>
  <c r="BC18" i="12"/>
  <c r="BC17" i="4"/>
  <c r="BE17" i="4" s="1"/>
  <c r="AI17" i="4" s="1"/>
  <c r="AS17" i="4" s="1"/>
  <c r="AT17" i="4" s="1"/>
  <c r="BC24" i="4"/>
  <c r="BE24" i="4" s="1"/>
  <c r="AI24" i="4" s="1"/>
  <c r="AS24" i="4" s="1"/>
  <c r="AT24" i="4" s="1"/>
  <c r="BC9" i="4"/>
  <c r="BE9" i="4" s="1"/>
  <c r="AI9" i="4" s="1"/>
  <c r="AS9" i="4" s="1"/>
  <c r="AT9" i="4" s="1"/>
  <c r="AZ34" i="4"/>
  <c r="BA34" i="4" s="1"/>
  <c r="BD34" i="4"/>
  <c r="BB34" i="4"/>
  <c r="BB20" i="4"/>
  <c r="AZ20" i="4"/>
  <c r="BA20" i="4" s="1"/>
  <c r="BD20" i="4"/>
  <c r="BB16" i="4"/>
  <c r="AZ16" i="4"/>
  <c r="BA16" i="4" s="1"/>
  <c r="BD16" i="4"/>
  <c r="BB8" i="4"/>
  <c r="AZ8" i="4"/>
  <c r="BA8" i="4" s="1"/>
  <c r="BD8" i="4"/>
  <c r="AZ30" i="4"/>
  <c r="BA30" i="4" s="1"/>
  <c r="BD30" i="4"/>
  <c r="BB30" i="4"/>
  <c r="AZ18" i="4"/>
  <c r="BA18" i="4" s="1"/>
  <c r="BD18" i="4"/>
  <c r="BB18" i="4"/>
  <c r="AZ10" i="4"/>
  <c r="BA10" i="4" s="1"/>
  <c r="BD10" i="4"/>
  <c r="BB10" i="4"/>
  <c r="AZ6" i="4"/>
  <c r="BA6" i="4" s="1"/>
  <c r="BD6" i="4"/>
  <c r="BB6" i="4"/>
  <c r="BB12" i="4"/>
  <c r="AZ12" i="4"/>
  <c r="BA12" i="4" s="1"/>
  <c r="BD12" i="4"/>
  <c r="AX28" i="4"/>
  <c r="AY28" i="4" s="1"/>
  <c r="BB11" i="4"/>
  <c r="AZ11" i="4"/>
  <c r="BA11" i="4" s="1"/>
  <c r="BD11" i="4"/>
  <c r="AZ14" i="4"/>
  <c r="BA14" i="4" s="1"/>
  <c r="BD14" i="4"/>
  <c r="BB14" i="4"/>
  <c r="BB33" i="4"/>
  <c r="AZ33" i="4"/>
  <c r="BA33" i="4" s="1"/>
  <c r="BD33" i="4"/>
  <c r="AZ22" i="4"/>
  <c r="BA22" i="4" s="1"/>
  <c r="BD22" i="4"/>
  <c r="BB22" i="4"/>
  <c r="BC21" i="4"/>
  <c r="BE21" i="4" s="1"/>
  <c r="AI21" i="4" s="1"/>
  <c r="AS21" i="4" s="1"/>
  <c r="AT21" i="4" s="1"/>
  <c r="BC29" i="4"/>
  <c r="BE29" i="4" s="1"/>
  <c r="AI29" i="4" s="1"/>
  <c r="AS29" i="4" s="1"/>
  <c r="AT29" i="4" s="1"/>
  <c r="BC27" i="4"/>
  <c r="BE27" i="4" s="1"/>
  <c r="AI27" i="4" s="1"/>
  <c r="AS27" i="4" s="1"/>
  <c r="AT27" i="4" s="1"/>
  <c r="BC25" i="4"/>
  <c r="BE25" i="4" s="1"/>
  <c r="AI25" i="4" s="1"/>
  <c r="AS25" i="4" s="1"/>
  <c r="AT25" i="4" s="1"/>
  <c r="BC23" i="4"/>
  <c r="BE23" i="4" s="1"/>
  <c r="AI23" i="4" s="1"/>
  <c r="AS23" i="4" s="1"/>
  <c r="AT23" i="4" s="1"/>
  <c r="S35" i="4"/>
  <c r="BD27" i="12"/>
  <c r="BB27" i="12"/>
  <c r="AZ27" i="12"/>
  <c r="BA27" i="12" s="1"/>
  <c r="BB26" i="12"/>
  <c r="BD26" i="12"/>
  <c r="AZ26" i="12"/>
  <c r="BA26" i="12" s="1"/>
  <c r="BB24" i="12"/>
  <c r="BD24" i="12"/>
  <c r="AZ24" i="12"/>
  <c r="BA24" i="12" s="1"/>
  <c r="BB22" i="12"/>
  <c r="BD22" i="12"/>
  <c r="AZ22" i="12"/>
  <c r="BA22" i="12" s="1"/>
  <c r="BD28" i="12"/>
  <c r="AZ28" i="12"/>
  <c r="BA28" i="12" s="1"/>
  <c r="BB28" i="12"/>
  <c r="BD15" i="12"/>
  <c r="AZ15" i="12"/>
  <c r="BA15" i="12" s="1"/>
  <c r="BB15" i="12"/>
  <c r="BD20" i="12"/>
  <c r="AZ20" i="12"/>
  <c r="BA20" i="12" s="1"/>
  <c r="BB20" i="12"/>
  <c r="BD5" i="12"/>
  <c r="AZ5" i="12"/>
  <c r="BA5" i="12" s="1"/>
  <c r="BB5" i="12"/>
  <c r="BB19" i="12"/>
  <c r="BD19" i="12"/>
  <c r="AZ19" i="12"/>
  <c r="BA19" i="12" s="1"/>
  <c r="BD12" i="12"/>
  <c r="AZ12" i="12"/>
  <c r="BA12" i="12" s="1"/>
  <c r="BB12" i="12"/>
  <c r="BB8" i="12"/>
  <c r="AZ8" i="12"/>
  <c r="BA8" i="12" s="1"/>
  <c r="BD8" i="12"/>
  <c r="BD25" i="12"/>
  <c r="AZ25" i="12"/>
  <c r="BA25" i="12" s="1"/>
  <c r="BB25" i="12"/>
  <c r="BD23" i="12"/>
  <c r="AZ23" i="12"/>
  <c r="BA23" i="12" s="1"/>
  <c r="BB23" i="12"/>
  <c r="BD16" i="12"/>
  <c r="AZ16" i="12"/>
  <c r="BA16" i="12" s="1"/>
  <c r="BB16" i="12"/>
  <c r="BC29" i="12"/>
  <c r="BE29" i="12" s="1"/>
  <c r="AI29" i="12" s="1"/>
  <c r="AS29" i="12" s="1"/>
  <c r="AT29" i="12" s="1"/>
  <c r="BE7" i="12"/>
  <c r="AI7" i="12" s="1"/>
  <c r="AS7" i="12" s="1"/>
  <c r="AT7" i="12" s="1"/>
  <c r="BB6" i="12"/>
  <c r="AZ6" i="12"/>
  <c r="BA6" i="12" s="1"/>
  <c r="BD6" i="12"/>
  <c r="BB10" i="12"/>
  <c r="AZ10" i="12"/>
  <c r="BA10" i="12" s="1"/>
  <c r="BD10" i="12"/>
  <c r="BC14" i="12"/>
  <c r="BE14" i="12" s="1"/>
  <c r="AI14" i="12" s="1"/>
  <c r="AS14" i="12" s="1"/>
  <c r="AT14" i="12" s="1"/>
  <c r="BC31" i="12"/>
  <c r="BE31" i="12" s="1"/>
  <c r="AI31" i="12" s="1"/>
  <c r="AS31" i="12" s="1"/>
  <c r="AT31" i="12" s="1"/>
  <c r="BD13" i="12"/>
  <c r="BB13" i="12"/>
  <c r="AZ13" i="12"/>
  <c r="BA13" i="12" s="1"/>
  <c r="BD21" i="12"/>
  <c r="AZ21" i="12"/>
  <c r="BA21" i="12" s="1"/>
  <c r="BB21" i="12"/>
  <c r="BC32" i="12"/>
  <c r="BE32" i="12" s="1"/>
  <c r="AI32" i="12" s="1"/>
  <c r="AS32" i="12" s="1"/>
  <c r="AT32" i="12" s="1"/>
  <c r="V33" i="12"/>
  <c r="Z5" i="12"/>
  <c r="BC14" i="8"/>
  <c r="BE14" i="8" s="1"/>
  <c r="BE27" i="11"/>
  <c r="BC27" i="11"/>
  <c r="BA27" i="11"/>
  <c r="BB27" i="11" s="1"/>
  <c r="BC6" i="11"/>
  <c r="BE6" i="11"/>
  <c r="BA6" i="11"/>
  <c r="BB6" i="11" s="1"/>
  <c r="BC26" i="11"/>
  <c r="BE26" i="11"/>
  <c r="BA26" i="11"/>
  <c r="BB26" i="11" s="1"/>
  <c r="BC24" i="11"/>
  <c r="BE24" i="11"/>
  <c r="BA24" i="11"/>
  <c r="BB24" i="11" s="1"/>
  <c r="BC22" i="11"/>
  <c r="BE22" i="11"/>
  <c r="BA22" i="11"/>
  <c r="BB22" i="11" s="1"/>
  <c r="W33" i="11"/>
  <c r="BD28" i="11"/>
  <c r="BF28" i="11" s="1"/>
  <c r="AJ28" i="11" s="1"/>
  <c r="AT28" i="11" s="1"/>
  <c r="AU28" i="11" s="1"/>
  <c r="BC14" i="11"/>
  <c r="BA14" i="11"/>
  <c r="BB14" i="11" s="1"/>
  <c r="BE14" i="11"/>
  <c r="BE10" i="11"/>
  <c r="BC10" i="11"/>
  <c r="BA10" i="11"/>
  <c r="BB10" i="11" s="1"/>
  <c r="BE7" i="11"/>
  <c r="BA7" i="11"/>
  <c r="BB7" i="11" s="1"/>
  <c r="BC7" i="11"/>
  <c r="BE5" i="11"/>
  <c r="BA5" i="11"/>
  <c r="BB5" i="11" s="1"/>
  <c r="BC5" i="11"/>
  <c r="BD32" i="11"/>
  <c r="BF32" i="11" s="1"/>
  <c r="AJ32" i="11" s="1"/>
  <c r="AT32" i="11" s="1"/>
  <c r="AU32" i="11" s="1"/>
  <c r="BD30" i="11"/>
  <c r="BF30" i="11" s="1"/>
  <c r="AJ30" i="11" s="1"/>
  <c r="AT30" i="11" s="1"/>
  <c r="AU30" i="11" s="1"/>
  <c r="BD11" i="11"/>
  <c r="BF11" i="11" s="1"/>
  <c r="AJ11" i="11" s="1"/>
  <c r="AT11" i="11" s="1"/>
  <c r="AU11" i="11" s="1"/>
  <c r="BE25" i="11"/>
  <c r="BA25" i="11"/>
  <c r="BB25" i="11" s="1"/>
  <c r="BC25" i="11"/>
  <c r="BE23" i="11"/>
  <c r="BA23" i="11"/>
  <c r="BB23" i="11" s="1"/>
  <c r="BC23" i="11"/>
  <c r="BC30" i="8"/>
  <c r="BE30" i="8" s="1"/>
  <c r="BA21" i="10"/>
  <c r="AY21" i="10"/>
  <c r="AZ21" i="10" s="1"/>
  <c r="BC21" i="10"/>
  <c r="BB13" i="10"/>
  <c r="BD13" i="10" s="1"/>
  <c r="AH13" i="10" s="1"/>
  <c r="AR13" i="10" s="1"/>
  <c r="AS13" i="10" s="1"/>
  <c r="BC31" i="10"/>
  <c r="AY31" i="10"/>
  <c r="AZ31" i="10" s="1"/>
  <c r="BA31" i="10"/>
  <c r="BC28" i="10"/>
  <c r="AY28" i="10"/>
  <c r="AZ28" i="10" s="1"/>
  <c r="BA28" i="10"/>
  <c r="BC23" i="10"/>
  <c r="AY23" i="10"/>
  <c r="AZ23" i="10" s="1"/>
  <c r="BA23" i="10"/>
  <c r="BB15" i="10"/>
  <c r="BD15" i="10" s="1"/>
  <c r="AH15" i="10" s="1"/>
  <c r="AR15" i="10" s="1"/>
  <c r="AS15" i="10" s="1"/>
  <c r="BA29" i="10"/>
  <c r="BC29" i="10"/>
  <c r="AY29" i="10"/>
  <c r="AZ29" i="10" s="1"/>
  <c r="BA19" i="10"/>
  <c r="AY19" i="10"/>
  <c r="AZ19" i="10" s="1"/>
  <c r="BC19" i="10"/>
  <c r="BC17" i="10"/>
  <c r="BA17" i="10"/>
  <c r="AY17" i="10"/>
  <c r="AZ17" i="10" s="1"/>
  <c r="BC12" i="10"/>
  <c r="BA12" i="10"/>
  <c r="AY12" i="10"/>
  <c r="AZ12" i="10" s="1"/>
  <c r="BC11" i="10"/>
  <c r="AY11" i="10"/>
  <c r="AZ11" i="10" s="1"/>
  <c r="BA11" i="10"/>
  <c r="U33" i="10"/>
  <c r="BB25" i="10"/>
  <c r="BD25" i="10" s="1"/>
  <c r="AH25" i="10" s="1"/>
  <c r="AR25" i="10" s="1"/>
  <c r="AS25" i="10" s="1"/>
  <c r="Y33" i="10"/>
  <c r="BC14" i="10"/>
  <c r="BA14" i="10"/>
  <c r="AY14" i="10"/>
  <c r="AZ14" i="10" s="1"/>
  <c r="BA16" i="9"/>
  <c r="BC16" i="9"/>
  <c r="AY16" i="9"/>
  <c r="AZ16" i="9" s="1"/>
  <c r="BC15" i="9"/>
  <c r="AY15" i="9"/>
  <c r="AZ15" i="9" s="1"/>
  <c r="BA15" i="9"/>
  <c r="BC25" i="9"/>
  <c r="AY25" i="9"/>
  <c r="AZ25" i="9" s="1"/>
  <c r="BA25" i="9"/>
  <c r="BC23" i="9"/>
  <c r="AY23" i="9"/>
  <c r="AZ23" i="9" s="1"/>
  <c r="BA23" i="9"/>
  <c r="AY13" i="9"/>
  <c r="AZ13" i="9" s="1"/>
  <c r="BC13" i="9"/>
  <c r="BA13" i="9"/>
  <c r="BC6" i="9"/>
  <c r="AY6" i="9"/>
  <c r="AZ6" i="9" s="1"/>
  <c r="BA6" i="9"/>
  <c r="BD14" i="9"/>
  <c r="AH14" i="9" s="1"/>
  <c r="AR14" i="9" s="1"/>
  <c r="AS14" i="9" s="1"/>
  <c r="BB18" i="9"/>
  <c r="BD18" i="9" s="1"/>
  <c r="AH18" i="9" s="1"/>
  <c r="AR18" i="9" s="1"/>
  <c r="AS18" i="9" s="1"/>
  <c r="BC17" i="9"/>
  <c r="AY17" i="9"/>
  <c r="AZ17" i="9" s="1"/>
  <c r="BA17" i="9"/>
  <c r="BC32" i="9"/>
  <c r="BA32" i="9"/>
  <c r="AY32" i="9"/>
  <c r="AZ32" i="9" s="1"/>
  <c r="BC27" i="9"/>
  <c r="AY27" i="9"/>
  <c r="AZ27" i="9" s="1"/>
  <c r="BA27" i="9"/>
  <c r="U33" i="9"/>
  <c r="Y5" i="9"/>
  <c r="BA8" i="9"/>
  <c r="AY8" i="9"/>
  <c r="AZ8" i="9" s="1"/>
  <c r="BC8" i="9"/>
  <c r="BA26" i="9"/>
  <c r="BC26" i="9"/>
  <c r="AY26" i="9"/>
  <c r="AZ26" i="9" s="1"/>
  <c r="BA24" i="9"/>
  <c r="BC24" i="9"/>
  <c r="AY24" i="9"/>
  <c r="AZ24" i="9" s="1"/>
  <c r="BA22" i="9"/>
  <c r="BC22" i="9"/>
  <c r="AY22" i="9"/>
  <c r="AZ22" i="9" s="1"/>
  <c r="BA10" i="9"/>
  <c r="AY10" i="9"/>
  <c r="AZ10" i="9" s="1"/>
  <c r="BC10" i="9"/>
  <c r="BC12" i="8"/>
  <c r="BE12" i="8" s="1"/>
  <c r="BC31" i="8"/>
  <c r="BE31" i="8" s="1"/>
  <c r="BC18" i="8"/>
  <c r="BE18" i="8" s="1"/>
  <c r="BC20" i="8"/>
  <c r="BE20" i="8" s="1"/>
  <c r="BB15" i="8"/>
  <c r="BD15" i="8"/>
  <c r="AZ15" i="8"/>
  <c r="BA15" i="8" s="1"/>
  <c r="BD7" i="8"/>
  <c r="BB7" i="8"/>
  <c r="AZ7" i="8"/>
  <c r="BA7" i="8" s="1"/>
  <c r="BB21" i="8"/>
  <c r="BD21" i="8"/>
  <c r="AZ21" i="8"/>
  <c r="BA21" i="8" s="1"/>
  <c r="Z34" i="8"/>
  <c r="AT5" i="8"/>
  <c r="BB13" i="8"/>
  <c r="AZ13" i="8"/>
  <c r="BA13" i="8" s="1"/>
  <c r="BD13" i="8"/>
  <c r="AT21" i="8"/>
  <c r="BB16" i="8"/>
  <c r="AZ16" i="8"/>
  <c r="BA16" i="8" s="1"/>
  <c r="BD16" i="8"/>
  <c r="BB26" i="8"/>
  <c r="BD26" i="8"/>
  <c r="AZ26" i="8"/>
  <c r="BA26" i="8" s="1"/>
  <c r="BB22" i="8"/>
  <c r="AZ22" i="8"/>
  <c r="BA22" i="8" s="1"/>
  <c r="BD22" i="8"/>
  <c r="AT25" i="8"/>
  <c r="AS34" i="8"/>
  <c r="BB17" i="8"/>
  <c r="BD17" i="8"/>
  <c r="AZ17" i="8"/>
  <c r="BA17" i="8" s="1"/>
  <c r="BD11" i="8"/>
  <c r="AZ11" i="8"/>
  <c r="BA11" i="8" s="1"/>
  <c r="BB11" i="8"/>
  <c r="BD33" i="8"/>
  <c r="AZ33" i="8"/>
  <c r="BA33" i="8" s="1"/>
  <c r="BB33" i="8"/>
  <c r="AT10" i="8"/>
  <c r="BB10" i="8"/>
  <c r="BD10" i="8"/>
  <c r="AZ10" i="8"/>
  <c r="BA10" i="8" s="1"/>
  <c r="BB25" i="8"/>
  <c r="BD25" i="8"/>
  <c r="AZ25" i="8"/>
  <c r="BA25" i="8" s="1"/>
  <c r="AT23" i="8"/>
  <c r="BB32" i="8"/>
  <c r="BD32" i="8"/>
  <c r="AZ32" i="8"/>
  <c r="BA32" i="8" s="1"/>
  <c r="BB8" i="8"/>
  <c r="AZ8" i="8"/>
  <c r="BA8" i="8" s="1"/>
  <c r="BD8" i="8"/>
  <c r="BD28" i="8"/>
  <c r="AZ28" i="8"/>
  <c r="BA28" i="8" s="1"/>
  <c r="BB28" i="8"/>
  <c r="BD29" i="8"/>
  <c r="AZ29" i="8"/>
  <c r="BA29" i="8" s="1"/>
  <c r="BB29" i="8"/>
  <c r="BB24" i="8"/>
  <c r="AZ24" i="8"/>
  <c r="BA24" i="8" s="1"/>
  <c r="BD24" i="8"/>
  <c r="BB19" i="8"/>
  <c r="BD19" i="8"/>
  <c r="AZ19" i="8"/>
  <c r="BA19" i="8" s="1"/>
  <c r="BB9" i="8"/>
  <c r="AZ9" i="8"/>
  <c r="BA9" i="8" s="1"/>
  <c r="BD9" i="8"/>
  <c r="BD5" i="8"/>
  <c r="AZ5" i="8"/>
  <c r="BA5" i="8" s="1"/>
  <c r="BB5" i="8"/>
  <c r="BB23" i="8"/>
  <c r="BD23" i="8"/>
  <c r="AZ23" i="8"/>
  <c r="BA23" i="8" s="1"/>
  <c r="V34" i="8"/>
  <c r="AR5" i="6"/>
  <c r="BC13" i="6"/>
  <c r="AY13" i="6"/>
  <c r="AZ13" i="6" s="1"/>
  <c r="BA13" i="6"/>
  <c r="Y33" i="6"/>
  <c r="BC32" i="6"/>
  <c r="AY32" i="6"/>
  <c r="AZ32" i="6" s="1"/>
  <c r="BA32" i="6"/>
  <c r="BA16" i="6"/>
  <c r="BC16" i="6"/>
  <c r="AY16" i="6"/>
  <c r="AZ16" i="6" s="1"/>
  <c r="BA10" i="6"/>
  <c r="AY10" i="6"/>
  <c r="AZ10" i="6" s="1"/>
  <c r="BC10" i="6"/>
  <c r="BC12" i="6"/>
  <c r="AY12" i="6"/>
  <c r="AZ12" i="6" s="1"/>
  <c r="BA12" i="6"/>
  <c r="U33" i="6"/>
  <c r="AB33" i="6"/>
  <c r="BA24" i="6"/>
  <c r="AY24" i="6"/>
  <c r="AZ24" i="6" s="1"/>
  <c r="BC24" i="6"/>
  <c r="BA26" i="6"/>
  <c r="AY26" i="6"/>
  <c r="AZ26" i="6" s="1"/>
  <c r="BC26" i="6"/>
  <c r="BC29" i="6"/>
  <c r="AY29" i="6"/>
  <c r="AZ29" i="6" s="1"/>
  <c r="BA29" i="6"/>
  <c r="BC31" i="6"/>
  <c r="AY31" i="6"/>
  <c r="AZ31" i="6" s="1"/>
  <c r="BA31" i="6"/>
  <c r="BA6" i="6"/>
  <c r="AY6" i="6"/>
  <c r="AZ6" i="6" s="1"/>
  <c r="BC6" i="6"/>
  <c r="BA22" i="6"/>
  <c r="BC22" i="6"/>
  <c r="AY22" i="6"/>
  <c r="AZ22" i="6" s="1"/>
  <c r="BA18" i="6"/>
  <c r="AY18" i="6"/>
  <c r="AZ18" i="6" s="1"/>
  <c r="BC18" i="6"/>
  <c r="BA8" i="6"/>
  <c r="AY8" i="6"/>
  <c r="AZ8" i="6" s="1"/>
  <c r="BC8" i="6"/>
  <c r="BB14" i="6"/>
  <c r="BD14" i="6" s="1"/>
  <c r="AH14" i="6" s="1"/>
  <c r="AR14" i="6" s="1"/>
  <c r="AS14" i="6" s="1"/>
  <c r="BD32" i="5"/>
  <c r="AZ32" i="5"/>
  <c r="BA32" i="5" s="1"/>
  <c r="BB32" i="5"/>
  <c r="BB8" i="5"/>
  <c r="BD8" i="5"/>
  <c r="AZ8" i="5"/>
  <c r="BA8" i="5" s="1"/>
  <c r="BB24" i="5"/>
  <c r="AZ24" i="5"/>
  <c r="BA24" i="5" s="1"/>
  <c r="BD24" i="5"/>
  <c r="BB16" i="5"/>
  <c r="AZ16" i="5"/>
  <c r="BA16" i="5" s="1"/>
  <c r="BD16" i="5"/>
  <c r="BD7" i="5"/>
  <c r="BB7" i="5"/>
  <c r="AZ7" i="5"/>
  <c r="BA7" i="5" s="1"/>
  <c r="Z5" i="5"/>
  <c r="V33" i="5"/>
  <c r="BB10" i="5"/>
  <c r="BD10" i="5"/>
  <c r="AZ10" i="5"/>
  <c r="BA10" i="5" s="1"/>
  <c r="BB26" i="5"/>
  <c r="BD26" i="5"/>
  <c r="AZ26" i="5"/>
  <c r="BA26" i="5" s="1"/>
  <c r="BC15" i="5"/>
  <c r="BE15" i="5" s="1"/>
  <c r="AI15" i="5" s="1"/>
  <c r="AS15" i="5" s="1"/>
  <c r="AT15" i="5" s="1"/>
  <c r="BB5" i="5"/>
  <c r="BD5" i="5"/>
  <c r="AZ5" i="5"/>
  <c r="BA5" i="5" s="1"/>
  <c r="BD21" i="5"/>
  <c r="AZ21" i="5"/>
  <c r="BA21" i="5" s="1"/>
  <c r="BB21" i="5"/>
  <c r="AZ13" i="5"/>
  <c r="BA13" i="5" s="1"/>
  <c r="BB13" i="5"/>
  <c r="BD13" i="5"/>
  <c r="BB22" i="5"/>
  <c r="BD22" i="5"/>
  <c r="AZ22" i="5"/>
  <c r="BA22" i="5" s="1"/>
  <c r="BC19" i="5"/>
  <c r="BE19" i="5" s="1"/>
  <c r="AI19" i="5" s="1"/>
  <c r="AS19" i="5" s="1"/>
  <c r="AT19" i="5" s="1"/>
  <c r="BD6" i="5"/>
  <c r="AZ6" i="5"/>
  <c r="BA6" i="5" s="1"/>
  <c r="BB6" i="5"/>
  <c r="AC35" i="4"/>
  <c r="Z35" i="4"/>
  <c r="V35" i="4"/>
  <c r="BB32" i="3"/>
  <c r="BD32" i="3" s="1"/>
  <c r="AH32" i="3" s="1"/>
  <c r="AR32" i="3" s="1"/>
  <c r="AS32" i="3" s="1"/>
  <c r="BB9" i="3"/>
  <c r="BB6" i="3"/>
  <c r="BD6" i="3" s="1"/>
  <c r="AH6" i="3" s="1"/>
  <c r="AR6" i="3" s="1"/>
  <c r="AS6" i="3" s="1"/>
  <c r="BD20" i="3"/>
  <c r="AH20" i="3" s="1"/>
  <c r="AR20" i="3" s="1"/>
  <c r="AS20" i="3" s="1"/>
  <c r="BB18" i="3"/>
  <c r="BD18" i="3" s="1"/>
  <c r="AH18" i="3" s="1"/>
  <c r="AR18" i="3" s="1"/>
  <c r="AS18" i="3" s="1"/>
  <c r="BB16" i="3"/>
  <c r="BD16" i="3" s="1"/>
  <c r="AH16" i="3" s="1"/>
  <c r="AR16" i="3" s="1"/>
  <c r="AS16" i="3" s="1"/>
  <c r="BC12" i="3"/>
  <c r="BA12" i="3"/>
  <c r="AY12" i="3"/>
  <c r="AZ12" i="3" s="1"/>
  <c r="AY33" i="3"/>
  <c r="AZ33" i="3" s="1"/>
  <c r="BC33" i="3"/>
  <c r="BA33" i="3"/>
  <c r="BC22" i="3"/>
  <c r="AY22" i="3"/>
  <c r="AZ22" i="3" s="1"/>
  <c r="BA22" i="3"/>
  <c r="AY14" i="3"/>
  <c r="AZ14" i="3" s="1"/>
  <c r="BC14" i="3"/>
  <c r="BA14" i="3"/>
  <c r="AY30" i="3"/>
  <c r="AZ30" i="3" s="1"/>
  <c r="BC30" i="3"/>
  <c r="BA30" i="3"/>
  <c r="BA23" i="3"/>
  <c r="BC23" i="3"/>
  <c r="AY23" i="3"/>
  <c r="AZ23" i="3" s="1"/>
  <c r="BC11" i="3"/>
  <c r="AY11" i="3"/>
  <c r="AZ11" i="3" s="1"/>
  <c r="BA11" i="3"/>
  <c r="BC24" i="3"/>
  <c r="AY24" i="3"/>
  <c r="AZ24" i="3" s="1"/>
  <c r="BA24" i="3"/>
  <c r="BA25" i="3"/>
  <c r="BC25" i="3"/>
  <c r="AY25" i="3"/>
  <c r="AZ25" i="3" s="1"/>
  <c r="AB34" i="3"/>
  <c r="BA27" i="3"/>
  <c r="BC27" i="3"/>
  <c r="AY27" i="3"/>
  <c r="AZ27" i="3" s="1"/>
  <c r="Y34" i="3"/>
  <c r="BC28" i="3"/>
  <c r="AY28" i="3"/>
  <c r="AZ28" i="3" s="1"/>
  <c r="BA28" i="3"/>
  <c r="BA19" i="3"/>
  <c r="BC19" i="3"/>
  <c r="AY19" i="3"/>
  <c r="AZ19" i="3" s="1"/>
  <c r="R34" i="3"/>
  <c r="AW29" i="3"/>
  <c r="AX29" i="3" s="1"/>
  <c r="BB13" i="3"/>
  <c r="BD13" i="3" s="1"/>
  <c r="AH13" i="3" s="1"/>
  <c r="AR13" i="3" s="1"/>
  <c r="AS13" i="3" s="1"/>
  <c r="BC26" i="3"/>
  <c r="AY26" i="3"/>
  <c r="AZ26" i="3" s="1"/>
  <c r="BA26" i="3"/>
  <c r="BB5" i="3"/>
  <c r="BD5" i="3" s="1"/>
  <c r="AH5" i="3" s="1"/>
  <c r="AR5" i="3" s="1"/>
  <c r="AS5" i="3" s="1"/>
  <c r="U34" i="3"/>
  <c r="AZ26" i="2"/>
  <c r="BA26" i="2" s="1"/>
  <c r="BD26" i="2"/>
  <c r="BB26" i="2"/>
  <c r="BD30" i="2"/>
  <c r="AZ30" i="2"/>
  <c r="BA30" i="2" s="1"/>
  <c r="BB30" i="2"/>
  <c r="BB20" i="2"/>
  <c r="BD20" i="2"/>
  <c r="AZ20" i="2"/>
  <c r="BA20" i="2" s="1"/>
  <c r="BB10" i="2"/>
  <c r="BD10" i="2"/>
  <c r="AZ10" i="2"/>
  <c r="BA10" i="2" s="1"/>
  <c r="BB7" i="2"/>
  <c r="AZ7" i="2"/>
  <c r="BA7" i="2" s="1"/>
  <c r="BD7" i="2"/>
  <c r="BC18" i="2"/>
  <c r="BE18" i="2" s="1"/>
  <c r="AI18" i="2" s="1"/>
  <c r="AS18" i="2" s="1"/>
  <c r="AT18" i="2" s="1"/>
  <c r="BD15" i="2"/>
  <c r="AZ15" i="2"/>
  <c r="BA15" i="2" s="1"/>
  <c r="BB15" i="2"/>
  <c r="BD19" i="2"/>
  <c r="AZ19" i="2"/>
  <c r="BA19" i="2" s="1"/>
  <c r="BB19" i="2"/>
  <c r="BB16" i="2"/>
  <c r="AZ16" i="2"/>
  <c r="BA16" i="2" s="1"/>
  <c r="BD16" i="2"/>
  <c r="BC21" i="2"/>
  <c r="BE21" i="2" s="1"/>
  <c r="AI21" i="2" s="1"/>
  <c r="AS21" i="2" s="1"/>
  <c r="AT21" i="2" s="1"/>
  <c r="BD9" i="2"/>
  <c r="AZ9" i="2"/>
  <c r="BA9" i="2" s="1"/>
  <c r="BB9" i="2"/>
  <c r="AZ13" i="2"/>
  <c r="BA13" i="2" s="1"/>
  <c r="BD13" i="2"/>
  <c r="BB13" i="2"/>
  <c r="V34" i="2"/>
  <c r="Z5" i="2"/>
  <c r="BD33" i="2"/>
  <c r="AZ33" i="2"/>
  <c r="BA33" i="2" s="1"/>
  <c r="BB33" i="2"/>
  <c r="BB5" i="2"/>
  <c r="BD5" i="2"/>
  <c r="AZ5" i="2"/>
  <c r="BA5" i="2" s="1"/>
  <c r="BB29" i="1"/>
  <c r="BD29" i="1"/>
  <c r="AZ29" i="1"/>
  <c r="BA29" i="1" s="1"/>
  <c r="BB28" i="1"/>
  <c r="AZ28" i="1"/>
  <c r="BA28" i="1" s="1"/>
  <c r="BD28" i="1"/>
  <c r="BC22" i="1"/>
  <c r="BE22" i="1" s="1"/>
  <c r="AI22" i="1" s="1"/>
  <c r="AS22" i="1" s="1"/>
  <c r="AT22" i="1" s="1"/>
  <c r="BB7" i="1"/>
  <c r="BD7" i="1"/>
  <c r="AZ7" i="1"/>
  <c r="BA7" i="1" s="1"/>
  <c r="BB20" i="1"/>
  <c r="AZ20" i="1"/>
  <c r="BA20" i="1" s="1"/>
  <c r="BD20" i="1"/>
  <c r="BB16" i="1"/>
  <c r="BD16" i="1"/>
  <c r="AZ16" i="1"/>
  <c r="BA16" i="1" s="1"/>
  <c r="BB26" i="1"/>
  <c r="BD26" i="1"/>
  <c r="AZ26" i="1"/>
  <c r="BA26" i="1" s="1"/>
  <c r="BD12" i="1"/>
  <c r="AZ12" i="1"/>
  <c r="BA12" i="1" s="1"/>
  <c r="BB12" i="1"/>
  <c r="BD19" i="1"/>
  <c r="BB19" i="1"/>
  <c r="AZ19" i="1"/>
  <c r="BA19" i="1" s="1"/>
  <c r="BB10" i="1"/>
  <c r="BD10" i="1"/>
  <c r="AZ10" i="1"/>
  <c r="BA10" i="1" s="1"/>
  <c r="BD15" i="1"/>
  <c r="AZ15" i="1"/>
  <c r="BA15" i="1" s="1"/>
  <c r="BB15" i="1"/>
  <c r="BD25" i="1"/>
  <c r="AZ25" i="1"/>
  <c r="BA25" i="1" s="1"/>
  <c r="BB25" i="1"/>
  <c r="Z5" i="1"/>
  <c r="V34" i="1"/>
  <c r="AZ31" i="1"/>
  <c r="BA31" i="1" s="1"/>
  <c r="BD31" i="1"/>
  <c r="BB31" i="1"/>
  <c r="BB24" i="1"/>
  <c r="AZ24" i="1"/>
  <c r="BA24" i="1" s="1"/>
  <c r="BD24" i="1"/>
  <c r="BD18" i="1"/>
  <c r="AZ18" i="1"/>
  <c r="BA18" i="1" s="1"/>
  <c r="BB18" i="1"/>
  <c r="BB5" i="1"/>
  <c r="BD5" i="1"/>
  <c r="AZ5" i="1"/>
  <c r="BA5" i="1" s="1"/>
  <c r="BC23" i="1"/>
  <c r="BE23" i="1" s="1"/>
  <c r="AI23" i="1" s="1"/>
  <c r="AS23" i="1" s="1"/>
  <c r="AT23" i="1" s="1"/>
  <c r="BC23" i="2" l="1"/>
  <c r="BE23" i="2" s="1"/>
  <c r="AI23" i="2" s="1"/>
  <c r="AS23" i="2" s="1"/>
  <c r="AT23" i="2" s="1"/>
  <c r="BD9" i="3"/>
  <c r="AH9" i="3" s="1"/>
  <c r="AR9" i="3" s="1"/>
  <c r="AS9" i="3" s="1"/>
  <c r="BB7" i="3"/>
  <c r="BD7" i="3" s="1"/>
  <c r="AH7" i="3" s="1"/>
  <c r="AR7" i="3" s="1"/>
  <c r="AS7" i="3" s="1"/>
  <c r="BC31" i="4"/>
  <c r="BE31" i="4" s="1"/>
  <c r="AI31" i="4" s="1"/>
  <c r="AS31" i="4" s="1"/>
  <c r="AT31" i="4" s="1"/>
  <c r="BC19" i="4"/>
  <c r="BE19" i="4" s="1"/>
  <c r="AI19" i="4" s="1"/>
  <c r="AS19" i="4" s="1"/>
  <c r="AT19" i="4" s="1"/>
  <c r="BC30" i="5"/>
  <c r="BE30" i="5" s="1"/>
  <c r="AI30" i="5" s="1"/>
  <c r="AS30" i="5" s="1"/>
  <c r="AT30" i="5" s="1"/>
  <c r="BD19" i="11"/>
  <c r="BF19" i="11" s="1"/>
  <c r="AJ19" i="11" s="1"/>
  <c r="AT19" i="11" s="1"/>
  <c r="AU19" i="11" s="1"/>
  <c r="BE18" i="12"/>
  <c r="AI18" i="12" s="1"/>
  <c r="AS18" i="12" s="1"/>
  <c r="AT18" i="12" s="1"/>
  <c r="BE6" i="8"/>
  <c r="BC24" i="1"/>
  <c r="BE24" i="1" s="1"/>
  <c r="AI24" i="1" s="1"/>
  <c r="AS24" i="1" s="1"/>
  <c r="AT24" i="1" s="1"/>
  <c r="BC19" i="1"/>
  <c r="BC15" i="1"/>
  <c r="BE15" i="1" s="1"/>
  <c r="AI15" i="1" s="1"/>
  <c r="AS15" i="1" s="1"/>
  <c r="AT15" i="1" s="1"/>
  <c r="BC14" i="4"/>
  <c r="BE14" i="4" s="1"/>
  <c r="AI14" i="4" s="1"/>
  <c r="AS14" i="4" s="1"/>
  <c r="AT14" i="4" s="1"/>
  <c r="BB28" i="10"/>
  <c r="BB25" i="3"/>
  <c r="BD25" i="3" s="1"/>
  <c r="AH25" i="3" s="1"/>
  <c r="AR25" i="3" s="1"/>
  <c r="AS25" i="3" s="1"/>
  <c r="BC22" i="5"/>
  <c r="BE22" i="5" s="1"/>
  <c r="AI22" i="5" s="1"/>
  <c r="AS22" i="5" s="1"/>
  <c r="AT22" i="5" s="1"/>
  <c r="BB31" i="6"/>
  <c r="BD31" i="6" s="1"/>
  <c r="AH31" i="6" s="1"/>
  <c r="AR31" i="6" s="1"/>
  <c r="AS31" i="6" s="1"/>
  <c r="BD25" i="11"/>
  <c r="BB16" i="6"/>
  <c r="BD16" i="6" s="1"/>
  <c r="AH16" i="6" s="1"/>
  <c r="AR16" i="6" s="1"/>
  <c r="AS16" i="6" s="1"/>
  <c r="BB13" i="9"/>
  <c r="BD13" i="9" s="1"/>
  <c r="AH13" i="9" s="1"/>
  <c r="AR13" i="9" s="1"/>
  <c r="AS13" i="9" s="1"/>
  <c r="BD22" i="11"/>
  <c r="BF22" i="11" s="1"/>
  <c r="AJ22" i="11" s="1"/>
  <c r="AT22" i="11" s="1"/>
  <c r="AU22" i="11" s="1"/>
  <c r="BB6" i="9"/>
  <c r="BC29" i="5"/>
  <c r="BE29" i="5" s="1"/>
  <c r="AI29" i="5" s="1"/>
  <c r="AS29" i="5" s="1"/>
  <c r="AT29" i="5" s="1"/>
  <c r="BB12" i="6"/>
  <c r="BD12" i="6" s="1"/>
  <c r="AH12" i="6" s="1"/>
  <c r="AR12" i="6" s="1"/>
  <c r="AS12" i="6" s="1"/>
  <c r="BD6" i="11"/>
  <c r="BF6" i="11" s="1"/>
  <c r="AJ6" i="11" s="1"/>
  <c r="AT6" i="11" s="1"/>
  <c r="AU6" i="11" s="1"/>
  <c r="BC7" i="2"/>
  <c r="BE7" i="2" s="1"/>
  <c r="AI7" i="2" s="1"/>
  <c r="AS7" i="2" s="1"/>
  <c r="AT7" i="2" s="1"/>
  <c r="BC23" i="12"/>
  <c r="BE23" i="12" s="1"/>
  <c r="AI23" i="12" s="1"/>
  <c r="AS23" i="12" s="1"/>
  <c r="AT23" i="12" s="1"/>
  <c r="BC32" i="8"/>
  <c r="BE32" i="8" s="1"/>
  <c r="BC25" i="8"/>
  <c r="BE25" i="8" s="1"/>
  <c r="BC21" i="12"/>
  <c r="BE21" i="12" s="1"/>
  <c r="AI21" i="12" s="1"/>
  <c r="AS21" i="12" s="1"/>
  <c r="AT21" i="12" s="1"/>
  <c r="AS33" i="13"/>
  <c r="AT5" i="13"/>
  <c r="AT33" i="13" s="1"/>
  <c r="BB11" i="10"/>
  <c r="BD11" i="10" s="1"/>
  <c r="AH11" i="10" s="1"/>
  <c r="BC16" i="1"/>
  <c r="BE16" i="1" s="1"/>
  <c r="AI16" i="1" s="1"/>
  <c r="AS16" i="1" s="1"/>
  <c r="AT16" i="1" s="1"/>
  <c r="BC20" i="1"/>
  <c r="BE20" i="1" s="1"/>
  <c r="AI20" i="1" s="1"/>
  <c r="AS20" i="1" s="1"/>
  <c r="AT20" i="1" s="1"/>
  <c r="BC20" i="2"/>
  <c r="BE20" i="2" s="1"/>
  <c r="AI20" i="2" s="1"/>
  <c r="AS20" i="2" s="1"/>
  <c r="AT20" i="2" s="1"/>
  <c r="BC6" i="5"/>
  <c r="BB14" i="10"/>
  <c r="BD14" i="10" s="1"/>
  <c r="AH14" i="10" s="1"/>
  <c r="AR14" i="10" s="1"/>
  <c r="AS14" i="10" s="1"/>
  <c r="BC8" i="12"/>
  <c r="BE8" i="12" s="1"/>
  <c r="AI8" i="12" s="1"/>
  <c r="AS8" i="12" s="1"/>
  <c r="AT8" i="12" s="1"/>
  <c r="BC20" i="12"/>
  <c r="BE20" i="12" s="1"/>
  <c r="AI20" i="12" s="1"/>
  <c r="AS20" i="12" s="1"/>
  <c r="AT20" i="12" s="1"/>
  <c r="BC22" i="12"/>
  <c r="BE22" i="12" s="1"/>
  <c r="AI22" i="12" s="1"/>
  <c r="AS22" i="12" s="1"/>
  <c r="AT22" i="12" s="1"/>
  <c r="BC22" i="4"/>
  <c r="BE22" i="4" s="1"/>
  <c r="AI22" i="4" s="1"/>
  <c r="AS22" i="4" s="1"/>
  <c r="AT22" i="4" s="1"/>
  <c r="BC18" i="4"/>
  <c r="BE18" i="4" s="1"/>
  <c r="AI18" i="4" s="1"/>
  <c r="AS18" i="4" s="1"/>
  <c r="AT18" i="4" s="1"/>
  <c r="BC26" i="1"/>
  <c r="BE26" i="1" s="1"/>
  <c r="AI26" i="1" s="1"/>
  <c r="AS26" i="1" s="1"/>
  <c r="AT26" i="1" s="1"/>
  <c r="BC13" i="2"/>
  <c r="BE13" i="2" s="1"/>
  <c r="AI13" i="2" s="1"/>
  <c r="AS13" i="2" s="1"/>
  <c r="AT13" i="2" s="1"/>
  <c r="BC10" i="2"/>
  <c r="BE10" i="2" s="1"/>
  <c r="AI10" i="2" s="1"/>
  <c r="AS10" i="2" s="1"/>
  <c r="AT10" i="2" s="1"/>
  <c r="BB33" i="3"/>
  <c r="BD33" i="3" s="1"/>
  <c r="AH33" i="3" s="1"/>
  <c r="AR33" i="3" s="1"/>
  <c r="AS33" i="3" s="1"/>
  <c r="BB32" i="9"/>
  <c r="BF25" i="11"/>
  <c r="AJ25" i="11" s="1"/>
  <c r="AT25" i="11" s="1"/>
  <c r="AU25" i="11" s="1"/>
  <c r="BC10" i="4"/>
  <c r="BE10" i="4" s="1"/>
  <c r="AI10" i="4" s="1"/>
  <c r="AS10" i="4" s="1"/>
  <c r="AT10" i="4" s="1"/>
  <c r="BC11" i="5"/>
  <c r="BE11" i="5" s="1"/>
  <c r="AI11" i="5" s="1"/>
  <c r="AS11" i="5" s="1"/>
  <c r="AT11" i="5" s="1"/>
  <c r="BD30" i="9"/>
  <c r="AH30" i="9" s="1"/>
  <c r="AR30" i="9" s="1"/>
  <c r="AS30" i="9" s="1"/>
  <c r="BC26" i="12"/>
  <c r="BE26" i="12" s="1"/>
  <c r="AI26" i="12" s="1"/>
  <c r="AS26" i="12" s="1"/>
  <c r="AT26" i="12" s="1"/>
  <c r="BC16" i="12"/>
  <c r="BE16" i="12" s="1"/>
  <c r="AI16" i="12" s="1"/>
  <c r="AS16" i="12" s="1"/>
  <c r="AT16" i="12" s="1"/>
  <c r="BC12" i="12"/>
  <c r="BE12" i="12" s="1"/>
  <c r="AI12" i="12" s="1"/>
  <c r="AS12" i="12" s="1"/>
  <c r="AT12" i="12" s="1"/>
  <c r="BC24" i="12"/>
  <c r="BE24" i="12" s="1"/>
  <c r="AI24" i="12" s="1"/>
  <c r="AS24" i="12" s="1"/>
  <c r="AT24" i="12" s="1"/>
  <c r="BD26" i="11"/>
  <c r="BD24" i="11"/>
  <c r="BF24" i="11" s="1"/>
  <c r="AJ24" i="11" s="1"/>
  <c r="AT24" i="11" s="1"/>
  <c r="AU24" i="11" s="1"/>
  <c r="BD10" i="11"/>
  <c r="BF10" i="11" s="1"/>
  <c r="AJ10" i="11" s="1"/>
  <c r="AT10" i="11" s="1"/>
  <c r="AU10" i="11" s="1"/>
  <c r="BD14" i="11"/>
  <c r="BB22" i="9"/>
  <c r="BD22" i="9" s="1"/>
  <c r="AH22" i="9" s="1"/>
  <c r="AR22" i="9" s="1"/>
  <c r="AS22" i="9" s="1"/>
  <c r="BB15" i="9"/>
  <c r="BD15" i="9" s="1"/>
  <c r="AH15" i="9" s="1"/>
  <c r="AR15" i="9" s="1"/>
  <c r="AS15" i="9" s="1"/>
  <c r="BB10" i="9"/>
  <c r="BD10" i="9" s="1"/>
  <c r="AH10" i="9" s="1"/>
  <c r="AR10" i="9" s="1"/>
  <c r="AS10" i="9" s="1"/>
  <c r="BB8" i="9"/>
  <c r="BD8" i="9" s="1"/>
  <c r="AH8" i="9" s="1"/>
  <c r="AR8" i="9" s="1"/>
  <c r="AS8" i="9" s="1"/>
  <c r="BB26" i="9"/>
  <c r="BD26" i="9" s="1"/>
  <c r="AH26" i="9" s="1"/>
  <c r="AR26" i="9" s="1"/>
  <c r="AS26" i="9" s="1"/>
  <c r="BB24" i="9"/>
  <c r="BD24" i="9" s="1"/>
  <c r="AH24" i="9" s="1"/>
  <c r="AR24" i="9" s="1"/>
  <c r="AS24" i="9" s="1"/>
  <c r="BB27" i="9"/>
  <c r="BD27" i="9" s="1"/>
  <c r="AH27" i="9" s="1"/>
  <c r="AR27" i="9" s="1"/>
  <c r="AS27" i="9" s="1"/>
  <c r="BB18" i="6"/>
  <c r="BD18" i="6" s="1"/>
  <c r="AH18" i="6" s="1"/>
  <c r="AR18" i="6" s="1"/>
  <c r="AS18" i="6" s="1"/>
  <c r="BB24" i="6"/>
  <c r="BD24" i="6" s="1"/>
  <c r="AH24" i="6" s="1"/>
  <c r="AR24" i="6" s="1"/>
  <c r="AS24" i="6" s="1"/>
  <c r="BB26" i="6"/>
  <c r="BD26" i="6" s="1"/>
  <c r="AH26" i="6" s="1"/>
  <c r="AR26" i="6" s="1"/>
  <c r="AS26" i="6" s="1"/>
  <c r="BC8" i="5"/>
  <c r="BE8" i="5" s="1"/>
  <c r="AI8" i="5" s="1"/>
  <c r="AS8" i="5" s="1"/>
  <c r="AT8" i="5" s="1"/>
  <c r="BC6" i="4"/>
  <c r="BE6" i="4" s="1"/>
  <c r="AI6" i="4" s="1"/>
  <c r="AS6" i="4" s="1"/>
  <c r="AT6" i="4" s="1"/>
  <c r="BC34" i="4"/>
  <c r="BE34" i="4" s="1"/>
  <c r="AI34" i="4" s="1"/>
  <c r="AS34" i="4" s="1"/>
  <c r="AT34" i="4" s="1"/>
  <c r="BC30" i="4"/>
  <c r="BE30" i="4" s="1"/>
  <c r="AI30" i="4" s="1"/>
  <c r="AS30" i="4" s="1"/>
  <c r="AT30" i="4" s="1"/>
  <c r="BB24" i="3"/>
  <c r="BD24" i="3" s="1"/>
  <c r="AH24" i="3" s="1"/>
  <c r="AR24" i="3" s="1"/>
  <c r="AS24" i="3" s="1"/>
  <c r="BB19" i="3"/>
  <c r="BD19" i="3" s="1"/>
  <c r="AH19" i="3" s="1"/>
  <c r="AR19" i="3" s="1"/>
  <c r="AS19" i="3" s="1"/>
  <c r="BB28" i="3"/>
  <c r="BD28" i="3" s="1"/>
  <c r="AH28" i="3" s="1"/>
  <c r="AR28" i="3" s="1"/>
  <c r="AS28" i="3" s="1"/>
  <c r="BB30" i="3"/>
  <c r="BD30" i="3" s="1"/>
  <c r="AH30" i="3" s="1"/>
  <c r="AR30" i="3" s="1"/>
  <c r="AS30" i="3" s="1"/>
  <c r="BC15" i="2"/>
  <c r="BE15" i="2" s="1"/>
  <c r="AI15" i="2" s="1"/>
  <c r="AS15" i="2" s="1"/>
  <c r="AT15" i="2" s="1"/>
  <c r="BC30" i="2"/>
  <c r="BE30" i="2" s="1"/>
  <c r="AI30" i="2" s="1"/>
  <c r="AS30" i="2" s="1"/>
  <c r="AT30" i="2" s="1"/>
  <c r="BE19" i="1"/>
  <c r="AI19" i="1" s="1"/>
  <c r="AS19" i="1" s="1"/>
  <c r="AT19" i="1" s="1"/>
  <c r="BC12" i="1"/>
  <c r="BE12" i="1" s="1"/>
  <c r="AI12" i="1" s="1"/>
  <c r="AS12" i="1" s="1"/>
  <c r="AT12" i="1" s="1"/>
  <c r="BC10" i="1"/>
  <c r="BE10" i="1" s="1"/>
  <c r="AI10" i="1" s="1"/>
  <c r="AS10" i="1" s="1"/>
  <c r="AT10" i="1" s="1"/>
  <c r="BC29" i="1"/>
  <c r="BE29" i="1" s="1"/>
  <c r="AI29" i="1" s="1"/>
  <c r="AS29" i="1" s="1"/>
  <c r="AT29" i="1" s="1"/>
  <c r="BC25" i="1"/>
  <c r="BE25" i="1" s="1"/>
  <c r="AI25" i="1" s="1"/>
  <c r="AS25" i="1" s="1"/>
  <c r="AT25" i="1" s="1"/>
  <c r="BE6" i="5"/>
  <c r="AI6" i="5" s="1"/>
  <c r="AS6" i="5" s="1"/>
  <c r="AT6" i="5" s="1"/>
  <c r="BC21" i="5"/>
  <c r="BE21" i="5" s="1"/>
  <c r="AI21" i="5" s="1"/>
  <c r="AS21" i="5" s="1"/>
  <c r="AT21" i="5" s="1"/>
  <c r="BB32" i="6"/>
  <c r="BD32" i="6" s="1"/>
  <c r="AH32" i="6" s="1"/>
  <c r="AR32" i="6" s="1"/>
  <c r="AS32" i="6" s="1"/>
  <c r="BB17" i="9"/>
  <c r="BD17" i="9" s="1"/>
  <c r="AH17" i="9" s="1"/>
  <c r="AR17" i="9" s="1"/>
  <c r="AS17" i="9" s="1"/>
  <c r="BB25" i="9"/>
  <c r="BD25" i="9" s="1"/>
  <c r="AH25" i="9" s="1"/>
  <c r="AR25" i="9" s="1"/>
  <c r="AS25" i="9" s="1"/>
  <c r="BD23" i="11"/>
  <c r="BF23" i="11" s="1"/>
  <c r="AJ23" i="11" s="1"/>
  <c r="AT23" i="11" s="1"/>
  <c r="AU23" i="11" s="1"/>
  <c r="BF14" i="11"/>
  <c r="AJ14" i="11" s="1"/>
  <c r="AT14" i="11" s="1"/>
  <c r="AU14" i="11" s="1"/>
  <c r="BC16" i="4"/>
  <c r="BE16" i="4" s="1"/>
  <c r="AI16" i="4" s="1"/>
  <c r="AS16" i="4" s="1"/>
  <c r="AT16" i="4" s="1"/>
  <c r="BC20" i="4"/>
  <c r="BE20" i="4" s="1"/>
  <c r="AI20" i="4" s="1"/>
  <c r="AS20" i="4" s="1"/>
  <c r="AT20" i="4" s="1"/>
  <c r="BC18" i="1"/>
  <c r="BE18" i="1" s="1"/>
  <c r="AI18" i="1" s="1"/>
  <c r="AS18" i="1" s="1"/>
  <c r="AT18" i="1" s="1"/>
  <c r="BC7" i="1"/>
  <c r="BE7" i="1" s="1"/>
  <c r="AI7" i="1" s="1"/>
  <c r="AS7" i="1" s="1"/>
  <c r="AT7" i="1" s="1"/>
  <c r="BC9" i="2"/>
  <c r="BE9" i="2" s="1"/>
  <c r="AI9" i="2" s="1"/>
  <c r="AS9" i="2" s="1"/>
  <c r="AT9" i="2" s="1"/>
  <c r="BC10" i="5"/>
  <c r="BE10" i="5" s="1"/>
  <c r="AI10" i="5" s="1"/>
  <c r="AS10" i="5" s="1"/>
  <c r="AT10" i="5" s="1"/>
  <c r="BC32" i="5"/>
  <c r="BE32" i="5" s="1"/>
  <c r="AI32" i="5" s="1"/>
  <c r="AS32" i="5" s="1"/>
  <c r="AT32" i="5" s="1"/>
  <c r="BB8" i="6"/>
  <c r="BD8" i="6" s="1"/>
  <c r="AH8" i="6" s="1"/>
  <c r="AR8" i="6" s="1"/>
  <c r="AS8" i="6" s="1"/>
  <c r="BB23" i="9"/>
  <c r="BD23" i="9" s="1"/>
  <c r="AH23" i="9" s="1"/>
  <c r="AR23" i="9" s="1"/>
  <c r="AS23" i="9" s="1"/>
  <c r="BB31" i="10"/>
  <c r="BD31" i="10" s="1"/>
  <c r="AH31" i="10" s="1"/>
  <c r="AR31" i="10" s="1"/>
  <c r="AS31" i="10" s="1"/>
  <c r="BB21" i="10"/>
  <c r="BD21" i="10" s="1"/>
  <c r="AH21" i="10" s="1"/>
  <c r="AR21" i="10" s="1"/>
  <c r="AS21" i="10" s="1"/>
  <c r="BC13" i="12"/>
  <c r="BE13" i="12" s="1"/>
  <c r="AI13" i="12" s="1"/>
  <c r="AS13" i="12" s="1"/>
  <c r="AT13" i="12" s="1"/>
  <c r="BC25" i="12"/>
  <c r="BE25" i="12" s="1"/>
  <c r="AI25" i="12" s="1"/>
  <c r="AS25" i="12" s="1"/>
  <c r="AT25" i="12" s="1"/>
  <c r="BC19" i="12"/>
  <c r="BE19" i="12" s="1"/>
  <c r="AI19" i="12" s="1"/>
  <c r="AS19" i="12" s="1"/>
  <c r="AT19" i="12" s="1"/>
  <c r="BC15" i="12"/>
  <c r="BE15" i="12" s="1"/>
  <c r="AI15" i="12" s="1"/>
  <c r="AS15" i="12" s="1"/>
  <c r="AT15" i="12" s="1"/>
  <c r="BC12" i="4"/>
  <c r="BE12" i="4" s="1"/>
  <c r="AI12" i="4" s="1"/>
  <c r="AS12" i="4" s="1"/>
  <c r="AT12" i="4" s="1"/>
  <c r="BB29" i="6"/>
  <c r="BD29" i="6" s="1"/>
  <c r="AH29" i="6" s="1"/>
  <c r="AR29" i="6" s="1"/>
  <c r="AS29" i="6" s="1"/>
  <c r="BB29" i="10"/>
  <c r="BD29" i="10" s="1"/>
  <c r="AH29" i="10" s="1"/>
  <c r="AR29" i="10" s="1"/>
  <c r="AS29" i="10" s="1"/>
  <c r="BC28" i="12"/>
  <c r="BE28" i="12" s="1"/>
  <c r="AI28" i="12" s="1"/>
  <c r="AS28" i="12" s="1"/>
  <c r="AT28" i="12" s="1"/>
  <c r="BC8" i="4"/>
  <c r="BE8" i="4" s="1"/>
  <c r="AI8" i="4" s="1"/>
  <c r="AS8" i="4" s="1"/>
  <c r="AT8" i="4" s="1"/>
  <c r="BC28" i="1"/>
  <c r="BE28" i="1" s="1"/>
  <c r="AI28" i="1" s="1"/>
  <c r="AS28" i="1" s="1"/>
  <c r="AT28" i="1" s="1"/>
  <c r="BC16" i="2"/>
  <c r="BE16" i="2" s="1"/>
  <c r="AI16" i="2" s="1"/>
  <c r="AS16" i="2" s="1"/>
  <c r="AT16" i="2" s="1"/>
  <c r="BC26" i="2"/>
  <c r="BE26" i="2" s="1"/>
  <c r="AI26" i="2" s="1"/>
  <c r="AS26" i="2" s="1"/>
  <c r="AT26" i="2" s="1"/>
  <c r="BB27" i="3"/>
  <c r="BD27" i="3" s="1"/>
  <c r="AH27" i="3" s="1"/>
  <c r="AR27" i="3" s="1"/>
  <c r="AS27" i="3" s="1"/>
  <c r="BB23" i="3"/>
  <c r="BD23" i="3" s="1"/>
  <c r="AH23" i="3" s="1"/>
  <c r="AR23" i="3" s="1"/>
  <c r="AS23" i="3" s="1"/>
  <c r="BB14" i="3"/>
  <c r="BD14" i="3" s="1"/>
  <c r="AH14" i="3" s="1"/>
  <c r="AR14" i="3" s="1"/>
  <c r="AS14" i="3" s="1"/>
  <c r="BC5" i="5"/>
  <c r="BE5" i="5" s="1"/>
  <c r="AI5" i="5" s="1"/>
  <c r="AS5" i="5" s="1"/>
  <c r="BC26" i="5"/>
  <c r="BE26" i="5" s="1"/>
  <c r="AI26" i="5" s="1"/>
  <c r="AS26" i="5" s="1"/>
  <c r="AT26" i="5" s="1"/>
  <c r="BC7" i="5"/>
  <c r="BE7" i="5" s="1"/>
  <c r="AI7" i="5" s="1"/>
  <c r="AS7" i="5" s="1"/>
  <c r="AT7" i="5" s="1"/>
  <c r="BC24" i="5"/>
  <c r="BE24" i="5" s="1"/>
  <c r="AI24" i="5" s="1"/>
  <c r="AS24" i="5" s="1"/>
  <c r="AT24" i="5" s="1"/>
  <c r="BB19" i="10"/>
  <c r="BD19" i="10" s="1"/>
  <c r="AH19" i="10" s="1"/>
  <c r="AR19" i="10" s="1"/>
  <c r="AS19" i="10" s="1"/>
  <c r="BD28" i="10"/>
  <c r="AH28" i="10" s="1"/>
  <c r="AR28" i="10" s="1"/>
  <c r="AS28" i="10" s="1"/>
  <c r="BD27" i="11"/>
  <c r="BF27" i="11" s="1"/>
  <c r="AJ27" i="11" s="1"/>
  <c r="AT27" i="11" s="1"/>
  <c r="AU27" i="11" s="1"/>
  <c r="BC27" i="12"/>
  <c r="BE27" i="12" s="1"/>
  <c r="AI27" i="12" s="1"/>
  <c r="AS27" i="12" s="1"/>
  <c r="AT27" i="12" s="1"/>
  <c r="BC33" i="4"/>
  <c r="BE33" i="4" s="1"/>
  <c r="AI33" i="4" s="1"/>
  <c r="AS33" i="4" s="1"/>
  <c r="AT33" i="4" s="1"/>
  <c r="BC11" i="4"/>
  <c r="BE11" i="4" s="1"/>
  <c r="AI11" i="4" s="1"/>
  <c r="AS11" i="4" s="1"/>
  <c r="AT11" i="4" s="1"/>
  <c r="BB28" i="4"/>
  <c r="AZ28" i="4"/>
  <c r="BA28" i="4" s="1"/>
  <c r="BD28" i="4"/>
  <c r="Z33" i="12"/>
  <c r="BC6" i="12"/>
  <c r="BE6" i="12" s="1"/>
  <c r="AI6" i="12" s="1"/>
  <c r="AS6" i="12" s="1"/>
  <c r="AT6" i="12" s="1"/>
  <c r="BC5" i="12"/>
  <c r="BE5" i="12" s="1"/>
  <c r="AI5" i="12" s="1"/>
  <c r="BC10" i="12"/>
  <c r="BE10" i="12" s="1"/>
  <c r="AI10" i="12" s="1"/>
  <c r="AS10" i="12" s="1"/>
  <c r="AT10" i="12" s="1"/>
  <c r="BC22" i="8"/>
  <c r="BE22" i="8" s="1"/>
  <c r="BC5" i="8"/>
  <c r="BC13" i="8"/>
  <c r="BE13" i="8" s="1"/>
  <c r="BF26" i="11"/>
  <c r="AJ26" i="11" s="1"/>
  <c r="AT26" i="11" s="1"/>
  <c r="AU26" i="11" s="1"/>
  <c r="BD5" i="11"/>
  <c r="BF5" i="11" s="1"/>
  <c r="AJ5" i="11" s="1"/>
  <c r="AT5" i="11" s="1"/>
  <c r="AU5" i="11" s="1"/>
  <c r="BD7" i="11"/>
  <c r="BF7" i="11" s="1"/>
  <c r="AJ7" i="11" s="1"/>
  <c r="AT7" i="11" s="1"/>
  <c r="AU7" i="11" s="1"/>
  <c r="AA33" i="11"/>
  <c r="BC17" i="8"/>
  <c r="BE17" i="8" s="1"/>
  <c r="BC28" i="8"/>
  <c r="BE28" i="8" s="1"/>
  <c r="AR11" i="10"/>
  <c r="AS11" i="10" s="1"/>
  <c r="BB12" i="10"/>
  <c r="BD12" i="10" s="1"/>
  <c r="AH12" i="10" s="1"/>
  <c r="AR12" i="10" s="1"/>
  <c r="AS12" i="10" s="1"/>
  <c r="BB17" i="10"/>
  <c r="BD17" i="10" s="1"/>
  <c r="AH17" i="10" s="1"/>
  <c r="AR17" i="10" s="1"/>
  <c r="AS17" i="10" s="1"/>
  <c r="BB23" i="10"/>
  <c r="BD23" i="10" s="1"/>
  <c r="AH23" i="10" s="1"/>
  <c r="AR23" i="10" s="1"/>
  <c r="AS23" i="10" s="1"/>
  <c r="BC10" i="8"/>
  <c r="BE10" i="8" s="1"/>
  <c r="BC11" i="8"/>
  <c r="BE11" i="8" s="1"/>
  <c r="BC21" i="8"/>
  <c r="BE21" i="8" s="1"/>
  <c r="Y33" i="9"/>
  <c r="AS5" i="9"/>
  <c r="BD6" i="9"/>
  <c r="AH6" i="9" s="1"/>
  <c r="BD32" i="9"/>
  <c r="AH32" i="9" s="1"/>
  <c r="AR32" i="9" s="1"/>
  <c r="AS32" i="9" s="1"/>
  <c r="BB16" i="9"/>
  <c r="BD16" i="9" s="1"/>
  <c r="AH16" i="9" s="1"/>
  <c r="AR16" i="9" s="1"/>
  <c r="AS16" i="9" s="1"/>
  <c r="BE5" i="8"/>
  <c r="BC19" i="8"/>
  <c r="BE19" i="8" s="1"/>
  <c r="BC24" i="8"/>
  <c r="BE24" i="8" s="1"/>
  <c r="BC15" i="8"/>
  <c r="BE15" i="8" s="1"/>
  <c r="BC33" i="8"/>
  <c r="BE33" i="8" s="1"/>
  <c r="BC23" i="8"/>
  <c r="BE23" i="8" s="1"/>
  <c r="BC26" i="8"/>
  <c r="BE26" i="8" s="1"/>
  <c r="BC16" i="8"/>
  <c r="BE16" i="8" s="1"/>
  <c r="BC7" i="8"/>
  <c r="BE7" i="8" s="1"/>
  <c r="BC29" i="8"/>
  <c r="BE29" i="8" s="1"/>
  <c r="AT34" i="8"/>
  <c r="BC9" i="8"/>
  <c r="BE9" i="8" s="1"/>
  <c r="BC8" i="8"/>
  <c r="BE8" i="8" s="1"/>
  <c r="BB22" i="6"/>
  <c r="BD22" i="6" s="1"/>
  <c r="AH22" i="6" s="1"/>
  <c r="AR22" i="6" s="1"/>
  <c r="AS22" i="6" s="1"/>
  <c r="BB6" i="6"/>
  <c r="BD6" i="6" s="1"/>
  <c r="AH6" i="6" s="1"/>
  <c r="BB10" i="6"/>
  <c r="BD10" i="6" s="1"/>
  <c r="AH10" i="6" s="1"/>
  <c r="AR10" i="6" s="1"/>
  <c r="AS10" i="6" s="1"/>
  <c r="BB13" i="6"/>
  <c r="BD13" i="6" s="1"/>
  <c r="AH13" i="6" s="1"/>
  <c r="AR13" i="6" s="1"/>
  <c r="AS13" i="6" s="1"/>
  <c r="AS5" i="6"/>
  <c r="Z33" i="5"/>
  <c r="BC16" i="5"/>
  <c r="BE16" i="5" s="1"/>
  <c r="AI16" i="5" s="1"/>
  <c r="AS16" i="5" s="1"/>
  <c r="AT16" i="5" s="1"/>
  <c r="BC13" i="5"/>
  <c r="BE13" i="5" s="1"/>
  <c r="AI13" i="5" s="1"/>
  <c r="AS13" i="5" s="1"/>
  <c r="AT13" i="5" s="1"/>
  <c r="BB12" i="3"/>
  <c r="BD12" i="3" s="1"/>
  <c r="AH12" i="3" s="1"/>
  <c r="AR12" i="3" s="1"/>
  <c r="AS12" i="3" s="1"/>
  <c r="BB26" i="3"/>
  <c r="BD26" i="3" s="1"/>
  <c r="AH26" i="3" s="1"/>
  <c r="AR26" i="3" s="1"/>
  <c r="AS26" i="3" s="1"/>
  <c r="BA29" i="3"/>
  <c r="BC29" i="3"/>
  <c r="AY29" i="3"/>
  <c r="AZ29" i="3" s="1"/>
  <c r="BB11" i="3"/>
  <c r="BD11" i="3" s="1"/>
  <c r="AH11" i="3" s="1"/>
  <c r="AR11" i="3" s="1"/>
  <c r="AS11" i="3" s="1"/>
  <c r="BB22" i="3"/>
  <c r="BD22" i="3" s="1"/>
  <c r="AH22" i="3" s="1"/>
  <c r="AR22" i="3" s="1"/>
  <c r="AS22" i="3" s="1"/>
  <c r="BC19" i="2"/>
  <c r="BE19" i="2" s="1"/>
  <c r="AI19" i="2" s="1"/>
  <c r="AS19" i="2" s="1"/>
  <c r="AT19" i="2" s="1"/>
  <c r="Z34" i="2"/>
  <c r="BC33" i="2"/>
  <c r="BE33" i="2" s="1"/>
  <c r="AI33" i="2" s="1"/>
  <c r="AS33" i="2" s="1"/>
  <c r="AT33" i="2" s="1"/>
  <c r="BC5" i="2"/>
  <c r="BE5" i="2" s="1"/>
  <c r="AI5" i="2" s="1"/>
  <c r="Z34" i="1"/>
  <c r="BC31" i="1"/>
  <c r="BE31" i="1" s="1"/>
  <c r="AI31" i="1" s="1"/>
  <c r="AS31" i="1" s="1"/>
  <c r="AT31" i="1" s="1"/>
  <c r="BC5" i="1"/>
  <c r="BE5" i="1" s="1"/>
  <c r="AI5" i="1" s="1"/>
  <c r="BB29" i="3" l="1"/>
  <c r="BD29" i="3" s="1"/>
  <c r="AH29" i="3" s="1"/>
  <c r="AR29" i="3" s="1"/>
  <c r="AS29" i="3" s="1"/>
  <c r="AS34" i="3" s="1"/>
  <c r="AH33" i="10"/>
  <c r="AR33" i="10"/>
  <c r="AS33" i="10"/>
  <c r="BC28" i="4"/>
  <c r="BE28" i="4" s="1"/>
  <c r="AS5" i="12"/>
  <c r="AI33" i="12"/>
  <c r="AJ33" i="11"/>
  <c r="AR6" i="9"/>
  <c r="AH33" i="9"/>
  <c r="AR6" i="6"/>
  <c r="AH33" i="6"/>
  <c r="AS33" i="5"/>
  <c r="AT5" i="5"/>
  <c r="AT33" i="5" s="1"/>
  <c r="AI33" i="5"/>
  <c r="AI34" i="2"/>
  <c r="AS5" i="2"/>
  <c r="AI34" i="1"/>
  <c r="AS5" i="1"/>
  <c r="AR34" i="3" l="1"/>
  <c r="AI28" i="4"/>
  <c r="AS28" i="4" s="1"/>
  <c r="AH34" i="3"/>
  <c r="AS33" i="12"/>
  <c r="AT5" i="12"/>
  <c r="AT33" i="12" s="1"/>
  <c r="AT33" i="11"/>
  <c r="AU33" i="11"/>
  <c r="AS6" i="9"/>
  <c r="AS33" i="9" s="1"/>
  <c r="AR33" i="9"/>
  <c r="AS6" i="6"/>
  <c r="AS33" i="6" s="1"/>
  <c r="AR33" i="6"/>
  <c r="AS34" i="2"/>
  <c r="AT5" i="2"/>
  <c r="AT34" i="2" s="1"/>
  <c r="AS34" i="1"/>
  <c r="AT5" i="1"/>
  <c r="AT34" i="1" s="1"/>
  <c r="AI35" i="4" l="1"/>
  <c r="AT28" i="4"/>
  <c r="AT35" i="4" s="1"/>
  <c r="AS35" i="4"/>
</calcChain>
</file>

<file path=xl/sharedStrings.xml><?xml version="1.0" encoding="utf-8"?>
<sst xmlns="http://schemas.openxmlformats.org/spreadsheetml/2006/main" count="9513" uniqueCount="162">
  <si>
    <t xml:space="preserve">SISTEMA ESTATAL DE INFORMACION JALISCO
NÓMINA  1A. QUINCENA DE ENERO  </t>
  </si>
  <si>
    <t>NO.</t>
  </si>
  <si>
    <t>EMPLEADO</t>
  </si>
  <si>
    <t>PUESTO</t>
  </si>
  <si>
    <t>ÁREA</t>
  </si>
  <si>
    <t>TIPO</t>
  </si>
  <si>
    <t>CVE</t>
  </si>
  <si>
    <t>DIAS LABORADOS</t>
  </si>
  <si>
    <t>SALARIO DIARIO</t>
  </si>
  <si>
    <t>SUELDO BASE</t>
  </si>
  <si>
    <t>PRIMA QUINQUENAL</t>
  </si>
  <si>
    <t>AYUDA DE TRANSPORTE</t>
  </si>
  <si>
    <t>DESPENSA</t>
  </si>
  <si>
    <t>DESPENSA
3% S/SUELDO</t>
  </si>
  <si>
    <t>AYUDA DE DESPENSA</t>
  </si>
  <si>
    <t>COMPENSACION</t>
  </si>
  <si>
    <t>FONDO DE PENSIONES</t>
  </si>
  <si>
    <t>PRESTAMOS DE PENSIONES</t>
  </si>
  <si>
    <t>ISR</t>
  </si>
  <si>
    <t>CUOTA SINDICAL</t>
  </si>
  <si>
    <t>DESCUENTOS</t>
  </si>
  <si>
    <t>OTRAS DEDUCCIONES</t>
  </si>
  <si>
    <t>FIRMA  DE
CONFORMIDAD</t>
  </si>
  <si>
    <t>BASE GRAVABLE</t>
  </si>
  <si>
    <t xml:space="preserve">Base diaria </t>
  </si>
  <si>
    <t>Limite Inferior</t>
  </si>
  <si>
    <t>Excedente Limite Inferior</t>
  </si>
  <si>
    <t>% Excedente</t>
  </si>
  <si>
    <t xml:space="preserve">Impuesto Marginal </t>
  </si>
  <si>
    <t xml:space="preserve">Cuota Fija </t>
  </si>
  <si>
    <t>Impuesto Art 113</t>
  </si>
  <si>
    <t>NOTA:</t>
  </si>
  <si>
    <t>SEI</t>
  </si>
  <si>
    <t>004</t>
  </si>
  <si>
    <t>BERTHA NINEMI ESPINOSA VALDEZ</t>
  </si>
  <si>
    <t>ESPECIALISTA</t>
  </si>
  <si>
    <t>DIRECCIÓN ADMINISTRATIVA</t>
  </si>
  <si>
    <t>P</t>
  </si>
  <si>
    <t>SB</t>
  </si>
  <si>
    <t>D</t>
  </si>
  <si>
    <t>PTMO-IPEJAL</t>
  </si>
  <si>
    <t>IMPUESTOS</t>
  </si>
  <si>
    <t>SINDIC</t>
  </si>
  <si>
    <t>DESCT</t>
  </si>
  <si>
    <t>2117-09</t>
  </si>
  <si>
    <t>006</t>
  </si>
  <si>
    <t>SANDRA FAUSTO ORTIZ</t>
  </si>
  <si>
    <t>DIRECCIÓN DE ESTADÍSTICA</t>
  </si>
  <si>
    <t>007</t>
  </si>
  <si>
    <t>SUSANA GALINDO ZAMORA</t>
  </si>
  <si>
    <t>COORDINADOR</t>
  </si>
  <si>
    <t>008</t>
  </si>
  <si>
    <t>ALMA ROSA VILLASEÑOR MARTINEZ</t>
  </si>
  <si>
    <t>DIRECCIÓN GENERAL</t>
  </si>
  <si>
    <t>009</t>
  </si>
  <si>
    <t>PATRICIA PATIÑO GARCIA</t>
  </si>
  <si>
    <t>010</t>
  </si>
  <si>
    <t>ADRIANA GUADALUPE VALLIN ALATORRE</t>
  </si>
  <si>
    <t>013</t>
  </si>
  <si>
    <t>ENRIQUE AGUIRRE ANDRADE</t>
  </si>
  <si>
    <t>DIRECCIÓN DE ANÁLISIS</t>
  </si>
  <si>
    <t>016</t>
  </si>
  <si>
    <t>ULISES VIRAMONTES LLAMAS</t>
  </si>
  <si>
    <t>017</t>
  </si>
  <si>
    <t>MIGUEL ANGEL QUIJAS MARTINEZ</t>
  </si>
  <si>
    <t>030</t>
  </si>
  <si>
    <t>NESTOR EDUARDO GARCIA ROMERO</t>
  </si>
  <si>
    <t>DIRECTOR DE ÁREA</t>
  </si>
  <si>
    <t>034</t>
  </si>
  <si>
    <t>INES VAZQUEZ GUTIERREZ</t>
  </si>
  <si>
    <t>040</t>
  </si>
  <si>
    <t>BERTHA OLIVIA PEÑA QUEVEDO</t>
  </si>
  <si>
    <t>048</t>
  </si>
  <si>
    <t>THELMA ELIZABETH MOLINA TRISTAN</t>
  </si>
  <si>
    <t>050</t>
  </si>
  <si>
    <t>ANTONIO SALVADOR SOLIS GOMEZ</t>
  </si>
  <si>
    <t>053</t>
  </si>
  <si>
    <t>LUIS DANIEL CASTELLANOS MOYA</t>
  </si>
  <si>
    <t>DIRECCIÓN DE RELACIONES EXTERNAS</t>
  </si>
  <si>
    <t>056</t>
  </si>
  <si>
    <t>ROBERTO TORRES AGUILAR</t>
  </si>
  <si>
    <t>061</t>
  </si>
  <si>
    <t>JOSE RAMON CAMPOS GUTIERREZ</t>
  </si>
  <si>
    <t>062</t>
  </si>
  <si>
    <t>JOSE DE JESUS ANDRADE HERNANDEZ</t>
  </si>
  <si>
    <t>063</t>
  </si>
  <si>
    <t>SILVIA LETICIA TORRES NARANJO</t>
  </si>
  <si>
    <t>DIRECCIÓN DE SISTEMAS</t>
  </si>
  <si>
    <t>067</t>
  </si>
  <si>
    <t>RODRIGO GONZALEZ RAMIREZ</t>
  </si>
  <si>
    <t>068</t>
  </si>
  <si>
    <t>OMAR EDUARDO SOTO ARTEAGA</t>
  </si>
  <si>
    <t>069</t>
  </si>
  <si>
    <t>JESUS ABRAHAM GUTIERREZ GUERRERO</t>
  </si>
  <si>
    <t>070</t>
  </si>
  <si>
    <t>GERARDO SANCHEZ MARTINEZ</t>
  </si>
  <si>
    <t>071</t>
  </si>
  <si>
    <t>MARIA FERNANDA BRINGAS VALENZUELA</t>
  </si>
  <si>
    <t>072</t>
  </si>
  <si>
    <t>ISIS ARTLET RODRIGUEZ ARANA</t>
  </si>
  <si>
    <t>Licencia sin goce de sueldo del 07 Enero a 05 Febrero</t>
  </si>
  <si>
    <t>073</t>
  </si>
  <si>
    <t>ROSA GABRIELA GARCIA ROBLES</t>
  </si>
  <si>
    <t>074</t>
  </si>
  <si>
    <t>DAVID ROGELIO CAMPOS CORNEJO</t>
  </si>
  <si>
    <t>DIRECTOR GENERAL</t>
  </si>
  <si>
    <t>078</t>
  </si>
  <si>
    <t>CARLOS FERNANDO RUIZ CHAVEZ</t>
  </si>
  <si>
    <t>077</t>
  </si>
  <si>
    <t>CARLOS EDUARDO GARIBALDI CASTILLO</t>
  </si>
  <si>
    <t>TOTALES</t>
  </si>
  <si>
    <t>ELABORÓ</t>
  </si>
  <si>
    <t>REVISÓ</t>
  </si>
  <si>
    <t>AUTORIZÓ</t>
  </si>
  <si>
    <t>Bertha Ninemi Espinosa Valdez</t>
  </si>
  <si>
    <t>Mtra. Rosa Gabriela García Robles</t>
  </si>
  <si>
    <t>Mtro. David Rogelio Campos Cornejo</t>
  </si>
  <si>
    <t>Especialista de la Dir. Administrativa</t>
  </si>
  <si>
    <t>Directora  Administrativa</t>
  </si>
  <si>
    <t>Director General del Seijal</t>
  </si>
  <si>
    <t xml:space="preserve">SISTEMA ESTATAL DE INFORMACION JALISCO
NÓMINA  2A. QUINCENA DE ENERO DE 2014  </t>
  </si>
  <si>
    <t>Licencia sin goce de sueldo del 07 Enero a 05 Febrero Pendiente 19.50 por descontar</t>
  </si>
  <si>
    <t>Reposicion de Prima Quinquenal de la primera quincena de Enero.</t>
  </si>
  <si>
    <t xml:space="preserve">SISTEMA ESTATAL DE INFORMACION JALISCO
NÓMINA  1A. QUINCENA DE FEBRERO DE 2014  </t>
  </si>
  <si>
    <t>079</t>
  </si>
  <si>
    <t>MINERVA LOPEZ SANCHEZ</t>
  </si>
  <si>
    <t xml:space="preserve">SISTEMA ESTATAL DE INFORMACION JALISCO
NÓMINA  2A. QUINCENA DE FEBRERO DE 2014  </t>
  </si>
  <si>
    <t>Baja el dia 19 de Febrero 2014</t>
  </si>
  <si>
    <t>080</t>
  </si>
  <si>
    <t>PAULINA ARANZAZU CONTRERAS GODINEZ</t>
  </si>
  <si>
    <t>Alta el dia 20 de Febrero 2014</t>
  </si>
  <si>
    <t xml:space="preserve">SISTEMA ESTATAL DE INFORMACION JALISCO
NÓMINA  1A. QUINCENA DE MARZO DE 2014  </t>
  </si>
  <si>
    <t xml:space="preserve">SISTEMA ESTATAL DE INFORMACION JALISCO
NÓMINA  2A. QUINCENA DE MARZO DE 2014  </t>
  </si>
  <si>
    <t>Directora Administrativa</t>
  </si>
  <si>
    <t xml:space="preserve">SISTEMA ESTATAL DE INFORMACION JALISCO
NÓMINA  1A. QUINCENA DE ABRIL, RETROACTIVO Y AGUINALDO 1 DE 2014.  </t>
  </si>
  <si>
    <t>AGUINALDO</t>
  </si>
  <si>
    <t>SEI071</t>
  </si>
  <si>
    <t>MA. FERNANDA BRINGAS VALENZUELA</t>
  </si>
  <si>
    <t xml:space="preserve">SISTEMA ESTATAL DE INFORMACION JALISCO
NÓMINA  2A. QUINCENA DE ABRIL DE 2014  </t>
  </si>
  <si>
    <t xml:space="preserve">SISTEMA ESTATAL DE INFORMACION JALISCO
NÓMINA  1A. QUINCENA DE MAYO DE 2014  </t>
  </si>
  <si>
    <t xml:space="preserve">SISTEMA ESTATAL DE INFORMACION JALISCO
NÓMINA  2A. QUINCENA DE MAYO DE 2014  </t>
  </si>
  <si>
    <t xml:space="preserve">SISTEMA ESTATAL DE INFORMACION JALISCO
NÓMINA  1A. QUINCENA DE JUNIO DE 2014  </t>
  </si>
  <si>
    <t>NOTA</t>
  </si>
  <si>
    <t>Ingreso 1 de Enero. Puesto de Director de Sistemas</t>
  </si>
  <si>
    <t>Baja 28 de Febrero de 2014</t>
  </si>
  <si>
    <t>AREA DE ADSCRIPCION</t>
  </si>
  <si>
    <t>DIRECCION ADMINISTRATIVA</t>
  </si>
  <si>
    <t>DIRECCION DE ESTADISTICAS</t>
  </si>
  <si>
    <t>DIRECCION GENERAL</t>
  </si>
  <si>
    <t>DIRECCION DE ANALISIS</t>
  </si>
  <si>
    <t>DIRECCION RELACIONES EXTERNAS</t>
  </si>
  <si>
    <t>DIRECCION DE SISTEMAS</t>
  </si>
  <si>
    <t>PERCEPCIONES BRUTAS</t>
  </si>
  <si>
    <t>DEDUCCIONES BRUTAS</t>
  </si>
  <si>
    <t>PERCEPCIONES NETAS</t>
  </si>
  <si>
    <t xml:space="preserve">SISTEMA ESTATAL DE INFORMACION JALISCO
NÓMINA  2A. QUINCENA DE JUNIO DE 2014  </t>
  </si>
  <si>
    <t>Descuento de un día por incidencias del mes de Junio de 2014.</t>
  </si>
  <si>
    <t xml:space="preserve">SISTEMA ESTATAL DE INFORMACION JALISCO
NÓMINA  1A. QUINCENA DE JULIO DE 2014  </t>
  </si>
  <si>
    <t xml:space="preserve">SISTEMA ESTATAL DE INFORMACION JALISCO
NÓMINA  2A. QUINCENA DE JULIO DE 2014  </t>
  </si>
  <si>
    <t>PRIMA VACACIONAL</t>
  </si>
  <si>
    <t>ISR PRIMA VACAC.</t>
  </si>
  <si>
    <t xml:space="preserve">SISTEMA ESTATAL DE INFORMACION JALISCO
NÓMINA  1A. QUINCENA DE AGOSTO Y PRIMA VACACIONAL DE 2014.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</si>
</sst>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\-??_-;_-@_-"/>
    <numFmt numFmtId="166" formatCode="#,##0.0000000"/>
  </numFmts>
  <fonts count="28" x14ac:knownFonts="1">
    <font>
      <sz val="10"/>
      <name val="Arial"/>
    </font>
    <font>
      <sz val="6"/>
      <name val="Book Antiqua"/>
      <family val="1"/>
    </font>
    <font>
      <b/>
      <sz val="13"/>
      <name val="Book Antiqua"/>
      <family val="1"/>
    </font>
    <font>
      <sz val="6"/>
      <color theme="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3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b/>
      <sz val="6"/>
      <name val="Book Antiqua"/>
      <family val="1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7">
    <xf numFmtId="0" fontId="0" fillId="0" borderId="0" xfId="0"/>
    <xf numFmtId="4" fontId="1" fillId="0" borderId="0" xfId="0" applyNumberFormat="1" applyFont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165" fontId="6" fillId="5" borderId="0" xfId="1" applyNumberFormat="1" applyFont="1" applyFill="1" applyBorder="1" applyAlignment="1" applyProtection="1">
      <alignment horizontal="center" wrapText="1"/>
    </xf>
    <xf numFmtId="4" fontId="7" fillId="0" borderId="7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8" fillId="0" borderId="10" xfId="1" applyNumberFormat="1" applyFont="1" applyFill="1" applyBorder="1" applyAlignment="1">
      <alignment vertical="center" wrapText="1"/>
    </xf>
    <xf numFmtId="1" fontId="8" fillId="0" borderId="10" xfId="1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1" fontId="9" fillId="0" borderId="10" xfId="1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4" fontId="7" fillId="4" borderId="0" xfId="0" applyNumberFormat="1" applyFont="1" applyFill="1" applyAlignment="1">
      <alignment vertical="center" wrapText="1"/>
    </xf>
    <xf numFmtId="165" fontId="6" fillId="4" borderId="0" xfId="1" applyNumberFormat="1" applyFill="1" applyBorder="1" applyAlignment="1" applyProtection="1"/>
    <xf numFmtId="4" fontId="7" fillId="0" borderId="0" xfId="0" applyNumberFormat="1" applyFont="1" applyFill="1" applyAlignment="1">
      <alignment vertical="center" wrapText="1"/>
    </xf>
    <xf numFmtId="49" fontId="7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 wrapText="1"/>
    </xf>
    <xf numFmtId="4" fontId="8" fillId="0" borderId="13" xfId="1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65" fontId="6" fillId="0" borderId="0" xfId="1" applyNumberFormat="1" applyFill="1" applyBorder="1" applyAlignment="1" applyProtection="1"/>
    <xf numFmtId="4" fontId="7" fillId="0" borderId="0" xfId="0" applyNumberFormat="1" applyFont="1" applyFill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left" vertical="center"/>
    </xf>
    <xf numFmtId="4" fontId="1" fillId="0" borderId="0" xfId="1" applyNumberFormat="1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" fontId="10" fillId="0" borderId="1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8" fillId="2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19" fillId="0" borderId="0" xfId="0" applyNumberFormat="1" applyFont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4" borderId="0" xfId="0" applyNumberFormat="1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165" fontId="20" fillId="5" borderId="0" xfId="1" applyNumberFormat="1" applyFont="1" applyFill="1" applyBorder="1" applyAlignment="1" applyProtection="1">
      <alignment horizontal="center" wrapText="1"/>
    </xf>
    <xf numFmtId="4" fontId="20" fillId="0" borderId="7" xfId="0" applyNumberFormat="1" applyFont="1" applyFill="1" applyBorder="1" applyAlignment="1">
      <alignment vertical="center" wrapText="1"/>
    </xf>
    <xf numFmtId="4" fontId="20" fillId="0" borderId="8" xfId="0" applyNumberFormat="1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4" fontId="21" fillId="0" borderId="10" xfId="1" applyNumberFormat="1" applyFont="1" applyFill="1" applyBorder="1" applyAlignment="1">
      <alignment vertical="center" wrapText="1"/>
    </xf>
    <xf numFmtId="1" fontId="21" fillId="0" borderId="10" xfId="1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1" fontId="22" fillId="0" borderId="10" xfId="1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4" fontId="20" fillId="0" borderId="9" xfId="0" applyNumberFormat="1" applyFont="1" applyFill="1" applyBorder="1" applyAlignment="1">
      <alignment vertical="center" wrapText="1"/>
    </xf>
    <xf numFmtId="166" fontId="20" fillId="0" borderId="0" xfId="0" applyNumberFormat="1" applyFont="1" applyFill="1" applyAlignment="1">
      <alignment vertical="center" wrapText="1"/>
    </xf>
    <xf numFmtId="4" fontId="20" fillId="4" borderId="0" xfId="0" applyNumberFormat="1" applyFont="1" applyFill="1" applyAlignment="1">
      <alignment vertical="center" wrapText="1"/>
    </xf>
    <xf numFmtId="165" fontId="20" fillId="4" borderId="0" xfId="1" applyNumberFormat="1" applyFont="1" applyFill="1" applyBorder="1" applyAlignment="1" applyProtection="1"/>
    <xf numFmtId="4" fontId="20" fillId="0" borderId="0" xfId="0" applyNumberFormat="1" applyFont="1" applyFill="1" applyAlignment="1">
      <alignment vertical="center" wrapText="1"/>
    </xf>
    <xf numFmtId="49" fontId="20" fillId="0" borderId="12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vertical="center" wrapText="1"/>
    </xf>
    <xf numFmtId="4" fontId="20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4" fontId="21" fillId="0" borderId="13" xfId="1" applyNumberFormat="1" applyFont="1" applyFill="1" applyBorder="1" applyAlignment="1">
      <alignment vertical="center" wrapText="1"/>
    </xf>
    <xf numFmtId="4" fontId="20" fillId="0" borderId="14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165" fontId="20" fillId="0" borderId="0" xfId="1" applyNumberFormat="1" applyFont="1" applyFill="1" applyBorder="1" applyAlignment="1" applyProtection="1"/>
    <xf numFmtId="4" fontId="20" fillId="0" borderId="0" xfId="0" applyNumberFormat="1" applyFont="1" applyFill="1" applyAlignment="1">
      <alignment vertical="center"/>
    </xf>
    <xf numFmtId="4" fontId="17" fillId="0" borderId="8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5" xfId="0" applyNumberFormat="1" applyFont="1" applyBorder="1" applyAlignment="1">
      <alignment vertical="center"/>
    </xf>
    <xf numFmtId="1" fontId="17" fillId="0" borderId="5" xfId="0" applyNumberFormat="1" applyFont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64" fontId="26" fillId="0" borderId="0" xfId="1" applyFont="1" applyBorder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horizontal="left" vertical="center"/>
    </xf>
    <xf numFmtId="4" fontId="16" fillId="0" borderId="0" xfId="1" applyNumberFormat="1" applyFont="1" applyBorder="1" applyAlignment="1">
      <alignment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22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horizontal="center" vertical="center"/>
    </xf>
    <xf numFmtId="4" fontId="7" fillId="0" borderId="10" xfId="1" applyNumberFormat="1" applyFont="1" applyFill="1" applyBorder="1" applyAlignment="1">
      <alignment vertical="center" wrapText="1"/>
    </xf>
    <xf numFmtId="4" fontId="17" fillId="0" borderId="17" xfId="0" applyNumberFormat="1" applyFont="1" applyBorder="1" applyAlignment="1">
      <alignment vertical="center"/>
    </xf>
    <xf numFmtId="4" fontId="17" fillId="0" borderId="4" xfId="0" applyNumberFormat="1" applyFont="1" applyBorder="1" applyAlignment="1">
      <alignment vertical="center"/>
    </xf>
    <xf numFmtId="4" fontId="7" fillId="0" borderId="13" xfId="1" applyNumberFormat="1" applyFont="1" applyFill="1" applyBorder="1" applyAlignment="1">
      <alignment vertical="center" wrapText="1"/>
    </xf>
    <xf numFmtId="4" fontId="22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1%20ENE%201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8%20ABR%202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9%20MAY%201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10%20MAY%202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11%20JUN%201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2%20ENE%202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3%20FEB%201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4%20FEB%202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5%20MAR%201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6%20MAR%202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RETROACTIVO%202014%20-%20copi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Aguinaldo_1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4%20NINEMI/NOMINAS%202014/07%20ABR%201%202014_AGU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Hoja2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>
        <row r="5">
          <cell r="L5">
            <v>1500</v>
          </cell>
          <cell r="T5">
            <v>45</v>
          </cell>
          <cell r="AD5">
            <v>142.5</v>
          </cell>
          <cell r="AJ5">
            <v>87.86</v>
          </cell>
        </row>
        <row r="6">
          <cell r="L6">
            <v>1500</v>
          </cell>
          <cell r="W6">
            <v>45</v>
          </cell>
          <cell r="AD6">
            <v>142.5</v>
          </cell>
          <cell r="AJ6">
            <v>87.86</v>
          </cell>
          <cell r="AM6">
            <v>15</v>
          </cell>
        </row>
        <row r="8">
          <cell r="L8">
            <v>1500</v>
          </cell>
          <cell r="T8">
            <v>45</v>
          </cell>
          <cell r="AD8">
            <v>142.5</v>
          </cell>
          <cell r="AJ8">
            <v>87.86</v>
          </cell>
          <cell r="AM8">
            <v>15</v>
          </cell>
        </row>
        <row r="10">
          <cell r="L10">
            <v>1500</v>
          </cell>
          <cell r="T10">
            <v>45</v>
          </cell>
          <cell r="AD10">
            <v>142.5</v>
          </cell>
          <cell r="AJ10">
            <v>87.86</v>
          </cell>
          <cell r="AM10">
            <v>15</v>
          </cell>
        </row>
        <row r="11">
          <cell r="L11">
            <v>1125</v>
          </cell>
          <cell r="T11">
            <v>33.75</v>
          </cell>
          <cell r="AD11">
            <v>106.875</v>
          </cell>
          <cell r="AJ11">
            <v>63.14</v>
          </cell>
        </row>
        <row r="12">
          <cell r="L12">
            <v>1125</v>
          </cell>
          <cell r="T12">
            <v>33.75</v>
          </cell>
          <cell r="AD12">
            <v>106.875</v>
          </cell>
          <cell r="AJ12">
            <v>63.14</v>
          </cell>
        </row>
        <row r="13">
          <cell r="L13">
            <v>1500</v>
          </cell>
          <cell r="T13">
            <v>45</v>
          </cell>
          <cell r="AD13">
            <v>142.5</v>
          </cell>
          <cell r="AJ13">
            <v>87.86</v>
          </cell>
        </row>
        <row r="15">
          <cell r="L15">
            <v>1125</v>
          </cell>
          <cell r="W15">
            <v>33.75</v>
          </cell>
          <cell r="AD15">
            <v>106.875</v>
          </cell>
          <cell r="AJ15">
            <v>63.14</v>
          </cell>
          <cell r="AM15">
            <v>11.25</v>
          </cell>
        </row>
        <row r="16">
          <cell r="L16">
            <v>1500</v>
          </cell>
          <cell r="T16">
            <v>45</v>
          </cell>
          <cell r="AD16">
            <v>142.5</v>
          </cell>
          <cell r="AJ16">
            <v>87.86</v>
          </cell>
          <cell r="AM16">
            <v>15</v>
          </cell>
        </row>
        <row r="17">
          <cell r="L17">
            <v>1500</v>
          </cell>
          <cell r="T17">
            <v>45</v>
          </cell>
          <cell r="AD17">
            <v>142.5</v>
          </cell>
          <cell r="AJ17">
            <v>87.86</v>
          </cell>
          <cell r="AM17">
            <v>15</v>
          </cell>
        </row>
        <row r="19">
          <cell r="L19">
            <v>1500</v>
          </cell>
          <cell r="T19">
            <v>45</v>
          </cell>
          <cell r="AD19">
            <v>142.5</v>
          </cell>
          <cell r="AJ19">
            <v>87.86</v>
          </cell>
          <cell r="AM19">
            <v>15</v>
          </cell>
        </row>
        <row r="21">
          <cell r="L21">
            <v>1500</v>
          </cell>
          <cell r="T21">
            <v>45</v>
          </cell>
          <cell r="AD21">
            <v>142.5</v>
          </cell>
          <cell r="AJ21">
            <v>87.86</v>
          </cell>
        </row>
        <row r="22">
          <cell r="L22">
            <v>1500</v>
          </cell>
          <cell r="T22">
            <v>45</v>
          </cell>
          <cell r="AD22">
            <v>142.5</v>
          </cell>
          <cell r="AJ22">
            <v>87.86</v>
          </cell>
          <cell r="AM22">
            <v>15</v>
          </cell>
        </row>
        <row r="23">
          <cell r="L23">
            <v>1500</v>
          </cell>
          <cell r="T23">
            <v>45</v>
          </cell>
          <cell r="AD23">
            <v>142.5</v>
          </cell>
          <cell r="AJ23">
            <v>87.86</v>
          </cell>
          <cell r="AM23">
            <v>15</v>
          </cell>
        </row>
        <row r="24">
          <cell r="L24">
            <v>1125</v>
          </cell>
          <cell r="T24">
            <v>33.75</v>
          </cell>
          <cell r="AD24">
            <v>106.875</v>
          </cell>
          <cell r="AJ24">
            <v>63.14</v>
          </cell>
          <cell r="AM24">
            <v>11.25</v>
          </cell>
        </row>
        <row r="25">
          <cell r="L25">
            <v>1500</v>
          </cell>
          <cell r="T25">
            <v>45</v>
          </cell>
          <cell r="AD25">
            <v>142.5</v>
          </cell>
          <cell r="AJ25">
            <v>87.86</v>
          </cell>
          <cell r="AM25">
            <v>15</v>
          </cell>
        </row>
        <row r="26">
          <cell r="L26">
            <v>1125</v>
          </cell>
          <cell r="T26">
            <v>33.75</v>
          </cell>
          <cell r="AD26">
            <v>106.875</v>
          </cell>
          <cell r="AJ26">
            <v>63.14</v>
          </cell>
          <cell r="AM26">
            <v>11.25</v>
          </cell>
        </row>
        <row r="29">
          <cell r="L29">
            <v>1500</v>
          </cell>
          <cell r="T29">
            <v>45</v>
          </cell>
          <cell r="AD29">
            <v>142.5</v>
          </cell>
          <cell r="AJ29">
            <v>87.86</v>
          </cell>
        </row>
        <row r="31">
          <cell r="L31">
            <v>687.5</v>
          </cell>
          <cell r="T31">
            <v>20.625</v>
          </cell>
          <cell r="AD31">
            <v>65.3125</v>
          </cell>
          <cell r="AJ31">
            <v>34.299999999999997</v>
          </cell>
        </row>
        <row r="32">
          <cell r="L32">
            <v>666.6</v>
          </cell>
          <cell r="T32">
            <v>19.998000000000001</v>
          </cell>
          <cell r="AD32">
            <v>63.327000000000005</v>
          </cell>
          <cell r="AJ32">
            <v>32.92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INALDO ABRIL"/>
      <sheetName val="Tarifas"/>
    </sheetNames>
    <sheetDataSet>
      <sheetData sheetId="0">
        <row r="6">
          <cell r="M6">
            <v>1985.3767416000001</v>
          </cell>
          <cell r="N6">
            <v>1985.3767416000001</v>
          </cell>
        </row>
        <row r="7">
          <cell r="M7">
            <v>1985.3765256000006</v>
          </cell>
          <cell r="N7">
            <v>1985.3765256000006</v>
          </cell>
        </row>
        <row r="8">
          <cell r="M8">
            <v>2480.89115408</v>
          </cell>
          <cell r="N8">
            <v>2480.89115408</v>
          </cell>
        </row>
        <row r="9">
          <cell r="M9">
            <v>1986.8299895999999</v>
          </cell>
          <cell r="N9">
            <v>1986.8299895999999</v>
          </cell>
        </row>
        <row r="10">
          <cell r="M10">
            <v>2480.89115408</v>
          </cell>
          <cell r="N10">
            <v>2480.89115408</v>
          </cell>
        </row>
        <row r="11">
          <cell r="M11">
            <v>1986.8299895999999</v>
          </cell>
          <cell r="N11">
            <v>1986.8299895999999</v>
          </cell>
        </row>
        <row r="12">
          <cell r="M12">
            <v>1371.2479199999991</v>
          </cell>
          <cell r="N12">
            <v>1371.2479199999991</v>
          </cell>
        </row>
        <row r="13">
          <cell r="M13">
            <v>1371.2479199999991</v>
          </cell>
          <cell r="N13">
            <v>1371.2479199999991</v>
          </cell>
        </row>
        <row r="14">
          <cell r="M14">
            <v>1988.2834536</v>
          </cell>
          <cell r="N14">
            <v>1988.2834536</v>
          </cell>
        </row>
        <row r="15">
          <cell r="M15">
            <v>7115.14</v>
          </cell>
          <cell r="N15">
            <v>7115.14</v>
          </cell>
        </row>
        <row r="16">
          <cell r="M16">
            <v>1371.2479200000002</v>
          </cell>
          <cell r="N16">
            <v>1371.2479200000002</v>
          </cell>
        </row>
        <row r="17">
          <cell r="M17">
            <v>1982.4695976000012</v>
          </cell>
          <cell r="N17">
            <v>1982.4695976000012</v>
          </cell>
        </row>
        <row r="18">
          <cell r="M18">
            <v>1982.4695976000012</v>
          </cell>
          <cell r="N18">
            <v>1982.4695976000012</v>
          </cell>
        </row>
        <row r="19">
          <cell r="M19">
            <v>2477.9842260799996</v>
          </cell>
          <cell r="N19">
            <v>2477.9842260799996</v>
          </cell>
        </row>
        <row r="20">
          <cell r="M20">
            <v>1981.0161336000015</v>
          </cell>
          <cell r="N20">
            <v>1981.0161336000015</v>
          </cell>
        </row>
        <row r="21">
          <cell r="M21">
            <v>1496.4815999999998</v>
          </cell>
          <cell r="N21">
            <v>1496.4815999999998</v>
          </cell>
        </row>
        <row r="22">
          <cell r="M22">
            <v>1982.4695976000012</v>
          </cell>
          <cell r="N22">
            <v>1982.4695976000012</v>
          </cell>
        </row>
        <row r="23">
          <cell r="M23">
            <v>1981.0161336000015</v>
          </cell>
          <cell r="N23">
            <v>1981.0161336000015</v>
          </cell>
        </row>
        <row r="24">
          <cell r="M24">
            <v>1978.1092056000007</v>
          </cell>
          <cell r="N24">
            <v>1978.1092056000007</v>
          </cell>
        </row>
        <row r="25">
          <cell r="M25">
            <v>1371.24792</v>
          </cell>
          <cell r="N25">
            <v>1371.24792</v>
          </cell>
        </row>
        <row r="26">
          <cell r="M26">
            <v>1978.1092056000007</v>
          </cell>
          <cell r="N26">
            <v>1978.1092056000007</v>
          </cell>
        </row>
        <row r="27">
          <cell r="M27">
            <v>1371.24792</v>
          </cell>
          <cell r="N27">
            <v>1371.24792</v>
          </cell>
        </row>
        <row r="28">
          <cell r="K28">
            <v>2973.5253424657553</v>
          </cell>
          <cell r="M28">
            <v>203.95</v>
          </cell>
          <cell r="N28">
            <v>203.95</v>
          </cell>
        </row>
        <row r="29">
          <cell r="M29">
            <v>7115.14</v>
          </cell>
          <cell r="N29">
            <v>7115.14</v>
          </cell>
        </row>
        <row r="30">
          <cell r="M30">
            <v>15583.898333333338</v>
          </cell>
          <cell r="N30">
            <v>15583.898333333338</v>
          </cell>
        </row>
        <row r="31">
          <cell r="M31">
            <v>1978.1092056000007</v>
          </cell>
          <cell r="N31">
            <v>1978.1092056000007</v>
          </cell>
        </row>
        <row r="32">
          <cell r="N32">
            <v>7115.1400000000012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/>
      <sheetData sheetId="4">
        <row r="4">
          <cell r="A4">
            <v>0.01</v>
          </cell>
          <cell r="B4">
            <v>244.8</v>
          </cell>
          <cell r="C4">
            <v>0</v>
          </cell>
          <cell r="D4">
            <v>1.92</v>
          </cell>
        </row>
        <row r="5">
          <cell r="A5">
            <v>244.81</v>
          </cell>
          <cell r="B5">
            <v>2077.5</v>
          </cell>
          <cell r="C5">
            <v>4.6500000000000004</v>
          </cell>
          <cell r="D5">
            <v>6.4</v>
          </cell>
        </row>
        <row r="6">
          <cell r="A6">
            <v>2077.5100000000002</v>
          </cell>
          <cell r="B6">
            <v>3651</v>
          </cell>
          <cell r="C6">
            <v>121.95</v>
          </cell>
          <cell r="D6">
            <v>10.88</v>
          </cell>
        </row>
        <row r="7">
          <cell r="A7">
            <v>3651.01</v>
          </cell>
          <cell r="B7">
            <v>4244.1000000000004</v>
          </cell>
          <cell r="C7">
            <v>293.25</v>
          </cell>
          <cell r="D7">
            <v>16</v>
          </cell>
        </row>
        <row r="8">
          <cell r="A8">
            <v>4244.1099999999997</v>
          </cell>
          <cell r="B8">
            <v>5081.3999999999996</v>
          </cell>
          <cell r="C8">
            <v>388.05</v>
          </cell>
          <cell r="D8">
            <v>17.920000000000002</v>
          </cell>
        </row>
        <row r="9">
          <cell r="A9">
            <v>5081.41</v>
          </cell>
          <cell r="B9">
            <v>10248.450000000001</v>
          </cell>
          <cell r="C9">
            <v>538.20000000000005</v>
          </cell>
          <cell r="D9">
            <v>21.36</v>
          </cell>
        </row>
        <row r="10">
          <cell r="A10">
            <v>10248.459999999999</v>
          </cell>
          <cell r="B10">
            <v>16153.05</v>
          </cell>
          <cell r="C10">
            <v>1641.75</v>
          </cell>
          <cell r="D10">
            <v>23.52</v>
          </cell>
        </row>
        <row r="11">
          <cell r="A11">
            <v>16153.06</v>
          </cell>
          <cell r="B11">
            <v>30838.799999999999</v>
          </cell>
          <cell r="C11">
            <v>3030.6</v>
          </cell>
          <cell r="D11">
            <v>30</v>
          </cell>
        </row>
        <row r="12">
          <cell r="A12">
            <v>30838.81</v>
          </cell>
          <cell r="B12">
            <v>41118.449999999997</v>
          </cell>
          <cell r="C12">
            <v>7436.25</v>
          </cell>
          <cell r="D12">
            <v>32</v>
          </cell>
        </row>
        <row r="13">
          <cell r="A13">
            <v>41118.46</v>
          </cell>
          <cell r="B13">
            <v>123355.2</v>
          </cell>
          <cell r="C13">
            <v>10725.75</v>
          </cell>
          <cell r="D13">
            <v>34</v>
          </cell>
        </row>
        <row r="14">
          <cell r="A14">
            <v>123355.21</v>
          </cell>
          <cell r="B14" t="str">
            <v>En adelante</v>
          </cell>
          <cell r="C14">
            <v>38686.35</v>
          </cell>
          <cell r="D14">
            <v>35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245"/>
  <sheetViews>
    <sheetView tabSelected="1" zoomScale="85" zoomScaleNormal="85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15" sqref="J15"/>
    </sheetView>
  </sheetViews>
  <sheetFormatPr baseColWidth="10" defaultRowHeight="12.75" x14ac:dyDescent="0.2"/>
  <cols>
    <col min="1" max="1" width="8" style="1" customWidth="1"/>
    <col min="2" max="2" width="5.7109375" style="1" hidden="1" customWidth="1"/>
    <col min="3" max="3" width="4" style="77" hidden="1" customWidth="1"/>
    <col min="4" max="4" width="41" style="77" customWidth="1"/>
    <col min="5" max="5" width="17.42578125" style="77" hidden="1" customWidth="1"/>
    <col min="6" max="7" width="5.7109375" style="1" hidden="1" customWidth="1"/>
    <col min="8" max="9" width="14.28515625" style="1" hidden="1" customWidth="1"/>
    <col min="10" max="10" width="35" style="1" customWidth="1"/>
    <col min="11" max="11" width="14.28515625" style="1" customWidth="1"/>
    <col min="12" max="12" width="5.7109375" style="1" hidden="1" customWidth="1"/>
    <col min="13" max="13" width="7" style="1" hidden="1" customWidth="1"/>
    <col min="14" max="14" width="17" style="1" customWidth="1"/>
    <col min="15" max="15" width="5.85546875" style="1" hidden="1" customWidth="1"/>
    <col min="16" max="16" width="11.28515625" style="78" hidden="1" customWidth="1"/>
    <col min="17" max="17" width="14.28515625" style="1" customWidth="1"/>
    <col min="18" max="18" width="12.7109375" style="1" hidden="1" customWidth="1"/>
    <col min="19" max="19" width="14.140625" style="1" hidden="1" customWidth="1"/>
    <col min="20" max="20" width="5.7109375" style="1" hidden="1" customWidth="1"/>
    <col min="21" max="21" width="11.28515625" style="78" hidden="1" customWidth="1"/>
    <col min="22" max="22" width="13.85546875" style="1" customWidth="1"/>
    <col min="23" max="23" width="5.7109375" style="1" hidden="1" customWidth="1"/>
    <col min="24" max="24" width="11.28515625" style="78" hidden="1" customWidth="1"/>
    <col min="25" max="25" width="19.140625" style="1" customWidth="1"/>
    <col min="26" max="26" width="15.7109375" style="1" bestFit="1" customWidth="1"/>
    <col min="27" max="27" width="5.7109375" style="1" hidden="1" customWidth="1"/>
    <col min="28" max="28" width="11.28515625" style="78" hidden="1" customWidth="1"/>
    <col min="29" max="29" width="13" style="1" customWidth="1"/>
    <col min="30" max="30" width="5.7109375" style="1" hidden="1" customWidth="1"/>
    <col min="31" max="31" width="11.28515625" style="78" hidden="1" customWidth="1"/>
    <col min="32" max="32" width="16.5703125" style="62" customWidth="1"/>
    <col min="33" max="33" width="5.7109375" style="1" hidden="1" customWidth="1"/>
    <col min="34" max="34" width="11.28515625" style="78" hidden="1" customWidth="1"/>
    <col min="35" max="35" width="13.85546875" style="1" customWidth="1"/>
    <col min="36" max="36" width="5.7109375" style="1" hidden="1" customWidth="1"/>
    <col min="37" max="37" width="11.28515625" style="78" hidden="1" customWidth="1"/>
    <col min="38" max="38" width="13" style="62" customWidth="1"/>
    <col min="39" max="39" width="5.7109375" style="1" hidden="1" customWidth="1"/>
    <col min="40" max="40" width="11.28515625" style="78" hidden="1" customWidth="1"/>
    <col min="41" max="41" width="14.85546875" style="1" hidden="1" customWidth="1"/>
    <col min="42" max="42" width="5.7109375" style="1" hidden="1" customWidth="1"/>
    <col min="43" max="43" width="11.28515625" style="78" hidden="1" customWidth="1"/>
    <col min="44" max="44" width="13.85546875" style="1" hidden="1" customWidth="1"/>
    <col min="45" max="45" width="15.42578125" style="1" bestFit="1" customWidth="1"/>
    <col min="46" max="46" width="17.85546875" style="1" customWidth="1"/>
    <col min="47" max="47" width="46.28515625" style="1" customWidth="1"/>
    <col min="48" max="48" width="43.42578125" style="1" customWidth="1"/>
    <col min="49" max="60" width="11.42578125" style="1" hidden="1" customWidth="1"/>
    <col min="61" max="61" width="10" style="1" hidden="1" customWidth="1"/>
    <col min="62" max="62" width="15.85546875" style="1" hidden="1" customWidth="1"/>
    <col min="63" max="65" width="0" style="1" hidden="1" customWidth="1"/>
    <col min="66" max="16384" width="11.42578125" style="1"/>
  </cols>
  <sheetData>
    <row r="2" spans="1:62" ht="35.25" customHeight="1" x14ac:dyDescent="0.2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</row>
    <row r="3" spans="1:62" s="2" customFormat="1" ht="9" thickBot="1" x14ac:dyDescent="0.25">
      <c r="A3" s="2">
        <v>1</v>
      </c>
      <c r="B3" s="2">
        <f>+A3+1</f>
        <v>2</v>
      </c>
      <c r="C3" s="2">
        <f t="shared" ref="C3:AT3" si="0">+B3+1</f>
        <v>3</v>
      </c>
      <c r="D3" s="2">
        <f t="shared" si="0"/>
        <v>4</v>
      </c>
      <c r="E3" s="2" t="e">
        <f>+#REF!+1</f>
        <v>#REF!</v>
      </c>
      <c r="F3" s="2" t="e">
        <f>+#REF!+1</f>
        <v>#REF!</v>
      </c>
      <c r="G3" s="2" t="e">
        <f t="shared" si="0"/>
        <v>#REF!</v>
      </c>
      <c r="H3" s="2" t="e">
        <f t="shared" si="0"/>
        <v>#REF!</v>
      </c>
      <c r="I3" s="2" t="e">
        <f t="shared" si="0"/>
        <v>#REF!</v>
      </c>
      <c r="K3" s="2" t="e">
        <f>+I3+1</f>
        <v>#REF!</v>
      </c>
      <c r="L3" s="2" t="e">
        <f t="shared" si="0"/>
        <v>#REF!</v>
      </c>
      <c r="M3" s="2" t="e">
        <f t="shared" si="0"/>
        <v>#REF!</v>
      </c>
      <c r="N3" s="2" t="e">
        <f t="shared" si="0"/>
        <v>#REF!</v>
      </c>
      <c r="O3" s="2" t="e">
        <f t="shared" si="0"/>
        <v>#REF!</v>
      </c>
      <c r="P3" s="2" t="e">
        <f t="shared" si="0"/>
        <v>#REF!</v>
      </c>
      <c r="Q3" s="2" t="e">
        <f t="shared" si="0"/>
        <v>#REF!</v>
      </c>
      <c r="R3" s="2" t="e">
        <f t="shared" si="0"/>
        <v>#REF!</v>
      </c>
      <c r="S3" s="2" t="e">
        <f t="shared" si="0"/>
        <v>#REF!</v>
      </c>
      <c r="T3" s="2" t="e">
        <f t="shared" si="0"/>
        <v>#REF!</v>
      </c>
      <c r="U3" s="2" t="e">
        <f t="shared" si="0"/>
        <v>#REF!</v>
      </c>
      <c r="V3" s="2" t="e">
        <f t="shared" si="0"/>
        <v>#REF!</v>
      </c>
      <c r="W3" s="2" t="e">
        <f t="shared" si="0"/>
        <v>#REF!</v>
      </c>
      <c r="X3" s="2" t="e">
        <f t="shared" si="0"/>
        <v>#REF!</v>
      </c>
      <c r="Y3" s="2" t="e">
        <f t="shared" si="0"/>
        <v>#REF!</v>
      </c>
      <c r="Z3" s="2" t="e">
        <f t="shared" si="0"/>
        <v>#REF!</v>
      </c>
      <c r="AA3" s="2" t="e">
        <f t="shared" si="0"/>
        <v>#REF!</v>
      </c>
      <c r="AB3" s="2" t="e">
        <f t="shared" si="0"/>
        <v>#REF!</v>
      </c>
      <c r="AC3" s="2" t="e">
        <f t="shared" si="0"/>
        <v>#REF!</v>
      </c>
      <c r="AD3" s="2" t="e">
        <f t="shared" si="0"/>
        <v>#REF!</v>
      </c>
      <c r="AE3" s="2" t="e">
        <f t="shared" si="0"/>
        <v>#REF!</v>
      </c>
      <c r="AF3" s="3" t="e">
        <f t="shared" si="0"/>
        <v>#REF!</v>
      </c>
      <c r="AG3" s="2" t="e">
        <f t="shared" si="0"/>
        <v>#REF!</v>
      </c>
      <c r="AH3" s="2" t="e">
        <f t="shared" si="0"/>
        <v>#REF!</v>
      </c>
      <c r="AI3" s="2" t="e">
        <f t="shared" si="0"/>
        <v>#REF!</v>
      </c>
      <c r="AJ3" s="2" t="e">
        <f t="shared" si="0"/>
        <v>#REF!</v>
      </c>
      <c r="AK3" s="2" t="e">
        <f t="shared" si="0"/>
        <v>#REF!</v>
      </c>
      <c r="AL3" s="3" t="e">
        <f t="shared" si="0"/>
        <v>#REF!</v>
      </c>
      <c r="AM3" s="2" t="e">
        <f t="shared" si="0"/>
        <v>#REF!</v>
      </c>
      <c r="AN3" s="2" t="e">
        <f t="shared" si="0"/>
        <v>#REF!</v>
      </c>
      <c r="AO3" s="2" t="e">
        <f t="shared" si="0"/>
        <v>#REF!</v>
      </c>
      <c r="AP3" s="2" t="e">
        <f t="shared" si="0"/>
        <v>#REF!</v>
      </c>
      <c r="AQ3" s="2" t="e">
        <f t="shared" si="0"/>
        <v>#REF!</v>
      </c>
      <c r="AR3" s="2" t="e">
        <f t="shared" si="0"/>
        <v>#REF!</v>
      </c>
      <c r="AS3" s="2" t="e">
        <f t="shared" si="0"/>
        <v>#REF!</v>
      </c>
      <c r="AT3" s="2" t="e">
        <f t="shared" si="0"/>
        <v>#REF!</v>
      </c>
    </row>
    <row r="4" spans="1:62" s="4" customFormat="1" ht="44.25" customHeight="1" thickBot="1" x14ac:dyDescent="0.25">
      <c r="A4" s="4" t="s">
        <v>1</v>
      </c>
      <c r="B4" s="171" t="s">
        <v>1</v>
      </c>
      <c r="C4" s="172"/>
      <c r="D4" s="5" t="s">
        <v>2</v>
      </c>
      <c r="E4" s="6" t="s">
        <v>3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145</v>
      </c>
      <c r="K4" s="7" t="s">
        <v>9</v>
      </c>
      <c r="L4" s="7" t="s">
        <v>5</v>
      </c>
      <c r="M4" s="7" t="s">
        <v>6</v>
      </c>
      <c r="N4" s="8" t="s">
        <v>10</v>
      </c>
      <c r="O4" s="8" t="s">
        <v>5</v>
      </c>
      <c r="P4" s="9" t="s">
        <v>6</v>
      </c>
      <c r="Q4" s="8" t="s">
        <v>11</v>
      </c>
      <c r="R4" s="8" t="s">
        <v>12</v>
      </c>
      <c r="S4" s="8" t="s">
        <v>13</v>
      </c>
      <c r="T4" s="7" t="s">
        <v>5</v>
      </c>
      <c r="U4" s="10" t="s">
        <v>6</v>
      </c>
      <c r="V4" s="7" t="s">
        <v>14</v>
      </c>
      <c r="W4" s="11" t="s">
        <v>5</v>
      </c>
      <c r="X4" s="12" t="s">
        <v>6</v>
      </c>
      <c r="Y4" s="8" t="s">
        <v>15</v>
      </c>
      <c r="Z4" s="7" t="s">
        <v>152</v>
      </c>
      <c r="AA4" s="7" t="s">
        <v>5</v>
      </c>
      <c r="AB4" s="10" t="s">
        <v>6</v>
      </c>
      <c r="AC4" s="7" t="s">
        <v>16</v>
      </c>
      <c r="AD4" s="7" t="s">
        <v>5</v>
      </c>
      <c r="AE4" s="10" t="s">
        <v>6</v>
      </c>
      <c r="AF4" s="8" t="s">
        <v>21</v>
      </c>
      <c r="AG4" s="7" t="s">
        <v>5</v>
      </c>
      <c r="AH4" s="10" t="s">
        <v>6</v>
      </c>
      <c r="AI4" s="7" t="s">
        <v>18</v>
      </c>
      <c r="AJ4" s="7" t="s">
        <v>5</v>
      </c>
      <c r="AK4" s="10" t="s">
        <v>6</v>
      </c>
      <c r="AL4" s="8" t="s">
        <v>19</v>
      </c>
      <c r="AM4" s="7" t="s">
        <v>5</v>
      </c>
      <c r="AN4" s="10" t="s">
        <v>6</v>
      </c>
      <c r="AO4" s="7" t="s">
        <v>20</v>
      </c>
      <c r="AP4" s="11" t="s">
        <v>5</v>
      </c>
      <c r="AQ4" s="12" t="s">
        <v>6</v>
      </c>
      <c r="AR4" s="8" t="s">
        <v>21</v>
      </c>
      <c r="AS4" s="7" t="s">
        <v>153</v>
      </c>
      <c r="AT4" s="7" t="s">
        <v>154</v>
      </c>
      <c r="AU4" s="13" t="s">
        <v>22</v>
      </c>
      <c r="AV4" s="5" t="s">
        <v>142</v>
      </c>
      <c r="AW4" s="14"/>
      <c r="AX4" s="14" t="s">
        <v>23</v>
      </c>
      <c r="AY4" s="15" t="s">
        <v>24</v>
      </c>
      <c r="AZ4" s="15" t="s">
        <v>25</v>
      </c>
      <c r="BA4" s="15" t="s">
        <v>26</v>
      </c>
      <c r="BB4" s="15" t="s">
        <v>27</v>
      </c>
      <c r="BC4" s="15" t="s">
        <v>28</v>
      </c>
      <c r="BD4" s="15" t="s">
        <v>29</v>
      </c>
      <c r="BE4" s="15" t="s">
        <v>30</v>
      </c>
      <c r="BF4" s="16"/>
      <c r="BG4" s="16"/>
      <c r="BH4" s="16"/>
      <c r="BI4" s="14"/>
      <c r="BJ4" s="13" t="s">
        <v>31</v>
      </c>
    </row>
    <row r="5" spans="1:62" s="31" customFormat="1" ht="30" customHeight="1" x14ac:dyDescent="0.2">
      <c r="A5" s="17" t="str">
        <f>B5&amp;" "&amp;C5</f>
        <v>SEI 004</v>
      </c>
      <c r="B5" s="18" t="s">
        <v>32</v>
      </c>
      <c r="C5" s="19" t="s">
        <v>33</v>
      </c>
      <c r="D5" s="20" t="s">
        <v>34</v>
      </c>
      <c r="E5" s="20" t="s">
        <v>35</v>
      </c>
      <c r="F5" s="21" t="s">
        <v>37</v>
      </c>
      <c r="G5" s="21" t="s">
        <v>38</v>
      </c>
      <c r="H5" s="21">
        <v>15</v>
      </c>
      <c r="I5" s="21">
        <v>421.49</v>
      </c>
      <c r="J5" s="160" t="s">
        <v>146</v>
      </c>
      <c r="K5" s="21">
        <v>6322.35</v>
      </c>
      <c r="L5" s="21" t="s">
        <v>37</v>
      </c>
      <c r="M5" s="22">
        <v>1311</v>
      </c>
      <c r="N5" s="23">
        <v>134.58000000000001</v>
      </c>
      <c r="O5" s="21" t="s">
        <v>37</v>
      </c>
      <c r="P5" s="22">
        <v>1713</v>
      </c>
      <c r="Q5" s="21">
        <v>351.5</v>
      </c>
      <c r="R5" s="23">
        <v>406.32</v>
      </c>
      <c r="S5" s="23">
        <f>(K5*3%)</f>
        <v>189.6705</v>
      </c>
      <c r="T5" s="21" t="s">
        <v>37</v>
      </c>
      <c r="U5" s="22">
        <v>1712</v>
      </c>
      <c r="V5" s="24">
        <f>(R5+S5)</f>
        <v>595.9905</v>
      </c>
      <c r="W5" s="21" t="s">
        <v>37</v>
      </c>
      <c r="X5" s="22">
        <v>1345</v>
      </c>
      <c r="Y5" s="24">
        <v>11303.45</v>
      </c>
      <c r="Z5" s="24">
        <f>K5+N5+Q5+V5+Y5</f>
        <v>18707.870500000001</v>
      </c>
      <c r="AA5" s="21" t="s">
        <v>39</v>
      </c>
      <c r="AB5" s="22">
        <v>1431</v>
      </c>
      <c r="AC5" s="24">
        <f t="shared" ref="AC5:AC16" si="1">(K5*8.5%)</f>
        <v>537.39975000000004</v>
      </c>
      <c r="AD5" s="21" t="s">
        <v>39</v>
      </c>
      <c r="AE5" s="25" t="s">
        <v>40</v>
      </c>
      <c r="AF5" s="23">
        <v>306</v>
      </c>
      <c r="AG5" s="21" t="s">
        <v>39</v>
      </c>
      <c r="AH5" s="25" t="s">
        <v>41</v>
      </c>
      <c r="AI5" s="23">
        <f>+BE5</f>
        <v>3797.04</v>
      </c>
      <c r="AJ5" s="21" t="s">
        <v>39</v>
      </c>
      <c r="AK5" s="25" t="s">
        <v>42</v>
      </c>
      <c r="AL5" s="23">
        <f>(K5*0%)</f>
        <v>0</v>
      </c>
      <c r="AM5" s="21" t="s">
        <v>39</v>
      </c>
      <c r="AN5" s="25" t="s">
        <v>43</v>
      </c>
      <c r="AO5" s="23">
        <v>0</v>
      </c>
      <c r="AP5" s="21" t="s">
        <v>39</v>
      </c>
      <c r="AQ5" s="25" t="s">
        <v>44</v>
      </c>
      <c r="AR5" s="23">
        <v>0</v>
      </c>
      <c r="AS5" s="24">
        <f>(AC5+AF5+AI5+AL5+AO5+AR5)</f>
        <v>4640.4397499999995</v>
      </c>
      <c r="AT5" s="26">
        <f t="shared" ref="AT5:AT32" si="2">(Z5-AS5)</f>
        <v>14067.430750000001</v>
      </c>
      <c r="AU5" s="27"/>
      <c r="AV5" s="28"/>
      <c r="AW5" s="29">
        <f>+H5</f>
        <v>15</v>
      </c>
      <c r="AX5" s="29">
        <f>+K5+S5+N5+Q5+R5+Y5</f>
        <v>18707.870500000001</v>
      </c>
      <c r="AY5" s="30">
        <f>IFERROR(+AX5/AW5,0)*AW5</f>
        <v>18707.870500000001</v>
      </c>
      <c r="AZ5" s="30">
        <f>IFERROR(+LOOKUP(AY5,[1]TARIFAS!$A$4:$B$14,[1]TARIFAS!$A$4:$A$14),0)</f>
        <v>16153.06</v>
      </c>
      <c r="BA5" s="30">
        <f>+AY5-AZ5</f>
        <v>2554.8105000000014</v>
      </c>
      <c r="BB5" s="30">
        <f>IFERROR(+LOOKUP(AY5,[1]TARIFAS!$A$4:$B$14,[1]TARIFAS!$D$4:$D$14),0)</f>
        <v>30</v>
      </c>
      <c r="BC5" s="30">
        <f>(+BA5*BB5)/100</f>
        <v>766.44315000000051</v>
      </c>
      <c r="BD5" s="30">
        <f>IFERROR(+LOOKUP(AY5,[1]TARIFAS!$A$4:$B$14,[1]TARIFAS!$C$4:$C$14),0)</f>
        <v>3030.6</v>
      </c>
      <c r="BE5" s="30">
        <f>ROUND(+BC5+BD5,2)</f>
        <v>3797.04</v>
      </c>
      <c r="BF5" s="30"/>
      <c r="BG5" s="30"/>
      <c r="BH5" s="30"/>
      <c r="BI5" s="29"/>
    </row>
    <row r="6" spans="1:62" s="31" customFormat="1" ht="29.25" customHeight="1" x14ac:dyDescent="0.2">
      <c r="A6" s="17" t="str">
        <f t="shared" ref="A6:A33" si="3">B6&amp;" "&amp;C6</f>
        <v>SEI 006</v>
      </c>
      <c r="B6" s="17" t="s">
        <v>32</v>
      </c>
      <c r="C6" s="32" t="s">
        <v>45</v>
      </c>
      <c r="D6" s="20" t="s">
        <v>46</v>
      </c>
      <c r="E6" s="20" t="s">
        <v>35</v>
      </c>
      <c r="F6" s="21" t="s">
        <v>37</v>
      </c>
      <c r="G6" s="21" t="s">
        <v>38</v>
      </c>
      <c r="H6" s="21">
        <v>15</v>
      </c>
      <c r="I6" s="21">
        <v>421.49</v>
      </c>
      <c r="J6" s="160" t="s">
        <v>147</v>
      </c>
      <c r="K6" s="21">
        <v>6322.35</v>
      </c>
      <c r="L6" s="21" t="s">
        <v>37</v>
      </c>
      <c r="M6" s="22">
        <v>1311</v>
      </c>
      <c r="N6" s="23">
        <v>168.22500000000002</v>
      </c>
      <c r="O6" s="21" t="s">
        <v>37</v>
      </c>
      <c r="P6" s="22">
        <v>1713</v>
      </c>
      <c r="Q6" s="21">
        <v>351.5</v>
      </c>
      <c r="R6" s="23">
        <v>406.32</v>
      </c>
      <c r="S6" s="23">
        <f t="shared" ref="S6:S33" si="4">(K6*3%)</f>
        <v>189.6705</v>
      </c>
      <c r="T6" s="21" t="s">
        <v>37</v>
      </c>
      <c r="U6" s="22">
        <v>1712</v>
      </c>
      <c r="V6" s="24">
        <f t="shared" ref="V6:V32" si="5">(R6+S6)</f>
        <v>595.9905</v>
      </c>
      <c r="W6" s="21"/>
      <c r="X6" s="22"/>
      <c r="Y6" s="24"/>
      <c r="Z6" s="24">
        <f t="shared" ref="Z6:Z33" si="6">K6+N6+Q6+V6+Y6</f>
        <v>7438.0655000000006</v>
      </c>
      <c r="AA6" s="21" t="s">
        <v>39</v>
      </c>
      <c r="AB6" s="22">
        <v>1431</v>
      </c>
      <c r="AC6" s="24">
        <f t="shared" si="1"/>
        <v>537.39975000000004</v>
      </c>
      <c r="AD6" s="21" t="s">
        <v>39</v>
      </c>
      <c r="AE6" s="25" t="s">
        <v>40</v>
      </c>
      <c r="AF6" s="23">
        <v>2000</v>
      </c>
      <c r="AG6" s="21" t="s">
        <v>39</v>
      </c>
      <c r="AH6" s="25" t="s">
        <v>41</v>
      </c>
      <c r="AI6" s="23">
        <f t="shared" ref="AI6:AI33" si="7">+BE6</f>
        <v>1041.58</v>
      </c>
      <c r="AJ6" s="21" t="s">
        <v>39</v>
      </c>
      <c r="AK6" s="25" t="s">
        <v>42</v>
      </c>
      <c r="AL6" s="23">
        <f>(K6*1%)</f>
        <v>63.223500000000008</v>
      </c>
      <c r="AM6" s="21" t="s">
        <v>39</v>
      </c>
      <c r="AN6" s="25" t="s">
        <v>43</v>
      </c>
      <c r="AO6" s="23">
        <v>0</v>
      </c>
      <c r="AP6" s="21" t="s">
        <v>39</v>
      </c>
      <c r="AQ6" s="25" t="s">
        <v>44</v>
      </c>
      <c r="AR6" s="23">
        <v>0</v>
      </c>
      <c r="AS6" s="24">
        <f t="shared" ref="AS6:AS32" si="8">(AC6+AF6+AI6+AL6+AO6+AR6)</f>
        <v>3642.20325</v>
      </c>
      <c r="AT6" s="26">
        <f t="shared" si="2"/>
        <v>3795.8622500000006</v>
      </c>
      <c r="AU6" s="33"/>
      <c r="AV6" s="28"/>
      <c r="AW6" s="29">
        <f t="shared" ref="AW6:AW33" si="9">+H6</f>
        <v>15</v>
      </c>
      <c r="AX6" s="29">
        <f t="shared" ref="AX6:AX33" si="10">+K6+S6+N6+Q6+R6+Y6</f>
        <v>7438.0655000000006</v>
      </c>
      <c r="AY6" s="30">
        <f t="shared" ref="AY6:AY33" si="11">IFERROR(+AX6/AW6,0)*AW6</f>
        <v>7438.0655000000006</v>
      </c>
      <c r="AZ6" s="30">
        <f>IFERROR(+LOOKUP(AY6,[1]TARIFAS!$A$4:$B$14,[1]TARIFAS!$A$4:$A$14),0)</f>
        <v>5081.41</v>
      </c>
      <c r="BA6" s="30">
        <f t="shared" ref="BA6:BA33" si="12">+AY6-AZ6</f>
        <v>2356.6555000000008</v>
      </c>
      <c r="BB6" s="30">
        <f>IFERROR(+LOOKUP(AY6,[1]TARIFAS!$A$4:$B$14,[1]TARIFAS!$D$4:$D$14),0)</f>
        <v>21.36</v>
      </c>
      <c r="BC6" s="30">
        <f t="shared" ref="BC6:BC33" si="13">(+BA6*BB6)/100</f>
        <v>503.38161480000019</v>
      </c>
      <c r="BD6" s="30">
        <f>IFERROR(+LOOKUP(AY6,[1]TARIFAS!$A$4:$B$14,[1]TARIFAS!$C$4:$C$14),0)</f>
        <v>538.20000000000005</v>
      </c>
      <c r="BE6" s="30">
        <f t="shared" ref="BE6:BE33" si="14">ROUND(+BC6+BD6,2)</f>
        <v>1041.58</v>
      </c>
      <c r="BF6" s="30"/>
      <c r="BG6" s="30"/>
      <c r="BH6" s="30"/>
      <c r="BI6" s="29"/>
    </row>
    <row r="7" spans="1:62" s="31" customFormat="1" ht="30" customHeight="1" x14ac:dyDescent="0.2">
      <c r="A7" s="17" t="str">
        <f t="shared" si="3"/>
        <v>SEI 007</v>
      </c>
      <c r="B7" s="17" t="s">
        <v>32</v>
      </c>
      <c r="C7" s="32" t="s">
        <v>48</v>
      </c>
      <c r="D7" s="20" t="s">
        <v>49</v>
      </c>
      <c r="E7" s="20" t="s">
        <v>50</v>
      </c>
      <c r="F7" s="21" t="s">
        <v>37</v>
      </c>
      <c r="G7" s="21" t="s">
        <v>38</v>
      </c>
      <c r="H7" s="21">
        <v>15</v>
      </c>
      <c r="I7" s="21">
        <v>504.21533333333332</v>
      </c>
      <c r="J7" s="160" t="s">
        <v>147</v>
      </c>
      <c r="K7" s="21">
        <v>7563.23</v>
      </c>
      <c r="L7" s="21" t="s">
        <v>37</v>
      </c>
      <c r="M7" s="22">
        <v>1311</v>
      </c>
      <c r="N7" s="23">
        <v>168.22500000000002</v>
      </c>
      <c r="O7" s="21" t="s">
        <v>37</v>
      </c>
      <c r="P7" s="22">
        <v>1713</v>
      </c>
      <c r="Q7" s="21">
        <v>282.08999999999997</v>
      </c>
      <c r="R7" s="23">
        <v>418.44</v>
      </c>
      <c r="S7" s="23">
        <f t="shared" si="4"/>
        <v>226.89689999999999</v>
      </c>
      <c r="T7" s="21" t="s">
        <v>37</v>
      </c>
      <c r="U7" s="22">
        <v>1712</v>
      </c>
      <c r="V7" s="24">
        <f t="shared" si="5"/>
        <v>645.33690000000001</v>
      </c>
      <c r="W7" s="21"/>
      <c r="X7" s="22"/>
      <c r="Y7" s="24"/>
      <c r="Z7" s="24">
        <f t="shared" si="6"/>
        <v>8658.8819000000003</v>
      </c>
      <c r="AA7" s="21" t="s">
        <v>39</v>
      </c>
      <c r="AB7" s="22">
        <v>1431</v>
      </c>
      <c r="AC7" s="24">
        <f t="shared" si="1"/>
        <v>642.87455</v>
      </c>
      <c r="AD7" s="21" t="s">
        <v>39</v>
      </c>
      <c r="AE7" s="25" t="s">
        <v>40</v>
      </c>
      <c r="AF7" s="23">
        <v>1158.5</v>
      </c>
      <c r="AG7" s="21" t="s">
        <v>39</v>
      </c>
      <c r="AH7" s="25" t="s">
        <v>41</v>
      </c>
      <c r="AI7" s="23">
        <f t="shared" si="7"/>
        <v>1302.3499999999999</v>
      </c>
      <c r="AJ7" s="21" t="s">
        <v>39</v>
      </c>
      <c r="AK7" s="25" t="s">
        <v>42</v>
      </c>
      <c r="AL7" s="23">
        <f>(K7*1%)</f>
        <v>75.632300000000001</v>
      </c>
      <c r="AM7" s="21" t="s">
        <v>39</v>
      </c>
      <c r="AN7" s="25" t="s">
        <v>43</v>
      </c>
      <c r="AO7" s="23">
        <v>0</v>
      </c>
      <c r="AP7" s="21" t="s">
        <v>39</v>
      </c>
      <c r="AQ7" s="25" t="s">
        <v>44</v>
      </c>
      <c r="AR7" s="23">
        <v>0</v>
      </c>
      <c r="AS7" s="24">
        <f t="shared" si="8"/>
        <v>3179.3568500000001</v>
      </c>
      <c r="AT7" s="26">
        <f t="shared" si="2"/>
        <v>5479.5250500000002</v>
      </c>
      <c r="AU7" s="33"/>
      <c r="AV7" s="28"/>
      <c r="AW7" s="29">
        <f t="shared" si="9"/>
        <v>15</v>
      </c>
      <c r="AX7" s="29">
        <f t="shared" si="10"/>
        <v>8658.8819000000003</v>
      </c>
      <c r="AY7" s="30">
        <f t="shared" si="11"/>
        <v>8658.8819000000003</v>
      </c>
      <c r="AZ7" s="30">
        <f>IFERROR(+LOOKUP(AY7,[1]TARIFAS!$A$4:$B$14,[1]TARIFAS!$A$4:$A$14),0)</f>
        <v>5081.41</v>
      </c>
      <c r="BA7" s="30">
        <f t="shared" si="12"/>
        <v>3577.4719000000005</v>
      </c>
      <c r="BB7" s="30">
        <f>IFERROR(+LOOKUP(AY7,[1]TARIFAS!$A$4:$B$14,[1]TARIFAS!$D$4:$D$14),0)</f>
        <v>21.36</v>
      </c>
      <c r="BC7" s="30">
        <f t="shared" si="13"/>
        <v>764.14799784000002</v>
      </c>
      <c r="BD7" s="30">
        <f>IFERROR(+LOOKUP(AY7,[1]TARIFAS!$A$4:$B$14,[1]TARIFAS!$C$4:$C$14),0)</f>
        <v>538.20000000000005</v>
      </c>
      <c r="BE7" s="30">
        <f t="shared" si="14"/>
        <v>1302.3499999999999</v>
      </c>
      <c r="BF7" s="30"/>
      <c r="BG7" s="30"/>
      <c r="BH7" s="30"/>
      <c r="BI7" s="29"/>
    </row>
    <row r="8" spans="1:62" s="31" customFormat="1" ht="30" customHeight="1" x14ac:dyDescent="0.2">
      <c r="A8" s="17" t="str">
        <f t="shared" si="3"/>
        <v>SEI 008</v>
      </c>
      <c r="B8" s="17" t="s">
        <v>32</v>
      </c>
      <c r="C8" s="32" t="s">
        <v>51</v>
      </c>
      <c r="D8" s="20" t="s">
        <v>52</v>
      </c>
      <c r="E8" s="20" t="s">
        <v>35</v>
      </c>
      <c r="F8" s="21" t="s">
        <v>37</v>
      </c>
      <c r="G8" s="21" t="s">
        <v>38</v>
      </c>
      <c r="H8" s="21">
        <v>15</v>
      </c>
      <c r="I8" s="21">
        <v>421.49</v>
      </c>
      <c r="J8" s="160" t="s">
        <v>148</v>
      </c>
      <c r="K8" s="21">
        <v>6322.35</v>
      </c>
      <c r="L8" s="21" t="s">
        <v>37</v>
      </c>
      <c r="M8" s="22">
        <v>1311</v>
      </c>
      <c r="N8" s="23">
        <v>201.87</v>
      </c>
      <c r="O8" s="21" t="s">
        <v>37</v>
      </c>
      <c r="P8" s="22">
        <v>1713</v>
      </c>
      <c r="Q8" s="21">
        <v>351.5</v>
      </c>
      <c r="R8" s="23">
        <v>406.32</v>
      </c>
      <c r="S8" s="23">
        <f t="shared" si="4"/>
        <v>189.6705</v>
      </c>
      <c r="T8" s="21" t="s">
        <v>37</v>
      </c>
      <c r="U8" s="22">
        <v>1712</v>
      </c>
      <c r="V8" s="24">
        <f t="shared" si="5"/>
        <v>595.9905</v>
      </c>
      <c r="W8" s="21"/>
      <c r="X8" s="22"/>
      <c r="Y8" s="24"/>
      <c r="Z8" s="24">
        <f t="shared" si="6"/>
        <v>7471.7105000000001</v>
      </c>
      <c r="AA8" s="21" t="s">
        <v>39</v>
      </c>
      <c r="AB8" s="22">
        <v>1431</v>
      </c>
      <c r="AC8" s="24">
        <f t="shared" si="1"/>
        <v>537.39975000000004</v>
      </c>
      <c r="AD8" s="21" t="s">
        <v>39</v>
      </c>
      <c r="AE8" s="25" t="s">
        <v>40</v>
      </c>
      <c r="AF8" s="23">
        <v>1542</v>
      </c>
      <c r="AG8" s="21" t="s">
        <v>39</v>
      </c>
      <c r="AH8" s="25" t="s">
        <v>41</v>
      </c>
      <c r="AI8" s="23">
        <f t="shared" si="7"/>
        <v>1048.77</v>
      </c>
      <c r="AJ8" s="21" t="s">
        <v>39</v>
      </c>
      <c r="AK8" s="25" t="s">
        <v>42</v>
      </c>
      <c r="AL8" s="23">
        <f>(K8*1%)</f>
        <v>63.223500000000008</v>
      </c>
      <c r="AM8" s="21" t="s">
        <v>39</v>
      </c>
      <c r="AN8" s="25" t="s">
        <v>43</v>
      </c>
      <c r="AO8" s="23">
        <v>0</v>
      </c>
      <c r="AP8" s="21" t="s">
        <v>39</v>
      </c>
      <c r="AQ8" s="25" t="s">
        <v>44</v>
      </c>
      <c r="AR8" s="23">
        <v>0</v>
      </c>
      <c r="AS8" s="24">
        <f t="shared" si="8"/>
        <v>3191.3932500000001</v>
      </c>
      <c r="AT8" s="26">
        <f t="shared" si="2"/>
        <v>4280.3172500000001</v>
      </c>
      <c r="AU8" s="33"/>
      <c r="AV8" s="28"/>
      <c r="AW8" s="29">
        <f t="shared" si="9"/>
        <v>15</v>
      </c>
      <c r="AX8" s="29">
        <f t="shared" si="10"/>
        <v>7471.7105000000001</v>
      </c>
      <c r="AY8" s="30">
        <f>IFERROR(+AX8/AW8,0)*AW8</f>
        <v>7471.7105000000001</v>
      </c>
      <c r="AZ8" s="30">
        <f>IFERROR(+LOOKUP(AY8,[1]TARIFAS!$A$4:$B$14,[1]TARIFAS!$A$4:$A$14),0)</f>
        <v>5081.41</v>
      </c>
      <c r="BA8" s="30">
        <f t="shared" si="12"/>
        <v>2390.3005000000003</v>
      </c>
      <c r="BB8" s="30">
        <f>IFERROR(+LOOKUP(AY8,[1]TARIFAS!$A$4:$B$14,[1]TARIFAS!$D$4:$D$14),0)</f>
        <v>21.36</v>
      </c>
      <c r="BC8" s="30">
        <f t="shared" si="13"/>
        <v>510.56818680000003</v>
      </c>
      <c r="BD8" s="30">
        <f>IFERROR(+LOOKUP(AY8,[1]TARIFAS!$A$4:$B$14,[1]TARIFAS!$C$4:$C$14),0)</f>
        <v>538.20000000000005</v>
      </c>
      <c r="BE8" s="30">
        <f t="shared" si="14"/>
        <v>1048.77</v>
      </c>
      <c r="BF8" s="30"/>
      <c r="BG8" s="30"/>
      <c r="BH8" s="30"/>
      <c r="BI8" s="29"/>
    </row>
    <row r="9" spans="1:62" s="31" customFormat="1" ht="30" customHeight="1" x14ac:dyDescent="0.2">
      <c r="A9" s="17" t="str">
        <f t="shared" si="3"/>
        <v>SEI 009</v>
      </c>
      <c r="B9" s="17" t="s">
        <v>32</v>
      </c>
      <c r="C9" s="32" t="s">
        <v>54</v>
      </c>
      <c r="D9" s="20" t="s">
        <v>55</v>
      </c>
      <c r="E9" s="20" t="s">
        <v>50</v>
      </c>
      <c r="F9" s="21" t="s">
        <v>37</v>
      </c>
      <c r="G9" s="21" t="s">
        <v>38</v>
      </c>
      <c r="H9" s="21">
        <v>15</v>
      </c>
      <c r="I9" s="21">
        <v>504.21533333333332</v>
      </c>
      <c r="J9" s="160" t="s">
        <v>147</v>
      </c>
      <c r="K9" s="21">
        <v>7563.23</v>
      </c>
      <c r="L9" s="21" t="s">
        <v>37</v>
      </c>
      <c r="M9" s="22">
        <v>1311</v>
      </c>
      <c r="N9" s="23">
        <v>168.22500000000002</v>
      </c>
      <c r="O9" s="21" t="s">
        <v>37</v>
      </c>
      <c r="P9" s="22">
        <v>1713</v>
      </c>
      <c r="Q9" s="21">
        <v>282.08999999999997</v>
      </c>
      <c r="R9" s="23">
        <v>418.44</v>
      </c>
      <c r="S9" s="23">
        <f t="shared" si="4"/>
        <v>226.89689999999999</v>
      </c>
      <c r="T9" s="21" t="s">
        <v>37</v>
      </c>
      <c r="U9" s="22">
        <v>1712</v>
      </c>
      <c r="V9" s="24">
        <f t="shared" si="5"/>
        <v>645.33690000000001</v>
      </c>
      <c r="W9" s="21"/>
      <c r="X9" s="22"/>
      <c r="Y9" s="24"/>
      <c r="Z9" s="24">
        <f t="shared" si="6"/>
        <v>8658.8819000000003</v>
      </c>
      <c r="AA9" s="21" t="s">
        <v>39</v>
      </c>
      <c r="AB9" s="22">
        <v>1431</v>
      </c>
      <c r="AC9" s="24">
        <f t="shared" si="1"/>
        <v>642.87455</v>
      </c>
      <c r="AD9" s="21" t="s">
        <v>39</v>
      </c>
      <c r="AE9" s="25" t="s">
        <v>40</v>
      </c>
      <c r="AF9" s="23">
        <v>0</v>
      </c>
      <c r="AG9" s="21" t="s">
        <v>39</v>
      </c>
      <c r="AH9" s="25" t="s">
        <v>41</v>
      </c>
      <c r="AI9" s="23">
        <f t="shared" si="7"/>
        <v>1302.3499999999999</v>
      </c>
      <c r="AJ9" s="21" t="s">
        <v>39</v>
      </c>
      <c r="AK9" s="25" t="s">
        <v>42</v>
      </c>
      <c r="AL9" s="23">
        <f>(K9*1%)</f>
        <v>75.632300000000001</v>
      </c>
      <c r="AM9" s="21" t="s">
        <v>39</v>
      </c>
      <c r="AN9" s="25" t="s">
        <v>43</v>
      </c>
      <c r="AO9" s="23">
        <v>0</v>
      </c>
      <c r="AP9" s="21" t="s">
        <v>39</v>
      </c>
      <c r="AQ9" s="25" t="s">
        <v>44</v>
      </c>
      <c r="AR9" s="23">
        <v>0</v>
      </c>
      <c r="AS9" s="24">
        <f t="shared" si="8"/>
        <v>2020.8568499999999</v>
      </c>
      <c r="AT9" s="26">
        <f t="shared" si="2"/>
        <v>6638.0250500000002</v>
      </c>
      <c r="AU9" s="33"/>
      <c r="AV9" s="28"/>
      <c r="AW9" s="29">
        <f t="shared" si="9"/>
        <v>15</v>
      </c>
      <c r="AX9" s="29">
        <f t="shared" si="10"/>
        <v>8658.8819000000003</v>
      </c>
      <c r="AY9" s="30">
        <f>IFERROR(+AX9/AW9,0)*AW9</f>
        <v>8658.8819000000003</v>
      </c>
      <c r="AZ9" s="30">
        <f>IFERROR(+LOOKUP(AY9,[1]TARIFAS!$A$4:$B$14,[1]TARIFAS!$A$4:$A$14),0)</f>
        <v>5081.41</v>
      </c>
      <c r="BA9" s="30">
        <f t="shared" si="12"/>
        <v>3577.4719000000005</v>
      </c>
      <c r="BB9" s="30">
        <f>IFERROR(+LOOKUP(AY9,[1]TARIFAS!$A$4:$B$14,[1]TARIFAS!$D$4:$D$14),0)</f>
        <v>21.36</v>
      </c>
      <c r="BC9" s="30">
        <f t="shared" si="13"/>
        <v>764.14799784000002</v>
      </c>
      <c r="BD9" s="30">
        <f>IFERROR(+LOOKUP(AY9,[1]TARIFAS!$A$4:$B$14,[1]TARIFAS!$C$4:$C$14),0)</f>
        <v>538.20000000000005</v>
      </c>
      <c r="BE9" s="30">
        <f t="shared" si="14"/>
        <v>1302.3499999999999</v>
      </c>
      <c r="BF9" s="30"/>
      <c r="BG9" s="30"/>
      <c r="BH9" s="30"/>
      <c r="BI9" s="29"/>
    </row>
    <row r="10" spans="1:62" s="31" customFormat="1" ht="30" customHeight="1" x14ac:dyDescent="0.2">
      <c r="A10" s="17" t="str">
        <f t="shared" si="3"/>
        <v>SEI 010</v>
      </c>
      <c r="B10" s="17" t="s">
        <v>32</v>
      </c>
      <c r="C10" s="32" t="s">
        <v>56</v>
      </c>
      <c r="D10" s="20" t="s">
        <v>57</v>
      </c>
      <c r="E10" s="20" t="s">
        <v>35</v>
      </c>
      <c r="F10" s="21" t="s">
        <v>37</v>
      </c>
      <c r="G10" s="21" t="s">
        <v>38</v>
      </c>
      <c r="H10" s="21">
        <v>15</v>
      </c>
      <c r="I10" s="21">
        <v>421.49</v>
      </c>
      <c r="J10" s="160" t="s">
        <v>147</v>
      </c>
      <c r="K10" s="21">
        <v>6322.35</v>
      </c>
      <c r="L10" s="21" t="s">
        <v>37</v>
      </c>
      <c r="M10" s="22">
        <v>1311</v>
      </c>
      <c r="N10" s="23">
        <v>201.87</v>
      </c>
      <c r="O10" s="21" t="s">
        <v>37</v>
      </c>
      <c r="P10" s="22">
        <v>1713</v>
      </c>
      <c r="Q10" s="21">
        <v>351.5</v>
      </c>
      <c r="R10" s="23">
        <v>406.32</v>
      </c>
      <c r="S10" s="23">
        <f t="shared" si="4"/>
        <v>189.6705</v>
      </c>
      <c r="T10" s="21" t="s">
        <v>37</v>
      </c>
      <c r="U10" s="22">
        <v>1712</v>
      </c>
      <c r="V10" s="24">
        <f t="shared" si="5"/>
        <v>595.9905</v>
      </c>
      <c r="W10" s="21"/>
      <c r="X10" s="22"/>
      <c r="Y10" s="24"/>
      <c r="Z10" s="24">
        <f t="shared" si="6"/>
        <v>7471.7105000000001</v>
      </c>
      <c r="AA10" s="21" t="s">
        <v>39</v>
      </c>
      <c r="AB10" s="22">
        <v>1431</v>
      </c>
      <c r="AC10" s="24">
        <f t="shared" si="1"/>
        <v>537.39975000000004</v>
      </c>
      <c r="AD10" s="21" t="s">
        <v>39</v>
      </c>
      <c r="AE10" s="25" t="s">
        <v>40</v>
      </c>
      <c r="AF10" s="23">
        <v>2108</v>
      </c>
      <c r="AG10" s="21" t="s">
        <v>39</v>
      </c>
      <c r="AH10" s="25" t="s">
        <v>41</v>
      </c>
      <c r="AI10" s="23">
        <f t="shared" si="7"/>
        <v>1048.77</v>
      </c>
      <c r="AJ10" s="21" t="s">
        <v>39</v>
      </c>
      <c r="AK10" s="25" t="s">
        <v>42</v>
      </c>
      <c r="AL10" s="23">
        <f>(K10*1%)</f>
        <v>63.223500000000008</v>
      </c>
      <c r="AM10" s="21" t="s">
        <v>39</v>
      </c>
      <c r="AN10" s="25" t="s">
        <v>43</v>
      </c>
      <c r="AO10" s="23">
        <v>0</v>
      </c>
      <c r="AP10" s="21" t="s">
        <v>39</v>
      </c>
      <c r="AQ10" s="25" t="s">
        <v>44</v>
      </c>
      <c r="AR10" s="23">
        <v>0</v>
      </c>
      <c r="AS10" s="24">
        <f t="shared" si="8"/>
        <v>3757.3932500000001</v>
      </c>
      <c r="AT10" s="26">
        <f t="shared" si="2"/>
        <v>3714.3172500000001</v>
      </c>
      <c r="AU10" s="33"/>
      <c r="AV10" s="28"/>
      <c r="AW10" s="29">
        <f t="shared" si="9"/>
        <v>15</v>
      </c>
      <c r="AX10" s="29">
        <f t="shared" si="10"/>
        <v>7471.7105000000001</v>
      </c>
      <c r="AY10" s="30">
        <f>IFERROR(+AX10/AW10,0)*AW10</f>
        <v>7471.7105000000001</v>
      </c>
      <c r="AZ10" s="30">
        <f>IFERROR(+LOOKUP(AY10,[1]TARIFAS!$A$4:$B$14,[1]TARIFAS!$A$4:$A$14),0)</f>
        <v>5081.41</v>
      </c>
      <c r="BA10" s="30">
        <f t="shared" si="12"/>
        <v>2390.3005000000003</v>
      </c>
      <c r="BB10" s="30">
        <f>IFERROR(+LOOKUP(AY10,[1]TARIFAS!$A$4:$B$14,[1]TARIFAS!$D$4:$D$14),0)</f>
        <v>21.36</v>
      </c>
      <c r="BC10" s="30">
        <f t="shared" si="13"/>
        <v>510.56818680000003</v>
      </c>
      <c r="BD10" s="30">
        <f>IFERROR(+LOOKUP(AY10,[1]TARIFAS!$A$4:$B$14,[1]TARIFAS!$C$4:$C$14),0)</f>
        <v>538.20000000000005</v>
      </c>
      <c r="BE10" s="30">
        <f t="shared" si="14"/>
        <v>1048.77</v>
      </c>
      <c r="BF10" s="30"/>
      <c r="BG10" s="30"/>
      <c r="BH10" s="30"/>
      <c r="BI10" s="29"/>
    </row>
    <row r="11" spans="1:62" s="31" customFormat="1" ht="30" customHeight="1" x14ac:dyDescent="0.2">
      <c r="A11" s="17" t="str">
        <f t="shared" si="3"/>
        <v>SEI 013</v>
      </c>
      <c r="B11" s="17" t="s">
        <v>32</v>
      </c>
      <c r="C11" s="32" t="s">
        <v>58</v>
      </c>
      <c r="D11" s="20" t="s">
        <v>59</v>
      </c>
      <c r="E11" s="20" t="s">
        <v>35</v>
      </c>
      <c r="F11" s="21" t="s">
        <v>37</v>
      </c>
      <c r="G11" s="21" t="s">
        <v>38</v>
      </c>
      <c r="H11" s="21">
        <v>15</v>
      </c>
      <c r="I11" s="21">
        <v>325.036</v>
      </c>
      <c r="J11" s="160" t="s">
        <v>149</v>
      </c>
      <c r="K11" s="21">
        <v>4875.54</v>
      </c>
      <c r="L11" s="21" t="s">
        <v>37</v>
      </c>
      <c r="M11" s="22">
        <v>1311</v>
      </c>
      <c r="N11" s="23">
        <v>235.51499999999999</v>
      </c>
      <c r="O11" s="21" t="s">
        <v>37</v>
      </c>
      <c r="P11" s="22">
        <v>1713</v>
      </c>
      <c r="Q11" s="21">
        <v>207.91</v>
      </c>
      <c r="R11" s="23">
        <v>371.02</v>
      </c>
      <c r="S11" s="23">
        <f t="shared" si="4"/>
        <v>146.2662</v>
      </c>
      <c r="T11" s="21" t="s">
        <v>37</v>
      </c>
      <c r="U11" s="22">
        <v>1712</v>
      </c>
      <c r="V11" s="24">
        <f t="shared" si="5"/>
        <v>517.28620000000001</v>
      </c>
      <c r="W11" s="21"/>
      <c r="X11" s="22"/>
      <c r="Y11" s="24"/>
      <c r="Z11" s="24">
        <f t="shared" si="6"/>
        <v>5836.2512000000006</v>
      </c>
      <c r="AA11" s="21" t="s">
        <v>39</v>
      </c>
      <c r="AB11" s="22">
        <v>1431</v>
      </c>
      <c r="AC11" s="24">
        <f t="shared" si="1"/>
        <v>414.42090000000002</v>
      </c>
      <c r="AD11" s="21" t="s">
        <v>39</v>
      </c>
      <c r="AE11" s="25" t="s">
        <v>40</v>
      </c>
      <c r="AF11" s="23">
        <v>0</v>
      </c>
      <c r="AG11" s="21" t="s">
        <v>39</v>
      </c>
      <c r="AH11" s="25" t="s">
        <v>41</v>
      </c>
      <c r="AI11" s="23">
        <f t="shared" si="7"/>
        <v>699.43</v>
      </c>
      <c r="AJ11" s="21" t="s">
        <v>39</v>
      </c>
      <c r="AK11" s="25" t="s">
        <v>42</v>
      </c>
      <c r="AL11" s="23">
        <v>0</v>
      </c>
      <c r="AM11" s="21" t="s">
        <v>39</v>
      </c>
      <c r="AN11" s="25" t="s">
        <v>43</v>
      </c>
      <c r="AO11" s="23">
        <v>0</v>
      </c>
      <c r="AP11" s="21" t="s">
        <v>39</v>
      </c>
      <c r="AQ11" s="25" t="s">
        <v>44</v>
      </c>
      <c r="AR11" s="23">
        <v>0</v>
      </c>
      <c r="AS11" s="24">
        <f t="shared" si="8"/>
        <v>1113.8508999999999</v>
      </c>
      <c r="AT11" s="26">
        <f t="shared" si="2"/>
        <v>4722.4003000000012</v>
      </c>
      <c r="AU11" s="33"/>
      <c r="AV11" s="28"/>
      <c r="AW11" s="29">
        <f t="shared" si="9"/>
        <v>15</v>
      </c>
      <c r="AX11" s="29">
        <f t="shared" si="10"/>
        <v>5836.2512000000006</v>
      </c>
      <c r="AY11" s="30">
        <f t="shared" si="11"/>
        <v>5836.2512000000006</v>
      </c>
      <c r="AZ11" s="30">
        <f>IFERROR(+LOOKUP(AY11,[1]TARIFAS!$A$4:$B$14,[1]TARIFAS!$A$4:$A$14),0)</f>
        <v>5081.41</v>
      </c>
      <c r="BA11" s="30">
        <f t="shared" si="12"/>
        <v>754.84120000000075</v>
      </c>
      <c r="BB11" s="30">
        <f>IFERROR(+LOOKUP(AY11,[1]TARIFAS!$A$4:$B$14,[1]TARIFAS!$D$4:$D$14),0)</f>
        <v>21.36</v>
      </c>
      <c r="BC11" s="30">
        <f t="shared" si="13"/>
        <v>161.23408032000015</v>
      </c>
      <c r="BD11" s="30">
        <f>IFERROR(+LOOKUP(AY11,[1]TARIFAS!$A$4:$B$14,[1]TARIFAS!$C$4:$C$14),0)</f>
        <v>538.20000000000005</v>
      </c>
      <c r="BE11" s="30">
        <f t="shared" si="14"/>
        <v>699.43</v>
      </c>
      <c r="BF11" s="30"/>
      <c r="BG11" s="30"/>
      <c r="BH11" s="30"/>
      <c r="BI11" s="29"/>
    </row>
    <row r="12" spans="1:62" s="31" customFormat="1" ht="30" customHeight="1" x14ac:dyDescent="0.2">
      <c r="A12" s="17" t="str">
        <f t="shared" si="3"/>
        <v>SEI 016</v>
      </c>
      <c r="B12" s="17" t="s">
        <v>32</v>
      </c>
      <c r="C12" s="32" t="s">
        <v>61</v>
      </c>
      <c r="D12" s="20" t="s">
        <v>62</v>
      </c>
      <c r="E12" s="20" t="s">
        <v>35</v>
      </c>
      <c r="F12" s="21" t="s">
        <v>37</v>
      </c>
      <c r="G12" s="21" t="s">
        <v>38</v>
      </c>
      <c r="H12" s="21">
        <v>15</v>
      </c>
      <c r="I12" s="21">
        <v>325.036</v>
      </c>
      <c r="J12" s="160" t="s">
        <v>149</v>
      </c>
      <c r="K12" s="21">
        <v>4875.54</v>
      </c>
      <c r="L12" s="21" t="s">
        <v>37</v>
      </c>
      <c r="M12" s="22">
        <v>1311</v>
      </c>
      <c r="N12" s="23">
        <v>201.87</v>
      </c>
      <c r="O12" s="21" t="s">
        <v>37</v>
      </c>
      <c r="P12" s="22">
        <v>1713</v>
      </c>
      <c r="Q12" s="21">
        <v>207.91</v>
      </c>
      <c r="R12" s="23">
        <v>371.02</v>
      </c>
      <c r="S12" s="23">
        <f t="shared" si="4"/>
        <v>146.2662</v>
      </c>
      <c r="T12" s="21" t="s">
        <v>37</v>
      </c>
      <c r="U12" s="22">
        <v>1712</v>
      </c>
      <c r="V12" s="24">
        <f t="shared" si="5"/>
        <v>517.28620000000001</v>
      </c>
      <c r="W12" s="21"/>
      <c r="X12" s="22"/>
      <c r="Y12" s="24"/>
      <c r="Z12" s="24">
        <f t="shared" si="6"/>
        <v>5802.6062000000002</v>
      </c>
      <c r="AA12" s="21" t="s">
        <v>39</v>
      </c>
      <c r="AB12" s="22">
        <v>1431</v>
      </c>
      <c r="AC12" s="24">
        <f t="shared" si="1"/>
        <v>414.42090000000002</v>
      </c>
      <c r="AD12" s="21" t="s">
        <v>39</v>
      </c>
      <c r="AE12" s="25" t="s">
        <v>40</v>
      </c>
      <c r="AF12" s="23">
        <v>0</v>
      </c>
      <c r="AG12" s="21" t="s">
        <v>39</v>
      </c>
      <c r="AH12" s="25" t="s">
        <v>41</v>
      </c>
      <c r="AI12" s="23">
        <f t="shared" si="7"/>
        <v>692.25</v>
      </c>
      <c r="AJ12" s="21" t="s">
        <v>39</v>
      </c>
      <c r="AK12" s="25" t="s">
        <v>42</v>
      </c>
      <c r="AL12" s="23">
        <v>0</v>
      </c>
      <c r="AM12" s="21" t="s">
        <v>39</v>
      </c>
      <c r="AN12" s="25" t="s">
        <v>43</v>
      </c>
      <c r="AO12" s="23">
        <v>0</v>
      </c>
      <c r="AP12" s="21" t="s">
        <v>39</v>
      </c>
      <c r="AQ12" s="25" t="s">
        <v>44</v>
      </c>
      <c r="AR12" s="23">
        <v>0</v>
      </c>
      <c r="AS12" s="24">
        <f t="shared" si="8"/>
        <v>1106.6709000000001</v>
      </c>
      <c r="AT12" s="26">
        <f t="shared" si="2"/>
        <v>4695.9353000000001</v>
      </c>
      <c r="AU12" s="33"/>
      <c r="AV12" s="28"/>
      <c r="AW12" s="29">
        <f t="shared" si="9"/>
        <v>15</v>
      </c>
      <c r="AX12" s="29">
        <f t="shared" si="10"/>
        <v>5802.6062000000002</v>
      </c>
      <c r="AY12" s="30">
        <f t="shared" si="11"/>
        <v>5802.6062000000002</v>
      </c>
      <c r="AZ12" s="30">
        <f>IFERROR(+LOOKUP(AY12,[1]TARIFAS!$A$4:$B$14,[1]TARIFAS!$A$4:$A$14),0)</f>
        <v>5081.41</v>
      </c>
      <c r="BA12" s="30">
        <f t="shared" si="12"/>
        <v>721.19620000000032</v>
      </c>
      <c r="BB12" s="30">
        <f>IFERROR(+LOOKUP(AY12,[1]TARIFAS!$A$4:$B$14,[1]TARIFAS!$D$4:$D$14),0)</f>
        <v>21.36</v>
      </c>
      <c r="BC12" s="30">
        <f t="shared" si="13"/>
        <v>154.04750832000008</v>
      </c>
      <c r="BD12" s="30">
        <f>IFERROR(+LOOKUP(AY12,[1]TARIFAS!$A$4:$B$14,[1]TARIFAS!$C$4:$C$14),0)</f>
        <v>538.20000000000005</v>
      </c>
      <c r="BE12" s="30">
        <f t="shared" si="14"/>
        <v>692.25</v>
      </c>
      <c r="BF12" s="30"/>
      <c r="BG12" s="30"/>
      <c r="BH12" s="30"/>
      <c r="BI12" s="29"/>
    </row>
    <row r="13" spans="1:62" s="31" customFormat="1" ht="30" customHeight="1" x14ac:dyDescent="0.2">
      <c r="A13" s="17" t="str">
        <f t="shared" si="3"/>
        <v>SEI 017</v>
      </c>
      <c r="B13" s="17" t="s">
        <v>32</v>
      </c>
      <c r="C13" s="32" t="s">
        <v>63</v>
      </c>
      <c r="D13" s="20" t="s">
        <v>64</v>
      </c>
      <c r="E13" s="20" t="s">
        <v>35</v>
      </c>
      <c r="F13" s="21" t="s">
        <v>37</v>
      </c>
      <c r="G13" s="21" t="s">
        <v>38</v>
      </c>
      <c r="H13" s="21">
        <v>15</v>
      </c>
      <c r="I13" s="21">
        <v>421.49</v>
      </c>
      <c r="J13" s="160" t="s">
        <v>149</v>
      </c>
      <c r="K13" s="21">
        <v>6322.35</v>
      </c>
      <c r="L13" s="21" t="s">
        <v>37</v>
      </c>
      <c r="M13" s="22">
        <v>1311</v>
      </c>
      <c r="N13" s="23">
        <v>235.51499999999999</v>
      </c>
      <c r="O13" s="21" t="s">
        <v>37</v>
      </c>
      <c r="P13" s="22">
        <v>1713</v>
      </c>
      <c r="Q13" s="21">
        <v>351.5</v>
      </c>
      <c r="R13" s="23">
        <v>406.32</v>
      </c>
      <c r="S13" s="23">
        <f t="shared" si="4"/>
        <v>189.6705</v>
      </c>
      <c r="T13" s="21" t="s">
        <v>37</v>
      </c>
      <c r="U13" s="22">
        <v>1712</v>
      </c>
      <c r="V13" s="24">
        <f t="shared" si="5"/>
        <v>595.9905</v>
      </c>
      <c r="W13" s="21"/>
      <c r="X13" s="22"/>
      <c r="Y13" s="24"/>
      <c r="Z13" s="24">
        <f t="shared" si="6"/>
        <v>7505.3555000000006</v>
      </c>
      <c r="AA13" s="21" t="s">
        <v>39</v>
      </c>
      <c r="AB13" s="22">
        <v>1431</v>
      </c>
      <c r="AC13" s="24">
        <f t="shared" si="1"/>
        <v>537.39975000000004</v>
      </c>
      <c r="AD13" s="21" t="s">
        <v>39</v>
      </c>
      <c r="AE13" s="25" t="s">
        <v>40</v>
      </c>
      <c r="AF13" s="23">
        <v>0</v>
      </c>
      <c r="AG13" s="21" t="s">
        <v>39</v>
      </c>
      <c r="AH13" s="25" t="s">
        <v>41</v>
      </c>
      <c r="AI13" s="23">
        <f t="shared" si="7"/>
        <v>1055.95</v>
      </c>
      <c r="AJ13" s="21" t="s">
        <v>39</v>
      </c>
      <c r="AK13" s="25" t="s">
        <v>42</v>
      </c>
      <c r="AL13" s="23">
        <v>0</v>
      </c>
      <c r="AM13" s="21" t="s">
        <v>39</v>
      </c>
      <c r="AN13" s="25" t="s">
        <v>43</v>
      </c>
      <c r="AO13" s="23">
        <v>0</v>
      </c>
      <c r="AP13" s="21" t="s">
        <v>39</v>
      </c>
      <c r="AQ13" s="25" t="s">
        <v>44</v>
      </c>
      <c r="AR13" s="23">
        <v>0</v>
      </c>
      <c r="AS13" s="24">
        <f t="shared" si="8"/>
        <v>1593.3497500000001</v>
      </c>
      <c r="AT13" s="26">
        <f t="shared" si="2"/>
        <v>5912.0057500000003</v>
      </c>
      <c r="AU13" s="33"/>
      <c r="AV13" s="28"/>
      <c r="AW13" s="29">
        <f t="shared" si="9"/>
        <v>15</v>
      </c>
      <c r="AX13" s="29">
        <f t="shared" si="10"/>
        <v>7505.3555000000006</v>
      </c>
      <c r="AY13" s="30">
        <f t="shared" si="11"/>
        <v>7505.3555000000006</v>
      </c>
      <c r="AZ13" s="30">
        <f>IFERROR(+LOOKUP(AY13,[1]TARIFAS!$A$4:$B$14,[1]TARIFAS!$A$4:$A$14),0)</f>
        <v>5081.41</v>
      </c>
      <c r="BA13" s="30">
        <f t="shared" si="12"/>
        <v>2423.9455000000007</v>
      </c>
      <c r="BB13" s="30">
        <f>IFERROR(+LOOKUP(AY13,[1]TARIFAS!$A$4:$B$14,[1]TARIFAS!$D$4:$D$14),0)</f>
        <v>21.36</v>
      </c>
      <c r="BC13" s="30">
        <f t="shared" si="13"/>
        <v>517.7547588000001</v>
      </c>
      <c r="BD13" s="30">
        <f>IFERROR(+LOOKUP(AY13,[1]TARIFAS!$A$4:$B$14,[1]TARIFAS!$C$4:$C$14),0)</f>
        <v>538.20000000000005</v>
      </c>
      <c r="BE13" s="30">
        <f t="shared" si="14"/>
        <v>1055.95</v>
      </c>
      <c r="BF13" s="30"/>
      <c r="BG13" s="30"/>
      <c r="BH13" s="30"/>
      <c r="BI13" s="29"/>
    </row>
    <row r="14" spans="1:62" s="31" customFormat="1" ht="30" customHeight="1" x14ac:dyDescent="0.2">
      <c r="A14" s="17" t="str">
        <f t="shared" si="3"/>
        <v>SEI 030</v>
      </c>
      <c r="B14" s="17" t="s">
        <v>32</v>
      </c>
      <c r="C14" s="32" t="s">
        <v>65</v>
      </c>
      <c r="D14" s="20" t="s">
        <v>66</v>
      </c>
      <c r="E14" s="20" t="s">
        <v>67</v>
      </c>
      <c r="F14" s="21" t="s">
        <v>37</v>
      </c>
      <c r="G14" s="21" t="s">
        <v>38</v>
      </c>
      <c r="H14" s="21">
        <v>15</v>
      </c>
      <c r="I14" s="21">
        <v>1029.4333333333334</v>
      </c>
      <c r="J14" s="160" t="s">
        <v>147</v>
      </c>
      <c r="K14" s="21">
        <v>15441.5</v>
      </c>
      <c r="L14" s="21" t="s">
        <v>37</v>
      </c>
      <c r="M14" s="22">
        <v>1311</v>
      </c>
      <c r="N14" s="23">
        <v>0</v>
      </c>
      <c r="O14" s="21" t="s">
        <v>37</v>
      </c>
      <c r="P14" s="22">
        <v>1713</v>
      </c>
      <c r="Q14" s="23">
        <v>566.5</v>
      </c>
      <c r="R14" s="23">
        <v>835.5</v>
      </c>
      <c r="S14" s="23">
        <f t="shared" si="4"/>
        <v>463.245</v>
      </c>
      <c r="T14" s="21" t="s">
        <v>37</v>
      </c>
      <c r="U14" s="22">
        <v>1712</v>
      </c>
      <c r="V14" s="24">
        <f t="shared" si="5"/>
        <v>1298.7449999999999</v>
      </c>
      <c r="W14" s="21"/>
      <c r="X14" s="22"/>
      <c r="Y14" s="24"/>
      <c r="Z14" s="24">
        <f t="shared" si="6"/>
        <v>17306.744999999999</v>
      </c>
      <c r="AA14" s="21" t="s">
        <v>39</v>
      </c>
      <c r="AB14" s="22">
        <v>1431</v>
      </c>
      <c r="AC14" s="24">
        <f t="shared" si="1"/>
        <v>1312.5275000000001</v>
      </c>
      <c r="AD14" s="21" t="s">
        <v>39</v>
      </c>
      <c r="AE14" s="25" t="s">
        <v>40</v>
      </c>
      <c r="AF14" s="23">
        <v>0</v>
      </c>
      <c r="AG14" s="21" t="s">
        <v>39</v>
      </c>
      <c r="AH14" s="25" t="s">
        <v>41</v>
      </c>
      <c r="AI14" s="23">
        <f t="shared" si="7"/>
        <v>3376.71</v>
      </c>
      <c r="AJ14" s="21" t="s">
        <v>39</v>
      </c>
      <c r="AK14" s="25" t="s">
        <v>42</v>
      </c>
      <c r="AL14" s="23">
        <v>0</v>
      </c>
      <c r="AM14" s="21" t="s">
        <v>39</v>
      </c>
      <c r="AN14" s="25" t="s">
        <v>43</v>
      </c>
      <c r="AO14" s="23">
        <v>0</v>
      </c>
      <c r="AP14" s="21" t="s">
        <v>39</v>
      </c>
      <c r="AQ14" s="25" t="s">
        <v>44</v>
      </c>
      <c r="AR14" s="23">
        <v>0</v>
      </c>
      <c r="AS14" s="24">
        <f t="shared" si="8"/>
        <v>4689.2375000000002</v>
      </c>
      <c r="AT14" s="26">
        <f t="shared" si="2"/>
        <v>12617.5075</v>
      </c>
      <c r="AU14" s="33"/>
      <c r="AV14" s="28"/>
      <c r="AW14" s="29">
        <f t="shared" si="9"/>
        <v>15</v>
      </c>
      <c r="AX14" s="29">
        <f t="shared" si="10"/>
        <v>17306.745000000003</v>
      </c>
      <c r="AY14" s="30">
        <f t="shared" si="11"/>
        <v>17306.745000000003</v>
      </c>
      <c r="AZ14" s="30">
        <f>IFERROR(+LOOKUP(AY14,[1]TARIFAS!$A$4:$B$14,[1]TARIFAS!$A$4:$A$14),0)</f>
        <v>16153.06</v>
      </c>
      <c r="BA14" s="30">
        <f t="shared" si="12"/>
        <v>1153.6850000000031</v>
      </c>
      <c r="BB14" s="30">
        <f>IFERROR(+LOOKUP(AY14,[1]TARIFAS!$A$4:$B$14,[1]TARIFAS!$D$4:$D$14),0)</f>
        <v>30</v>
      </c>
      <c r="BC14" s="30">
        <f t="shared" si="13"/>
        <v>346.10550000000092</v>
      </c>
      <c r="BD14" s="30">
        <f>IFERROR(+LOOKUP(AY14,[1]TARIFAS!$A$4:$B$14,[1]TARIFAS!$C$4:$C$14),0)</f>
        <v>3030.6</v>
      </c>
      <c r="BE14" s="30">
        <f t="shared" si="14"/>
        <v>3376.71</v>
      </c>
      <c r="BF14" s="30"/>
      <c r="BG14" s="30"/>
      <c r="BH14" s="30"/>
      <c r="BI14" s="29"/>
    </row>
    <row r="15" spans="1:62" s="31" customFormat="1" ht="30" customHeight="1" x14ac:dyDescent="0.2">
      <c r="A15" s="17" t="str">
        <f t="shared" si="3"/>
        <v>SEI 034</v>
      </c>
      <c r="B15" s="17" t="s">
        <v>32</v>
      </c>
      <c r="C15" s="32" t="s">
        <v>68</v>
      </c>
      <c r="D15" s="34" t="s">
        <v>69</v>
      </c>
      <c r="E15" s="20" t="s">
        <v>35</v>
      </c>
      <c r="F15" s="21" t="s">
        <v>37</v>
      </c>
      <c r="G15" s="21" t="s">
        <v>38</v>
      </c>
      <c r="H15" s="21">
        <v>15</v>
      </c>
      <c r="I15" s="21">
        <v>325.036</v>
      </c>
      <c r="J15" s="160" t="s">
        <v>147</v>
      </c>
      <c r="K15" s="21">
        <v>4875.54</v>
      </c>
      <c r="L15" s="21" t="s">
        <v>37</v>
      </c>
      <c r="M15" s="22">
        <v>1311</v>
      </c>
      <c r="N15" s="35">
        <v>100.935</v>
      </c>
      <c r="O15" s="21" t="s">
        <v>37</v>
      </c>
      <c r="P15" s="22">
        <v>1713</v>
      </c>
      <c r="Q15" s="36">
        <v>207.91</v>
      </c>
      <c r="R15" s="35">
        <v>371.02</v>
      </c>
      <c r="S15" s="23">
        <f t="shared" si="4"/>
        <v>146.2662</v>
      </c>
      <c r="T15" s="21" t="s">
        <v>37</v>
      </c>
      <c r="U15" s="22">
        <v>1712</v>
      </c>
      <c r="V15" s="24">
        <f t="shared" si="5"/>
        <v>517.28620000000001</v>
      </c>
      <c r="W15" s="21"/>
      <c r="X15" s="22"/>
      <c r="Y15" s="24"/>
      <c r="Z15" s="24">
        <f t="shared" si="6"/>
        <v>5701.6712000000007</v>
      </c>
      <c r="AA15" s="21" t="s">
        <v>39</v>
      </c>
      <c r="AB15" s="22">
        <v>1431</v>
      </c>
      <c r="AC15" s="24">
        <f t="shared" si="1"/>
        <v>414.42090000000002</v>
      </c>
      <c r="AD15" s="21" t="s">
        <v>39</v>
      </c>
      <c r="AE15" s="25" t="s">
        <v>40</v>
      </c>
      <c r="AF15" s="35">
        <v>0</v>
      </c>
      <c r="AG15" s="21" t="s">
        <v>39</v>
      </c>
      <c r="AH15" s="25" t="s">
        <v>41</v>
      </c>
      <c r="AI15" s="23">
        <f t="shared" si="7"/>
        <v>670.69</v>
      </c>
      <c r="AJ15" s="21" t="s">
        <v>39</v>
      </c>
      <c r="AK15" s="25" t="s">
        <v>42</v>
      </c>
      <c r="AL15" s="23">
        <f>(K15*1%)</f>
        <v>48.755400000000002</v>
      </c>
      <c r="AM15" s="21" t="s">
        <v>39</v>
      </c>
      <c r="AN15" s="25" t="s">
        <v>43</v>
      </c>
      <c r="AO15" s="35">
        <v>0</v>
      </c>
      <c r="AP15" s="21" t="s">
        <v>39</v>
      </c>
      <c r="AQ15" s="25" t="s">
        <v>44</v>
      </c>
      <c r="AR15" s="23">
        <v>0</v>
      </c>
      <c r="AS15" s="24">
        <f t="shared" si="8"/>
        <v>1133.8663000000001</v>
      </c>
      <c r="AT15" s="26">
        <f t="shared" si="2"/>
        <v>4567.804900000001</v>
      </c>
      <c r="AU15" s="37"/>
      <c r="AV15" s="28"/>
      <c r="AW15" s="29">
        <f t="shared" si="9"/>
        <v>15</v>
      </c>
      <c r="AX15" s="29">
        <f t="shared" si="10"/>
        <v>5701.6712000000007</v>
      </c>
      <c r="AY15" s="30">
        <f t="shared" si="11"/>
        <v>5701.6712000000007</v>
      </c>
      <c r="AZ15" s="30">
        <f>IFERROR(+LOOKUP(AY15,[1]TARIFAS!$A$4:$B$14,[1]TARIFAS!$A$4:$A$14),0)</f>
        <v>5081.41</v>
      </c>
      <c r="BA15" s="30">
        <f t="shared" si="12"/>
        <v>620.26120000000083</v>
      </c>
      <c r="BB15" s="30">
        <f>IFERROR(+LOOKUP(AY15,[1]TARIFAS!$A$4:$B$14,[1]TARIFAS!$D$4:$D$14),0)</f>
        <v>21.36</v>
      </c>
      <c r="BC15" s="30">
        <f t="shared" si="13"/>
        <v>132.48779232000018</v>
      </c>
      <c r="BD15" s="30">
        <f>IFERROR(+LOOKUP(AY15,[1]TARIFAS!$A$4:$B$14,[1]TARIFAS!$C$4:$C$14),0)</f>
        <v>538.20000000000005</v>
      </c>
      <c r="BE15" s="30">
        <f t="shared" si="14"/>
        <v>670.69</v>
      </c>
      <c r="BF15" s="30"/>
      <c r="BG15" s="30"/>
      <c r="BH15" s="30"/>
      <c r="BI15" s="29"/>
    </row>
    <row r="16" spans="1:62" s="31" customFormat="1" ht="30" customHeight="1" x14ac:dyDescent="0.2">
      <c r="A16" s="17" t="str">
        <f t="shared" si="3"/>
        <v>SEI 040</v>
      </c>
      <c r="B16" s="17" t="s">
        <v>32</v>
      </c>
      <c r="C16" s="32" t="s">
        <v>70</v>
      </c>
      <c r="D16" s="20" t="s">
        <v>71</v>
      </c>
      <c r="E16" s="20" t="s">
        <v>35</v>
      </c>
      <c r="F16" s="21" t="s">
        <v>37</v>
      </c>
      <c r="G16" s="21" t="s">
        <v>38</v>
      </c>
      <c r="H16" s="21">
        <v>15</v>
      </c>
      <c r="I16" s="21">
        <v>421.49</v>
      </c>
      <c r="J16" s="160" t="s">
        <v>147</v>
      </c>
      <c r="K16" s="21">
        <v>6322.35</v>
      </c>
      <c r="L16" s="21" t="s">
        <v>37</v>
      </c>
      <c r="M16" s="22">
        <v>1311</v>
      </c>
      <c r="N16" s="23">
        <v>100.935</v>
      </c>
      <c r="O16" s="21" t="s">
        <v>37</v>
      </c>
      <c r="P16" s="22">
        <v>1713</v>
      </c>
      <c r="Q16" s="21">
        <v>351.5</v>
      </c>
      <c r="R16" s="23">
        <v>406.32</v>
      </c>
      <c r="S16" s="23">
        <f t="shared" si="4"/>
        <v>189.6705</v>
      </c>
      <c r="T16" s="21" t="s">
        <v>37</v>
      </c>
      <c r="U16" s="22">
        <v>1712</v>
      </c>
      <c r="V16" s="24">
        <f t="shared" si="5"/>
        <v>595.9905</v>
      </c>
      <c r="W16" s="21"/>
      <c r="X16" s="22"/>
      <c r="Y16" s="24"/>
      <c r="Z16" s="24">
        <f t="shared" si="6"/>
        <v>7370.7755000000006</v>
      </c>
      <c r="AA16" s="21" t="s">
        <v>39</v>
      </c>
      <c r="AB16" s="22">
        <v>1431</v>
      </c>
      <c r="AC16" s="24">
        <f t="shared" si="1"/>
        <v>537.39975000000004</v>
      </c>
      <c r="AD16" s="21" t="s">
        <v>39</v>
      </c>
      <c r="AE16" s="25" t="s">
        <v>40</v>
      </c>
      <c r="AF16" s="23">
        <v>574</v>
      </c>
      <c r="AG16" s="21" t="s">
        <v>39</v>
      </c>
      <c r="AH16" s="25" t="s">
        <v>41</v>
      </c>
      <c r="AI16" s="23">
        <f t="shared" si="7"/>
        <v>1027.21</v>
      </c>
      <c r="AJ16" s="21" t="s">
        <v>39</v>
      </c>
      <c r="AK16" s="25" t="s">
        <v>42</v>
      </c>
      <c r="AL16" s="23">
        <f>(K16*1%)</f>
        <v>63.223500000000008</v>
      </c>
      <c r="AM16" s="21" t="s">
        <v>39</v>
      </c>
      <c r="AN16" s="25" t="s">
        <v>43</v>
      </c>
      <c r="AO16" s="23">
        <v>0</v>
      </c>
      <c r="AP16" s="21" t="s">
        <v>39</v>
      </c>
      <c r="AQ16" s="25" t="s">
        <v>44</v>
      </c>
      <c r="AR16" s="23">
        <v>0</v>
      </c>
      <c r="AS16" s="24">
        <f t="shared" si="8"/>
        <v>2201.8332500000001</v>
      </c>
      <c r="AT16" s="26">
        <f t="shared" si="2"/>
        <v>5168.9422500000001</v>
      </c>
      <c r="AU16" s="33"/>
      <c r="AV16" s="28"/>
      <c r="AW16" s="29">
        <f t="shared" si="9"/>
        <v>15</v>
      </c>
      <c r="AX16" s="29">
        <f t="shared" si="10"/>
        <v>7370.7755000000006</v>
      </c>
      <c r="AY16" s="30">
        <f t="shared" si="11"/>
        <v>7370.7755000000006</v>
      </c>
      <c r="AZ16" s="30">
        <f>IFERROR(+LOOKUP(AY16,[1]TARIFAS!$A$4:$B$14,[1]TARIFAS!$A$4:$A$14),0)</f>
        <v>5081.41</v>
      </c>
      <c r="BA16" s="30">
        <f t="shared" si="12"/>
        <v>2289.3655000000008</v>
      </c>
      <c r="BB16" s="30">
        <f>IFERROR(+LOOKUP(AY16,[1]TARIFAS!$A$4:$B$14,[1]TARIFAS!$D$4:$D$14),0)</f>
        <v>21.36</v>
      </c>
      <c r="BC16" s="30">
        <f t="shared" si="13"/>
        <v>489.00847080000017</v>
      </c>
      <c r="BD16" s="30">
        <f>IFERROR(+LOOKUP(AY16,[1]TARIFAS!$A$4:$B$14,[1]TARIFAS!$C$4:$C$14),0)</f>
        <v>538.20000000000005</v>
      </c>
      <c r="BE16" s="30">
        <f t="shared" si="14"/>
        <v>1027.21</v>
      </c>
      <c r="BF16" s="30"/>
      <c r="BG16" s="30"/>
      <c r="BH16" s="30"/>
      <c r="BI16" s="29"/>
    </row>
    <row r="17" spans="1:62" s="31" customFormat="1" ht="30" customHeight="1" x14ac:dyDescent="0.2">
      <c r="A17" s="17" t="str">
        <f t="shared" si="3"/>
        <v>SEI 048</v>
      </c>
      <c r="B17" s="17" t="s">
        <v>32</v>
      </c>
      <c r="C17" s="32" t="s">
        <v>72</v>
      </c>
      <c r="D17" s="38" t="s">
        <v>73</v>
      </c>
      <c r="E17" s="20" t="s">
        <v>35</v>
      </c>
      <c r="F17" s="21" t="s">
        <v>37</v>
      </c>
      <c r="G17" s="21" t="s">
        <v>38</v>
      </c>
      <c r="H17" s="21">
        <v>15</v>
      </c>
      <c r="I17" s="21">
        <v>421.49</v>
      </c>
      <c r="J17" s="160" t="s">
        <v>149</v>
      </c>
      <c r="K17" s="21">
        <v>6322.35</v>
      </c>
      <c r="L17" s="21" t="s">
        <v>37</v>
      </c>
      <c r="M17" s="22">
        <v>1311</v>
      </c>
      <c r="N17" s="23">
        <v>100.935</v>
      </c>
      <c r="O17" s="21" t="s">
        <v>37</v>
      </c>
      <c r="P17" s="22">
        <v>1713</v>
      </c>
      <c r="Q17" s="21">
        <v>351.5</v>
      </c>
      <c r="R17" s="23">
        <v>406.32</v>
      </c>
      <c r="S17" s="23">
        <f t="shared" si="4"/>
        <v>189.6705</v>
      </c>
      <c r="T17" s="21" t="s">
        <v>37</v>
      </c>
      <c r="U17" s="22">
        <v>1712</v>
      </c>
      <c r="V17" s="24">
        <f t="shared" si="5"/>
        <v>595.9905</v>
      </c>
      <c r="W17" s="21"/>
      <c r="X17" s="22"/>
      <c r="Y17" s="24"/>
      <c r="Z17" s="24">
        <f t="shared" si="6"/>
        <v>7370.7755000000006</v>
      </c>
      <c r="AA17" s="21" t="s">
        <v>39</v>
      </c>
      <c r="AB17" s="22">
        <v>1431</v>
      </c>
      <c r="AC17" s="24">
        <v>537.4</v>
      </c>
      <c r="AD17" s="21" t="s">
        <v>39</v>
      </c>
      <c r="AE17" s="25" t="s">
        <v>40</v>
      </c>
      <c r="AF17" s="23">
        <v>0</v>
      </c>
      <c r="AG17" s="21" t="s">
        <v>39</v>
      </c>
      <c r="AH17" s="25" t="s">
        <v>41</v>
      </c>
      <c r="AI17" s="23">
        <f t="shared" si="7"/>
        <v>1027.21</v>
      </c>
      <c r="AJ17" s="21" t="s">
        <v>39</v>
      </c>
      <c r="AK17" s="25" t="s">
        <v>42</v>
      </c>
      <c r="AL17" s="23">
        <f>(K17*1%)</f>
        <v>63.223500000000008</v>
      </c>
      <c r="AM17" s="21" t="s">
        <v>39</v>
      </c>
      <c r="AN17" s="25" t="s">
        <v>43</v>
      </c>
      <c r="AO17" s="23">
        <v>0</v>
      </c>
      <c r="AP17" s="21" t="s">
        <v>39</v>
      </c>
      <c r="AQ17" s="25" t="s">
        <v>44</v>
      </c>
      <c r="AR17" s="23">
        <v>0</v>
      </c>
      <c r="AS17" s="24">
        <f t="shared" si="8"/>
        <v>1627.8335000000002</v>
      </c>
      <c r="AT17" s="26">
        <f t="shared" si="2"/>
        <v>5742.9420000000009</v>
      </c>
      <c r="AU17" s="33"/>
      <c r="AV17" s="28"/>
      <c r="AW17" s="29">
        <f t="shared" si="9"/>
        <v>15</v>
      </c>
      <c r="AX17" s="29">
        <f t="shared" si="10"/>
        <v>7370.7755000000006</v>
      </c>
      <c r="AY17" s="30">
        <f t="shared" si="11"/>
        <v>7370.7755000000006</v>
      </c>
      <c r="AZ17" s="30">
        <f>IFERROR(+LOOKUP(AY17,[1]TARIFAS!$A$4:$B$14,[1]TARIFAS!$A$4:$A$14),0)</f>
        <v>5081.41</v>
      </c>
      <c r="BA17" s="30">
        <f t="shared" si="12"/>
        <v>2289.3655000000008</v>
      </c>
      <c r="BB17" s="30">
        <f>IFERROR(+LOOKUP(AY17,[1]TARIFAS!$A$4:$B$14,[1]TARIFAS!$D$4:$D$14),0)</f>
        <v>21.36</v>
      </c>
      <c r="BC17" s="30">
        <f t="shared" si="13"/>
        <v>489.00847080000017</v>
      </c>
      <c r="BD17" s="30">
        <f>IFERROR(+LOOKUP(AY17,[1]TARIFAS!$A$4:$B$14,[1]TARIFAS!$C$4:$C$14),0)</f>
        <v>538.20000000000005</v>
      </c>
      <c r="BE17" s="30">
        <f t="shared" si="14"/>
        <v>1027.21</v>
      </c>
      <c r="BF17" s="30"/>
      <c r="BG17" s="30"/>
      <c r="BH17" s="30"/>
      <c r="BI17" s="29"/>
    </row>
    <row r="18" spans="1:62" s="31" customFormat="1" ht="30" customHeight="1" x14ac:dyDescent="0.2">
      <c r="A18" s="17" t="str">
        <f t="shared" si="3"/>
        <v>SEI 050</v>
      </c>
      <c r="B18" s="17" t="s">
        <v>32</v>
      </c>
      <c r="C18" s="32" t="s">
        <v>74</v>
      </c>
      <c r="D18" s="38" t="s">
        <v>75</v>
      </c>
      <c r="E18" s="20" t="s">
        <v>67</v>
      </c>
      <c r="F18" s="21" t="s">
        <v>37</v>
      </c>
      <c r="G18" s="21" t="s">
        <v>38</v>
      </c>
      <c r="H18" s="21">
        <v>15</v>
      </c>
      <c r="I18" s="21">
        <v>1029.4333333333334</v>
      </c>
      <c r="J18" s="160" t="s">
        <v>149</v>
      </c>
      <c r="K18" s="21">
        <v>15441.5</v>
      </c>
      <c r="L18" s="21" t="s">
        <v>37</v>
      </c>
      <c r="M18" s="22">
        <v>1311</v>
      </c>
      <c r="N18" s="23">
        <v>100.935</v>
      </c>
      <c r="O18" s="21" t="s">
        <v>37</v>
      </c>
      <c r="P18" s="22">
        <v>1713</v>
      </c>
      <c r="Q18" s="21">
        <v>566.5</v>
      </c>
      <c r="R18" s="23">
        <v>835.5</v>
      </c>
      <c r="S18" s="23">
        <f t="shared" si="4"/>
        <v>463.245</v>
      </c>
      <c r="T18" s="21" t="s">
        <v>37</v>
      </c>
      <c r="U18" s="22">
        <v>1712</v>
      </c>
      <c r="V18" s="24">
        <f t="shared" si="5"/>
        <v>1298.7449999999999</v>
      </c>
      <c r="W18" s="21"/>
      <c r="X18" s="22"/>
      <c r="Y18" s="24"/>
      <c r="Z18" s="24">
        <f t="shared" si="6"/>
        <v>17407.68</v>
      </c>
      <c r="AA18" s="21" t="s">
        <v>39</v>
      </c>
      <c r="AB18" s="22">
        <v>1431</v>
      </c>
      <c r="AC18" s="24">
        <f>(K18*8.5%)</f>
        <v>1312.5275000000001</v>
      </c>
      <c r="AD18" s="21" t="s">
        <v>39</v>
      </c>
      <c r="AE18" s="25" t="s">
        <v>40</v>
      </c>
      <c r="AF18" s="23">
        <v>3953.67</v>
      </c>
      <c r="AG18" s="21" t="s">
        <v>39</v>
      </c>
      <c r="AH18" s="25" t="s">
        <v>41</v>
      </c>
      <c r="AI18" s="23">
        <f t="shared" si="7"/>
        <v>3406.99</v>
      </c>
      <c r="AJ18" s="21" t="s">
        <v>39</v>
      </c>
      <c r="AK18" s="25" t="s">
        <v>42</v>
      </c>
      <c r="AL18" s="23">
        <v>0</v>
      </c>
      <c r="AM18" s="21" t="s">
        <v>39</v>
      </c>
      <c r="AN18" s="25" t="s">
        <v>43</v>
      </c>
      <c r="AO18" s="23">
        <v>0</v>
      </c>
      <c r="AP18" s="21" t="s">
        <v>39</v>
      </c>
      <c r="AQ18" s="25" t="s">
        <v>44</v>
      </c>
      <c r="AR18" s="23">
        <v>0</v>
      </c>
      <c r="AS18" s="24">
        <f t="shared" si="8"/>
        <v>8673.1875</v>
      </c>
      <c r="AT18" s="26">
        <f t="shared" si="2"/>
        <v>8734.4925000000003</v>
      </c>
      <c r="AU18" s="33"/>
      <c r="AV18" s="28"/>
      <c r="AW18" s="29">
        <f t="shared" si="9"/>
        <v>15</v>
      </c>
      <c r="AX18" s="29">
        <f t="shared" si="10"/>
        <v>17407.68</v>
      </c>
      <c r="AY18" s="30">
        <f t="shared" si="11"/>
        <v>17407.68</v>
      </c>
      <c r="AZ18" s="30">
        <f>IFERROR(+LOOKUP(AY18,[1]TARIFAS!$A$4:$B$14,[1]TARIFAS!$A$4:$A$14),0)</f>
        <v>16153.06</v>
      </c>
      <c r="BA18" s="30">
        <f t="shared" si="12"/>
        <v>1254.6200000000008</v>
      </c>
      <c r="BB18" s="30">
        <f>IFERROR(+LOOKUP(AY18,[1]TARIFAS!$A$4:$B$14,[1]TARIFAS!$D$4:$D$14),0)</f>
        <v>30</v>
      </c>
      <c r="BC18" s="30">
        <f t="shared" si="13"/>
        <v>376.38600000000019</v>
      </c>
      <c r="BD18" s="30">
        <f>IFERROR(+LOOKUP(AY18,[1]TARIFAS!$A$4:$B$14,[1]TARIFAS!$C$4:$C$14),0)</f>
        <v>3030.6</v>
      </c>
      <c r="BE18" s="30">
        <f t="shared" si="14"/>
        <v>3406.99</v>
      </c>
      <c r="BF18" s="30"/>
      <c r="BG18" s="30"/>
      <c r="BH18" s="30"/>
      <c r="BI18" s="29"/>
    </row>
    <row r="19" spans="1:62" s="31" customFormat="1" ht="30" customHeight="1" x14ac:dyDescent="0.2">
      <c r="A19" s="17" t="str">
        <f t="shared" si="3"/>
        <v>SEI 053</v>
      </c>
      <c r="B19" s="17" t="s">
        <v>32</v>
      </c>
      <c r="C19" s="32" t="s">
        <v>76</v>
      </c>
      <c r="D19" s="20" t="s">
        <v>77</v>
      </c>
      <c r="E19" s="20" t="s">
        <v>50</v>
      </c>
      <c r="F19" s="21" t="s">
        <v>37</v>
      </c>
      <c r="G19" s="21" t="s">
        <v>38</v>
      </c>
      <c r="H19" s="21">
        <v>15</v>
      </c>
      <c r="I19" s="21">
        <v>504.21533333333332</v>
      </c>
      <c r="J19" s="160" t="s">
        <v>150</v>
      </c>
      <c r="K19" s="21">
        <v>7563.23</v>
      </c>
      <c r="L19" s="21" t="s">
        <v>37</v>
      </c>
      <c r="M19" s="22">
        <v>1311</v>
      </c>
      <c r="N19" s="23">
        <v>100.935</v>
      </c>
      <c r="O19" s="21" t="s">
        <v>37</v>
      </c>
      <c r="P19" s="22">
        <v>1713</v>
      </c>
      <c r="Q19" s="23">
        <v>282.08999999999997</v>
      </c>
      <c r="R19" s="23">
        <v>418.44</v>
      </c>
      <c r="S19" s="23">
        <f t="shared" si="4"/>
        <v>226.89689999999999</v>
      </c>
      <c r="T19" s="21" t="s">
        <v>37</v>
      </c>
      <c r="U19" s="22">
        <v>1712</v>
      </c>
      <c r="V19" s="24">
        <f t="shared" si="5"/>
        <v>645.33690000000001</v>
      </c>
      <c r="W19" s="21"/>
      <c r="X19" s="22"/>
      <c r="Y19" s="24"/>
      <c r="Z19" s="24">
        <f t="shared" si="6"/>
        <v>8591.5918999999994</v>
      </c>
      <c r="AA19" s="21" t="s">
        <v>39</v>
      </c>
      <c r="AB19" s="22">
        <v>1431</v>
      </c>
      <c r="AC19" s="24">
        <f>(K19*8.5%)</f>
        <v>642.87455</v>
      </c>
      <c r="AD19" s="21" t="s">
        <v>39</v>
      </c>
      <c r="AE19" s="25" t="s">
        <v>40</v>
      </c>
      <c r="AF19" s="24">
        <f>523.61+10.13+3666.74+151.2</f>
        <v>4351.6799999999994</v>
      </c>
      <c r="AG19" s="21" t="s">
        <v>39</v>
      </c>
      <c r="AH19" s="25" t="s">
        <v>41</v>
      </c>
      <c r="AI19" s="23">
        <f t="shared" si="7"/>
        <v>1287.97</v>
      </c>
      <c r="AJ19" s="21" t="s">
        <v>39</v>
      </c>
      <c r="AK19" s="25" t="s">
        <v>42</v>
      </c>
      <c r="AL19" s="23">
        <f>(K19*1%)</f>
        <v>75.632300000000001</v>
      </c>
      <c r="AM19" s="21" t="s">
        <v>39</v>
      </c>
      <c r="AN19" s="25" t="s">
        <v>43</v>
      </c>
      <c r="AO19" s="23">
        <v>0</v>
      </c>
      <c r="AP19" s="21" t="s">
        <v>39</v>
      </c>
      <c r="AQ19" s="25" t="s">
        <v>44</v>
      </c>
      <c r="AR19" s="23">
        <v>0</v>
      </c>
      <c r="AS19" s="24">
        <f t="shared" si="8"/>
        <v>6358.1568499999994</v>
      </c>
      <c r="AT19" s="26">
        <f t="shared" si="2"/>
        <v>2233.43505</v>
      </c>
      <c r="AU19" s="33"/>
      <c r="AV19" s="28"/>
      <c r="AW19" s="29">
        <f t="shared" si="9"/>
        <v>15</v>
      </c>
      <c r="AX19" s="29">
        <f t="shared" si="10"/>
        <v>8591.5918999999994</v>
      </c>
      <c r="AY19" s="30">
        <f t="shared" si="11"/>
        <v>8591.5918999999994</v>
      </c>
      <c r="AZ19" s="30">
        <f>IFERROR(+LOOKUP(AY19,[1]TARIFAS!$A$4:$B$14,[1]TARIFAS!$A$4:$A$14),0)</f>
        <v>5081.41</v>
      </c>
      <c r="BA19" s="30">
        <f t="shared" si="12"/>
        <v>3510.1818999999996</v>
      </c>
      <c r="BB19" s="30">
        <f>IFERROR(+LOOKUP(AY19,[1]TARIFAS!$A$4:$B$14,[1]TARIFAS!$D$4:$D$14),0)</f>
        <v>21.36</v>
      </c>
      <c r="BC19" s="30">
        <f t="shared" si="13"/>
        <v>749.77485383999988</v>
      </c>
      <c r="BD19" s="30">
        <f>IFERROR(+LOOKUP(AY19,[1]TARIFAS!$A$4:$B$14,[1]TARIFAS!$C$4:$C$14),0)</f>
        <v>538.20000000000005</v>
      </c>
      <c r="BE19" s="30">
        <f t="shared" si="14"/>
        <v>1287.97</v>
      </c>
      <c r="BF19" s="30"/>
      <c r="BG19" s="30"/>
      <c r="BH19" s="30"/>
      <c r="BI19" s="29"/>
    </row>
    <row r="20" spans="1:62" s="31" customFormat="1" ht="30" customHeight="1" x14ac:dyDescent="0.2">
      <c r="A20" s="17" t="str">
        <f t="shared" si="3"/>
        <v>SEI 056</v>
      </c>
      <c r="B20" s="17" t="s">
        <v>32</v>
      </c>
      <c r="C20" s="32" t="s">
        <v>79</v>
      </c>
      <c r="D20" s="20" t="s">
        <v>80</v>
      </c>
      <c r="E20" s="20" t="s">
        <v>35</v>
      </c>
      <c r="F20" s="21" t="s">
        <v>37</v>
      </c>
      <c r="G20" s="21" t="s">
        <v>38</v>
      </c>
      <c r="H20" s="21">
        <v>15</v>
      </c>
      <c r="I20" s="21">
        <v>421.49</v>
      </c>
      <c r="J20" s="160" t="s">
        <v>146</v>
      </c>
      <c r="K20" s="21">
        <v>6322.35</v>
      </c>
      <c r="L20" s="21" t="s">
        <v>37</v>
      </c>
      <c r="M20" s="22">
        <v>1311</v>
      </c>
      <c r="N20" s="23">
        <v>67.290000000000006</v>
      </c>
      <c r="O20" s="21" t="s">
        <v>37</v>
      </c>
      <c r="P20" s="22">
        <v>1713</v>
      </c>
      <c r="Q20" s="23">
        <v>351.5</v>
      </c>
      <c r="R20" s="23">
        <v>406.32</v>
      </c>
      <c r="S20" s="23">
        <f t="shared" si="4"/>
        <v>189.6705</v>
      </c>
      <c r="T20" s="21" t="s">
        <v>37</v>
      </c>
      <c r="U20" s="22">
        <v>1712</v>
      </c>
      <c r="V20" s="24">
        <f t="shared" si="5"/>
        <v>595.9905</v>
      </c>
      <c r="W20" s="21"/>
      <c r="X20" s="22"/>
      <c r="Y20" s="24"/>
      <c r="Z20" s="24">
        <f t="shared" si="6"/>
        <v>7337.1305000000002</v>
      </c>
      <c r="AA20" s="21" t="s">
        <v>39</v>
      </c>
      <c r="AB20" s="22">
        <v>1431</v>
      </c>
      <c r="AC20" s="24">
        <f>(K20*8.5%)</f>
        <v>537.39975000000004</v>
      </c>
      <c r="AD20" s="21" t="s">
        <v>39</v>
      </c>
      <c r="AE20" s="25" t="s">
        <v>40</v>
      </c>
      <c r="AF20" s="23">
        <v>315</v>
      </c>
      <c r="AG20" s="21" t="s">
        <v>39</v>
      </c>
      <c r="AH20" s="25" t="s">
        <v>41</v>
      </c>
      <c r="AI20" s="23">
        <f t="shared" si="7"/>
        <v>1020.02</v>
      </c>
      <c r="AJ20" s="21" t="s">
        <v>39</v>
      </c>
      <c r="AK20" s="25" t="s">
        <v>42</v>
      </c>
      <c r="AL20" s="23">
        <f>(K20*1%)</f>
        <v>63.223500000000008</v>
      </c>
      <c r="AM20" s="21" t="s">
        <v>39</v>
      </c>
      <c r="AN20" s="25" t="s">
        <v>43</v>
      </c>
      <c r="AO20" s="23">
        <v>0</v>
      </c>
      <c r="AP20" s="21" t="s">
        <v>39</v>
      </c>
      <c r="AQ20" s="25" t="s">
        <v>44</v>
      </c>
      <c r="AR20" s="23">
        <v>0</v>
      </c>
      <c r="AS20" s="24">
        <f t="shared" si="8"/>
        <v>1935.6432500000001</v>
      </c>
      <c r="AT20" s="26">
        <f t="shared" si="2"/>
        <v>5401.4872500000001</v>
      </c>
      <c r="AU20" s="33"/>
      <c r="AV20" s="28"/>
      <c r="AW20" s="29">
        <f t="shared" si="9"/>
        <v>15</v>
      </c>
      <c r="AX20" s="29">
        <f t="shared" si="10"/>
        <v>7337.1305000000002</v>
      </c>
      <c r="AY20" s="30">
        <f t="shared" si="11"/>
        <v>7337.1305000000002</v>
      </c>
      <c r="AZ20" s="30">
        <f>IFERROR(+LOOKUP(AY20,[1]TARIFAS!$A$4:$B$14,[1]TARIFAS!$A$4:$A$14),0)</f>
        <v>5081.41</v>
      </c>
      <c r="BA20" s="30">
        <f t="shared" si="12"/>
        <v>2255.7205000000004</v>
      </c>
      <c r="BB20" s="30">
        <f>IFERROR(+LOOKUP(AY20,[1]TARIFAS!$A$4:$B$14,[1]TARIFAS!$D$4:$D$14),0)</f>
        <v>21.36</v>
      </c>
      <c r="BC20" s="30">
        <f t="shared" si="13"/>
        <v>481.82189880000004</v>
      </c>
      <c r="BD20" s="30">
        <f>IFERROR(+LOOKUP(AY20,[1]TARIFAS!$A$4:$B$14,[1]TARIFAS!$C$4:$C$14),0)</f>
        <v>538.20000000000005</v>
      </c>
      <c r="BE20" s="30">
        <f t="shared" si="14"/>
        <v>1020.02</v>
      </c>
      <c r="BF20" s="30"/>
      <c r="BG20" s="30"/>
      <c r="BH20" s="30"/>
      <c r="BI20" s="29"/>
    </row>
    <row r="21" spans="1:62" s="31" customFormat="1" ht="30" customHeight="1" x14ac:dyDescent="0.2">
      <c r="A21" s="17" t="str">
        <f t="shared" si="3"/>
        <v>SEI 061</v>
      </c>
      <c r="B21" s="17" t="s">
        <v>32</v>
      </c>
      <c r="C21" s="32" t="s">
        <v>81</v>
      </c>
      <c r="D21" s="20" t="s">
        <v>82</v>
      </c>
      <c r="E21" s="20" t="s">
        <v>35</v>
      </c>
      <c r="F21" s="21" t="s">
        <v>37</v>
      </c>
      <c r="G21" s="21" t="s">
        <v>38</v>
      </c>
      <c r="H21" s="21">
        <v>15</v>
      </c>
      <c r="I21" s="21">
        <v>353.488</v>
      </c>
      <c r="J21" s="160" t="s">
        <v>150</v>
      </c>
      <c r="K21" s="21">
        <v>5302.32</v>
      </c>
      <c r="L21" s="21" t="s">
        <v>37</v>
      </c>
      <c r="M21" s="22">
        <v>1311</v>
      </c>
      <c r="N21" s="23">
        <v>67.290000000000006</v>
      </c>
      <c r="O21" s="21" t="s">
        <v>37</v>
      </c>
      <c r="P21" s="22">
        <v>1713</v>
      </c>
      <c r="Q21" s="23">
        <v>211.44</v>
      </c>
      <c r="R21" s="23">
        <v>378.6</v>
      </c>
      <c r="S21" s="23">
        <f t="shared" si="4"/>
        <v>159.06959999999998</v>
      </c>
      <c r="T21" s="21" t="s">
        <v>37</v>
      </c>
      <c r="U21" s="22">
        <v>1712</v>
      </c>
      <c r="V21" s="24">
        <f t="shared" si="5"/>
        <v>537.66959999999995</v>
      </c>
      <c r="W21" s="21"/>
      <c r="X21" s="22"/>
      <c r="Y21" s="24"/>
      <c r="Z21" s="24">
        <f t="shared" si="6"/>
        <v>6118.7195999999994</v>
      </c>
      <c r="AA21" s="21" t="s">
        <v>39</v>
      </c>
      <c r="AB21" s="22">
        <v>1431</v>
      </c>
      <c r="AC21" s="24">
        <v>450.7</v>
      </c>
      <c r="AD21" s="21" t="s">
        <v>39</v>
      </c>
      <c r="AE21" s="25" t="s">
        <v>40</v>
      </c>
      <c r="AF21" s="23">
        <v>0</v>
      </c>
      <c r="AG21" s="21" t="s">
        <v>39</v>
      </c>
      <c r="AH21" s="25" t="s">
        <v>41</v>
      </c>
      <c r="AI21" s="23">
        <f t="shared" si="7"/>
        <v>759.77</v>
      </c>
      <c r="AJ21" s="21" t="s">
        <v>39</v>
      </c>
      <c r="AK21" s="25" t="s">
        <v>42</v>
      </c>
      <c r="AL21" s="23">
        <f>(K21*1%)</f>
        <v>53.023199999999996</v>
      </c>
      <c r="AM21" s="21" t="s">
        <v>39</v>
      </c>
      <c r="AN21" s="25" t="s">
        <v>43</v>
      </c>
      <c r="AO21" s="23">
        <v>0</v>
      </c>
      <c r="AP21" s="21" t="s">
        <v>39</v>
      </c>
      <c r="AQ21" s="25" t="s">
        <v>44</v>
      </c>
      <c r="AR21" s="23">
        <v>0</v>
      </c>
      <c r="AS21" s="24">
        <f t="shared" si="8"/>
        <v>1263.4932000000001</v>
      </c>
      <c r="AT21" s="26">
        <f t="shared" si="2"/>
        <v>4855.2263999999996</v>
      </c>
      <c r="AU21" s="33"/>
      <c r="AV21" s="28"/>
      <c r="AW21" s="29">
        <f t="shared" si="9"/>
        <v>15</v>
      </c>
      <c r="AX21" s="29">
        <f t="shared" si="10"/>
        <v>6118.7195999999994</v>
      </c>
      <c r="AY21" s="30">
        <f t="shared" si="11"/>
        <v>6118.7195999999994</v>
      </c>
      <c r="AZ21" s="30">
        <f>IFERROR(+LOOKUP(AY21,[1]TARIFAS!$A$4:$B$14,[1]TARIFAS!$A$4:$A$14),0)</f>
        <v>5081.41</v>
      </c>
      <c r="BA21" s="30">
        <f t="shared" si="12"/>
        <v>1037.3095999999996</v>
      </c>
      <c r="BB21" s="30">
        <f>IFERROR(+LOOKUP(AY21,[1]TARIFAS!$A$4:$B$14,[1]TARIFAS!$D$4:$D$14),0)</f>
        <v>21.36</v>
      </c>
      <c r="BC21" s="30">
        <f t="shared" si="13"/>
        <v>221.56933055999991</v>
      </c>
      <c r="BD21" s="30">
        <f>IFERROR(+LOOKUP(AY21,[1]TARIFAS!$A$4:$B$14,[1]TARIFAS!$C$4:$C$14),0)</f>
        <v>538.20000000000005</v>
      </c>
      <c r="BE21" s="30">
        <f t="shared" si="14"/>
        <v>759.77</v>
      </c>
      <c r="BF21" s="30"/>
      <c r="BG21" s="30"/>
      <c r="BH21" s="30"/>
      <c r="BI21" s="29"/>
    </row>
    <row r="22" spans="1:62" s="31" customFormat="1" ht="30" customHeight="1" x14ac:dyDescent="0.2">
      <c r="A22" s="17" t="str">
        <f t="shared" si="3"/>
        <v>SEI 062</v>
      </c>
      <c r="B22" s="17" t="s">
        <v>32</v>
      </c>
      <c r="C22" s="32" t="s">
        <v>83</v>
      </c>
      <c r="D22" s="34" t="s">
        <v>84</v>
      </c>
      <c r="E22" s="20" t="s">
        <v>35</v>
      </c>
      <c r="F22" s="21" t="s">
        <v>37</v>
      </c>
      <c r="G22" s="21" t="s">
        <v>38</v>
      </c>
      <c r="H22" s="21">
        <v>15</v>
      </c>
      <c r="I22" s="21">
        <v>421.49</v>
      </c>
      <c r="J22" s="160" t="s">
        <v>149</v>
      </c>
      <c r="K22" s="21">
        <v>6322.35</v>
      </c>
      <c r="L22" s="21" t="s">
        <v>37</v>
      </c>
      <c r="M22" s="22">
        <v>1311</v>
      </c>
      <c r="N22" s="35">
        <v>100.935</v>
      </c>
      <c r="O22" s="21" t="s">
        <v>37</v>
      </c>
      <c r="P22" s="22">
        <v>1713</v>
      </c>
      <c r="Q22" s="35">
        <v>351.5</v>
      </c>
      <c r="R22" s="35">
        <v>406.32</v>
      </c>
      <c r="S22" s="23">
        <f t="shared" si="4"/>
        <v>189.6705</v>
      </c>
      <c r="T22" s="21" t="s">
        <v>37</v>
      </c>
      <c r="U22" s="22">
        <v>1712</v>
      </c>
      <c r="V22" s="24">
        <f t="shared" si="5"/>
        <v>595.9905</v>
      </c>
      <c r="W22" s="21"/>
      <c r="X22" s="22"/>
      <c r="Y22" s="24"/>
      <c r="Z22" s="24">
        <f t="shared" si="6"/>
        <v>7370.7755000000006</v>
      </c>
      <c r="AA22" s="21" t="s">
        <v>39</v>
      </c>
      <c r="AB22" s="22">
        <v>1431</v>
      </c>
      <c r="AC22" s="24">
        <v>537.4</v>
      </c>
      <c r="AD22" s="21" t="s">
        <v>39</v>
      </c>
      <c r="AE22" s="25" t="s">
        <v>40</v>
      </c>
      <c r="AF22" s="35">
        <v>0</v>
      </c>
      <c r="AG22" s="21" t="s">
        <v>39</v>
      </c>
      <c r="AH22" s="25" t="s">
        <v>41</v>
      </c>
      <c r="AI22" s="23">
        <f t="shared" si="7"/>
        <v>1027.21</v>
      </c>
      <c r="AJ22" s="21" t="s">
        <v>39</v>
      </c>
      <c r="AK22" s="25" t="s">
        <v>42</v>
      </c>
      <c r="AL22" s="23">
        <v>0</v>
      </c>
      <c r="AM22" s="21" t="s">
        <v>39</v>
      </c>
      <c r="AN22" s="25" t="s">
        <v>43</v>
      </c>
      <c r="AO22" s="35">
        <v>0</v>
      </c>
      <c r="AP22" s="21" t="s">
        <v>39</v>
      </c>
      <c r="AQ22" s="25" t="s">
        <v>44</v>
      </c>
      <c r="AR22" s="23">
        <v>0</v>
      </c>
      <c r="AS22" s="24">
        <f t="shared" si="8"/>
        <v>1564.6100000000001</v>
      </c>
      <c r="AT22" s="26">
        <f t="shared" si="2"/>
        <v>5806.165500000001</v>
      </c>
      <c r="AU22" s="33"/>
      <c r="AV22" s="28"/>
      <c r="AW22" s="29">
        <f t="shared" si="9"/>
        <v>15</v>
      </c>
      <c r="AX22" s="29">
        <f t="shared" si="10"/>
        <v>7370.7755000000006</v>
      </c>
      <c r="AY22" s="30">
        <f t="shared" si="11"/>
        <v>7370.7755000000006</v>
      </c>
      <c r="AZ22" s="30">
        <f>IFERROR(+LOOKUP(AY22,[1]TARIFAS!$A$4:$B$14,[1]TARIFAS!$A$4:$A$14),0)</f>
        <v>5081.41</v>
      </c>
      <c r="BA22" s="30">
        <f t="shared" si="12"/>
        <v>2289.3655000000008</v>
      </c>
      <c r="BB22" s="30">
        <f>IFERROR(+LOOKUP(AY22,[1]TARIFAS!$A$4:$B$14,[1]TARIFAS!$D$4:$D$14),0)</f>
        <v>21.36</v>
      </c>
      <c r="BC22" s="30">
        <f t="shared" si="13"/>
        <v>489.00847080000017</v>
      </c>
      <c r="BD22" s="30">
        <f>IFERROR(+LOOKUP(AY22,[1]TARIFAS!$A$4:$B$14,[1]TARIFAS!$C$4:$C$14),0)</f>
        <v>538.20000000000005</v>
      </c>
      <c r="BE22" s="30">
        <f t="shared" si="14"/>
        <v>1027.21</v>
      </c>
      <c r="BF22" s="30"/>
      <c r="BG22" s="30"/>
      <c r="BH22" s="30"/>
      <c r="BI22" s="29"/>
    </row>
    <row r="23" spans="1:62" s="31" customFormat="1" ht="30" customHeight="1" x14ac:dyDescent="0.2">
      <c r="A23" s="17" t="str">
        <f t="shared" si="3"/>
        <v>SEI 063</v>
      </c>
      <c r="B23" s="17" t="s">
        <v>32</v>
      </c>
      <c r="C23" s="32" t="s">
        <v>85</v>
      </c>
      <c r="D23" s="34" t="s">
        <v>86</v>
      </c>
      <c r="E23" s="20" t="s">
        <v>35</v>
      </c>
      <c r="F23" s="21" t="s">
        <v>37</v>
      </c>
      <c r="G23" s="21" t="s">
        <v>38</v>
      </c>
      <c r="H23" s="21">
        <v>15</v>
      </c>
      <c r="I23" s="21">
        <v>421.49</v>
      </c>
      <c r="J23" s="160" t="s">
        <v>151</v>
      </c>
      <c r="K23" s="21">
        <v>6322.35</v>
      </c>
      <c r="L23" s="21" t="s">
        <v>37</v>
      </c>
      <c r="M23" s="22">
        <v>1311</v>
      </c>
      <c r="N23" s="35">
        <v>67.290000000000006</v>
      </c>
      <c r="O23" s="21" t="s">
        <v>37</v>
      </c>
      <c r="P23" s="22">
        <v>1713</v>
      </c>
      <c r="Q23" s="35">
        <v>351.5</v>
      </c>
      <c r="R23" s="35">
        <v>406.32</v>
      </c>
      <c r="S23" s="23">
        <f t="shared" si="4"/>
        <v>189.6705</v>
      </c>
      <c r="T23" s="21" t="s">
        <v>37</v>
      </c>
      <c r="U23" s="22">
        <v>1712</v>
      </c>
      <c r="V23" s="24">
        <f t="shared" si="5"/>
        <v>595.9905</v>
      </c>
      <c r="W23" s="21"/>
      <c r="X23" s="22"/>
      <c r="Y23" s="24"/>
      <c r="Z23" s="24">
        <f t="shared" si="6"/>
        <v>7337.1305000000002</v>
      </c>
      <c r="AA23" s="21" t="s">
        <v>39</v>
      </c>
      <c r="AB23" s="22">
        <v>1431</v>
      </c>
      <c r="AC23" s="24">
        <f t="shared" ref="AC23:AC32" si="15">(K23*8.5%)</f>
        <v>537.39975000000004</v>
      </c>
      <c r="AD23" s="21" t="s">
        <v>39</v>
      </c>
      <c r="AE23" s="25" t="s">
        <v>40</v>
      </c>
      <c r="AF23" s="35">
        <v>2108</v>
      </c>
      <c r="AG23" s="21" t="s">
        <v>39</v>
      </c>
      <c r="AH23" s="25" t="s">
        <v>41</v>
      </c>
      <c r="AI23" s="23">
        <f t="shared" si="7"/>
        <v>1020.02</v>
      </c>
      <c r="AJ23" s="21" t="s">
        <v>39</v>
      </c>
      <c r="AK23" s="25" t="s">
        <v>42</v>
      </c>
      <c r="AL23" s="23">
        <f t="shared" ref="AL23:AL29" si="16">(K23*1%)</f>
        <v>63.223500000000008</v>
      </c>
      <c r="AM23" s="21" t="s">
        <v>39</v>
      </c>
      <c r="AN23" s="25" t="s">
        <v>43</v>
      </c>
      <c r="AO23" s="35">
        <v>0</v>
      </c>
      <c r="AP23" s="21" t="s">
        <v>39</v>
      </c>
      <c r="AQ23" s="25" t="s">
        <v>44</v>
      </c>
      <c r="AR23" s="23">
        <v>0</v>
      </c>
      <c r="AS23" s="24">
        <f t="shared" si="8"/>
        <v>3728.6432500000001</v>
      </c>
      <c r="AT23" s="26">
        <f t="shared" si="2"/>
        <v>3608.4872500000001</v>
      </c>
      <c r="AU23" s="33"/>
      <c r="AV23" s="28"/>
      <c r="AW23" s="29">
        <f t="shared" si="9"/>
        <v>15</v>
      </c>
      <c r="AX23" s="29">
        <f t="shared" si="10"/>
        <v>7337.1305000000002</v>
      </c>
      <c r="AY23" s="30">
        <f t="shared" si="11"/>
        <v>7337.1305000000002</v>
      </c>
      <c r="AZ23" s="30">
        <f>IFERROR(+LOOKUP(AY23,[1]TARIFAS!$A$4:$B$14,[1]TARIFAS!$A$4:$A$14),0)</f>
        <v>5081.41</v>
      </c>
      <c r="BA23" s="30">
        <f t="shared" si="12"/>
        <v>2255.7205000000004</v>
      </c>
      <c r="BB23" s="30">
        <f>IFERROR(+LOOKUP(AY23,[1]TARIFAS!$A$4:$B$14,[1]TARIFAS!$D$4:$D$14),0)</f>
        <v>21.36</v>
      </c>
      <c r="BC23" s="30">
        <f t="shared" si="13"/>
        <v>481.82189880000004</v>
      </c>
      <c r="BD23" s="30">
        <f>IFERROR(+LOOKUP(AY23,[1]TARIFAS!$A$4:$B$14,[1]TARIFAS!$C$4:$C$14),0)</f>
        <v>538.20000000000005</v>
      </c>
      <c r="BE23" s="30">
        <f t="shared" si="14"/>
        <v>1020.02</v>
      </c>
      <c r="BF23" s="30"/>
      <c r="BG23" s="30"/>
      <c r="BH23" s="30"/>
      <c r="BI23" s="29"/>
    </row>
    <row r="24" spans="1:62" s="31" customFormat="1" ht="30" customHeight="1" x14ac:dyDescent="0.2">
      <c r="A24" s="17" t="str">
        <f t="shared" si="3"/>
        <v>SEI 067</v>
      </c>
      <c r="B24" s="17" t="s">
        <v>32</v>
      </c>
      <c r="C24" s="32" t="s">
        <v>88</v>
      </c>
      <c r="D24" s="34" t="s">
        <v>89</v>
      </c>
      <c r="E24" s="20" t="s">
        <v>35</v>
      </c>
      <c r="F24" s="21" t="s">
        <v>37</v>
      </c>
      <c r="G24" s="21" t="s">
        <v>38</v>
      </c>
      <c r="H24" s="21">
        <v>15</v>
      </c>
      <c r="I24" s="21">
        <v>421.49</v>
      </c>
      <c r="J24" s="160" t="s">
        <v>149</v>
      </c>
      <c r="K24" s="21">
        <v>6322.35</v>
      </c>
      <c r="L24" s="21" t="s">
        <v>37</v>
      </c>
      <c r="M24" s="22">
        <v>1311</v>
      </c>
      <c r="N24" s="35">
        <v>0</v>
      </c>
      <c r="O24" s="21" t="s">
        <v>37</v>
      </c>
      <c r="P24" s="22">
        <v>1713</v>
      </c>
      <c r="Q24" s="35">
        <v>351.5</v>
      </c>
      <c r="R24" s="35">
        <v>406.32</v>
      </c>
      <c r="S24" s="23">
        <f t="shared" si="4"/>
        <v>189.6705</v>
      </c>
      <c r="T24" s="21" t="s">
        <v>37</v>
      </c>
      <c r="U24" s="22">
        <v>1712</v>
      </c>
      <c r="V24" s="24">
        <f t="shared" si="5"/>
        <v>595.9905</v>
      </c>
      <c r="W24" s="21"/>
      <c r="X24" s="22"/>
      <c r="Y24" s="24"/>
      <c r="Z24" s="24">
        <f t="shared" si="6"/>
        <v>7269.8405000000002</v>
      </c>
      <c r="AA24" s="21" t="s">
        <v>39</v>
      </c>
      <c r="AB24" s="22">
        <v>1431</v>
      </c>
      <c r="AC24" s="24">
        <f t="shared" si="15"/>
        <v>537.39975000000004</v>
      </c>
      <c r="AD24" s="21" t="s">
        <v>39</v>
      </c>
      <c r="AE24" s="25" t="s">
        <v>40</v>
      </c>
      <c r="AF24" s="35">
        <v>0</v>
      </c>
      <c r="AG24" s="21" t="s">
        <v>39</v>
      </c>
      <c r="AH24" s="25" t="s">
        <v>41</v>
      </c>
      <c r="AI24" s="23">
        <f t="shared" si="7"/>
        <v>1005.65</v>
      </c>
      <c r="AJ24" s="21" t="s">
        <v>39</v>
      </c>
      <c r="AK24" s="25" t="s">
        <v>42</v>
      </c>
      <c r="AL24" s="23">
        <f t="shared" si="16"/>
        <v>63.223500000000008</v>
      </c>
      <c r="AM24" s="21" t="s">
        <v>39</v>
      </c>
      <c r="AN24" s="25" t="s">
        <v>43</v>
      </c>
      <c r="AO24" s="35">
        <v>0</v>
      </c>
      <c r="AP24" s="21" t="s">
        <v>39</v>
      </c>
      <c r="AQ24" s="25" t="s">
        <v>44</v>
      </c>
      <c r="AR24" s="23">
        <v>0</v>
      </c>
      <c r="AS24" s="24">
        <f t="shared" si="8"/>
        <v>1606.2732500000002</v>
      </c>
      <c r="AT24" s="26">
        <f t="shared" si="2"/>
        <v>5663.5672500000001</v>
      </c>
      <c r="AU24" s="33"/>
      <c r="AV24" s="28"/>
      <c r="AW24" s="29">
        <f t="shared" si="9"/>
        <v>15</v>
      </c>
      <c r="AX24" s="29">
        <f t="shared" si="10"/>
        <v>7269.8405000000002</v>
      </c>
      <c r="AY24" s="30">
        <f t="shared" si="11"/>
        <v>7269.8405000000002</v>
      </c>
      <c r="AZ24" s="30">
        <f>IFERROR(+LOOKUP(AY24,[1]TARIFAS!$A$4:$B$14,[1]TARIFAS!$A$4:$A$14),0)</f>
        <v>5081.41</v>
      </c>
      <c r="BA24" s="30">
        <f t="shared" si="12"/>
        <v>2188.4305000000004</v>
      </c>
      <c r="BB24" s="30">
        <f>IFERROR(+LOOKUP(AY24,[1]TARIFAS!$A$4:$B$14,[1]TARIFAS!$D$4:$D$14),0)</f>
        <v>21.36</v>
      </c>
      <c r="BC24" s="30">
        <f t="shared" si="13"/>
        <v>467.44875480000007</v>
      </c>
      <c r="BD24" s="30">
        <f>IFERROR(+LOOKUP(AY24,[1]TARIFAS!$A$4:$B$14,[1]TARIFAS!$C$4:$C$14),0)</f>
        <v>538.20000000000005</v>
      </c>
      <c r="BE24" s="30">
        <f t="shared" si="14"/>
        <v>1005.65</v>
      </c>
      <c r="BF24" s="30"/>
      <c r="BG24" s="30"/>
      <c r="BH24" s="30"/>
      <c r="BI24" s="29"/>
    </row>
    <row r="25" spans="1:62" s="31" customFormat="1" ht="30" customHeight="1" x14ac:dyDescent="0.2">
      <c r="A25" s="17" t="str">
        <f t="shared" si="3"/>
        <v>SEI 068</v>
      </c>
      <c r="B25" s="17" t="s">
        <v>32</v>
      </c>
      <c r="C25" s="32" t="s">
        <v>90</v>
      </c>
      <c r="D25" s="34" t="s">
        <v>91</v>
      </c>
      <c r="E25" s="20" t="s">
        <v>35</v>
      </c>
      <c r="F25" s="21" t="s">
        <v>37</v>
      </c>
      <c r="G25" s="21" t="s">
        <v>38</v>
      </c>
      <c r="H25" s="21">
        <v>15</v>
      </c>
      <c r="I25" s="21">
        <v>325.036</v>
      </c>
      <c r="J25" s="160" t="s">
        <v>150</v>
      </c>
      <c r="K25" s="21">
        <v>4875.54</v>
      </c>
      <c r="L25" s="21" t="s">
        <v>37</v>
      </c>
      <c r="M25" s="22">
        <v>1311</v>
      </c>
      <c r="N25" s="35">
        <v>0</v>
      </c>
      <c r="O25" s="21" t="s">
        <v>37</v>
      </c>
      <c r="P25" s="22">
        <v>1713</v>
      </c>
      <c r="Q25" s="35">
        <v>207.91</v>
      </c>
      <c r="R25" s="35">
        <v>371.02</v>
      </c>
      <c r="S25" s="23">
        <f t="shared" si="4"/>
        <v>146.2662</v>
      </c>
      <c r="T25" s="21" t="s">
        <v>37</v>
      </c>
      <c r="U25" s="22">
        <v>1712</v>
      </c>
      <c r="V25" s="24">
        <f t="shared" si="5"/>
        <v>517.28620000000001</v>
      </c>
      <c r="W25" s="21"/>
      <c r="X25" s="22"/>
      <c r="Y25" s="24"/>
      <c r="Z25" s="24">
        <f t="shared" si="6"/>
        <v>5600.7361999999994</v>
      </c>
      <c r="AA25" s="21" t="s">
        <v>39</v>
      </c>
      <c r="AB25" s="22">
        <v>1431</v>
      </c>
      <c r="AC25" s="24">
        <f t="shared" si="15"/>
        <v>414.42090000000002</v>
      </c>
      <c r="AD25" s="21" t="s">
        <v>39</v>
      </c>
      <c r="AE25" s="25" t="s">
        <v>40</v>
      </c>
      <c r="AF25" s="35">
        <v>0</v>
      </c>
      <c r="AG25" s="21" t="s">
        <v>39</v>
      </c>
      <c r="AH25" s="25" t="s">
        <v>41</v>
      </c>
      <c r="AI25" s="23">
        <f t="shared" si="7"/>
        <v>649.13</v>
      </c>
      <c r="AJ25" s="21" t="s">
        <v>39</v>
      </c>
      <c r="AK25" s="25" t="s">
        <v>42</v>
      </c>
      <c r="AL25" s="23">
        <f t="shared" si="16"/>
        <v>48.755400000000002</v>
      </c>
      <c r="AM25" s="21" t="s">
        <v>39</v>
      </c>
      <c r="AN25" s="25" t="s">
        <v>43</v>
      </c>
      <c r="AO25" s="35">
        <v>0</v>
      </c>
      <c r="AP25" s="21" t="s">
        <v>39</v>
      </c>
      <c r="AQ25" s="25" t="s">
        <v>44</v>
      </c>
      <c r="AR25" s="23">
        <v>0</v>
      </c>
      <c r="AS25" s="24">
        <f t="shared" si="8"/>
        <v>1112.3063</v>
      </c>
      <c r="AT25" s="26">
        <f t="shared" si="2"/>
        <v>4488.4298999999992</v>
      </c>
      <c r="AU25" s="33"/>
      <c r="AV25" s="28"/>
      <c r="AW25" s="29">
        <f t="shared" si="9"/>
        <v>15</v>
      </c>
      <c r="AX25" s="29">
        <f t="shared" si="10"/>
        <v>5600.7361999999994</v>
      </c>
      <c r="AY25" s="30">
        <f t="shared" si="11"/>
        <v>5600.7361999999994</v>
      </c>
      <c r="AZ25" s="30">
        <f>IFERROR(+LOOKUP(AY25,[1]TARIFAS!$A$4:$B$14,[1]TARIFAS!$A$4:$A$14),0)</f>
        <v>5081.41</v>
      </c>
      <c r="BA25" s="30">
        <f t="shared" si="12"/>
        <v>519.32619999999952</v>
      </c>
      <c r="BB25" s="30">
        <f>IFERROR(+LOOKUP(AY25,[1]TARIFAS!$A$4:$B$14,[1]TARIFAS!$D$4:$D$14),0)</f>
        <v>21.36</v>
      </c>
      <c r="BC25" s="30">
        <f t="shared" si="13"/>
        <v>110.92807631999989</v>
      </c>
      <c r="BD25" s="30">
        <f>IFERROR(+LOOKUP(AY25,[1]TARIFAS!$A$4:$B$14,[1]TARIFAS!$C$4:$C$14),0)</f>
        <v>538.20000000000005</v>
      </c>
      <c r="BE25" s="30">
        <f t="shared" si="14"/>
        <v>649.13</v>
      </c>
      <c r="BF25" s="30"/>
      <c r="BG25" s="30"/>
      <c r="BH25" s="30"/>
      <c r="BI25" s="29"/>
    </row>
    <row r="26" spans="1:62" s="31" customFormat="1" ht="30" customHeight="1" x14ac:dyDescent="0.2">
      <c r="A26" s="17" t="str">
        <f t="shared" si="3"/>
        <v>SEI 069</v>
      </c>
      <c r="B26" s="17" t="s">
        <v>32</v>
      </c>
      <c r="C26" s="32" t="s">
        <v>92</v>
      </c>
      <c r="D26" s="34" t="s">
        <v>93</v>
      </c>
      <c r="E26" s="20" t="s">
        <v>35</v>
      </c>
      <c r="F26" s="21" t="s">
        <v>37</v>
      </c>
      <c r="G26" s="21" t="s">
        <v>38</v>
      </c>
      <c r="H26" s="21">
        <v>15</v>
      </c>
      <c r="I26" s="21">
        <v>421.49</v>
      </c>
      <c r="J26" s="160" t="s">
        <v>151</v>
      </c>
      <c r="K26" s="21">
        <v>6322.35</v>
      </c>
      <c r="L26" s="21" t="s">
        <v>37</v>
      </c>
      <c r="M26" s="22">
        <v>1311</v>
      </c>
      <c r="N26" s="35">
        <v>0</v>
      </c>
      <c r="O26" s="21" t="s">
        <v>37</v>
      </c>
      <c r="P26" s="22">
        <v>1713</v>
      </c>
      <c r="Q26" s="35">
        <v>351.5</v>
      </c>
      <c r="R26" s="35">
        <v>406.32</v>
      </c>
      <c r="S26" s="23">
        <f t="shared" si="4"/>
        <v>189.6705</v>
      </c>
      <c r="T26" s="21" t="s">
        <v>37</v>
      </c>
      <c r="U26" s="22">
        <v>1712</v>
      </c>
      <c r="V26" s="24">
        <f t="shared" si="5"/>
        <v>595.9905</v>
      </c>
      <c r="W26" s="21"/>
      <c r="X26" s="22"/>
      <c r="Y26" s="24"/>
      <c r="Z26" s="24">
        <f t="shared" si="6"/>
        <v>7269.8405000000002</v>
      </c>
      <c r="AA26" s="21" t="s">
        <v>39</v>
      </c>
      <c r="AB26" s="22">
        <v>1431</v>
      </c>
      <c r="AC26" s="24">
        <f t="shared" si="15"/>
        <v>537.39975000000004</v>
      </c>
      <c r="AD26" s="21" t="s">
        <v>39</v>
      </c>
      <c r="AE26" s="25" t="s">
        <v>40</v>
      </c>
      <c r="AF26" s="35">
        <v>1687</v>
      </c>
      <c r="AG26" s="21" t="s">
        <v>39</v>
      </c>
      <c r="AH26" s="25" t="s">
        <v>41</v>
      </c>
      <c r="AI26" s="23">
        <f t="shared" si="7"/>
        <v>1005.65</v>
      </c>
      <c r="AJ26" s="21" t="s">
        <v>39</v>
      </c>
      <c r="AK26" s="25" t="s">
        <v>42</v>
      </c>
      <c r="AL26" s="23">
        <f t="shared" si="16"/>
        <v>63.223500000000008</v>
      </c>
      <c r="AM26" s="21" t="s">
        <v>39</v>
      </c>
      <c r="AN26" s="25" t="s">
        <v>43</v>
      </c>
      <c r="AO26" s="35">
        <v>0</v>
      </c>
      <c r="AP26" s="21" t="s">
        <v>39</v>
      </c>
      <c r="AQ26" s="25" t="s">
        <v>44</v>
      </c>
      <c r="AR26" s="23">
        <v>0</v>
      </c>
      <c r="AS26" s="24">
        <f t="shared" si="8"/>
        <v>3293.2732500000002</v>
      </c>
      <c r="AT26" s="26">
        <f t="shared" si="2"/>
        <v>3976.5672500000001</v>
      </c>
      <c r="AU26" s="33"/>
      <c r="AV26" s="28"/>
      <c r="AW26" s="29">
        <f t="shared" si="9"/>
        <v>15</v>
      </c>
      <c r="AX26" s="29">
        <f t="shared" si="10"/>
        <v>7269.8405000000002</v>
      </c>
      <c r="AY26" s="30">
        <f t="shared" si="11"/>
        <v>7269.8405000000002</v>
      </c>
      <c r="AZ26" s="30">
        <f>IFERROR(+LOOKUP(AY26,[1]TARIFAS!$A$4:$B$14,[1]TARIFAS!$A$4:$A$14),0)</f>
        <v>5081.41</v>
      </c>
      <c r="BA26" s="30">
        <f t="shared" si="12"/>
        <v>2188.4305000000004</v>
      </c>
      <c r="BB26" s="30">
        <f>IFERROR(+LOOKUP(AY26,[1]TARIFAS!$A$4:$B$14,[1]TARIFAS!$D$4:$D$14),0)</f>
        <v>21.36</v>
      </c>
      <c r="BC26" s="30">
        <f t="shared" si="13"/>
        <v>467.44875480000007</v>
      </c>
      <c r="BD26" s="30">
        <f>IFERROR(+LOOKUP(AY26,[1]TARIFAS!$A$4:$B$14,[1]TARIFAS!$C$4:$C$14),0)</f>
        <v>538.20000000000005</v>
      </c>
      <c r="BE26" s="30">
        <f t="shared" si="14"/>
        <v>1005.65</v>
      </c>
      <c r="BF26" s="30"/>
      <c r="BG26" s="30"/>
      <c r="BH26" s="30"/>
      <c r="BI26" s="29"/>
    </row>
    <row r="27" spans="1:62" s="31" customFormat="1" ht="30" customHeight="1" x14ac:dyDescent="0.2">
      <c r="A27" s="17" t="str">
        <f t="shared" si="3"/>
        <v>SEI 070</v>
      </c>
      <c r="B27" s="17" t="s">
        <v>32</v>
      </c>
      <c r="C27" s="32" t="s">
        <v>94</v>
      </c>
      <c r="D27" s="34" t="s">
        <v>95</v>
      </c>
      <c r="E27" s="20" t="s">
        <v>35</v>
      </c>
      <c r="F27" s="21" t="s">
        <v>37</v>
      </c>
      <c r="G27" s="21" t="s">
        <v>38</v>
      </c>
      <c r="H27" s="21">
        <v>15</v>
      </c>
      <c r="I27" s="21">
        <v>325.036</v>
      </c>
      <c r="J27" s="160" t="s">
        <v>149</v>
      </c>
      <c r="K27" s="21">
        <v>4875.54</v>
      </c>
      <c r="L27" s="21" t="s">
        <v>37</v>
      </c>
      <c r="M27" s="22">
        <v>1311</v>
      </c>
      <c r="N27" s="35">
        <v>0</v>
      </c>
      <c r="O27" s="21" t="s">
        <v>37</v>
      </c>
      <c r="P27" s="22">
        <v>1713</v>
      </c>
      <c r="Q27" s="35">
        <v>207.91</v>
      </c>
      <c r="R27" s="35">
        <v>371.02</v>
      </c>
      <c r="S27" s="23">
        <f t="shared" si="4"/>
        <v>146.2662</v>
      </c>
      <c r="T27" s="21" t="s">
        <v>37</v>
      </c>
      <c r="U27" s="22">
        <v>1712</v>
      </c>
      <c r="V27" s="24">
        <f t="shared" si="5"/>
        <v>517.28620000000001</v>
      </c>
      <c r="W27" s="21"/>
      <c r="X27" s="22"/>
      <c r="Y27" s="24"/>
      <c r="Z27" s="24">
        <f t="shared" si="6"/>
        <v>5600.7361999999994</v>
      </c>
      <c r="AA27" s="21" t="s">
        <v>39</v>
      </c>
      <c r="AB27" s="22">
        <v>1431</v>
      </c>
      <c r="AC27" s="24">
        <f t="shared" si="15"/>
        <v>414.42090000000002</v>
      </c>
      <c r="AD27" s="21" t="s">
        <v>39</v>
      </c>
      <c r="AE27" s="25" t="s">
        <v>40</v>
      </c>
      <c r="AF27" s="35">
        <v>0</v>
      </c>
      <c r="AG27" s="21" t="s">
        <v>39</v>
      </c>
      <c r="AH27" s="25" t="s">
        <v>41</v>
      </c>
      <c r="AI27" s="23">
        <f t="shared" si="7"/>
        <v>649.13</v>
      </c>
      <c r="AJ27" s="21" t="s">
        <v>39</v>
      </c>
      <c r="AK27" s="25" t="s">
        <v>42</v>
      </c>
      <c r="AL27" s="23">
        <f t="shared" si="16"/>
        <v>48.755400000000002</v>
      </c>
      <c r="AM27" s="21" t="s">
        <v>39</v>
      </c>
      <c r="AN27" s="25" t="s">
        <v>43</v>
      </c>
      <c r="AO27" s="35">
        <v>0</v>
      </c>
      <c r="AP27" s="21" t="s">
        <v>39</v>
      </c>
      <c r="AQ27" s="25" t="s">
        <v>44</v>
      </c>
      <c r="AR27" s="23">
        <v>0</v>
      </c>
      <c r="AS27" s="24">
        <f t="shared" si="8"/>
        <v>1112.3063</v>
      </c>
      <c r="AT27" s="26">
        <f t="shared" si="2"/>
        <v>4488.4298999999992</v>
      </c>
      <c r="AU27" s="33"/>
      <c r="AV27" s="28"/>
      <c r="AW27" s="29">
        <f t="shared" si="9"/>
        <v>15</v>
      </c>
      <c r="AX27" s="29">
        <f t="shared" si="10"/>
        <v>5600.7361999999994</v>
      </c>
      <c r="AY27" s="30">
        <f t="shared" si="11"/>
        <v>5600.7361999999994</v>
      </c>
      <c r="AZ27" s="30">
        <f>IFERROR(+LOOKUP(AY27,[1]TARIFAS!$A$4:$B$14,[1]TARIFAS!$A$4:$A$14),0)</f>
        <v>5081.41</v>
      </c>
      <c r="BA27" s="30">
        <f t="shared" si="12"/>
        <v>519.32619999999952</v>
      </c>
      <c r="BB27" s="30">
        <f>IFERROR(+LOOKUP(AY27,[1]TARIFAS!$A$4:$B$14,[1]TARIFAS!$D$4:$D$14),0)</f>
        <v>21.36</v>
      </c>
      <c r="BC27" s="30">
        <f t="shared" si="13"/>
        <v>110.92807631999989</v>
      </c>
      <c r="BD27" s="30">
        <f>IFERROR(+LOOKUP(AY27,[1]TARIFAS!$A$4:$B$14,[1]TARIFAS!$C$4:$C$14),0)</f>
        <v>538.20000000000005</v>
      </c>
      <c r="BE27" s="30">
        <f t="shared" si="14"/>
        <v>649.13</v>
      </c>
      <c r="BF27" s="30"/>
      <c r="BG27" s="30"/>
      <c r="BH27" s="30"/>
      <c r="BI27" s="29"/>
    </row>
    <row r="28" spans="1:62" s="31" customFormat="1" ht="30" customHeight="1" x14ac:dyDescent="0.2">
      <c r="A28" s="17" t="str">
        <f t="shared" si="3"/>
        <v>SEI 071</v>
      </c>
      <c r="B28" s="17" t="s">
        <v>32</v>
      </c>
      <c r="C28" s="32" t="s">
        <v>96</v>
      </c>
      <c r="D28" s="34" t="s">
        <v>97</v>
      </c>
      <c r="E28" s="20" t="s">
        <v>35</v>
      </c>
      <c r="F28" s="21" t="s">
        <v>37</v>
      </c>
      <c r="G28" s="21" t="s">
        <v>38</v>
      </c>
      <c r="H28" s="21">
        <v>15</v>
      </c>
      <c r="I28" s="21">
        <v>421.49</v>
      </c>
      <c r="J28" s="160" t="s">
        <v>147</v>
      </c>
      <c r="K28" s="21">
        <v>6322.35</v>
      </c>
      <c r="L28" s="21" t="s">
        <v>37</v>
      </c>
      <c r="M28" s="22">
        <v>1311</v>
      </c>
      <c r="N28" s="35">
        <v>0</v>
      </c>
      <c r="O28" s="21" t="s">
        <v>37</v>
      </c>
      <c r="P28" s="22">
        <v>1713</v>
      </c>
      <c r="Q28" s="35">
        <v>351.5</v>
      </c>
      <c r="R28" s="35">
        <v>406.32</v>
      </c>
      <c r="S28" s="23">
        <f t="shared" si="4"/>
        <v>189.6705</v>
      </c>
      <c r="T28" s="21" t="s">
        <v>37</v>
      </c>
      <c r="U28" s="22">
        <v>1712</v>
      </c>
      <c r="V28" s="24">
        <f t="shared" si="5"/>
        <v>595.9905</v>
      </c>
      <c r="W28" s="21"/>
      <c r="X28" s="22"/>
      <c r="Y28" s="24"/>
      <c r="Z28" s="24">
        <f t="shared" si="6"/>
        <v>7269.8405000000002</v>
      </c>
      <c r="AA28" s="21" t="s">
        <v>39</v>
      </c>
      <c r="AB28" s="22">
        <v>1431</v>
      </c>
      <c r="AC28" s="24">
        <f t="shared" si="15"/>
        <v>537.39975000000004</v>
      </c>
      <c r="AD28" s="21" t="s">
        <v>39</v>
      </c>
      <c r="AE28" s="25" t="s">
        <v>40</v>
      </c>
      <c r="AF28" s="35">
        <v>0</v>
      </c>
      <c r="AG28" s="21" t="s">
        <v>39</v>
      </c>
      <c r="AH28" s="25" t="s">
        <v>41</v>
      </c>
      <c r="AI28" s="23">
        <f t="shared" si="7"/>
        <v>1005.65</v>
      </c>
      <c r="AJ28" s="21" t="s">
        <v>39</v>
      </c>
      <c r="AK28" s="25" t="s">
        <v>42</v>
      </c>
      <c r="AL28" s="23">
        <f t="shared" si="16"/>
        <v>63.223500000000008</v>
      </c>
      <c r="AM28" s="21" t="s">
        <v>39</v>
      </c>
      <c r="AN28" s="25" t="s">
        <v>43</v>
      </c>
      <c r="AO28" s="35">
        <v>0</v>
      </c>
      <c r="AP28" s="21" t="s">
        <v>39</v>
      </c>
      <c r="AQ28" s="25" t="s">
        <v>44</v>
      </c>
      <c r="AR28" s="23">
        <v>0</v>
      </c>
      <c r="AS28" s="24">
        <f t="shared" si="8"/>
        <v>1606.2732500000002</v>
      </c>
      <c r="AT28" s="26">
        <f t="shared" si="2"/>
        <v>5663.5672500000001</v>
      </c>
      <c r="AU28" s="33"/>
      <c r="AV28" s="28"/>
      <c r="AW28" s="29">
        <f t="shared" si="9"/>
        <v>15</v>
      </c>
      <c r="AX28" s="29">
        <f t="shared" si="10"/>
        <v>7269.8405000000002</v>
      </c>
      <c r="AY28" s="30">
        <f t="shared" si="11"/>
        <v>7269.8405000000002</v>
      </c>
      <c r="AZ28" s="30">
        <f>IFERROR(+LOOKUP(AY28,[1]TARIFAS!$A$4:$B$14,[1]TARIFAS!$A$4:$A$14),0)</f>
        <v>5081.41</v>
      </c>
      <c r="BA28" s="30">
        <f t="shared" si="12"/>
        <v>2188.4305000000004</v>
      </c>
      <c r="BB28" s="30">
        <f>IFERROR(+LOOKUP(AY28,[1]TARIFAS!$A$4:$B$14,[1]TARIFAS!$D$4:$D$14),0)</f>
        <v>21.36</v>
      </c>
      <c r="BC28" s="30">
        <f t="shared" si="13"/>
        <v>467.44875480000007</v>
      </c>
      <c r="BD28" s="30">
        <f>IFERROR(+LOOKUP(AY28,[1]TARIFAS!$A$4:$B$14,[1]TARIFAS!$C$4:$C$14),0)</f>
        <v>538.20000000000005</v>
      </c>
      <c r="BE28" s="30">
        <f t="shared" si="14"/>
        <v>1005.65</v>
      </c>
      <c r="BF28" s="30"/>
      <c r="BG28" s="30"/>
      <c r="BH28" s="30"/>
      <c r="BI28" s="29"/>
    </row>
    <row r="29" spans="1:62" s="31" customFormat="1" ht="30" customHeight="1" x14ac:dyDescent="0.2">
      <c r="A29" s="17" t="str">
        <f t="shared" si="3"/>
        <v>SEI 072</v>
      </c>
      <c r="B29" s="17" t="s">
        <v>32</v>
      </c>
      <c r="C29" s="32" t="s">
        <v>98</v>
      </c>
      <c r="D29" s="34" t="s">
        <v>99</v>
      </c>
      <c r="E29" s="20" t="s">
        <v>35</v>
      </c>
      <c r="F29" s="21" t="s">
        <v>37</v>
      </c>
      <c r="G29" s="21" t="s">
        <v>38</v>
      </c>
      <c r="H29" s="21">
        <v>15</v>
      </c>
      <c r="I29" s="21">
        <v>325.036</v>
      </c>
      <c r="J29" s="160" t="s">
        <v>150</v>
      </c>
      <c r="K29" s="21">
        <f>4875.54/15*6</f>
        <v>1950.2159999999999</v>
      </c>
      <c r="L29" s="21" t="s">
        <v>37</v>
      </c>
      <c r="M29" s="22">
        <v>1311</v>
      </c>
      <c r="N29" s="35">
        <v>0</v>
      </c>
      <c r="O29" s="21" t="s">
        <v>37</v>
      </c>
      <c r="P29" s="22">
        <v>1713</v>
      </c>
      <c r="Q29" s="35">
        <f>207.91/15*6</f>
        <v>83.164000000000001</v>
      </c>
      <c r="R29" s="35">
        <f>371.02/15*6</f>
        <v>148.40799999999999</v>
      </c>
      <c r="S29" s="23">
        <f>(K29*3%)</f>
        <v>58.506479999999996</v>
      </c>
      <c r="T29" s="21" t="s">
        <v>37</v>
      </c>
      <c r="U29" s="22">
        <v>1712</v>
      </c>
      <c r="V29" s="24">
        <f>(R29+S29)</f>
        <v>206.91447999999997</v>
      </c>
      <c r="W29" s="21"/>
      <c r="X29" s="22"/>
      <c r="Y29" s="24"/>
      <c r="Z29" s="24">
        <f t="shared" si="6"/>
        <v>2240.29448</v>
      </c>
      <c r="AA29" s="21" t="s">
        <v>39</v>
      </c>
      <c r="AB29" s="22">
        <v>1431</v>
      </c>
      <c r="AC29" s="24">
        <f t="shared" si="15"/>
        <v>165.76836</v>
      </c>
      <c r="AD29" s="21" t="s">
        <v>39</v>
      </c>
      <c r="AE29" s="25" t="s">
        <v>40</v>
      </c>
      <c r="AF29" s="35">
        <v>0</v>
      </c>
      <c r="AG29" s="21" t="s">
        <v>39</v>
      </c>
      <c r="AH29" s="25" t="s">
        <v>41</v>
      </c>
      <c r="AI29" s="23">
        <f t="shared" si="7"/>
        <v>139.66</v>
      </c>
      <c r="AJ29" s="21" t="s">
        <v>39</v>
      </c>
      <c r="AK29" s="25" t="s">
        <v>42</v>
      </c>
      <c r="AL29" s="23">
        <f t="shared" si="16"/>
        <v>19.50216</v>
      </c>
      <c r="AM29" s="21" t="s">
        <v>39</v>
      </c>
      <c r="AN29" s="25" t="s">
        <v>43</v>
      </c>
      <c r="AO29" s="35">
        <v>0</v>
      </c>
      <c r="AP29" s="21" t="s">
        <v>39</v>
      </c>
      <c r="AQ29" s="25" t="s">
        <v>44</v>
      </c>
      <c r="AR29" s="23">
        <v>0</v>
      </c>
      <c r="AS29" s="24">
        <f t="shared" si="8"/>
        <v>324.93052</v>
      </c>
      <c r="AT29" s="26">
        <f t="shared" si="2"/>
        <v>1915.3639600000001</v>
      </c>
      <c r="AU29" s="33"/>
      <c r="AV29" s="28"/>
      <c r="AW29" s="31">
        <f t="shared" si="9"/>
        <v>15</v>
      </c>
      <c r="AX29" s="29">
        <f t="shared" si="10"/>
        <v>2240.29448</v>
      </c>
      <c r="AY29" s="39">
        <f t="shared" si="11"/>
        <v>2240.29448</v>
      </c>
      <c r="AZ29" s="39">
        <f>IFERROR(+LOOKUP(AY29,[1]TARIFAS!$A$4:$B$14,[1]TARIFAS!$A$4:$A$14),0)</f>
        <v>2077.5100000000002</v>
      </c>
      <c r="BA29" s="39">
        <f t="shared" si="12"/>
        <v>162.7844799999998</v>
      </c>
      <c r="BB29" s="39">
        <f>IFERROR(+LOOKUP(AY29,[1]TARIFAS!$A$4:$B$14,[1]TARIFAS!$D$4:$D$14),0)</f>
        <v>10.88</v>
      </c>
      <c r="BC29" s="39">
        <f t="shared" si="13"/>
        <v>17.71095142399998</v>
      </c>
      <c r="BD29" s="39">
        <f>IFERROR(+LOOKUP(AY29,[1]TARIFAS!$A$4:$B$14,[1]TARIFAS!$C$4:$C$14),0)</f>
        <v>121.95</v>
      </c>
      <c r="BE29" s="39">
        <f t="shared" si="14"/>
        <v>139.66</v>
      </c>
      <c r="BF29" s="39"/>
      <c r="BG29" s="39"/>
      <c r="BH29" s="39"/>
      <c r="BJ29" s="40" t="s">
        <v>100</v>
      </c>
    </row>
    <row r="30" spans="1:62" s="31" customFormat="1" ht="30" customHeight="1" x14ac:dyDescent="0.2">
      <c r="A30" s="17" t="str">
        <f t="shared" si="3"/>
        <v>SEI 073</v>
      </c>
      <c r="B30" s="17" t="s">
        <v>32</v>
      </c>
      <c r="C30" s="32" t="s">
        <v>101</v>
      </c>
      <c r="D30" s="34" t="s">
        <v>102</v>
      </c>
      <c r="E30" s="20" t="s">
        <v>67</v>
      </c>
      <c r="F30" s="21" t="s">
        <v>37</v>
      </c>
      <c r="G30" s="21" t="s">
        <v>38</v>
      </c>
      <c r="H30" s="21">
        <v>15</v>
      </c>
      <c r="I30" s="21">
        <v>1029.4333333333334</v>
      </c>
      <c r="J30" s="160" t="s">
        <v>146</v>
      </c>
      <c r="K30" s="21">
        <v>15441.5</v>
      </c>
      <c r="L30" s="21" t="s">
        <v>37</v>
      </c>
      <c r="M30" s="22">
        <v>1311</v>
      </c>
      <c r="N30" s="35">
        <v>0</v>
      </c>
      <c r="O30" s="21" t="s">
        <v>37</v>
      </c>
      <c r="P30" s="22">
        <v>1713</v>
      </c>
      <c r="Q30" s="35">
        <v>566.5</v>
      </c>
      <c r="R30" s="35">
        <v>835.5</v>
      </c>
      <c r="S30" s="23">
        <f t="shared" si="4"/>
        <v>463.245</v>
      </c>
      <c r="T30" s="21" t="s">
        <v>37</v>
      </c>
      <c r="U30" s="22">
        <v>1712</v>
      </c>
      <c r="V30" s="24">
        <f t="shared" si="5"/>
        <v>1298.7449999999999</v>
      </c>
      <c r="W30" s="21"/>
      <c r="X30" s="22"/>
      <c r="Y30" s="24"/>
      <c r="Z30" s="24">
        <f t="shared" si="6"/>
        <v>17306.744999999999</v>
      </c>
      <c r="AA30" s="21" t="s">
        <v>39</v>
      </c>
      <c r="AB30" s="22">
        <v>1431</v>
      </c>
      <c r="AC30" s="24">
        <f t="shared" si="15"/>
        <v>1312.5275000000001</v>
      </c>
      <c r="AD30" s="21" t="s">
        <v>39</v>
      </c>
      <c r="AE30" s="25" t="s">
        <v>40</v>
      </c>
      <c r="AF30" s="35">
        <v>0</v>
      </c>
      <c r="AG30" s="21" t="s">
        <v>39</v>
      </c>
      <c r="AH30" s="25" t="s">
        <v>41</v>
      </c>
      <c r="AI30" s="23">
        <f t="shared" si="7"/>
        <v>3376.71</v>
      </c>
      <c r="AJ30" s="21" t="s">
        <v>39</v>
      </c>
      <c r="AK30" s="25" t="s">
        <v>42</v>
      </c>
      <c r="AL30" s="23">
        <v>0</v>
      </c>
      <c r="AM30" s="21" t="s">
        <v>39</v>
      </c>
      <c r="AN30" s="25" t="s">
        <v>43</v>
      </c>
      <c r="AO30" s="35">
        <v>0</v>
      </c>
      <c r="AP30" s="21" t="s">
        <v>39</v>
      </c>
      <c r="AQ30" s="25" t="s">
        <v>44</v>
      </c>
      <c r="AR30" s="23">
        <v>0</v>
      </c>
      <c r="AS30" s="24">
        <f t="shared" si="8"/>
        <v>4689.2375000000002</v>
      </c>
      <c r="AT30" s="26">
        <f t="shared" si="2"/>
        <v>12617.5075</v>
      </c>
      <c r="AU30" s="33"/>
      <c r="AV30" s="28"/>
      <c r="AW30" s="29">
        <f t="shared" si="9"/>
        <v>15</v>
      </c>
      <c r="AX30" s="29">
        <f t="shared" si="10"/>
        <v>17306.745000000003</v>
      </c>
      <c r="AY30" s="30">
        <f t="shared" si="11"/>
        <v>17306.745000000003</v>
      </c>
      <c r="AZ30" s="30">
        <f>IFERROR(+LOOKUP(AY30,[1]TARIFAS!$A$4:$B$14,[1]TARIFAS!$A$4:$A$14),0)</f>
        <v>16153.06</v>
      </c>
      <c r="BA30" s="30">
        <f t="shared" si="12"/>
        <v>1153.6850000000031</v>
      </c>
      <c r="BB30" s="30">
        <f>IFERROR(+LOOKUP(AY30,[1]TARIFAS!$A$4:$B$14,[1]TARIFAS!$D$4:$D$14),0)</f>
        <v>30</v>
      </c>
      <c r="BC30" s="30">
        <f t="shared" si="13"/>
        <v>346.10550000000092</v>
      </c>
      <c r="BD30" s="30">
        <f>IFERROR(+LOOKUP(AY30,[1]TARIFAS!$A$4:$B$14,[1]TARIFAS!$C$4:$C$14),0)</f>
        <v>3030.6</v>
      </c>
      <c r="BE30" s="30">
        <f t="shared" si="14"/>
        <v>3376.71</v>
      </c>
      <c r="BF30" s="30"/>
      <c r="BG30" s="30"/>
      <c r="BH30" s="30"/>
      <c r="BI30" s="29"/>
    </row>
    <row r="31" spans="1:62" s="31" customFormat="1" ht="30" customHeight="1" x14ac:dyDescent="0.2">
      <c r="A31" s="17" t="str">
        <f t="shared" si="3"/>
        <v>SEI 074</v>
      </c>
      <c r="B31" s="17" t="s">
        <v>32</v>
      </c>
      <c r="C31" s="32" t="s">
        <v>103</v>
      </c>
      <c r="D31" s="34" t="s">
        <v>104</v>
      </c>
      <c r="E31" s="20" t="s">
        <v>105</v>
      </c>
      <c r="F31" s="21" t="s">
        <v>37</v>
      </c>
      <c r="G31" s="21" t="s">
        <v>38</v>
      </c>
      <c r="H31" s="21">
        <v>15</v>
      </c>
      <c r="I31" s="21">
        <v>1958.6333333333334</v>
      </c>
      <c r="J31" s="160" t="s">
        <v>148</v>
      </c>
      <c r="K31" s="21">
        <v>29379.5</v>
      </c>
      <c r="L31" s="21" t="s">
        <v>37</v>
      </c>
      <c r="M31" s="22">
        <v>1311</v>
      </c>
      <c r="N31" s="35">
        <v>0</v>
      </c>
      <c r="O31" s="21" t="s">
        <v>37</v>
      </c>
      <c r="P31" s="22">
        <v>1713</v>
      </c>
      <c r="Q31" s="36">
        <v>808.5</v>
      </c>
      <c r="R31" s="35">
        <v>1144</v>
      </c>
      <c r="S31" s="23">
        <f t="shared" si="4"/>
        <v>881.38499999999999</v>
      </c>
      <c r="T31" s="21" t="s">
        <v>37</v>
      </c>
      <c r="U31" s="22">
        <v>1712</v>
      </c>
      <c r="V31" s="24">
        <f t="shared" si="5"/>
        <v>2025.385</v>
      </c>
      <c r="W31" s="21"/>
      <c r="X31" s="22"/>
      <c r="Y31" s="24"/>
      <c r="Z31" s="24">
        <f t="shared" si="6"/>
        <v>32213.384999999998</v>
      </c>
      <c r="AA31" s="21" t="s">
        <v>39</v>
      </c>
      <c r="AB31" s="22">
        <v>1431</v>
      </c>
      <c r="AC31" s="24">
        <f t="shared" si="15"/>
        <v>2497.2575000000002</v>
      </c>
      <c r="AD31" s="21" t="s">
        <v>39</v>
      </c>
      <c r="AE31" s="25" t="s">
        <v>40</v>
      </c>
      <c r="AF31" s="35">
        <v>4897</v>
      </c>
      <c r="AG31" s="21" t="s">
        <v>39</v>
      </c>
      <c r="AH31" s="25" t="s">
        <v>41</v>
      </c>
      <c r="AI31" s="23">
        <f t="shared" si="7"/>
        <v>7876.11</v>
      </c>
      <c r="AJ31" s="21" t="s">
        <v>39</v>
      </c>
      <c r="AK31" s="25" t="s">
        <v>42</v>
      </c>
      <c r="AL31" s="23">
        <v>0</v>
      </c>
      <c r="AM31" s="21" t="s">
        <v>39</v>
      </c>
      <c r="AN31" s="25" t="s">
        <v>43</v>
      </c>
      <c r="AO31" s="35">
        <v>0</v>
      </c>
      <c r="AP31" s="21" t="s">
        <v>39</v>
      </c>
      <c r="AQ31" s="25" t="s">
        <v>44</v>
      </c>
      <c r="AR31" s="23">
        <v>0</v>
      </c>
      <c r="AS31" s="24">
        <f t="shared" si="8"/>
        <v>15270.3675</v>
      </c>
      <c r="AT31" s="26">
        <f t="shared" si="2"/>
        <v>16943.017499999998</v>
      </c>
      <c r="AU31" s="33"/>
      <c r="AV31" s="28"/>
      <c r="AW31" s="29">
        <f t="shared" si="9"/>
        <v>15</v>
      </c>
      <c r="AX31" s="29">
        <f t="shared" si="10"/>
        <v>32213.384999999998</v>
      </c>
      <c r="AY31" s="30">
        <f t="shared" si="11"/>
        <v>32213.384999999995</v>
      </c>
      <c r="AZ31" s="30">
        <f>IFERROR(+LOOKUP(AY31,[1]TARIFAS!$A$4:$B$14,[1]TARIFAS!$A$4:$A$14),0)</f>
        <v>30838.81</v>
      </c>
      <c r="BA31" s="30">
        <f t="shared" si="12"/>
        <v>1374.5749999999935</v>
      </c>
      <c r="BB31" s="30">
        <f>IFERROR(+LOOKUP(AY31,[1]TARIFAS!$A$4:$B$14,[1]TARIFAS!$D$4:$D$14),0)</f>
        <v>32</v>
      </c>
      <c r="BC31" s="30">
        <f t="shared" si="13"/>
        <v>439.86399999999793</v>
      </c>
      <c r="BD31" s="30">
        <f>IFERROR(+LOOKUP(AY31,[1]TARIFAS!$A$4:$B$14,[1]TARIFAS!$C$4:$C$14),0)</f>
        <v>7436.25</v>
      </c>
      <c r="BE31" s="30">
        <f>ROUND(+BC31+BD31,2)</f>
        <v>7876.11</v>
      </c>
      <c r="BF31" s="30"/>
      <c r="BG31" s="30"/>
      <c r="BH31" s="30"/>
      <c r="BI31" s="29"/>
    </row>
    <row r="32" spans="1:62" s="31" customFormat="1" ht="30" customHeight="1" x14ac:dyDescent="0.2">
      <c r="A32" s="17" t="str">
        <f t="shared" si="3"/>
        <v>SEI 078</v>
      </c>
      <c r="B32" s="17" t="s">
        <v>32</v>
      </c>
      <c r="C32" s="32" t="s">
        <v>106</v>
      </c>
      <c r="D32" s="34" t="s">
        <v>107</v>
      </c>
      <c r="E32" s="20" t="s">
        <v>67</v>
      </c>
      <c r="F32" s="21" t="s">
        <v>37</v>
      </c>
      <c r="G32" s="21" t="s">
        <v>38</v>
      </c>
      <c r="H32" s="21">
        <v>15</v>
      </c>
      <c r="I32" s="21">
        <v>1029.4333333333334</v>
      </c>
      <c r="J32" s="160" t="s">
        <v>151</v>
      </c>
      <c r="K32" s="21">
        <v>15441.5</v>
      </c>
      <c r="L32" s="21" t="s">
        <v>37</v>
      </c>
      <c r="M32" s="22">
        <v>1311</v>
      </c>
      <c r="N32" s="23">
        <v>0</v>
      </c>
      <c r="O32" s="21" t="s">
        <v>37</v>
      </c>
      <c r="P32" s="22">
        <v>1713</v>
      </c>
      <c r="Q32" s="23">
        <v>566.5</v>
      </c>
      <c r="R32" s="23">
        <v>835.5</v>
      </c>
      <c r="S32" s="23">
        <f>(K32*3%)</f>
        <v>463.245</v>
      </c>
      <c r="T32" s="21" t="s">
        <v>37</v>
      </c>
      <c r="U32" s="22">
        <v>1712</v>
      </c>
      <c r="V32" s="24">
        <f t="shared" si="5"/>
        <v>1298.7449999999999</v>
      </c>
      <c r="W32" s="21"/>
      <c r="X32" s="22"/>
      <c r="Y32" s="24"/>
      <c r="Z32" s="24">
        <f t="shared" si="6"/>
        <v>17306.744999999999</v>
      </c>
      <c r="AA32" s="21" t="s">
        <v>39</v>
      </c>
      <c r="AB32" s="22">
        <v>1431</v>
      </c>
      <c r="AC32" s="24">
        <f t="shared" si="15"/>
        <v>1312.5275000000001</v>
      </c>
      <c r="AD32" s="21" t="s">
        <v>39</v>
      </c>
      <c r="AE32" s="25" t="s">
        <v>40</v>
      </c>
      <c r="AF32" s="35">
        <v>0</v>
      </c>
      <c r="AG32" s="21" t="s">
        <v>39</v>
      </c>
      <c r="AH32" s="25" t="s">
        <v>41</v>
      </c>
      <c r="AI32" s="23">
        <f t="shared" si="7"/>
        <v>3376.71</v>
      </c>
      <c r="AJ32" s="21" t="s">
        <v>39</v>
      </c>
      <c r="AK32" s="25" t="s">
        <v>42</v>
      </c>
      <c r="AL32" s="23">
        <v>0</v>
      </c>
      <c r="AM32" s="21" t="s">
        <v>39</v>
      </c>
      <c r="AN32" s="25" t="s">
        <v>43</v>
      </c>
      <c r="AO32" s="35">
        <v>0</v>
      </c>
      <c r="AP32" s="21" t="s">
        <v>39</v>
      </c>
      <c r="AQ32" s="25" t="s">
        <v>44</v>
      </c>
      <c r="AR32" s="23">
        <v>0</v>
      </c>
      <c r="AS32" s="24">
        <f t="shared" si="8"/>
        <v>4689.2375000000002</v>
      </c>
      <c r="AT32" s="26">
        <f t="shared" si="2"/>
        <v>12617.5075</v>
      </c>
      <c r="AU32" s="33"/>
      <c r="AV32" s="28" t="s">
        <v>143</v>
      </c>
      <c r="AW32" s="29">
        <f t="shared" si="9"/>
        <v>15</v>
      </c>
      <c r="AX32" s="29">
        <f t="shared" si="10"/>
        <v>17306.745000000003</v>
      </c>
      <c r="AY32" s="30">
        <f t="shared" si="11"/>
        <v>17306.745000000003</v>
      </c>
      <c r="AZ32" s="30">
        <f>IFERROR(+LOOKUP(AY32,[1]TARIFAS!$A$4:$B$14,[1]TARIFAS!$A$4:$A$14),0)</f>
        <v>16153.06</v>
      </c>
      <c r="BA32" s="30">
        <f t="shared" si="12"/>
        <v>1153.6850000000031</v>
      </c>
      <c r="BB32" s="30">
        <f>IFERROR(+LOOKUP(AY32,[1]TARIFAS!$A$4:$B$14,[1]TARIFAS!$D$4:$D$14),0)</f>
        <v>30</v>
      </c>
      <c r="BC32" s="30">
        <f t="shared" si="13"/>
        <v>346.10550000000092</v>
      </c>
      <c r="BD32" s="30">
        <f>IFERROR(+LOOKUP(AY32,[1]TARIFAS!$A$4:$B$14,[1]TARIFAS!$C$4:$C$14),0)</f>
        <v>3030.6</v>
      </c>
      <c r="BE32" s="30">
        <f t="shared" si="14"/>
        <v>3376.71</v>
      </c>
      <c r="BF32" s="30"/>
      <c r="BG32" s="30"/>
      <c r="BH32" s="30"/>
      <c r="BI32" s="29"/>
    </row>
    <row r="33" spans="1:61" s="31" customFormat="1" ht="30" customHeight="1" thickBot="1" x14ac:dyDescent="0.25">
      <c r="A33" s="17" t="str">
        <f t="shared" si="3"/>
        <v>SEI 077</v>
      </c>
      <c r="B33" s="17" t="s">
        <v>32</v>
      </c>
      <c r="C33" s="32" t="s">
        <v>108</v>
      </c>
      <c r="D33" s="34" t="s">
        <v>109</v>
      </c>
      <c r="E33" s="20" t="s">
        <v>35</v>
      </c>
      <c r="F33" s="21" t="s">
        <v>37</v>
      </c>
      <c r="G33" s="21" t="s">
        <v>38</v>
      </c>
      <c r="H33" s="21">
        <v>15</v>
      </c>
      <c r="I33" s="21">
        <v>421.49</v>
      </c>
      <c r="J33" s="160" t="s">
        <v>151</v>
      </c>
      <c r="K33" s="21">
        <v>6322.35</v>
      </c>
      <c r="L33" s="21" t="s">
        <v>37</v>
      </c>
      <c r="M33" s="22">
        <v>1311</v>
      </c>
      <c r="N33" s="35">
        <v>0</v>
      </c>
      <c r="O33" s="21" t="s">
        <v>37</v>
      </c>
      <c r="P33" s="22">
        <v>1713</v>
      </c>
      <c r="Q33" s="36">
        <v>351.5</v>
      </c>
      <c r="R33" s="35">
        <v>406.32</v>
      </c>
      <c r="S33" s="23">
        <f t="shared" si="4"/>
        <v>189.6705</v>
      </c>
      <c r="T33" s="21" t="s">
        <v>37</v>
      </c>
      <c r="U33" s="22">
        <v>1712</v>
      </c>
      <c r="V33" s="24">
        <f>(R33+S33)</f>
        <v>595.9905</v>
      </c>
      <c r="W33" s="21"/>
      <c r="X33" s="22"/>
      <c r="Y33" s="24"/>
      <c r="Z33" s="24">
        <f t="shared" si="6"/>
        <v>7269.8405000000002</v>
      </c>
      <c r="AA33" s="21" t="s">
        <v>39</v>
      </c>
      <c r="AB33" s="22">
        <v>1431</v>
      </c>
      <c r="AC33" s="24">
        <f>(K33*8.5%)</f>
        <v>537.39975000000004</v>
      </c>
      <c r="AD33" s="21" t="s">
        <v>39</v>
      </c>
      <c r="AE33" s="25" t="s">
        <v>40</v>
      </c>
      <c r="AF33" s="35">
        <v>0</v>
      </c>
      <c r="AG33" s="21" t="s">
        <v>39</v>
      </c>
      <c r="AH33" s="25" t="s">
        <v>41</v>
      </c>
      <c r="AI33" s="23">
        <f t="shared" si="7"/>
        <v>1005.65</v>
      </c>
      <c r="AJ33" s="21" t="s">
        <v>39</v>
      </c>
      <c r="AK33" s="25" t="s">
        <v>42</v>
      </c>
      <c r="AL33" s="23">
        <v>0</v>
      </c>
      <c r="AM33" s="21" t="s">
        <v>39</v>
      </c>
      <c r="AN33" s="25" t="s">
        <v>43</v>
      </c>
      <c r="AO33" s="35">
        <v>0</v>
      </c>
      <c r="AP33" s="21" t="s">
        <v>39</v>
      </c>
      <c r="AQ33" s="25" t="s">
        <v>44</v>
      </c>
      <c r="AR33" s="23">
        <v>0</v>
      </c>
      <c r="AS33" s="24">
        <f>(AC33+AF33+AI33+AL33+AO33+AR33)</f>
        <v>1543.0497500000001</v>
      </c>
      <c r="AT33" s="26">
        <f>(Z33-AS33)</f>
        <v>5726.7907500000001</v>
      </c>
      <c r="AV33" s="28"/>
      <c r="AW33" s="29">
        <f t="shared" si="9"/>
        <v>15</v>
      </c>
      <c r="AX33" s="29">
        <f t="shared" si="10"/>
        <v>7269.8405000000002</v>
      </c>
      <c r="AY33" s="30">
        <f t="shared" si="11"/>
        <v>7269.8405000000002</v>
      </c>
      <c r="AZ33" s="30">
        <f>IFERROR(+LOOKUP(AY33,[1]TARIFAS!$A$4:$B$14,[1]TARIFAS!$A$4:$A$14),0)</f>
        <v>5081.41</v>
      </c>
      <c r="BA33" s="30">
        <f t="shared" si="12"/>
        <v>2188.4305000000004</v>
      </c>
      <c r="BB33" s="30">
        <f>IFERROR(+LOOKUP(AY33,[1]TARIFAS!$A$4:$B$14,[1]TARIFAS!$D$4:$D$14),0)</f>
        <v>21.36</v>
      </c>
      <c r="BC33" s="30">
        <f t="shared" si="13"/>
        <v>467.44875480000007</v>
      </c>
      <c r="BD33" s="30">
        <f>IFERROR(+LOOKUP(AY33,[1]TARIFAS!$A$4:$B$14,[1]TARIFAS!$C$4:$C$14),0)</f>
        <v>538.20000000000005</v>
      </c>
      <c r="BE33" s="30">
        <f t="shared" si="14"/>
        <v>1005.65</v>
      </c>
      <c r="BF33" s="30"/>
      <c r="BG33" s="30"/>
      <c r="BH33" s="30"/>
      <c r="BI33" s="29"/>
    </row>
    <row r="34" spans="1:61" s="48" customFormat="1" ht="21" customHeight="1" thickBot="1" x14ac:dyDescent="0.25">
      <c r="A34" s="41"/>
      <c r="B34" s="42"/>
      <c r="C34" s="43"/>
      <c r="D34" s="43" t="s">
        <v>110</v>
      </c>
      <c r="E34" s="43"/>
      <c r="F34" s="44"/>
      <c r="G34" s="44"/>
      <c r="H34" s="44"/>
      <c r="I34" s="44"/>
      <c r="J34" s="44"/>
      <c r="K34" s="44">
        <f>SUM(K5:K33)</f>
        <v>233978.32600000003</v>
      </c>
      <c r="L34" s="44"/>
      <c r="M34" s="44"/>
      <c r="N34" s="44">
        <f>SUM(N5:N33)</f>
        <v>2523.3749999999995</v>
      </c>
      <c r="O34" s="44"/>
      <c r="P34" s="44"/>
      <c r="Q34" s="44">
        <f>SUM(Q5:Q33)</f>
        <v>10175.923999999999</v>
      </c>
      <c r="R34" s="44">
        <f>SUM(R5:R33)</f>
        <v>13811.907999999999</v>
      </c>
      <c r="S34" s="44">
        <f>SUM(S5:S33)</f>
        <v>7019.3497800000014</v>
      </c>
      <c r="T34" s="44"/>
      <c r="U34" s="44"/>
      <c r="V34" s="44">
        <f>SUM(V5:V33)</f>
        <v>20831.257779999996</v>
      </c>
      <c r="W34" s="44"/>
      <c r="X34" s="45"/>
      <c r="Y34" s="44">
        <f>SUM(Y5:Y32)</f>
        <v>11303.45</v>
      </c>
      <c r="Z34" s="44">
        <f>SUM(Z5:Z33)</f>
        <v>278812.33278</v>
      </c>
      <c r="AA34" s="44"/>
      <c r="AB34" s="45"/>
      <c r="AC34" s="44">
        <f>SUM(AC5:AC33)</f>
        <v>19888.161010000003</v>
      </c>
      <c r="AD34" s="44"/>
      <c r="AE34" s="45"/>
      <c r="AF34" s="46">
        <f>SUM(AF5:AF33)</f>
        <v>25000.85</v>
      </c>
      <c r="AG34" s="44"/>
      <c r="AH34" s="45"/>
      <c r="AI34" s="44">
        <f>SUM(AI5:AI33)</f>
        <v>46702.340000000011</v>
      </c>
      <c r="AJ34" s="44"/>
      <c r="AK34" s="45"/>
      <c r="AL34" s="46">
        <f>SUM(AL5:AL33)</f>
        <v>1077.9234600000002</v>
      </c>
      <c r="AM34" s="44"/>
      <c r="AN34" s="45"/>
      <c r="AO34" s="44">
        <f>SUM(AO5:AO33)</f>
        <v>0</v>
      </c>
      <c r="AP34" s="44"/>
      <c r="AQ34" s="45"/>
      <c r="AR34" s="44">
        <f>SUM(AR5:AR33)</f>
        <v>0</v>
      </c>
      <c r="AS34" s="44">
        <f>SUM(AS5:AS33)</f>
        <v>92669.274469999989</v>
      </c>
      <c r="AT34" s="44">
        <f>SUM(AT5:AT33)</f>
        <v>186143.05831000005</v>
      </c>
      <c r="AU34" s="47"/>
    </row>
    <row r="35" spans="1:61" s="55" customFormat="1" ht="39.75" customHeight="1" x14ac:dyDescent="0.2">
      <c r="A35" s="49"/>
      <c r="B35" s="50"/>
      <c r="C35" s="50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2"/>
      <c r="R35" s="52"/>
      <c r="S35" s="52"/>
      <c r="T35" s="52"/>
      <c r="U35" s="53"/>
      <c r="V35" s="52"/>
      <c r="W35" s="52"/>
      <c r="X35" s="53"/>
      <c r="Y35" s="52"/>
      <c r="Z35" s="52"/>
      <c r="AA35" s="52"/>
      <c r="AB35" s="53"/>
      <c r="AC35" s="52"/>
      <c r="AD35" s="52"/>
      <c r="AE35" s="53"/>
      <c r="AF35" s="54"/>
      <c r="AG35" s="52"/>
      <c r="AH35" s="53"/>
      <c r="AI35" s="52"/>
      <c r="AJ35" s="52"/>
      <c r="AK35" s="53"/>
      <c r="AL35" s="54"/>
      <c r="AM35" s="52"/>
      <c r="AN35" s="53"/>
      <c r="AO35" s="52"/>
      <c r="AP35" s="52"/>
      <c r="AQ35" s="53"/>
      <c r="AR35" s="52"/>
      <c r="AS35" s="52"/>
      <c r="AT35" s="52"/>
      <c r="AU35" s="50"/>
    </row>
    <row r="36" spans="1:61" ht="15.75" x14ac:dyDescent="0.2">
      <c r="A36" s="56"/>
      <c r="B36" s="56"/>
      <c r="C36" s="57"/>
      <c r="D36" s="169" t="s">
        <v>111</v>
      </c>
      <c r="E36" s="169"/>
      <c r="F36" s="169"/>
      <c r="G36" s="169"/>
      <c r="H36" s="169"/>
      <c r="I36" s="169"/>
      <c r="J36" s="169"/>
      <c r="K36" s="169"/>
      <c r="L36" s="58"/>
      <c r="M36" s="58"/>
      <c r="O36" s="58"/>
      <c r="P36" s="59"/>
      <c r="Q36" s="60"/>
      <c r="R36" s="61"/>
      <c r="S36" s="169" t="s">
        <v>112</v>
      </c>
      <c r="T36" s="169"/>
      <c r="U36" s="169"/>
      <c r="V36" s="169"/>
      <c r="W36" s="169"/>
      <c r="X36" s="169"/>
      <c r="Y36" s="169"/>
      <c r="Z36" s="169"/>
      <c r="AA36" s="56"/>
      <c r="AB36" s="56"/>
      <c r="AC36" s="56"/>
      <c r="AD36" s="56"/>
      <c r="AE36" s="56"/>
      <c r="AG36" s="56"/>
      <c r="AH36" s="56"/>
      <c r="AI36" s="56"/>
      <c r="AJ36" s="56"/>
      <c r="AK36" s="56"/>
      <c r="AL36" s="169" t="s">
        <v>113</v>
      </c>
      <c r="AM36" s="169"/>
      <c r="AN36" s="169"/>
      <c r="AO36" s="169"/>
      <c r="AP36" s="169"/>
      <c r="AQ36" s="169"/>
      <c r="AR36" s="169"/>
      <c r="AS36" s="169"/>
      <c r="AT36" s="169"/>
    </row>
    <row r="37" spans="1:61" ht="22.5" customHeight="1" x14ac:dyDescent="0.2">
      <c r="A37" s="56"/>
      <c r="B37" s="56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O37" s="64"/>
      <c r="P37" s="65"/>
      <c r="Q37" s="64"/>
      <c r="R37" s="61"/>
      <c r="S37" s="61"/>
      <c r="T37" s="64"/>
      <c r="U37" s="65"/>
      <c r="W37" s="64"/>
      <c r="X37" s="65"/>
      <c r="Z37" s="61"/>
      <c r="AA37" s="64"/>
      <c r="AB37" s="65"/>
      <c r="AC37" s="56"/>
      <c r="AD37" s="64"/>
      <c r="AE37" s="65"/>
      <c r="AG37" s="64"/>
      <c r="AH37" s="65"/>
      <c r="AI37" s="56"/>
      <c r="AJ37" s="64"/>
      <c r="AK37" s="65"/>
      <c r="AL37" s="66"/>
      <c r="AM37" s="64"/>
      <c r="AN37" s="65"/>
      <c r="AO37" s="56"/>
      <c r="AP37" s="64"/>
      <c r="AQ37" s="65"/>
      <c r="AR37" s="56"/>
      <c r="AT37" s="56"/>
    </row>
    <row r="38" spans="1:61" ht="15.75" x14ac:dyDescent="0.2">
      <c r="A38" s="56"/>
      <c r="B38" s="56"/>
      <c r="C38" s="67"/>
      <c r="D38" s="169" t="s">
        <v>114</v>
      </c>
      <c r="E38" s="169"/>
      <c r="F38" s="169"/>
      <c r="G38" s="169"/>
      <c r="H38" s="169"/>
      <c r="I38" s="169"/>
      <c r="J38" s="169"/>
      <c r="K38" s="169"/>
      <c r="L38" s="58"/>
      <c r="M38" s="58"/>
      <c r="O38" s="58"/>
      <c r="P38" s="59"/>
      <c r="Q38" s="61"/>
      <c r="R38" s="61"/>
      <c r="S38" s="169" t="s">
        <v>115</v>
      </c>
      <c r="T38" s="169"/>
      <c r="U38" s="169"/>
      <c r="V38" s="169"/>
      <c r="W38" s="169"/>
      <c r="X38" s="169"/>
      <c r="Y38" s="169"/>
      <c r="Z38" s="169"/>
      <c r="AA38" s="56"/>
      <c r="AB38" s="56"/>
      <c r="AC38" s="56"/>
      <c r="AD38" s="56"/>
      <c r="AE38" s="56"/>
      <c r="AG38" s="56"/>
      <c r="AH38" s="56"/>
      <c r="AJ38" s="56"/>
      <c r="AK38" s="56"/>
      <c r="AL38" s="169" t="s">
        <v>116</v>
      </c>
      <c r="AM38" s="169"/>
      <c r="AN38" s="169"/>
      <c r="AO38" s="169"/>
      <c r="AP38" s="169"/>
      <c r="AQ38" s="169"/>
      <c r="AR38" s="169"/>
      <c r="AS38" s="169"/>
      <c r="AT38" s="169"/>
      <c r="AU38" s="56"/>
    </row>
    <row r="39" spans="1:61" ht="15.75" x14ac:dyDescent="0.2">
      <c r="A39" s="56"/>
      <c r="B39" s="56"/>
      <c r="C39" s="67"/>
      <c r="D39" s="169" t="s">
        <v>117</v>
      </c>
      <c r="E39" s="169"/>
      <c r="F39" s="169"/>
      <c r="G39" s="169"/>
      <c r="H39" s="169"/>
      <c r="I39" s="169"/>
      <c r="J39" s="169"/>
      <c r="K39" s="169"/>
      <c r="L39" s="58"/>
      <c r="M39" s="58"/>
      <c r="O39" s="58"/>
      <c r="P39" s="59"/>
      <c r="Q39" s="61"/>
      <c r="R39" s="61"/>
      <c r="S39" s="169" t="s">
        <v>118</v>
      </c>
      <c r="T39" s="169"/>
      <c r="U39" s="169"/>
      <c r="V39" s="169"/>
      <c r="W39" s="169"/>
      <c r="X39" s="169"/>
      <c r="Y39" s="169"/>
      <c r="Z39" s="169"/>
      <c r="AA39" s="56"/>
      <c r="AB39" s="56"/>
      <c r="AC39" s="56"/>
      <c r="AD39" s="56"/>
      <c r="AE39" s="56"/>
      <c r="AG39" s="56"/>
      <c r="AH39" s="56"/>
      <c r="AJ39" s="56"/>
      <c r="AK39" s="56"/>
      <c r="AL39" s="169" t="s">
        <v>119</v>
      </c>
      <c r="AM39" s="169"/>
      <c r="AN39" s="169"/>
      <c r="AO39" s="169"/>
      <c r="AP39" s="169"/>
      <c r="AQ39" s="169"/>
      <c r="AR39" s="169"/>
      <c r="AS39" s="169"/>
      <c r="AT39" s="169"/>
      <c r="AU39" s="56"/>
    </row>
    <row r="40" spans="1:61" x14ac:dyDescent="0.2">
      <c r="A40" s="56"/>
      <c r="B40" s="56"/>
      <c r="C40" s="67"/>
      <c r="D40" s="67"/>
      <c r="E40" s="6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68"/>
      <c r="Q40" s="56"/>
      <c r="T40" s="56"/>
      <c r="U40" s="68"/>
      <c r="W40" s="56"/>
      <c r="X40" s="68"/>
      <c r="Z40" s="56"/>
      <c r="AA40" s="56"/>
      <c r="AB40" s="68"/>
      <c r="AC40" s="56"/>
      <c r="AD40" s="56"/>
      <c r="AE40" s="68"/>
      <c r="AF40" s="69"/>
      <c r="AG40" s="56"/>
      <c r="AH40" s="68"/>
      <c r="AJ40" s="56"/>
      <c r="AK40" s="68"/>
      <c r="AM40" s="56"/>
      <c r="AN40" s="68"/>
      <c r="AP40" s="56"/>
      <c r="AQ40" s="68"/>
      <c r="AS40" s="56"/>
      <c r="AT40" s="56"/>
      <c r="AU40" s="56"/>
    </row>
    <row r="41" spans="1:61" x14ac:dyDescent="0.2">
      <c r="C41" s="67"/>
      <c r="D41" s="67"/>
      <c r="E41" s="67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8"/>
      <c r="Q41" s="56"/>
      <c r="R41" s="56"/>
      <c r="S41" s="56"/>
      <c r="T41" s="56"/>
      <c r="U41" s="68"/>
      <c r="V41" s="70"/>
      <c r="W41" s="56"/>
      <c r="X41" s="68"/>
      <c r="Y41" s="70"/>
      <c r="Z41" s="56"/>
      <c r="AA41" s="56"/>
      <c r="AB41" s="68"/>
      <c r="AC41" s="56"/>
      <c r="AD41" s="56"/>
      <c r="AE41" s="68"/>
      <c r="AF41" s="71"/>
      <c r="AG41" s="56"/>
      <c r="AH41" s="68"/>
      <c r="AI41" s="56"/>
      <c r="AJ41" s="56"/>
      <c r="AK41" s="68"/>
      <c r="AL41" s="71"/>
      <c r="AM41" s="56"/>
      <c r="AN41" s="68"/>
      <c r="AO41" s="56"/>
      <c r="AP41" s="56"/>
      <c r="AQ41" s="68"/>
      <c r="AR41" s="56"/>
      <c r="AS41" s="56"/>
    </row>
    <row r="42" spans="1:61" x14ac:dyDescent="0.2">
      <c r="C42" s="67"/>
      <c r="D42" s="67"/>
      <c r="E42" s="67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68"/>
      <c r="Q42" s="56"/>
      <c r="R42" s="56"/>
      <c r="S42" s="56"/>
      <c r="T42" s="56"/>
      <c r="U42" s="68"/>
      <c r="V42" s="70"/>
      <c r="W42" s="56"/>
      <c r="X42" s="68"/>
      <c r="Y42" s="70"/>
      <c r="Z42" s="56"/>
      <c r="AA42" s="56"/>
      <c r="AB42" s="68"/>
      <c r="AC42" s="56"/>
      <c r="AD42" s="56"/>
      <c r="AE42" s="68"/>
      <c r="AF42" s="71"/>
      <c r="AG42" s="56"/>
      <c r="AH42" s="68"/>
      <c r="AI42" s="56"/>
      <c r="AJ42" s="56"/>
      <c r="AK42" s="68"/>
      <c r="AL42" s="71"/>
      <c r="AM42" s="56"/>
      <c r="AN42" s="68"/>
      <c r="AO42" s="56"/>
      <c r="AP42" s="56"/>
      <c r="AQ42" s="68"/>
      <c r="AR42" s="56"/>
      <c r="AS42" s="56"/>
    </row>
    <row r="43" spans="1:61" x14ac:dyDescent="0.2">
      <c r="C43" s="67"/>
      <c r="D43" s="67"/>
      <c r="E43" s="6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8"/>
      <c r="Q43" s="56"/>
      <c r="R43" s="56"/>
      <c r="S43" s="56"/>
      <c r="T43" s="56"/>
      <c r="U43" s="68"/>
      <c r="V43" s="70"/>
      <c r="W43" s="56"/>
      <c r="X43" s="68"/>
      <c r="Y43" s="70"/>
      <c r="Z43" s="56"/>
      <c r="AA43" s="56"/>
      <c r="AB43" s="68"/>
      <c r="AC43" s="56"/>
      <c r="AD43" s="56"/>
      <c r="AE43" s="68"/>
      <c r="AF43" s="71"/>
      <c r="AG43" s="56"/>
      <c r="AH43" s="68"/>
      <c r="AI43" s="56"/>
      <c r="AJ43" s="56"/>
      <c r="AK43" s="68"/>
      <c r="AL43" s="71"/>
      <c r="AM43" s="56"/>
      <c r="AN43" s="68"/>
      <c r="AO43" s="56"/>
      <c r="AP43" s="56"/>
      <c r="AQ43" s="68"/>
      <c r="AR43" s="56"/>
      <c r="AS43" s="56"/>
      <c r="AT43" s="56"/>
    </row>
    <row r="44" spans="1:61" x14ac:dyDescent="0.2">
      <c r="C44" s="67"/>
      <c r="D44" s="67"/>
      <c r="E44" s="6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8"/>
      <c r="Q44" s="56"/>
      <c r="R44" s="56"/>
      <c r="S44" s="56"/>
      <c r="T44" s="56"/>
      <c r="U44" s="68"/>
      <c r="V44" s="70"/>
      <c r="W44" s="56"/>
      <c r="X44" s="68"/>
      <c r="Y44" s="70"/>
      <c r="Z44" s="56"/>
      <c r="AA44" s="56"/>
      <c r="AB44" s="68"/>
      <c r="AC44" s="56"/>
      <c r="AD44" s="56"/>
      <c r="AE44" s="68"/>
      <c r="AF44" s="71"/>
      <c r="AG44" s="56"/>
      <c r="AH44" s="68"/>
      <c r="AI44" s="56"/>
      <c r="AJ44" s="56"/>
      <c r="AK44" s="68"/>
      <c r="AL44" s="71"/>
      <c r="AM44" s="56"/>
      <c r="AN44" s="68"/>
      <c r="AO44" s="56"/>
      <c r="AP44" s="56"/>
      <c r="AQ44" s="68"/>
      <c r="AR44" s="56"/>
      <c r="AS44" s="56"/>
      <c r="AT44" s="56"/>
    </row>
    <row r="45" spans="1:61" x14ac:dyDescent="0.2">
      <c r="C45" s="67"/>
      <c r="D45" s="67"/>
      <c r="E45" s="67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68"/>
      <c r="Q45" s="56"/>
      <c r="R45" s="56"/>
      <c r="S45" s="56"/>
      <c r="T45" s="56"/>
      <c r="U45" s="68"/>
      <c r="V45" s="70"/>
      <c r="W45" s="56"/>
      <c r="X45" s="68"/>
      <c r="Y45" s="70"/>
      <c r="Z45" s="56"/>
      <c r="AA45" s="56"/>
      <c r="AB45" s="68"/>
      <c r="AC45" s="56"/>
      <c r="AD45" s="56"/>
      <c r="AE45" s="68"/>
      <c r="AF45" s="71"/>
      <c r="AG45" s="56"/>
      <c r="AH45" s="68"/>
      <c r="AI45" s="56"/>
      <c r="AJ45" s="56"/>
      <c r="AK45" s="68"/>
      <c r="AL45" s="71"/>
      <c r="AM45" s="56"/>
      <c r="AN45" s="68"/>
      <c r="AO45" s="56"/>
      <c r="AP45" s="56"/>
      <c r="AQ45" s="68"/>
      <c r="AR45" s="56"/>
      <c r="AS45" s="56"/>
      <c r="AT45" s="56"/>
    </row>
    <row r="46" spans="1:61" x14ac:dyDescent="0.2">
      <c r="C46" s="67"/>
      <c r="D46" s="67"/>
      <c r="E46" s="67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68"/>
      <c r="Q46" s="56"/>
      <c r="R46" s="56"/>
      <c r="S46" s="56"/>
      <c r="T46" s="56"/>
      <c r="U46" s="68"/>
      <c r="V46" s="70"/>
      <c r="W46" s="56"/>
      <c r="X46" s="68"/>
      <c r="Y46" s="70"/>
      <c r="Z46" s="56"/>
      <c r="AA46" s="56"/>
      <c r="AB46" s="68"/>
      <c r="AC46" s="56"/>
      <c r="AD46" s="56"/>
      <c r="AE46" s="68"/>
      <c r="AF46" s="71"/>
      <c r="AG46" s="56"/>
      <c r="AH46" s="68"/>
      <c r="AI46" s="56"/>
      <c r="AJ46" s="56"/>
      <c r="AK46" s="68"/>
      <c r="AL46" s="71"/>
      <c r="AM46" s="56"/>
      <c r="AN46" s="68"/>
      <c r="AO46" s="56"/>
      <c r="AP46" s="56"/>
      <c r="AQ46" s="68"/>
      <c r="AR46" s="56"/>
      <c r="AS46" s="56"/>
      <c r="AT46" s="56"/>
    </row>
    <row r="47" spans="1:61" x14ac:dyDescent="0.2">
      <c r="C47" s="67"/>
      <c r="D47" s="67"/>
      <c r="E47" s="67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68"/>
      <c r="Q47" s="56"/>
      <c r="R47" s="56"/>
      <c r="S47" s="56"/>
      <c r="T47" s="56"/>
      <c r="U47" s="68"/>
      <c r="V47" s="70"/>
      <c r="W47" s="56"/>
      <c r="X47" s="68"/>
      <c r="Y47" s="70"/>
      <c r="Z47" s="56"/>
      <c r="AA47" s="56"/>
      <c r="AB47" s="68"/>
      <c r="AC47" s="56"/>
      <c r="AD47" s="56"/>
      <c r="AE47" s="68"/>
      <c r="AF47" s="71"/>
      <c r="AG47" s="56"/>
      <c r="AH47" s="68"/>
      <c r="AI47" s="56"/>
      <c r="AJ47" s="56"/>
      <c r="AK47" s="68"/>
      <c r="AL47" s="71"/>
      <c r="AM47" s="56"/>
      <c r="AN47" s="68"/>
      <c r="AO47" s="56"/>
      <c r="AP47" s="56"/>
      <c r="AQ47" s="68"/>
      <c r="AR47" s="56"/>
      <c r="AS47" s="56"/>
    </row>
    <row r="48" spans="1:61" x14ac:dyDescent="0.2">
      <c r="C48" s="67"/>
      <c r="D48" s="67"/>
      <c r="E48" s="6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8"/>
      <c r="Q48" s="56"/>
      <c r="R48" s="56"/>
      <c r="S48" s="56"/>
      <c r="T48" s="56"/>
      <c r="U48" s="68"/>
      <c r="V48" s="70"/>
      <c r="W48" s="56"/>
      <c r="X48" s="68"/>
      <c r="Y48" s="70"/>
      <c r="Z48" s="56"/>
      <c r="AA48" s="56"/>
      <c r="AB48" s="68"/>
      <c r="AC48" s="56"/>
      <c r="AD48" s="56"/>
      <c r="AE48" s="68"/>
      <c r="AF48" s="71"/>
      <c r="AG48" s="56"/>
      <c r="AH48" s="68"/>
      <c r="AI48" s="56"/>
      <c r="AJ48" s="56"/>
      <c r="AK48" s="68"/>
      <c r="AL48" s="71"/>
      <c r="AM48" s="56"/>
      <c r="AN48" s="68"/>
      <c r="AO48" s="56"/>
      <c r="AP48" s="56"/>
      <c r="AQ48" s="68"/>
      <c r="AR48" s="56"/>
      <c r="AS48" s="56"/>
    </row>
    <row r="49" spans="3:45" x14ac:dyDescent="0.2">
      <c r="C49" s="67"/>
      <c r="D49" s="67"/>
      <c r="E49" s="67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8"/>
      <c r="Q49" s="56"/>
      <c r="R49" s="56"/>
      <c r="S49" s="56"/>
      <c r="T49" s="56"/>
      <c r="U49" s="68"/>
      <c r="V49" s="70"/>
      <c r="W49" s="56"/>
      <c r="X49" s="68"/>
      <c r="Y49" s="70"/>
      <c r="Z49" s="56"/>
      <c r="AA49" s="56"/>
      <c r="AB49" s="68"/>
      <c r="AC49" s="56"/>
      <c r="AD49" s="56"/>
      <c r="AE49" s="68"/>
      <c r="AF49" s="71"/>
      <c r="AG49" s="56"/>
      <c r="AH49" s="68"/>
      <c r="AI49" s="56"/>
      <c r="AJ49" s="56"/>
      <c r="AK49" s="68"/>
      <c r="AL49" s="71"/>
      <c r="AM49" s="56"/>
      <c r="AN49" s="68"/>
      <c r="AO49" s="56"/>
      <c r="AP49" s="56"/>
      <c r="AQ49" s="68"/>
      <c r="AR49" s="56"/>
      <c r="AS49" s="56"/>
    </row>
    <row r="50" spans="3:45" x14ac:dyDescent="0.2">
      <c r="C50" s="67"/>
      <c r="D50" s="67"/>
      <c r="E50" s="67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8"/>
      <c r="Q50" s="56"/>
      <c r="R50" s="56"/>
      <c r="S50" s="56"/>
      <c r="T50" s="56"/>
      <c r="U50" s="68"/>
      <c r="V50" s="70"/>
      <c r="W50" s="56"/>
      <c r="X50" s="68"/>
      <c r="Y50" s="70"/>
      <c r="Z50" s="56"/>
      <c r="AA50" s="56"/>
      <c r="AB50" s="68"/>
      <c r="AC50" s="56"/>
      <c r="AD50" s="56"/>
      <c r="AE50" s="68"/>
      <c r="AF50" s="71"/>
      <c r="AG50" s="56"/>
      <c r="AH50" s="68"/>
      <c r="AI50" s="56"/>
      <c r="AJ50" s="56"/>
      <c r="AK50" s="68"/>
      <c r="AL50" s="71"/>
      <c r="AM50" s="56"/>
      <c r="AN50" s="68"/>
      <c r="AO50" s="56"/>
      <c r="AP50" s="56"/>
      <c r="AQ50" s="68"/>
      <c r="AR50" s="56"/>
      <c r="AS50" s="56"/>
    </row>
    <row r="51" spans="3:45" x14ac:dyDescent="0.2">
      <c r="C51" s="67"/>
      <c r="D51" s="67"/>
      <c r="E51" s="6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8"/>
      <c r="Q51" s="56"/>
      <c r="R51" s="56"/>
      <c r="S51" s="56"/>
      <c r="T51" s="56"/>
      <c r="U51" s="68"/>
      <c r="V51" s="70"/>
      <c r="W51" s="56"/>
      <c r="X51" s="68"/>
      <c r="Y51" s="70"/>
      <c r="Z51" s="56"/>
      <c r="AA51" s="56"/>
      <c r="AB51" s="68"/>
      <c r="AC51" s="56"/>
      <c r="AD51" s="56"/>
      <c r="AE51" s="68"/>
      <c r="AF51" s="71"/>
      <c r="AG51" s="56"/>
      <c r="AH51" s="68"/>
      <c r="AI51" s="56"/>
      <c r="AJ51" s="56"/>
      <c r="AK51" s="68"/>
      <c r="AL51" s="71"/>
      <c r="AM51" s="56"/>
      <c r="AN51" s="68"/>
      <c r="AO51" s="56"/>
      <c r="AP51" s="56"/>
      <c r="AQ51" s="68"/>
      <c r="AR51" s="56"/>
      <c r="AS51" s="56"/>
    </row>
    <row r="52" spans="3:45" x14ac:dyDescent="0.2">
      <c r="C52" s="67"/>
      <c r="D52" s="67"/>
      <c r="E52" s="6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68"/>
      <c r="Q52" s="56"/>
      <c r="R52" s="56"/>
      <c r="S52" s="56"/>
      <c r="T52" s="56"/>
      <c r="U52" s="68"/>
      <c r="V52" s="70"/>
      <c r="W52" s="56"/>
      <c r="X52" s="68"/>
      <c r="Y52" s="70"/>
      <c r="Z52" s="56"/>
      <c r="AA52" s="56"/>
      <c r="AB52" s="68"/>
      <c r="AC52" s="56"/>
      <c r="AD52" s="56"/>
      <c r="AE52" s="68"/>
      <c r="AF52" s="71"/>
      <c r="AG52" s="56"/>
      <c r="AH52" s="68"/>
      <c r="AI52" s="56"/>
      <c r="AJ52" s="56"/>
      <c r="AK52" s="68"/>
      <c r="AL52" s="71"/>
      <c r="AM52" s="56"/>
      <c r="AN52" s="68"/>
      <c r="AO52" s="56"/>
      <c r="AP52" s="56"/>
      <c r="AQ52" s="68"/>
      <c r="AR52" s="56"/>
      <c r="AS52" s="56"/>
    </row>
    <row r="53" spans="3:45" x14ac:dyDescent="0.2">
      <c r="C53" s="67"/>
      <c r="D53" s="67"/>
      <c r="E53" s="6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68"/>
      <c r="Q53" s="56"/>
      <c r="R53" s="56"/>
      <c r="S53" s="56"/>
      <c r="T53" s="56"/>
      <c r="U53" s="68"/>
      <c r="V53" s="70"/>
      <c r="W53" s="56"/>
      <c r="X53" s="68"/>
      <c r="Y53" s="70"/>
      <c r="Z53" s="56"/>
      <c r="AA53" s="56"/>
      <c r="AB53" s="68"/>
      <c r="AC53" s="56"/>
      <c r="AD53" s="56"/>
      <c r="AE53" s="68"/>
      <c r="AF53" s="71"/>
      <c r="AG53" s="56"/>
      <c r="AH53" s="68"/>
      <c r="AI53" s="56"/>
      <c r="AJ53" s="56"/>
      <c r="AK53" s="68"/>
      <c r="AL53" s="71"/>
      <c r="AM53" s="56"/>
      <c r="AN53" s="68"/>
      <c r="AO53" s="56"/>
      <c r="AP53" s="56"/>
      <c r="AQ53" s="68"/>
      <c r="AR53" s="56"/>
      <c r="AS53" s="56"/>
    </row>
    <row r="54" spans="3:45" x14ac:dyDescent="0.2">
      <c r="C54" s="67"/>
      <c r="D54" s="67"/>
      <c r="E54" s="6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68"/>
      <c r="Q54" s="56"/>
      <c r="R54" s="56"/>
      <c r="S54" s="56"/>
      <c r="T54" s="56"/>
      <c r="U54" s="68"/>
      <c r="V54" s="70"/>
      <c r="W54" s="56"/>
      <c r="X54" s="68"/>
      <c r="Y54" s="70"/>
      <c r="Z54" s="56"/>
      <c r="AA54" s="56"/>
      <c r="AB54" s="68"/>
      <c r="AC54" s="56"/>
      <c r="AD54" s="56"/>
      <c r="AE54" s="68"/>
      <c r="AF54" s="71"/>
      <c r="AG54" s="56"/>
      <c r="AH54" s="68"/>
      <c r="AI54" s="56"/>
      <c r="AJ54" s="56"/>
      <c r="AK54" s="68"/>
      <c r="AL54" s="71"/>
      <c r="AM54" s="56"/>
      <c r="AN54" s="68"/>
      <c r="AO54" s="56"/>
      <c r="AP54" s="56"/>
      <c r="AQ54" s="68"/>
      <c r="AR54" s="56"/>
      <c r="AS54" s="56"/>
    </row>
    <row r="55" spans="3:45" x14ac:dyDescent="0.2">
      <c r="C55" s="67"/>
      <c r="D55" s="67"/>
      <c r="E55" s="6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68"/>
      <c r="Q55" s="56"/>
      <c r="R55" s="56"/>
      <c r="S55" s="56"/>
      <c r="T55" s="56"/>
      <c r="U55" s="68"/>
      <c r="V55" s="70"/>
      <c r="W55" s="56"/>
      <c r="X55" s="68"/>
      <c r="Y55" s="70"/>
      <c r="Z55" s="56"/>
      <c r="AA55" s="56"/>
      <c r="AB55" s="68"/>
      <c r="AC55" s="56"/>
      <c r="AD55" s="56"/>
      <c r="AE55" s="68"/>
      <c r="AF55" s="71"/>
      <c r="AG55" s="56"/>
      <c r="AH55" s="68"/>
      <c r="AI55" s="56"/>
      <c r="AJ55" s="56"/>
      <c r="AK55" s="68"/>
      <c r="AL55" s="71"/>
      <c r="AM55" s="56"/>
      <c r="AN55" s="68"/>
      <c r="AO55" s="56"/>
      <c r="AP55" s="56"/>
      <c r="AQ55" s="68"/>
      <c r="AR55" s="56"/>
      <c r="AS55" s="56"/>
    </row>
    <row r="56" spans="3:45" x14ac:dyDescent="0.2">
      <c r="C56" s="57"/>
      <c r="D56" s="72"/>
      <c r="E56" s="72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68"/>
      <c r="Q56" s="56"/>
      <c r="R56" s="56"/>
      <c r="S56" s="56"/>
      <c r="T56" s="56"/>
      <c r="U56" s="68"/>
      <c r="V56" s="70"/>
      <c r="W56" s="56"/>
      <c r="X56" s="68"/>
      <c r="Y56" s="70"/>
      <c r="Z56" s="56"/>
      <c r="AA56" s="56"/>
      <c r="AB56" s="68"/>
      <c r="AC56" s="56"/>
      <c r="AD56" s="56"/>
      <c r="AE56" s="68"/>
      <c r="AF56" s="71"/>
      <c r="AG56" s="56"/>
      <c r="AH56" s="68"/>
      <c r="AI56" s="56"/>
      <c r="AJ56" s="56"/>
      <c r="AK56" s="68"/>
      <c r="AL56" s="71"/>
      <c r="AM56" s="56"/>
      <c r="AN56" s="68"/>
      <c r="AO56" s="56"/>
      <c r="AP56" s="56"/>
      <c r="AQ56" s="68"/>
      <c r="AR56" s="56"/>
      <c r="AS56" s="56"/>
    </row>
    <row r="57" spans="3:45" x14ac:dyDescent="0.2">
      <c r="C57" s="57"/>
      <c r="D57" s="72"/>
      <c r="E57" s="72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68"/>
      <c r="Q57" s="56"/>
      <c r="R57" s="56"/>
      <c r="S57" s="56"/>
      <c r="T57" s="56"/>
      <c r="U57" s="68"/>
      <c r="V57" s="70"/>
      <c r="W57" s="56"/>
      <c r="X57" s="68"/>
      <c r="Y57" s="70"/>
      <c r="Z57" s="56"/>
      <c r="AA57" s="56"/>
      <c r="AB57" s="68"/>
      <c r="AC57" s="56"/>
      <c r="AD57" s="56"/>
      <c r="AE57" s="68"/>
      <c r="AF57" s="71"/>
      <c r="AG57" s="56"/>
      <c r="AH57" s="68"/>
      <c r="AI57" s="56"/>
      <c r="AJ57" s="56"/>
      <c r="AK57" s="68"/>
      <c r="AL57" s="71"/>
      <c r="AM57" s="56"/>
      <c r="AN57" s="68"/>
      <c r="AO57" s="56"/>
      <c r="AP57" s="56"/>
      <c r="AQ57" s="68"/>
      <c r="AR57" s="56"/>
      <c r="AS57" s="56"/>
    </row>
    <row r="58" spans="3:45" x14ac:dyDescent="0.2">
      <c r="C58" s="57"/>
      <c r="D58" s="72"/>
      <c r="E58" s="72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8"/>
      <c r="Q58" s="56"/>
      <c r="R58" s="56"/>
      <c r="S58" s="56"/>
      <c r="T58" s="56"/>
      <c r="U58" s="68"/>
      <c r="V58" s="70"/>
      <c r="W58" s="56"/>
      <c r="X58" s="68"/>
      <c r="Y58" s="70"/>
      <c r="Z58" s="56"/>
      <c r="AA58" s="56"/>
      <c r="AB58" s="68"/>
      <c r="AC58" s="56"/>
      <c r="AD58" s="56"/>
      <c r="AE58" s="68"/>
      <c r="AF58" s="71"/>
      <c r="AG58" s="56"/>
      <c r="AH58" s="68"/>
      <c r="AI58" s="56"/>
      <c r="AJ58" s="56"/>
      <c r="AK58" s="68"/>
      <c r="AL58" s="71"/>
      <c r="AM58" s="56"/>
      <c r="AN58" s="68"/>
      <c r="AO58" s="56"/>
      <c r="AP58" s="56"/>
      <c r="AQ58" s="68"/>
      <c r="AR58" s="56"/>
      <c r="AS58" s="56"/>
    </row>
    <row r="59" spans="3:45" x14ac:dyDescent="0.2">
      <c r="C59" s="57"/>
      <c r="D59" s="72"/>
      <c r="E59" s="72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68"/>
      <c r="Q59" s="56"/>
      <c r="R59" s="56"/>
      <c r="S59" s="56"/>
      <c r="T59" s="56"/>
      <c r="U59" s="68"/>
      <c r="V59" s="70"/>
      <c r="W59" s="56"/>
      <c r="X59" s="68"/>
      <c r="Y59" s="70"/>
      <c r="Z59" s="56"/>
      <c r="AA59" s="56"/>
      <c r="AB59" s="68"/>
      <c r="AC59" s="56"/>
      <c r="AD59" s="56"/>
      <c r="AE59" s="68"/>
      <c r="AF59" s="71"/>
      <c r="AG59" s="56"/>
      <c r="AH59" s="68"/>
      <c r="AI59" s="56"/>
      <c r="AJ59" s="56"/>
      <c r="AK59" s="68"/>
      <c r="AL59" s="71"/>
      <c r="AM59" s="56"/>
      <c r="AN59" s="68"/>
      <c r="AO59" s="56"/>
      <c r="AP59" s="56"/>
      <c r="AQ59" s="68"/>
      <c r="AR59" s="56"/>
      <c r="AS59" s="56"/>
    </row>
    <row r="60" spans="3:45" x14ac:dyDescent="0.2">
      <c r="C60" s="67"/>
      <c r="D60" s="67"/>
      <c r="E60" s="67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68"/>
      <c r="Q60" s="56"/>
      <c r="R60" s="56"/>
      <c r="S60" s="56"/>
      <c r="T60" s="56"/>
      <c r="U60" s="68"/>
      <c r="V60" s="70"/>
      <c r="W60" s="56"/>
      <c r="X60" s="68"/>
      <c r="Y60" s="70"/>
      <c r="Z60" s="56"/>
      <c r="AA60" s="56"/>
      <c r="AB60" s="68"/>
      <c r="AD60" s="56"/>
      <c r="AE60" s="68"/>
      <c r="AG60" s="56"/>
      <c r="AH60" s="68"/>
      <c r="AJ60" s="56"/>
      <c r="AK60" s="68"/>
      <c r="AM60" s="56"/>
      <c r="AN60" s="68"/>
      <c r="AP60" s="56"/>
      <c r="AQ60" s="68"/>
    </row>
    <row r="61" spans="3:45" x14ac:dyDescent="0.2">
      <c r="C61" s="67"/>
      <c r="D61" s="67"/>
      <c r="E61" s="67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68"/>
      <c r="Q61" s="56"/>
      <c r="R61" s="56"/>
      <c r="S61" s="56"/>
      <c r="T61" s="56"/>
      <c r="U61" s="68"/>
      <c r="V61" s="70"/>
      <c r="W61" s="56"/>
      <c r="X61" s="68"/>
      <c r="Y61" s="70"/>
      <c r="Z61" s="56"/>
      <c r="AA61" s="56"/>
      <c r="AB61" s="68"/>
      <c r="AD61" s="56"/>
      <c r="AE61" s="68"/>
      <c r="AG61" s="56"/>
      <c r="AH61" s="68"/>
      <c r="AJ61" s="56"/>
      <c r="AK61" s="68"/>
      <c r="AM61" s="56"/>
      <c r="AN61" s="68"/>
      <c r="AP61" s="56"/>
      <c r="AQ61" s="68"/>
    </row>
    <row r="62" spans="3:45" x14ac:dyDescent="0.2">
      <c r="C62" s="67"/>
      <c r="D62" s="67"/>
      <c r="E62" s="6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68"/>
      <c r="Q62" s="56"/>
      <c r="R62" s="56"/>
      <c r="S62" s="56"/>
      <c r="T62" s="56"/>
      <c r="U62" s="68"/>
      <c r="V62" s="70"/>
      <c r="W62" s="56"/>
      <c r="X62" s="68"/>
      <c r="Y62" s="70"/>
      <c r="Z62" s="56"/>
      <c r="AA62" s="56"/>
      <c r="AB62" s="68"/>
      <c r="AD62" s="56"/>
      <c r="AE62" s="68"/>
      <c r="AG62" s="56"/>
      <c r="AH62" s="68"/>
      <c r="AJ62" s="56"/>
      <c r="AK62" s="68"/>
      <c r="AM62" s="56"/>
      <c r="AN62" s="68"/>
      <c r="AP62" s="56"/>
      <c r="AQ62" s="68"/>
    </row>
    <row r="63" spans="3:45" x14ac:dyDescent="0.2">
      <c r="C63" s="67"/>
      <c r="D63" s="67"/>
      <c r="E63" s="67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8"/>
      <c r="Q63" s="56"/>
      <c r="R63" s="56"/>
      <c r="S63" s="56"/>
      <c r="T63" s="56"/>
      <c r="U63" s="68"/>
      <c r="V63" s="70"/>
      <c r="W63" s="56"/>
      <c r="X63" s="68"/>
      <c r="Y63" s="70"/>
      <c r="Z63" s="56"/>
      <c r="AA63" s="56"/>
      <c r="AB63" s="68"/>
      <c r="AD63" s="56"/>
      <c r="AE63" s="68"/>
      <c r="AG63" s="56"/>
      <c r="AH63" s="68"/>
      <c r="AJ63" s="56"/>
      <c r="AK63" s="68"/>
      <c r="AM63" s="56"/>
      <c r="AN63" s="68"/>
      <c r="AP63" s="56"/>
      <c r="AQ63" s="68"/>
    </row>
    <row r="64" spans="3:45" x14ac:dyDescent="0.2">
      <c r="C64" s="67"/>
      <c r="D64" s="67"/>
      <c r="E64" s="67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68"/>
      <c r="Q64" s="56"/>
      <c r="R64" s="56"/>
      <c r="S64" s="56"/>
      <c r="T64" s="56"/>
      <c r="U64" s="68"/>
      <c r="V64" s="70"/>
      <c r="W64" s="56"/>
      <c r="X64" s="68"/>
      <c r="Y64" s="70"/>
      <c r="Z64" s="56"/>
      <c r="AA64" s="56"/>
      <c r="AB64" s="68"/>
      <c r="AD64" s="56"/>
      <c r="AE64" s="68"/>
      <c r="AG64" s="56"/>
      <c r="AH64" s="68"/>
      <c r="AJ64" s="56"/>
      <c r="AK64" s="68"/>
      <c r="AM64" s="56"/>
      <c r="AN64" s="68"/>
      <c r="AP64" s="56"/>
      <c r="AQ64" s="68"/>
    </row>
    <row r="65" spans="3:46" x14ac:dyDescent="0.2">
      <c r="C65" s="67"/>
      <c r="D65" s="67"/>
      <c r="E65" s="67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68"/>
      <c r="Q65" s="56"/>
      <c r="R65" s="56"/>
      <c r="S65" s="56"/>
      <c r="T65" s="56"/>
      <c r="U65" s="68"/>
      <c r="V65" s="70"/>
      <c r="W65" s="56"/>
      <c r="X65" s="68"/>
      <c r="Y65" s="70"/>
      <c r="Z65" s="56"/>
      <c r="AA65" s="56"/>
      <c r="AB65" s="68"/>
      <c r="AD65" s="56"/>
      <c r="AE65" s="68"/>
      <c r="AG65" s="56"/>
      <c r="AH65" s="68"/>
      <c r="AJ65" s="56"/>
      <c r="AK65" s="68"/>
      <c r="AM65" s="56"/>
      <c r="AN65" s="68"/>
      <c r="AP65" s="56"/>
      <c r="AQ65" s="68"/>
    </row>
    <row r="66" spans="3:46" ht="13.5" x14ac:dyDescent="0.2">
      <c r="C66" s="63"/>
      <c r="D66" s="63"/>
      <c r="E66" s="63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68"/>
      <c r="Q66" s="70"/>
      <c r="R66" s="56"/>
      <c r="S66" s="70"/>
      <c r="T66" s="56"/>
      <c r="U66" s="68"/>
      <c r="V66" s="70"/>
      <c r="W66" s="56"/>
      <c r="X66" s="68"/>
      <c r="Y66" s="70"/>
      <c r="Z66" s="56"/>
      <c r="AA66" s="56"/>
      <c r="AB66" s="68"/>
      <c r="AC66" s="56"/>
      <c r="AD66" s="56"/>
      <c r="AE66" s="68"/>
      <c r="AF66" s="71"/>
      <c r="AG66" s="56"/>
      <c r="AH66" s="68"/>
      <c r="AI66" s="56"/>
      <c r="AJ66" s="56"/>
      <c r="AK66" s="68"/>
      <c r="AL66" s="71"/>
      <c r="AM66" s="56"/>
      <c r="AN66" s="68"/>
      <c r="AO66" s="56"/>
      <c r="AP66" s="56"/>
      <c r="AQ66" s="68"/>
      <c r="AR66" s="56"/>
      <c r="AS66" s="56"/>
    </row>
    <row r="67" spans="3:46" x14ac:dyDescent="0.2">
      <c r="C67" s="67"/>
      <c r="D67" s="67"/>
      <c r="E67" s="6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68"/>
      <c r="Q67" s="56"/>
      <c r="R67" s="56"/>
      <c r="S67" s="56"/>
      <c r="T67" s="56"/>
      <c r="U67" s="68"/>
      <c r="V67" s="56"/>
      <c r="W67" s="56"/>
      <c r="X67" s="68"/>
      <c r="Y67" s="56"/>
      <c r="Z67" s="56"/>
      <c r="AA67" s="56"/>
      <c r="AB67" s="68"/>
      <c r="AC67" s="56"/>
      <c r="AD67" s="56"/>
      <c r="AE67" s="68"/>
      <c r="AF67" s="71"/>
      <c r="AG67" s="56"/>
      <c r="AH67" s="68"/>
      <c r="AI67" s="56"/>
      <c r="AJ67" s="56"/>
      <c r="AK67" s="68"/>
      <c r="AL67" s="71"/>
      <c r="AM67" s="56"/>
      <c r="AN67" s="68"/>
      <c r="AO67" s="56"/>
      <c r="AP67" s="56"/>
      <c r="AQ67" s="68"/>
      <c r="AR67" s="56"/>
      <c r="AS67" s="56"/>
    </row>
    <row r="68" spans="3:46" x14ac:dyDescent="0.2">
      <c r="C68" s="57"/>
      <c r="D68" s="67"/>
      <c r="E68" s="67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8"/>
      <c r="Q68" s="56"/>
      <c r="R68" s="56"/>
      <c r="S68" s="56"/>
      <c r="T68" s="56"/>
      <c r="U68" s="68"/>
      <c r="V68" s="56"/>
      <c r="W68" s="56"/>
      <c r="X68" s="68"/>
      <c r="Y68" s="56"/>
      <c r="Z68" s="56"/>
      <c r="AA68" s="56"/>
      <c r="AB68" s="68"/>
      <c r="AC68" s="56"/>
      <c r="AD68" s="56"/>
      <c r="AE68" s="68"/>
      <c r="AF68" s="71"/>
      <c r="AG68" s="56"/>
      <c r="AH68" s="68"/>
      <c r="AI68" s="56"/>
      <c r="AJ68" s="56"/>
      <c r="AK68" s="68"/>
      <c r="AL68" s="71"/>
      <c r="AM68" s="56"/>
      <c r="AN68" s="68"/>
      <c r="AO68" s="56"/>
      <c r="AP68" s="56"/>
      <c r="AQ68" s="68"/>
      <c r="AR68" s="56"/>
      <c r="AS68" s="56"/>
    </row>
    <row r="69" spans="3:46" x14ac:dyDescent="0.2">
      <c r="C69" s="67"/>
      <c r="D69" s="67"/>
      <c r="E69" s="6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68"/>
      <c r="Q69" s="56"/>
      <c r="R69" s="56"/>
      <c r="S69" s="56"/>
      <c r="T69" s="56"/>
      <c r="U69" s="68"/>
      <c r="V69" s="56"/>
      <c r="W69" s="56"/>
      <c r="X69" s="68"/>
      <c r="Y69" s="56"/>
      <c r="Z69" s="56"/>
      <c r="AA69" s="56"/>
      <c r="AB69" s="68"/>
      <c r="AC69" s="56"/>
      <c r="AD69" s="56"/>
      <c r="AE69" s="68"/>
      <c r="AF69" s="71"/>
      <c r="AG69" s="56"/>
      <c r="AH69" s="68"/>
      <c r="AI69" s="56"/>
      <c r="AJ69" s="56"/>
      <c r="AK69" s="68"/>
      <c r="AL69" s="71"/>
      <c r="AM69" s="56"/>
      <c r="AN69" s="68"/>
      <c r="AO69" s="56"/>
      <c r="AP69" s="56"/>
      <c r="AQ69" s="68"/>
      <c r="AR69" s="56"/>
      <c r="AS69" s="56"/>
    </row>
    <row r="70" spans="3:46" x14ac:dyDescent="0.2">
      <c r="C70" s="67"/>
      <c r="D70" s="67"/>
      <c r="E70" s="67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68"/>
      <c r="Q70" s="56"/>
      <c r="R70" s="56"/>
      <c r="S70" s="56"/>
      <c r="T70" s="56"/>
      <c r="U70" s="68"/>
      <c r="V70" s="56"/>
      <c r="W70" s="56"/>
      <c r="X70" s="68"/>
      <c r="Y70" s="56"/>
      <c r="Z70" s="56"/>
      <c r="AA70" s="56"/>
      <c r="AB70" s="68"/>
      <c r="AC70" s="56"/>
      <c r="AD70" s="56"/>
      <c r="AE70" s="68"/>
      <c r="AF70" s="71"/>
      <c r="AG70" s="56"/>
      <c r="AH70" s="68"/>
      <c r="AI70" s="56"/>
      <c r="AJ70" s="56"/>
      <c r="AK70" s="68"/>
      <c r="AL70" s="71"/>
      <c r="AM70" s="56"/>
      <c r="AN70" s="68"/>
      <c r="AO70" s="56"/>
      <c r="AP70" s="56"/>
      <c r="AQ70" s="68"/>
      <c r="AR70" s="56"/>
      <c r="AS70" s="56"/>
    </row>
    <row r="71" spans="3:46" x14ac:dyDescent="0.2">
      <c r="C71" s="67"/>
      <c r="D71" s="67"/>
      <c r="E71" s="6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68"/>
      <c r="Q71" s="56"/>
      <c r="R71" s="56"/>
      <c r="S71" s="56"/>
      <c r="T71" s="56"/>
      <c r="U71" s="68"/>
      <c r="V71" s="56"/>
      <c r="W71" s="56"/>
      <c r="X71" s="68"/>
      <c r="Y71" s="56"/>
      <c r="Z71" s="56"/>
      <c r="AA71" s="56"/>
      <c r="AB71" s="68"/>
      <c r="AC71" s="56"/>
      <c r="AD71" s="56"/>
      <c r="AE71" s="68"/>
      <c r="AF71" s="71"/>
      <c r="AG71" s="56"/>
      <c r="AH71" s="68"/>
      <c r="AI71" s="56"/>
      <c r="AJ71" s="56"/>
      <c r="AK71" s="68"/>
      <c r="AL71" s="71"/>
      <c r="AM71" s="56"/>
      <c r="AN71" s="68"/>
      <c r="AO71" s="56"/>
      <c r="AP71" s="56"/>
      <c r="AQ71" s="68"/>
      <c r="AR71" s="56"/>
      <c r="AS71" s="56"/>
    </row>
    <row r="72" spans="3:46" x14ac:dyDescent="0.2">
      <c r="C72" s="67"/>
      <c r="D72" s="67"/>
      <c r="E72" s="67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68"/>
      <c r="Q72" s="56"/>
      <c r="R72" s="73"/>
      <c r="S72" s="56"/>
      <c r="T72" s="56"/>
      <c r="U72" s="68"/>
      <c r="V72" s="56"/>
      <c r="W72" s="56"/>
      <c r="X72" s="68"/>
      <c r="Y72" s="56"/>
      <c r="Z72" s="56"/>
      <c r="AA72" s="56"/>
      <c r="AB72" s="68"/>
      <c r="AC72" s="56"/>
      <c r="AD72" s="56"/>
      <c r="AE72" s="68"/>
      <c r="AF72" s="71"/>
      <c r="AG72" s="56"/>
      <c r="AH72" s="68"/>
      <c r="AI72" s="56"/>
      <c r="AJ72" s="56"/>
      <c r="AK72" s="68"/>
      <c r="AL72" s="71"/>
      <c r="AM72" s="56"/>
      <c r="AN72" s="68"/>
      <c r="AO72" s="56"/>
      <c r="AP72" s="56"/>
      <c r="AQ72" s="68"/>
      <c r="AR72" s="56"/>
      <c r="AS72" s="56"/>
    </row>
    <row r="73" spans="3:46" x14ac:dyDescent="0.2">
      <c r="C73" s="67"/>
      <c r="D73" s="67"/>
      <c r="E73" s="67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68"/>
      <c r="Q73" s="56"/>
      <c r="R73" s="73"/>
      <c r="S73" s="56"/>
      <c r="T73" s="56"/>
      <c r="U73" s="68"/>
      <c r="V73" s="56"/>
      <c r="W73" s="56"/>
      <c r="X73" s="68"/>
      <c r="Y73" s="56"/>
      <c r="Z73" s="56"/>
      <c r="AA73" s="56"/>
      <c r="AB73" s="68"/>
      <c r="AC73" s="56"/>
      <c r="AD73" s="56"/>
      <c r="AE73" s="68"/>
      <c r="AF73" s="71"/>
      <c r="AG73" s="56"/>
      <c r="AH73" s="68"/>
      <c r="AI73" s="56"/>
      <c r="AJ73" s="56"/>
      <c r="AK73" s="68"/>
      <c r="AL73" s="71"/>
      <c r="AM73" s="56"/>
      <c r="AN73" s="68"/>
      <c r="AO73" s="56"/>
      <c r="AP73" s="56"/>
      <c r="AQ73" s="68"/>
      <c r="AR73" s="56"/>
      <c r="AS73" s="56"/>
    </row>
    <row r="74" spans="3:46" x14ac:dyDescent="0.2">
      <c r="C74" s="67"/>
      <c r="D74" s="67"/>
      <c r="E74" s="67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68"/>
      <c r="Q74" s="56"/>
      <c r="R74" s="73"/>
      <c r="S74" s="56"/>
      <c r="T74" s="56"/>
      <c r="U74" s="68"/>
      <c r="V74" s="56"/>
      <c r="W74" s="56"/>
      <c r="X74" s="68"/>
      <c r="Y74" s="56"/>
      <c r="Z74" s="56"/>
      <c r="AA74" s="56"/>
      <c r="AB74" s="68"/>
      <c r="AC74" s="56"/>
      <c r="AD74" s="56"/>
      <c r="AE74" s="68"/>
      <c r="AF74" s="71"/>
      <c r="AG74" s="56"/>
      <c r="AH74" s="68"/>
      <c r="AI74" s="56"/>
      <c r="AJ74" s="56"/>
      <c r="AK74" s="68"/>
      <c r="AL74" s="71"/>
      <c r="AM74" s="56"/>
      <c r="AN74" s="68"/>
      <c r="AO74" s="56"/>
      <c r="AP74" s="56"/>
      <c r="AQ74" s="68"/>
      <c r="AR74" s="56"/>
      <c r="AS74" s="56"/>
    </row>
    <row r="75" spans="3:46" x14ac:dyDescent="0.2">
      <c r="C75" s="67"/>
      <c r="D75" s="67"/>
      <c r="E75" s="67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68"/>
      <c r="Q75" s="56"/>
      <c r="R75" s="73"/>
      <c r="S75" s="56"/>
      <c r="T75" s="56"/>
      <c r="U75" s="68"/>
      <c r="V75" s="56"/>
      <c r="W75" s="56"/>
      <c r="X75" s="68"/>
      <c r="Y75" s="56"/>
      <c r="Z75" s="56"/>
      <c r="AA75" s="56"/>
      <c r="AB75" s="68"/>
      <c r="AC75" s="56"/>
      <c r="AD75" s="56"/>
      <c r="AE75" s="68"/>
      <c r="AF75" s="71"/>
      <c r="AG75" s="56"/>
      <c r="AH75" s="68"/>
      <c r="AI75" s="56"/>
      <c r="AJ75" s="56"/>
      <c r="AK75" s="68"/>
      <c r="AL75" s="71"/>
      <c r="AM75" s="56"/>
      <c r="AN75" s="68"/>
      <c r="AO75" s="56"/>
      <c r="AP75" s="56"/>
      <c r="AQ75" s="68"/>
      <c r="AR75" s="56"/>
      <c r="AS75" s="56"/>
      <c r="AT75" s="56"/>
    </row>
    <row r="76" spans="3:46" x14ac:dyDescent="0.2">
      <c r="C76" s="67"/>
      <c r="D76" s="67"/>
      <c r="E76" s="67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68"/>
      <c r="Q76" s="56"/>
      <c r="R76" s="73"/>
      <c r="S76" s="56"/>
      <c r="T76" s="56"/>
      <c r="U76" s="68"/>
      <c r="V76" s="56"/>
      <c r="W76" s="56"/>
      <c r="X76" s="68"/>
      <c r="Y76" s="56"/>
      <c r="Z76" s="56"/>
      <c r="AA76" s="56"/>
      <c r="AB76" s="68"/>
      <c r="AC76" s="56"/>
      <c r="AD76" s="56"/>
      <c r="AE76" s="68"/>
      <c r="AF76" s="71"/>
      <c r="AG76" s="56"/>
      <c r="AH76" s="68"/>
      <c r="AI76" s="56"/>
      <c r="AJ76" s="56"/>
      <c r="AK76" s="68"/>
      <c r="AL76" s="71"/>
      <c r="AM76" s="56"/>
      <c r="AN76" s="68"/>
      <c r="AO76" s="56"/>
      <c r="AP76" s="56"/>
      <c r="AQ76" s="68"/>
      <c r="AR76" s="56"/>
      <c r="AS76" s="56"/>
      <c r="AT76" s="56"/>
    </row>
    <row r="77" spans="3:46" x14ac:dyDescent="0.2">
      <c r="C77" s="67"/>
      <c r="D77" s="67"/>
      <c r="E77" s="67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68"/>
      <c r="Q77" s="56"/>
      <c r="R77" s="73"/>
      <c r="S77" s="56"/>
      <c r="T77" s="56"/>
      <c r="U77" s="68"/>
      <c r="V77" s="56"/>
      <c r="W77" s="56"/>
      <c r="X77" s="68"/>
      <c r="Y77" s="56"/>
      <c r="Z77" s="56"/>
      <c r="AA77" s="56"/>
      <c r="AB77" s="68"/>
      <c r="AD77" s="56"/>
      <c r="AE77" s="68"/>
      <c r="AG77" s="56"/>
      <c r="AH77" s="68"/>
      <c r="AJ77" s="56"/>
      <c r="AK77" s="68"/>
      <c r="AM77" s="56"/>
      <c r="AN77" s="68"/>
      <c r="AP77" s="56"/>
      <c r="AQ77" s="68"/>
      <c r="AT77" s="56"/>
    </row>
    <row r="78" spans="3:46" x14ac:dyDescent="0.2">
      <c r="C78" s="67"/>
      <c r="D78" s="67"/>
      <c r="E78" s="67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68"/>
      <c r="Q78" s="56"/>
      <c r="R78" s="73"/>
      <c r="S78" s="56"/>
      <c r="T78" s="56"/>
      <c r="U78" s="68"/>
      <c r="V78" s="56"/>
      <c r="W78" s="56"/>
      <c r="X78" s="68"/>
      <c r="Y78" s="56"/>
      <c r="Z78" s="56"/>
      <c r="AA78" s="56"/>
      <c r="AB78" s="68"/>
      <c r="AD78" s="56"/>
      <c r="AE78" s="68"/>
      <c r="AG78" s="56"/>
      <c r="AH78" s="68"/>
      <c r="AJ78" s="56"/>
      <c r="AK78" s="68"/>
      <c r="AM78" s="56"/>
      <c r="AN78" s="68"/>
      <c r="AP78" s="56"/>
      <c r="AQ78" s="68"/>
      <c r="AT78" s="56"/>
    </row>
    <row r="79" spans="3:46" x14ac:dyDescent="0.2">
      <c r="C79" s="67"/>
      <c r="D79" s="67"/>
      <c r="E79" s="67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68"/>
      <c r="Q79" s="56"/>
      <c r="R79" s="73"/>
      <c r="S79" s="56"/>
      <c r="T79" s="56"/>
      <c r="U79" s="68"/>
      <c r="V79" s="56"/>
      <c r="W79" s="56"/>
      <c r="X79" s="68"/>
      <c r="Y79" s="56"/>
      <c r="Z79" s="56"/>
      <c r="AA79" s="56"/>
      <c r="AB79" s="68"/>
      <c r="AD79" s="56"/>
      <c r="AE79" s="68"/>
      <c r="AG79" s="56"/>
      <c r="AH79" s="68"/>
      <c r="AJ79" s="56"/>
      <c r="AK79" s="68"/>
      <c r="AM79" s="56"/>
      <c r="AN79" s="68"/>
      <c r="AP79" s="56"/>
      <c r="AQ79" s="68"/>
    </row>
    <row r="80" spans="3:46" x14ac:dyDescent="0.2">
      <c r="C80" s="67"/>
      <c r="D80" s="67"/>
      <c r="E80" s="67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68"/>
      <c r="Q80" s="56"/>
      <c r="R80" s="73"/>
      <c r="S80" s="56"/>
      <c r="T80" s="56"/>
      <c r="U80" s="68"/>
      <c r="V80" s="56"/>
      <c r="W80" s="56"/>
      <c r="X80" s="68"/>
      <c r="Y80" s="56"/>
      <c r="Z80" s="74"/>
      <c r="AA80" s="56"/>
      <c r="AB80" s="68"/>
      <c r="AC80" s="74"/>
      <c r="AD80" s="56"/>
      <c r="AE80" s="68"/>
      <c r="AF80" s="75"/>
      <c r="AG80" s="56"/>
      <c r="AH80" s="68"/>
      <c r="AI80" s="74"/>
      <c r="AJ80" s="56"/>
      <c r="AK80" s="68"/>
      <c r="AL80" s="75"/>
      <c r="AM80" s="56"/>
      <c r="AN80" s="68"/>
      <c r="AO80" s="74"/>
      <c r="AP80" s="56"/>
      <c r="AQ80" s="68"/>
      <c r="AR80" s="74"/>
      <c r="AS80" s="74"/>
      <c r="AT80" s="74"/>
    </row>
    <row r="81" spans="3:46" x14ac:dyDescent="0.2">
      <c r="C81" s="67"/>
      <c r="D81" s="67"/>
      <c r="E81" s="67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68"/>
      <c r="Q81" s="56"/>
      <c r="R81" s="73"/>
      <c r="S81" s="56"/>
      <c r="T81" s="56"/>
      <c r="U81" s="68"/>
      <c r="V81" s="56"/>
      <c r="W81" s="56"/>
      <c r="X81" s="68"/>
      <c r="Y81" s="56"/>
      <c r="Z81" s="56"/>
      <c r="AA81" s="56"/>
      <c r="AB81" s="68"/>
      <c r="AC81" s="56"/>
      <c r="AD81" s="56"/>
      <c r="AE81" s="68"/>
      <c r="AF81" s="71"/>
      <c r="AG81" s="56"/>
      <c r="AH81" s="68"/>
      <c r="AI81" s="56"/>
      <c r="AJ81" s="56"/>
      <c r="AK81" s="68"/>
      <c r="AL81" s="71"/>
      <c r="AM81" s="56"/>
      <c r="AN81" s="68"/>
      <c r="AO81" s="56"/>
      <c r="AP81" s="56"/>
      <c r="AQ81" s="68"/>
      <c r="AR81" s="56"/>
      <c r="AS81" s="56"/>
      <c r="AT81" s="56"/>
    </row>
    <row r="82" spans="3:46" ht="13.5" x14ac:dyDescent="0.2">
      <c r="C82" s="63"/>
      <c r="D82" s="63"/>
      <c r="E82" s="63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68"/>
      <c r="Q82" s="56"/>
      <c r="R82" s="73"/>
      <c r="S82" s="56"/>
      <c r="T82" s="56"/>
      <c r="U82" s="68"/>
      <c r="V82" s="56"/>
      <c r="W82" s="56"/>
      <c r="X82" s="68"/>
      <c r="Y82" s="56"/>
      <c r="Z82" s="56"/>
      <c r="AA82" s="56"/>
      <c r="AB82" s="68"/>
      <c r="AC82" s="56"/>
      <c r="AD82" s="56"/>
      <c r="AE82" s="68"/>
      <c r="AF82" s="71"/>
      <c r="AG82" s="56"/>
      <c r="AH82" s="68"/>
      <c r="AI82" s="56"/>
      <c r="AJ82" s="56"/>
      <c r="AK82" s="68"/>
      <c r="AL82" s="71"/>
      <c r="AM82" s="56"/>
      <c r="AN82" s="68"/>
      <c r="AO82" s="56"/>
      <c r="AP82" s="56"/>
      <c r="AQ82" s="68"/>
      <c r="AR82" s="56"/>
      <c r="AS82" s="56"/>
      <c r="AT82" s="56"/>
    </row>
    <row r="83" spans="3:46" x14ac:dyDescent="0.2">
      <c r="C83" s="67"/>
      <c r="D83" s="67"/>
      <c r="E83" s="67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68"/>
      <c r="Q83" s="56"/>
      <c r="R83" s="73"/>
      <c r="S83" s="56"/>
      <c r="T83" s="56"/>
      <c r="U83" s="68"/>
      <c r="V83" s="56"/>
      <c r="W83" s="56"/>
      <c r="X83" s="68"/>
      <c r="Y83" s="56"/>
      <c r="Z83" s="56"/>
      <c r="AA83" s="56"/>
      <c r="AB83" s="68"/>
      <c r="AC83" s="56"/>
      <c r="AD83" s="56"/>
      <c r="AE83" s="68"/>
      <c r="AF83" s="71"/>
      <c r="AG83" s="56"/>
      <c r="AH83" s="68"/>
      <c r="AI83" s="56"/>
      <c r="AJ83" s="56"/>
      <c r="AK83" s="68"/>
      <c r="AL83" s="71"/>
      <c r="AM83" s="56"/>
      <c r="AN83" s="68"/>
      <c r="AO83" s="56"/>
      <c r="AP83" s="56"/>
      <c r="AQ83" s="68"/>
      <c r="AR83" s="56"/>
      <c r="AS83" s="56"/>
      <c r="AT83" s="56"/>
    </row>
    <row r="84" spans="3:46" x14ac:dyDescent="0.2">
      <c r="C84" s="67"/>
      <c r="D84" s="67"/>
      <c r="E84" s="67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68"/>
      <c r="Q84" s="56"/>
      <c r="R84" s="73"/>
      <c r="S84" s="56"/>
      <c r="T84" s="56"/>
      <c r="U84" s="68"/>
      <c r="V84" s="56"/>
      <c r="W84" s="56"/>
      <c r="X84" s="68"/>
      <c r="Y84" s="56"/>
      <c r="Z84" s="56"/>
      <c r="AA84" s="56"/>
      <c r="AB84" s="68"/>
      <c r="AC84" s="56"/>
      <c r="AD84" s="56"/>
      <c r="AE84" s="68"/>
      <c r="AF84" s="71"/>
      <c r="AG84" s="56"/>
      <c r="AH84" s="68"/>
      <c r="AI84" s="56"/>
      <c r="AJ84" s="56"/>
      <c r="AK84" s="68"/>
      <c r="AL84" s="71"/>
      <c r="AM84" s="56"/>
      <c r="AN84" s="68"/>
      <c r="AO84" s="56"/>
      <c r="AP84" s="56"/>
      <c r="AQ84" s="68"/>
      <c r="AR84" s="56"/>
      <c r="AS84" s="56"/>
      <c r="AT84" s="56"/>
    </row>
    <row r="85" spans="3:46" x14ac:dyDescent="0.2">
      <c r="C85" s="67"/>
      <c r="D85" s="67"/>
      <c r="E85" s="67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68"/>
      <c r="Q85" s="56"/>
      <c r="R85" s="73"/>
      <c r="S85" s="56"/>
      <c r="T85" s="56"/>
      <c r="U85" s="68"/>
      <c r="V85" s="56"/>
      <c r="W85" s="56"/>
      <c r="X85" s="68"/>
      <c r="Y85" s="56"/>
      <c r="Z85" s="56"/>
      <c r="AA85" s="56"/>
      <c r="AB85" s="68"/>
      <c r="AC85" s="56"/>
      <c r="AD85" s="56"/>
      <c r="AE85" s="68"/>
      <c r="AF85" s="71"/>
      <c r="AG85" s="56"/>
      <c r="AH85" s="68"/>
      <c r="AI85" s="56"/>
      <c r="AJ85" s="56"/>
      <c r="AK85" s="68"/>
      <c r="AL85" s="71"/>
      <c r="AM85" s="56"/>
      <c r="AN85" s="68"/>
      <c r="AO85" s="56"/>
      <c r="AP85" s="56"/>
      <c r="AQ85" s="68"/>
      <c r="AR85" s="56"/>
      <c r="AS85" s="56"/>
      <c r="AT85" s="56"/>
    </row>
    <row r="86" spans="3:46" x14ac:dyDescent="0.2">
      <c r="C86" s="67"/>
      <c r="D86" s="67"/>
      <c r="E86" s="67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68"/>
      <c r="Q86" s="56"/>
      <c r="R86" s="73"/>
      <c r="S86" s="56"/>
      <c r="T86" s="56"/>
      <c r="U86" s="68"/>
      <c r="V86" s="56"/>
      <c r="W86" s="56"/>
      <c r="X86" s="68"/>
      <c r="Y86" s="56"/>
      <c r="Z86" s="56"/>
      <c r="AA86" s="56"/>
      <c r="AB86" s="68"/>
      <c r="AC86" s="56"/>
      <c r="AD86" s="56"/>
      <c r="AE86" s="68"/>
      <c r="AF86" s="71"/>
      <c r="AG86" s="56"/>
      <c r="AH86" s="68"/>
      <c r="AI86" s="56"/>
      <c r="AJ86" s="56"/>
      <c r="AK86" s="68"/>
      <c r="AL86" s="71"/>
      <c r="AM86" s="56"/>
      <c r="AN86" s="68"/>
      <c r="AO86" s="56"/>
      <c r="AP86" s="56"/>
      <c r="AQ86" s="68"/>
      <c r="AR86" s="56"/>
      <c r="AS86" s="56"/>
      <c r="AT86" s="56"/>
    </row>
    <row r="87" spans="3:46" x14ac:dyDescent="0.2">
      <c r="C87" s="67"/>
      <c r="D87" s="67"/>
      <c r="E87" s="67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68"/>
      <c r="Q87" s="56"/>
      <c r="R87" s="73"/>
      <c r="S87" s="56"/>
      <c r="T87" s="56"/>
      <c r="U87" s="68"/>
      <c r="V87" s="56"/>
      <c r="W87" s="56"/>
      <c r="X87" s="68"/>
      <c r="Y87" s="56"/>
      <c r="Z87" s="56"/>
      <c r="AA87" s="56"/>
      <c r="AB87" s="68"/>
      <c r="AC87" s="56"/>
      <c r="AD87" s="56"/>
      <c r="AE87" s="68"/>
      <c r="AF87" s="71"/>
      <c r="AG87" s="56"/>
      <c r="AH87" s="68"/>
      <c r="AI87" s="56"/>
      <c r="AJ87" s="56"/>
      <c r="AK87" s="68"/>
      <c r="AL87" s="71"/>
      <c r="AM87" s="56"/>
      <c r="AN87" s="68"/>
      <c r="AO87" s="56"/>
      <c r="AP87" s="56"/>
      <c r="AQ87" s="68"/>
      <c r="AR87" s="56"/>
      <c r="AS87" s="56"/>
      <c r="AT87" s="56"/>
    </row>
    <row r="88" spans="3:46" x14ac:dyDescent="0.2">
      <c r="C88" s="67"/>
      <c r="D88" s="67"/>
      <c r="E88" s="67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68"/>
      <c r="Q88" s="56"/>
      <c r="R88" s="73"/>
      <c r="S88" s="56"/>
      <c r="T88" s="56"/>
      <c r="U88" s="68"/>
      <c r="V88" s="56"/>
      <c r="W88" s="56"/>
      <c r="X88" s="68"/>
      <c r="Y88" s="56"/>
      <c r="Z88" s="56"/>
      <c r="AA88" s="56"/>
      <c r="AB88" s="68"/>
      <c r="AC88" s="56"/>
      <c r="AD88" s="56"/>
      <c r="AE88" s="68"/>
      <c r="AF88" s="71"/>
      <c r="AG88" s="56"/>
      <c r="AH88" s="68"/>
      <c r="AI88" s="56"/>
      <c r="AJ88" s="56"/>
      <c r="AK88" s="68"/>
      <c r="AL88" s="71"/>
      <c r="AM88" s="56"/>
      <c r="AN88" s="68"/>
      <c r="AO88" s="56"/>
      <c r="AP88" s="56"/>
      <c r="AQ88" s="68"/>
      <c r="AR88" s="56"/>
      <c r="AS88" s="56"/>
      <c r="AT88" s="56"/>
    </row>
    <row r="89" spans="3:46" x14ac:dyDescent="0.2">
      <c r="C89" s="67"/>
      <c r="D89" s="67"/>
      <c r="E89" s="67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68"/>
      <c r="Q89" s="56"/>
      <c r="R89" s="73"/>
      <c r="S89" s="56"/>
      <c r="T89" s="56"/>
      <c r="U89" s="68"/>
      <c r="V89" s="56"/>
      <c r="W89" s="56"/>
      <c r="X89" s="68"/>
      <c r="Y89" s="56"/>
      <c r="Z89" s="56"/>
      <c r="AA89" s="56"/>
      <c r="AB89" s="68"/>
      <c r="AC89" s="56"/>
      <c r="AD89" s="56"/>
      <c r="AE89" s="68"/>
      <c r="AF89" s="71"/>
      <c r="AG89" s="56"/>
      <c r="AH89" s="68"/>
      <c r="AI89" s="56"/>
      <c r="AJ89" s="56"/>
      <c r="AK89" s="68"/>
      <c r="AL89" s="71"/>
      <c r="AM89" s="56"/>
      <c r="AN89" s="68"/>
      <c r="AO89" s="56"/>
      <c r="AP89" s="56"/>
      <c r="AQ89" s="68"/>
      <c r="AR89" s="56"/>
      <c r="AS89" s="56"/>
      <c r="AT89" s="56"/>
    </row>
    <row r="90" spans="3:46" x14ac:dyDescent="0.2">
      <c r="C90" s="67"/>
      <c r="D90" s="67"/>
      <c r="E90" s="6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68"/>
      <c r="Q90" s="56"/>
      <c r="R90" s="73"/>
      <c r="S90" s="56"/>
      <c r="T90" s="56"/>
      <c r="U90" s="68"/>
      <c r="V90" s="56"/>
      <c r="W90" s="56"/>
      <c r="X90" s="68"/>
      <c r="Y90" s="56"/>
      <c r="Z90" s="56"/>
      <c r="AA90" s="56"/>
      <c r="AB90" s="68"/>
      <c r="AC90" s="56"/>
      <c r="AD90" s="56"/>
      <c r="AE90" s="68"/>
      <c r="AF90" s="71"/>
      <c r="AG90" s="56"/>
      <c r="AH90" s="68"/>
      <c r="AI90" s="56"/>
      <c r="AJ90" s="56"/>
      <c r="AK90" s="68"/>
      <c r="AL90" s="71"/>
      <c r="AM90" s="56"/>
      <c r="AN90" s="68"/>
      <c r="AO90" s="56"/>
      <c r="AP90" s="56"/>
      <c r="AQ90" s="68"/>
      <c r="AR90" s="56"/>
      <c r="AS90" s="56"/>
      <c r="AT90" s="56"/>
    </row>
    <row r="91" spans="3:46" x14ac:dyDescent="0.2">
      <c r="C91" s="67"/>
      <c r="D91" s="67"/>
      <c r="E91" s="67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68"/>
      <c r="Q91" s="56"/>
      <c r="R91" s="73"/>
      <c r="S91" s="56"/>
      <c r="T91" s="56"/>
      <c r="U91" s="68"/>
      <c r="V91" s="56"/>
      <c r="W91" s="56"/>
      <c r="X91" s="68"/>
      <c r="Y91" s="56"/>
      <c r="Z91" s="56"/>
      <c r="AA91" s="56"/>
      <c r="AB91" s="68"/>
      <c r="AC91" s="56"/>
      <c r="AD91" s="56"/>
      <c r="AE91" s="68"/>
      <c r="AF91" s="71"/>
      <c r="AG91" s="56"/>
      <c r="AH91" s="68"/>
      <c r="AI91" s="56"/>
      <c r="AJ91" s="56"/>
      <c r="AK91" s="68"/>
      <c r="AL91" s="71"/>
      <c r="AM91" s="56"/>
      <c r="AN91" s="68"/>
      <c r="AO91" s="56"/>
      <c r="AP91" s="56"/>
      <c r="AQ91" s="68"/>
      <c r="AR91" s="56"/>
      <c r="AS91" s="56"/>
      <c r="AT91" s="56"/>
    </row>
    <row r="92" spans="3:46" x14ac:dyDescent="0.2">
      <c r="C92" s="67"/>
      <c r="D92" s="67"/>
      <c r="E92" s="67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68"/>
      <c r="Q92" s="56"/>
      <c r="R92" s="73"/>
      <c r="S92" s="56"/>
      <c r="T92" s="56"/>
      <c r="U92" s="68"/>
      <c r="V92" s="56"/>
      <c r="W92" s="56"/>
      <c r="X92" s="68"/>
      <c r="Y92" s="56"/>
      <c r="Z92" s="56"/>
      <c r="AA92" s="56"/>
      <c r="AB92" s="68"/>
      <c r="AC92" s="56"/>
      <c r="AD92" s="56"/>
      <c r="AE92" s="68"/>
      <c r="AF92" s="71"/>
      <c r="AG92" s="56"/>
      <c r="AH92" s="68"/>
      <c r="AI92" s="56"/>
      <c r="AJ92" s="56"/>
      <c r="AK92" s="68"/>
      <c r="AL92" s="71"/>
      <c r="AM92" s="56"/>
      <c r="AN92" s="68"/>
      <c r="AO92" s="56"/>
      <c r="AP92" s="56"/>
      <c r="AQ92" s="68"/>
      <c r="AR92" s="56"/>
      <c r="AS92" s="56"/>
      <c r="AT92" s="56"/>
    </row>
    <row r="93" spans="3:46" x14ac:dyDescent="0.2">
      <c r="C93" s="67"/>
      <c r="D93" s="67"/>
      <c r="E93" s="67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68"/>
      <c r="Q93" s="56"/>
      <c r="R93" s="73"/>
      <c r="S93" s="56"/>
      <c r="T93" s="56"/>
      <c r="U93" s="68"/>
      <c r="V93" s="56"/>
      <c r="W93" s="56"/>
      <c r="X93" s="68"/>
      <c r="Y93" s="56"/>
      <c r="Z93" s="56"/>
      <c r="AA93" s="56"/>
      <c r="AB93" s="68"/>
      <c r="AC93" s="56"/>
      <c r="AD93" s="56"/>
      <c r="AE93" s="68"/>
      <c r="AF93" s="71"/>
      <c r="AG93" s="56"/>
      <c r="AH93" s="68"/>
      <c r="AI93" s="56"/>
      <c r="AJ93" s="56"/>
      <c r="AK93" s="68"/>
      <c r="AL93" s="71"/>
      <c r="AM93" s="56"/>
      <c r="AN93" s="68"/>
      <c r="AO93" s="56"/>
      <c r="AP93" s="56"/>
      <c r="AQ93" s="68"/>
      <c r="AR93" s="56"/>
      <c r="AS93" s="56"/>
      <c r="AT93" s="56"/>
    </row>
    <row r="94" spans="3:46" x14ac:dyDescent="0.2">
      <c r="C94" s="67"/>
      <c r="D94" s="67"/>
      <c r="E94" s="67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68"/>
      <c r="Q94" s="56"/>
      <c r="R94" s="56"/>
      <c r="S94" s="56"/>
      <c r="T94" s="56"/>
      <c r="U94" s="68"/>
      <c r="V94" s="56"/>
      <c r="W94" s="56"/>
      <c r="X94" s="68"/>
      <c r="Y94" s="56"/>
      <c r="Z94" s="56"/>
      <c r="AA94" s="56"/>
      <c r="AB94" s="68"/>
      <c r="AC94" s="56"/>
      <c r="AD94" s="56"/>
      <c r="AE94" s="68"/>
      <c r="AF94" s="71"/>
      <c r="AG94" s="56"/>
      <c r="AH94" s="68"/>
      <c r="AI94" s="56"/>
      <c r="AJ94" s="56"/>
      <c r="AK94" s="68"/>
      <c r="AL94" s="71"/>
      <c r="AM94" s="56"/>
      <c r="AN94" s="68"/>
      <c r="AO94" s="56"/>
      <c r="AP94" s="56"/>
      <c r="AQ94" s="68"/>
      <c r="AR94" s="56"/>
      <c r="AS94" s="56"/>
      <c r="AT94" s="56"/>
    </row>
    <row r="95" spans="3:46" x14ac:dyDescent="0.2">
      <c r="C95" s="67"/>
      <c r="D95" s="67"/>
      <c r="E95" s="67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68"/>
      <c r="Q95" s="56"/>
      <c r="R95" s="56"/>
      <c r="S95" s="56"/>
      <c r="T95" s="56"/>
      <c r="U95" s="68"/>
      <c r="V95" s="56"/>
      <c r="W95" s="56"/>
      <c r="X95" s="68"/>
      <c r="Y95" s="56"/>
      <c r="Z95" s="56"/>
      <c r="AA95" s="56"/>
      <c r="AB95" s="68"/>
      <c r="AC95" s="56"/>
      <c r="AD95" s="56"/>
      <c r="AE95" s="68"/>
      <c r="AF95" s="71"/>
      <c r="AG95" s="56"/>
      <c r="AH95" s="68"/>
      <c r="AI95" s="56"/>
      <c r="AJ95" s="56"/>
      <c r="AK95" s="68"/>
      <c r="AL95" s="71"/>
      <c r="AM95" s="56"/>
      <c r="AN95" s="68"/>
      <c r="AO95" s="56"/>
      <c r="AP95" s="56"/>
      <c r="AQ95" s="68"/>
      <c r="AR95" s="56"/>
      <c r="AS95" s="56"/>
      <c r="AT95" s="56"/>
    </row>
    <row r="96" spans="3:46" x14ac:dyDescent="0.2">
      <c r="C96" s="67"/>
      <c r="D96" s="67"/>
      <c r="E96" s="67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68"/>
      <c r="Q96" s="56"/>
      <c r="R96" s="56"/>
      <c r="S96" s="56"/>
      <c r="T96" s="56"/>
      <c r="U96" s="68"/>
      <c r="V96" s="56"/>
      <c r="W96" s="56"/>
      <c r="X96" s="68"/>
      <c r="Y96" s="56"/>
      <c r="Z96" s="56"/>
      <c r="AA96" s="56"/>
      <c r="AB96" s="68"/>
      <c r="AC96" s="56"/>
      <c r="AD96" s="56"/>
      <c r="AE96" s="68"/>
      <c r="AF96" s="71"/>
      <c r="AG96" s="56"/>
      <c r="AH96" s="68"/>
      <c r="AI96" s="56"/>
      <c r="AJ96" s="56"/>
      <c r="AK96" s="68"/>
      <c r="AL96" s="71"/>
      <c r="AM96" s="56"/>
      <c r="AN96" s="68"/>
      <c r="AO96" s="56"/>
      <c r="AP96" s="56"/>
      <c r="AQ96" s="68"/>
      <c r="AR96" s="56"/>
      <c r="AS96" s="56"/>
      <c r="AT96" s="56"/>
    </row>
    <row r="97" spans="1:47" x14ac:dyDescent="0.2">
      <c r="C97" s="67"/>
      <c r="D97" s="67"/>
      <c r="E97" s="67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68"/>
      <c r="Q97" s="56"/>
      <c r="R97" s="56"/>
      <c r="S97" s="56"/>
      <c r="T97" s="56"/>
      <c r="U97" s="68"/>
      <c r="V97" s="56"/>
      <c r="W97" s="56"/>
      <c r="X97" s="68"/>
      <c r="Y97" s="56"/>
      <c r="Z97" s="56"/>
      <c r="AA97" s="56"/>
      <c r="AB97" s="68"/>
      <c r="AC97" s="56"/>
      <c r="AD97" s="56"/>
      <c r="AE97" s="68"/>
      <c r="AF97" s="71"/>
      <c r="AG97" s="56"/>
      <c r="AH97" s="68"/>
      <c r="AI97" s="56"/>
      <c r="AJ97" s="56"/>
      <c r="AK97" s="68"/>
      <c r="AL97" s="71"/>
      <c r="AM97" s="56"/>
      <c r="AN97" s="68"/>
      <c r="AO97" s="56"/>
      <c r="AP97" s="56"/>
      <c r="AQ97" s="68"/>
      <c r="AR97" s="56"/>
      <c r="AS97" s="56"/>
      <c r="AT97" s="56"/>
      <c r="AU97" s="76"/>
    </row>
    <row r="98" spans="1:47" x14ac:dyDescent="0.2">
      <c r="C98" s="67"/>
      <c r="D98" s="67"/>
      <c r="E98" s="67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68"/>
      <c r="Q98" s="56"/>
      <c r="R98" s="56"/>
      <c r="S98" s="56"/>
      <c r="T98" s="56"/>
      <c r="U98" s="68"/>
      <c r="V98" s="56"/>
      <c r="W98" s="56"/>
      <c r="X98" s="68"/>
      <c r="Y98" s="56"/>
      <c r="Z98" s="56"/>
      <c r="AA98" s="56"/>
      <c r="AB98" s="68"/>
      <c r="AC98" s="56"/>
      <c r="AD98" s="56"/>
      <c r="AE98" s="68"/>
      <c r="AF98" s="71"/>
      <c r="AG98" s="56"/>
      <c r="AH98" s="68"/>
      <c r="AI98" s="56"/>
      <c r="AJ98" s="56"/>
      <c r="AK98" s="68"/>
      <c r="AL98" s="71"/>
      <c r="AM98" s="56"/>
      <c r="AN98" s="68"/>
      <c r="AO98" s="56"/>
      <c r="AP98" s="56"/>
      <c r="AQ98" s="68"/>
      <c r="AR98" s="56"/>
      <c r="AS98" s="56"/>
      <c r="AT98" s="56"/>
    </row>
    <row r="99" spans="1:47" x14ac:dyDescent="0.2">
      <c r="C99" s="67"/>
      <c r="D99" s="67"/>
      <c r="E99" s="67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68"/>
      <c r="Q99" s="56"/>
      <c r="R99" s="56"/>
      <c r="S99" s="56"/>
      <c r="T99" s="56"/>
      <c r="U99" s="68"/>
      <c r="V99" s="56"/>
      <c r="W99" s="56"/>
      <c r="X99" s="68"/>
      <c r="Y99" s="56"/>
      <c r="Z99" s="56"/>
      <c r="AA99" s="56"/>
      <c r="AB99" s="68"/>
      <c r="AC99" s="56"/>
      <c r="AD99" s="56"/>
      <c r="AE99" s="68"/>
      <c r="AF99" s="71"/>
      <c r="AG99" s="56"/>
      <c r="AH99" s="68"/>
      <c r="AI99" s="56"/>
      <c r="AJ99" s="56"/>
      <c r="AK99" s="68"/>
      <c r="AL99" s="71"/>
      <c r="AM99" s="56"/>
      <c r="AN99" s="68"/>
      <c r="AO99" s="56"/>
      <c r="AP99" s="56"/>
      <c r="AQ99" s="68"/>
      <c r="AR99" s="56"/>
      <c r="AS99" s="56"/>
      <c r="AT99" s="56"/>
    </row>
    <row r="100" spans="1:47" x14ac:dyDescent="0.2">
      <c r="C100" s="67"/>
      <c r="D100" s="67"/>
      <c r="E100" s="67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68"/>
      <c r="Q100" s="56"/>
      <c r="R100" s="56"/>
      <c r="S100" s="56"/>
      <c r="T100" s="56"/>
      <c r="U100" s="68"/>
      <c r="V100" s="56"/>
      <c r="W100" s="56"/>
      <c r="X100" s="68"/>
      <c r="Y100" s="56"/>
      <c r="Z100" s="56"/>
      <c r="AA100" s="56"/>
      <c r="AB100" s="68"/>
      <c r="AC100" s="56"/>
      <c r="AD100" s="56"/>
      <c r="AE100" s="68"/>
      <c r="AF100" s="71"/>
      <c r="AG100" s="56"/>
      <c r="AH100" s="68"/>
      <c r="AI100" s="56"/>
      <c r="AJ100" s="56"/>
      <c r="AK100" s="68"/>
      <c r="AL100" s="71"/>
      <c r="AM100" s="56"/>
      <c r="AN100" s="68"/>
      <c r="AO100" s="56"/>
      <c r="AP100" s="56"/>
      <c r="AQ100" s="68"/>
      <c r="AR100" s="56"/>
      <c r="AS100" s="56"/>
      <c r="AT100" s="56"/>
    </row>
    <row r="101" spans="1:47" x14ac:dyDescent="0.2">
      <c r="C101" s="67"/>
      <c r="D101" s="67"/>
      <c r="E101" s="67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68"/>
      <c r="Q101" s="56"/>
      <c r="R101" s="56"/>
      <c r="S101" s="56"/>
      <c r="T101" s="56"/>
      <c r="U101" s="68"/>
      <c r="V101" s="56"/>
      <c r="W101" s="56"/>
      <c r="X101" s="68"/>
      <c r="Y101" s="56"/>
      <c r="Z101" s="56"/>
      <c r="AA101" s="56"/>
      <c r="AB101" s="68"/>
      <c r="AC101" s="56"/>
      <c r="AD101" s="56"/>
      <c r="AE101" s="68"/>
      <c r="AF101" s="71"/>
      <c r="AG101" s="56"/>
      <c r="AH101" s="68"/>
      <c r="AI101" s="56"/>
      <c r="AJ101" s="56"/>
      <c r="AK101" s="68"/>
      <c r="AL101" s="71"/>
      <c r="AM101" s="56"/>
      <c r="AN101" s="68"/>
      <c r="AO101" s="56"/>
      <c r="AP101" s="56"/>
      <c r="AQ101" s="68"/>
      <c r="AR101" s="56"/>
      <c r="AS101" s="56"/>
      <c r="AT101" s="56"/>
    </row>
    <row r="102" spans="1:47" x14ac:dyDescent="0.2">
      <c r="C102" s="67"/>
      <c r="D102" s="67"/>
      <c r="E102" s="67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68"/>
      <c r="Q102" s="56"/>
      <c r="R102" s="56"/>
      <c r="S102" s="56"/>
      <c r="T102" s="56"/>
      <c r="U102" s="68"/>
      <c r="V102" s="56"/>
      <c r="W102" s="56"/>
      <c r="X102" s="68"/>
      <c r="Y102" s="56"/>
      <c r="Z102" s="56"/>
      <c r="AA102" s="56"/>
      <c r="AB102" s="68"/>
      <c r="AD102" s="56"/>
      <c r="AE102" s="68"/>
      <c r="AG102" s="56"/>
      <c r="AH102" s="68"/>
      <c r="AJ102" s="56"/>
      <c r="AK102" s="68"/>
      <c r="AM102" s="56"/>
      <c r="AN102" s="68"/>
      <c r="AP102" s="56"/>
      <c r="AQ102" s="68"/>
      <c r="AT102" s="56"/>
    </row>
    <row r="103" spans="1:47" x14ac:dyDescent="0.2">
      <c r="C103" s="67"/>
      <c r="D103" s="67"/>
      <c r="E103" s="67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68"/>
      <c r="Q103" s="56"/>
      <c r="R103" s="56"/>
      <c r="S103" s="56"/>
      <c r="T103" s="56"/>
      <c r="U103" s="68"/>
      <c r="V103" s="56"/>
      <c r="W103" s="56"/>
      <c r="X103" s="68"/>
      <c r="Y103" s="56"/>
      <c r="Z103" s="56"/>
      <c r="AA103" s="56"/>
      <c r="AB103" s="68"/>
      <c r="AD103" s="56"/>
      <c r="AE103" s="68"/>
      <c r="AG103" s="56"/>
      <c r="AH103" s="68"/>
      <c r="AJ103" s="56"/>
      <c r="AK103" s="68"/>
      <c r="AM103" s="56"/>
      <c r="AN103" s="68"/>
      <c r="AP103" s="56"/>
      <c r="AQ103" s="68"/>
      <c r="AT103" s="56"/>
    </row>
    <row r="104" spans="1:47" x14ac:dyDescent="0.2">
      <c r="C104" s="67"/>
      <c r="D104" s="67"/>
      <c r="E104" s="67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68"/>
      <c r="Q104" s="56"/>
      <c r="R104" s="56"/>
      <c r="S104" s="56"/>
      <c r="T104" s="56"/>
      <c r="U104" s="68"/>
      <c r="V104" s="56"/>
      <c r="W104" s="56"/>
      <c r="X104" s="68"/>
      <c r="Y104" s="56"/>
      <c r="Z104" s="56"/>
      <c r="AA104" s="56"/>
      <c r="AB104" s="68"/>
      <c r="AD104" s="56"/>
      <c r="AE104" s="68"/>
      <c r="AG104" s="56"/>
      <c r="AH104" s="68"/>
      <c r="AJ104" s="56"/>
      <c r="AK104" s="68"/>
      <c r="AM104" s="56"/>
      <c r="AN104" s="68"/>
      <c r="AP104" s="56"/>
      <c r="AQ104" s="68"/>
      <c r="AT104" s="56"/>
    </row>
    <row r="105" spans="1:47" x14ac:dyDescent="0.2">
      <c r="C105" s="67"/>
      <c r="D105" s="67"/>
      <c r="E105" s="67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68"/>
      <c r="Q105" s="56"/>
      <c r="R105" s="56"/>
      <c r="S105" s="56"/>
      <c r="T105" s="56"/>
      <c r="U105" s="68"/>
      <c r="V105" s="56"/>
      <c r="W105" s="56"/>
      <c r="X105" s="68"/>
      <c r="Y105" s="56"/>
      <c r="Z105" s="56"/>
      <c r="AA105" s="56"/>
      <c r="AB105" s="68"/>
      <c r="AD105" s="56"/>
      <c r="AE105" s="68"/>
      <c r="AG105" s="56"/>
      <c r="AH105" s="68"/>
      <c r="AJ105" s="56"/>
      <c r="AK105" s="68"/>
      <c r="AM105" s="56"/>
      <c r="AN105" s="68"/>
      <c r="AP105" s="56"/>
      <c r="AQ105" s="68"/>
    </row>
    <row r="106" spans="1:47" x14ac:dyDescent="0.2">
      <c r="C106" s="67"/>
      <c r="D106" s="67"/>
      <c r="E106" s="67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68"/>
      <c r="Q106" s="56"/>
      <c r="R106" s="56"/>
      <c r="S106" s="56"/>
      <c r="T106" s="56"/>
      <c r="U106" s="68"/>
      <c r="V106" s="56"/>
      <c r="W106" s="56"/>
      <c r="X106" s="68"/>
      <c r="Y106" s="56"/>
      <c r="Z106" s="56"/>
      <c r="AA106" s="56"/>
      <c r="AB106" s="68"/>
      <c r="AD106" s="56"/>
      <c r="AE106" s="68"/>
      <c r="AG106" s="56"/>
      <c r="AH106" s="68"/>
      <c r="AJ106" s="56"/>
      <c r="AK106" s="68"/>
      <c r="AM106" s="56"/>
      <c r="AN106" s="68"/>
      <c r="AP106" s="56"/>
      <c r="AQ106" s="68"/>
    </row>
    <row r="107" spans="1:47" x14ac:dyDescent="0.2">
      <c r="C107" s="67"/>
      <c r="D107" s="67"/>
      <c r="E107" s="67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68"/>
      <c r="Q107" s="56"/>
      <c r="R107" s="56"/>
      <c r="S107" s="56"/>
      <c r="T107" s="56"/>
      <c r="U107" s="68"/>
      <c r="V107" s="56"/>
      <c r="W107" s="56"/>
      <c r="X107" s="68"/>
      <c r="Y107" s="56"/>
      <c r="Z107" s="56"/>
      <c r="AA107" s="56"/>
      <c r="AB107" s="68"/>
      <c r="AD107" s="56"/>
      <c r="AE107" s="68"/>
      <c r="AG107" s="56"/>
      <c r="AH107" s="68"/>
      <c r="AJ107" s="56"/>
      <c r="AK107" s="68"/>
      <c r="AM107" s="56"/>
      <c r="AN107" s="68"/>
      <c r="AP107" s="56"/>
      <c r="AQ107" s="68"/>
    </row>
    <row r="108" spans="1:47" x14ac:dyDescent="0.2">
      <c r="C108" s="67"/>
      <c r="D108" s="67"/>
      <c r="E108" s="67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68"/>
      <c r="Q108" s="56"/>
      <c r="R108" s="56"/>
      <c r="S108" s="56"/>
      <c r="T108" s="56"/>
      <c r="U108" s="68"/>
      <c r="V108" s="56"/>
      <c r="W108" s="56"/>
      <c r="X108" s="68"/>
      <c r="Y108" s="56"/>
      <c r="Z108" s="56"/>
      <c r="AA108" s="56"/>
      <c r="AB108" s="68"/>
      <c r="AD108" s="56"/>
      <c r="AE108" s="68"/>
      <c r="AG108" s="56"/>
      <c r="AH108" s="68"/>
      <c r="AJ108" s="56"/>
      <c r="AK108" s="68"/>
      <c r="AM108" s="56"/>
      <c r="AN108" s="68"/>
      <c r="AP108" s="56"/>
      <c r="AQ108" s="68"/>
    </row>
    <row r="109" spans="1:47" x14ac:dyDescent="0.2">
      <c r="C109" s="67"/>
      <c r="D109" s="67"/>
      <c r="E109" s="67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68"/>
      <c r="Q109" s="56"/>
      <c r="R109" s="56"/>
      <c r="S109" s="56"/>
      <c r="T109" s="56"/>
      <c r="U109" s="68"/>
      <c r="V109" s="56"/>
      <c r="W109" s="56"/>
      <c r="X109" s="68"/>
      <c r="Y109" s="56"/>
      <c r="Z109" s="56"/>
      <c r="AA109" s="56"/>
      <c r="AB109" s="68"/>
      <c r="AD109" s="56"/>
      <c r="AE109" s="68"/>
      <c r="AG109" s="56"/>
      <c r="AH109" s="68"/>
      <c r="AJ109" s="56"/>
      <c r="AK109" s="68"/>
      <c r="AM109" s="56"/>
      <c r="AN109" s="68"/>
      <c r="AP109" s="56"/>
      <c r="AQ109" s="68"/>
    </row>
    <row r="110" spans="1:47" x14ac:dyDescent="0.2">
      <c r="A110" s="76"/>
      <c r="B110" s="76"/>
      <c r="C110" s="67"/>
      <c r="D110" s="67"/>
      <c r="E110" s="67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68"/>
      <c r="Q110" s="56"/>
      <c r="R110" s="56"/>
      <c r="S110" s="56"/>
      <c r="T110" s="56"/>
      <c r="U110" s="68"/>
      <c r="V110" s="56"/>
      <c r="W110" s="56"/>
      <c r="X110" s="68"/>
      <c r="Y110" s="56"/>
      <c r="Z110" s="56"/>
      <c r="AA110" s="56"/>
      <c r="AB110" s="68"/>
      <c r="AD110" s="56"/>
      <c r="AE110" s="68"/>
      <c r="AG110" s="56"/>
      <c r="AH110" s="68"/>
      <c r="AJ110" s="56"/>
      <c r="AK110" s="68"/>
      <c r="AM110" s="56"/>
      <c r="AN110" s="68"/>
      <c r="AP110" s="56"/>
      <c r="AQ110" s="68"/>
    </row>
    <row r="111" spans="1:47" x14ac:dyDescent="0.2">
      <c r="C111" s="67"/>
      <c r="D111" s="67"/>
      <c r="E111" s="67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68"/>
      <c r="Q111" s="56"/>
      <c r="R111" s="56"/>
      <c r="S111" s="56"/>
      <c r="T111" s="56"/>
      <c r="U111" s="68"/>
      <c r="V111" s="56"/>
      <c r="W111" s="56"/>
      <c r="X111" s="68"/>
      <c r="Y111" s="56"/>
      <c r="Z111" s="56"/>
      <c r="AA111" s="56"/>
      <c r="AB111" s="68"/>
      <c r="AD111" s="56"/>
      <c r="AE111" s="68"/>
      <c r="AG111" s="56"/>
      <c r="AH111" s="68"/>
      <c r="AJ111" s="56"/>
      <c r="AK111" s="68"/>
      <c r="AM111" s="56"/>
      <c r="AN111" s="68"/>
      <c r="AP111" s="56"/>
      <c r="AQ111" s="68"/>
    </row>
    <row r="112" spans="1:47" x14ac:dyDescent="0.2">
      <c r="C112" s="67"/>
      <c r="D112" s="67"/>
      <c r="E112" s="67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68"/>
      <c r="Q112" s="56"/>
      <c r="R112" s="56"/>
      <c r="S112" s="56"/>
      <c r="T112" s="56"/>
      <c r="U112" s="68"/>
      <c r="V112" s="56"/>
      <c r="W112" s="56"/>
      <c r="X112" s="68"/>
      <c r="Y112" s="56"/>
      <c r="Z112" s="56"/>
      <c r="AA112" s="56"/>
      <c r="AB112" s="68"/>
      <c r="AD112" s="56"/>
      <c r="AE112" s="68"/>
      <c r="AG112" s="56"/>
      <c r="AH112" s="68"/>
      <c r="AJ112" s="56"/>
      <c r="AK112" s="68"/>
      <c r="AM112" s="56"/>
      <c r="AN112" s="68"/>
      <c r="AP112" s="56"/>
      <c r="AQ112" s="68"/>
    </row>
    <row r="113" spans="1:48" s="76" customFormat="1" x14ac:dyDescent="0.2">
      <c r="A113" s="1"/>
      <c r="B113" s="1"/>
      <c r="C113" s="67"/>
      <c r="D113" s="67"/>
      <c r="E113" s="67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68"/>
      <c r="Q113" s="56"/>
      <c r="R113" s="56"/>
      <c r="S113" s="56"/>
      <c r="T113" s="56"/>
      <c r="U113" s="68"/>
      <c r="V113" s="56"/>
      <c r="W113" s="56"/>
      <c r="X113" s="68"/>
      <c r="Y113" s="56"/>
      <c r="Z113" s="56"/>
      <c r="AA113" s="56"/>
      <c r="AB113" s="68"/>
      <c r="AC113" s="1"/>
      <c r="AD113" s="56"/>
      <c r="AE113" s="68"/>
      <c r="AF113" s="62"/>
      <c r="AG113" s="56"/>
      <c r="AH113" s="68"/>
      <c r="AI113" s="1"/>
      <c r="AJ113" s="56"/>
      <c r="AK113" s="68"/>
      <c r="AL113" s="62"/>
      <c r="AM113" s="56"/>
      <c r="AN113" s="68"/>
      <c r="AO113" s="1"/>
      <c r="AP113" s="56"/>
      <c r="AQ113" s="68"/>
      <c r="AR113" s="1"/>
      <c r="AS113" s="1"/>
      <c r="AT113" s="1"/>
      <c r="AU113" s="1"/>
      <c r="AV113" s="1"/>
    </row>
    <row r="114" spans="1:48" x14ac:dyDescent="0.2">
      <c r="C114" s="67"/>
      <c r="D114" s="67"/>
      <c r="E114" s="67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68"/>
      <c r="Q114" s="56"/>
      <c r="R114" s="56"/>
      <c r="S114" s="56"/>
      <c r="T114" s="56"/>
      <c r="U114" s="68"/>
      <c r="V114" s="56"/>
      <c r="W114" s="56"/>
      <c r="X114" s="68"/>
      <c r="Y114" s="56"/>
      <c r="Z114" s="56"/>
      <c r="AA114" s="56"/>
      <c r="AB114" s="68"/>
      <c r="AD114" s="56"/>
      <c r="AE114" s="68"/>
      <c r="AG114" s="56"/>
      <c r="AH114" s="68"/>
      <c r="AJ114" s="56"/>
      <c r="AK114" s="68"/>
      <c r="AM114" s="56"/>
      <c r="AN114" s="68"/>
      <c r="AP114" s="56"/>
      <c r="AQ114" s="68"/>
    </row>
    <row r="115" spans="1:48" x14ac:dyDescent="0.2">
      <c r="C115" s="67"/>
      <c r="D115" s="67"/>
      <c r="E115" s="67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68"/>
      <c r="Q115" s="56"/>
      <c r="R115" s="56"/>
      <c r="S115" s="56"/>
      <c r="T115" s="56"/>
      <c r="U115" s="68"/>
      <c r="V115" s="56"/>
      <c r="W115" s="56"/>
      <c r="X115" s="68"/>
      <c r="Y115" s="56"/>
      <c r="Z115" s="56"/>
      <c r="AA115" s="56"/>
      <c r="AB115" s="68"/>
      <c r="AD115" s="56"/>
      <c r="AE115" s="68"/>
      <c r="AG115" s="56"/>
      <c r="AH115" s="68"/>
      <c r="AJ115" s="56"/>
      <c r="AK115" s="68"/>
      <c r="AM115" s="56"/>
      <c r="AN115" s="68"/>
      <c r="AP115" s="56"/>
      <c r="AQ115" s="68"/>
    </row>
    <row r="116" spans="1:48" x14ac:dyDescent="0.2">
      <c r="C116" s="67"/>
      <c r="D116" s="67"/>
      <c r="E116" s="67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68"/>
      <c r="Q116" s="56"/>
      <c r="R116" s="56"/>
      <c r="S116" s="56"/>
      <c r="T116" s="56"/>
      <c r="U116" s="68"/>
      <c r="V116" s="56"/>
      <c r="W116" s="56"/>
      <c r="X116" s="68"/>
      <c r="Y116" s="56"/>
      <c r="Z116" s="56"/>
      <c r="AA116" s="56"/>
      <c r="AB116" s="68"/>
      <c r="AD116" s="56"/>
      <c r="AE116" s="68"/>
      <c r="AG116" s="56"/>
      <c r="AH116" s="68"/>
      <c r="AJ116" s="56"/>
      <c r="AK116" s="68"/>
      <c r="AM116" s="56"/>
      <c r="AN116" s="68"/>
      <c r="AP116" s="56"/>
      <c r="AQ116" s="68"/>
    </row>
    <row r="117" spans="1:48" x14ac:dyDescent="0.2">
      <c r="C117" s="67"/>
      <c r="D117" s="67"/>
      <c r="E117" s="67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68"/>
      <c r="Q117" s="56"/>
      <c r="R117" s="56"/>
      <c r="S117" s="56"/>
      <c r="T117" s="56"/>
      <c r="U117" s="68"/>
      <c r="V117" s="56"/>
      <c r="W117" s="56"/>
      <c r="X117" s="68"/>
      <c r="Y117" s="56"/>
      <c r="Z117" s="56"/>
      <c r="AA117" s="56"/>
      <c r="AB117" s="68"/>
      <c r="AD117" s="56"/>
      <c r="AE117" s="68"/>
      <c r="AG117" s="56"/>
      <c r="AH117" s="68"/>
      <c r="AJ117" s="56"/>
      <c r="AK117" s="68"/>
      <c r="AM117" s="56"/>
      <c r="AN117" s="68"/>
      <c r="AP117" s="56"/>
      <c r="AQ117" s="68"/>
    </row>
    <row r="118" spans="1:48" x14ac:dyDescent="0.2">
      <c r="C118" s="67"/>
      <c r="D118" s="67"/>
      <c r="E118" s="6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68"/>
      <c r="Q118" s="56"/>
      <c r="R118" s="56"/>
      <c r="S118" s="56"/>
      <c r="T118" s="56"/>
      <c r="U118" s="68"/>
      <c r="V118" s="56"/>
      <c r="W118" s="56"/>
      <c r="X118" s="68"/>
      <c r="Y118" s="56"/>
      <c r="Z118" s="56"/>
      <c r="AA118" s="56"/>
      <c r="AB118" s="68"/>
      <c r="AD118" s="56"/>
      <c r="AE118" s="68"/>
      <c r="AG118" s="56"/>
      <c r="AH118" s="68"/>
      <c r="AJ118" s="56"/>
      <c r="AK118" s="68"/>
      <c r="AM118" s="56"/>
      <c r="AN118" s="68"/>
      <c r="AP118" s="56"/>
      <c r="AQ118" s="68"/>
    </row>
    <row r="119" spans="1:48" x14ac:dyDescent="0.2">
      <c r="C119" s="67"/>
      <c r="D119" s="67"/>
      <c r="E119" s="67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68"/>
      <c r="Q119" s="56"/>
      <c r="R119" s="56"/>
      <c r="S119" s="56"/>
      <c r="T119" s="56"/>
      <c r="U119" s="68"/>
      <c r="V119" s="56"/>
      <c r="W119" s="56"/>
      <c r="X119" s="68"/>
      <c r="Y119" s="56"/>
      <c r="Z119" s="56"/>
      <c r="AA119" s="56"/>
      <c r="AB119" s="68"/>
      <c r="AD119" s="56"/>
      <c r="AE119" s="68"/>
      <c r="AG119" s="56"/>
      <c r="AH119" s="68"/>
      <c r="AJ119" s="56"/>
      <c r="AK119" s="68"/>
      <c r="AM119" s="56"/>
      <c r="AN119" s="68"/>
      <c r="AP119" s="56"/>
      <c r="AQ119" s="68"/>
    </row>
    <row r="120" spans="1:48" x14ac:dyDescent="0.2">
      <c r="C120" s="67"/>
      <c r="D120" s="67"/>
      <c r="E120" s="67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68"/>
      <c r="Q120" s="56"/>
      <c r="R120" s="56"/>
      <c r="S120" s="56"/>
      <c r="T120" s="56"/>
      <c r="U120" s="68"/>
      <c r="V120" s="56"/>
      <c r="W120" s="56"/>
      <c r="X120" s="68"/>
      <c r="Y120" s="56"/>
      <c r="Z120" s="56"/>
      <c r="AA120" s="56"/>
      <c r="AB120" s="68"/>
      <c r="AD120" s="56"/>
      <c r="AE120" s="68"/>
      <c r="AG120" s="56"/>
      <c r="AH120" s="68"/>
      <c r="AJ120" s="56"/>
      <c r="AK120" s="68"/>
      <c r="AM120" s="56"/>
      <c r="AN120" s="68"/>
      <c r="AP120" s="56"/>
      <c r="AQ120" s="68"/>
    </row>
    <row r="121" spans="1:48" x14ac:dyDescent="0.2">
      <c r="C121" s="67"/>
      <c r="D121" s="67"/>
      <c r="E121" s="67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68"/>
      <c r="Q121" s="56"/>
      <c r="R121" s="56"/>
      <c r="S121" s="56"/>
      <c r="T121" s="56"/>
      <c r="U121" s="68"/>
      <c r="V121" s="56"/>
      <c r="W121" s="56"/>
      <c r="X121" s="68"/>
      <c r="Y121" s="56"/>
      <c r="Z121" s="56"/>
      <c r="AA121" s="56"/>
      <c r="AB121" s="68"/>
      <c r="AD121" s="56"/>
      <c r="AE121" s="68"/>
      <c r="AG121" s="56"/>
      <c r="AH121" s="68"/>
      <c r="AJ121" s="56"/>
      <c r="AK121" s="68"/>
      <c r="AM121" s="56"/>
      <c r="AN121" s="68"/>
      <c r="AP121" s="56"/>
      <c r="AQ121" s="68"/>
    </row>
    <row r="122" spans="1:48" x14ac:dyDescent="0.2">
      <c r="C122" s="67"/>
      <c r="D122" s="67"/>
      <c r="E122" s="67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68"/>
      <c r="Q122" s="56"/>
      <c r="R122" s="56"/>
      <c r="S122" s="56"/>
      <c r="T122" s="56"/>
      <c r="U122" s="68"/>
      <c r="V122" s="56"/>
      <c r="W122" s="56"/>
      <c r="X122" s="68"/>
      <c r="Y122" s="56"/>
      <c r="Z122" s="56"/>
      <c r="AA122" s="56"/>
      <c r="AB122" s="68"/>
      <c r="AD122" s="56"/>
      <c r="AE122" s="68"/>
      <c r="AG122" s="56"/>
      <c r="AH122" s="68"/>
      <c r="AJ122" s="56"/>
      <c r="AK122" s="68"/>
      <c r="AM122" s="56"/>
      <c r="AN122" s="68"/>
      <c r="AP122" s="56"/>
      <c r="AQ122" s="68"/>
    </row>
    <row r="123" spans="1:48" x14ac:dyDescent="0.2">
      <c r="C123" s="67"/>
      <c r="D123" s="67"/>
      <c r="E123" s="67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68"/>
      <c r="Q123" s="56"/>
      <c r="R123" s="56"/>
      <c r="S123" s="56"/>
      <c r="T123" s="56"/>
      <c r="U123" s="68"/>
      <c r="V123" s="56"/>
      <c r="W123" s="56"/>
      <c r="X123" s="68"/>
      <c r="Y123" s="56"/>
      <c r="Z123" s="56"/>
      <c r="AA123" s="56"/>
      <c r="AB123" s="68"/>
      <c r="AD123" s="56"/>
      <c r="AE123" s="68"/>
      <c r="AG123" s="56"/>
      <c r="AH123" s="68"/>
      <c r="AJ123" s="56"/>
      <c r="AK123" s="68"/>
      <c r="AM123" s="56"/>
      <c r="AN123" s="68"/>
      <c r="AP123" s="56"/>
      <c r="AQ123" s="68"/>
    </row>
    <row r="124" spans="1:48" x14ac:dyDescent="0.2">
      <c r="C124" s="67"/>
      <c r="D124" s="67"/>
      <c r="E124" s="67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68"/>
      <c r="Q124" s="56"/>
      <c r="R124" s="56"/>
      <c r="S124" s="56"/>
      <c r="T124" s="56"/>
      <c r="U124" s="68"/>
      <c r="V124" s="56"/>
      <c r="W124" s="56"/>
      <c r="X124" s="68"/>
      <c r="Y124" s="56"/>
      <c r="Z124" s="56"/>
      <c r="AA124" s="56"/>
      <c r="AB124" s="68"/>
      <c r="AD124" s="56"/>
      <c r="AE124" s="68"/>
      <c r="AG124" s="56"/>
      <c r="AH124" s="68"/>
      <c r="AJ124" s="56"/>
      <c r="AK124" s="68"/>
      <c r="AM124" s="56"/>
      <c r="AN124" s="68"/>
      <c r="AP124" s="56"/>
      <c r="AQ124" s="68"/>
    </row>
    <row r="125" spans="1:48" x14ac:dyDescent="0.2">
      <c r="C125" s="67"/>
      <c r="D125" s="67"/>
      <c r="E125" s="67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68"/>
      <c r="Q125" s="56"/>
      <c r="R125" s="56"/>
      <c r="S125" s="56"/>
      <c r="T125" s="56"/>
      <c r="U125" s="68"/>
      <c r="V125" s="56"/>
      <c r="W125" s="56"/>
      <c r="X125" s="68"/>
      <c r="Y125" s="56"/>
      <c r="Z125" s="56"/>
      <c r="AA125" s="56"/>
      <c r="AB125" s="68"/>
      <c r="AD125" s="56"/>
      <c r="AE125" s="68"/>
      <c r="AG125" s="56"/>
      <c r="AH125" s="68"/>
      <c r="AJ125" s="56"/>
      <c r="AK125" s="68"/>
      <c r="AM125" s="56"/>
      <c r="AN125" s="68"/>
      <c r="AP125" s="56"/>
      <c r="AQ125" s="68"/>
    </row>
    <row r="126" spans="1:48" x14ac:dyDescent="0.2">
      <c r="C126" s="67"/>
      <c r="D126" s="67"/>
      <c r="E126" s="67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68"/>
      <c r="Q126" s="56"/>
      <c r="R126" s="56"/>
      <c r="S126" s="56"/>
      <c r="T126" s="56"/>
      <c r="U126" s="68"/>
      <c r="V126" s="56"/>
      <c r="W126" s="56"/>
      <c r="X126" s="68"/>
      <c r="Y126" s="56"/>
      <c r="Z126" s="56"/>
      <c r="AA126" s="56"/>
      <c r="AB126" s="68"/>
      <c r="AD126" s="56"/>
      <c r="AE126" s="68"/>
      <c r="AG126" s="56"/>
      <c r="AH126" s="68"/>
      <c r="AJ126" s="56"/>
      <c r="AK126" s="68"/>
      <c r="AM126" s="56"/>
      <c r="AN126" s="68"/>
      <c r="AP126" s="56"/>
      <c r="AQ126" s="68"/>
    </row>
    <row r="127" spans="1:48" x14ac:dyDescent="0.2">
      <c r="C127" s="67"/>
      <c r="D127" s="67"/>
      <c r="E127" s="6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68"/>
      <c r="Q127" s="56"/>
      <c r="R127" s="56"/>
      <c r="S127" s="56"/>
      <c r="T127" s="56"/>
      <c r="U127" s="68"/>
      <c r="V127" s="56"/>
      <c r="W127" s="56"/>
      <c r="X127" s="68"/>
      <c r="Y127" s="56"/>
      <c r="Z127" s="56"/>
      <c r="AA127" s="56"/>
      <c r="AB127" s="68"/>
      <c r="AD127" s="56"/>
      <c r="AE127" s="68"/>
      <c r="AG127" s="56"/>
      <c r="AH127" s="68"/>
      <c r="AJ127" s="56"/>
      <c r="AK127" s="68"/>
      <c r="AM127" s="56"/>
      <c r="AN127" s="68"/>
      <c r="AP127" s="56"/>
      <c r="AQ127" s="68"/>
    </row>
    <row r="128" spans="1:48" x14ac:dyDescent="0.2">
      <c r="C128" s="67"/>
      <c r="D128" s="67"/>
      <c r="E128" s="67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68"/>
      <c r="Q128" s="56"/>
      <c r="R128" s="56"/>
      <c r="S128" s="56"/>
      <c r="T128" s="56"/>
      <c r="U128" s="68"/>
      <c r="V128" s="56"/>
      <c r="W128" s="56"/>
      <c r="X128" s="68"/>
      <c r="Y128" s="56"/>
      <c r="Z128" s="56"/>
      <c r="AA128" s="56"/>
      <c r="AB128" s="68"/>
      <c r="AD128" s="56"/>
      <c r="AE128" s="68"/>
      <c r="AG128" s="56"/>
      <c r="AH128" s="68"/>
      <c r="AJ128" s="56"/>
      <c r="AK128" s="68"/>
      <c r="AM128" s="56"/>
      <c r="AN128" s="68"/>
      <c r="AP128" s="56"/>
      <c r="AQ128" s="68"/>
    </row>
    <row r="129" spans="3:43" x14ac:dyDescent="0.2">
      <c r="C129" s="67"/>
      <c r="D129" s="67"/>
      <c r="E129" s="67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68"/>
      <c r="Q129" s="56"/>
      <c r="R129" s="56"/>
      <c r="S129" s="56"/>
      <c r="T129" s="56"/>
      <c r="U129" s="68"/>
      <c r="V129" s="56"/>
      <c r="W129" s="56"/>
      <c r="X129" s="68"/>
      <c r="Y129" s="56"/>
      <c r="Z129" s="56"/>
      <c r="AA129" s="56"/>
      <c r="AB129" s="68"/>
      <c r="AD129" s="56"/>
      <c r="AE129" s="68"/>
      <c r="AG129" s="56"/>
      <c r="AH129" s="68"/>
      <c r="AJ129" s="56"/>
      <c r="AK129" s="68"/>
      <c r="AM129" s="56"/>
      <c r="AN129" s="68"/>
      <c r="AP129" s="56"/>
      <c r="AQ129" s="68"/>
    </row>
    <row r="130" spans="3:43" x14ac:dyDescent="0.2">
      <c r="C130" s="67"/>
      <c r="D130" s="67"/>
      <c r="E130" s="67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68"/>
      <c r="Q130" s="56"/>
      <c r="R130" s="56"/>
      <c r="S130" s="56"/>
      <c r="T130" s="56"/>
      <c r="U130" s="68"/>
      <c r="V130" s="56"/>
      <c r="W130" s="56"/>
      <c r="X130" s="68"/>
      <c r="Y130" s="56"/>
      <c r="Z130" s="56"/>
      <c r="AA130" s="56"/>
      <c r="AB130" s="68"/>
      <c r="AD130" s="56"/>
      <c r="AE130" s="68"/>
      <c r="AG130" s="56"/>
      <c r="AH130" s="68"/>
      <c r="AJ130" s="56"/>
      <c r="AK130" s="68"/>
      <c r="AM130" s="56"/>
      <c r="AN130" s="68"/>
      <c r="AP130" s="56"/>
      <c r="AQ130" s="68"/>
    </row>
    <row r="131" spans="3:43" x14ac:dyDescent="0.2">
      <c r="C131" s="67"/>
      <c r="D131" s="67"/>
      <c r="E131" s="67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68"/>
      <c r="Q131" s="56"/>
      <c r="R131" s="56"/>
      <c r="S131" s="56"/>
      <c r="T131" s="56"/>
      <c r="U131" s="68"/>
      <c r="V131" s="56"/>
      <c r="W131" s="56"/>
      <c r="X131" s="68"/>
      <c r="Y131" s="56"/>
      <c r="Z131" s="56"/>
      <c r="AA131" s="56"/>
      <c r="AB131" s="68"/>
      <c r="AD131" s="56"/>
      <c r="AE131" s="68"/>
      <c r="AG131" s="56"/>
      <c r="AH131" s="68"/>
      <c r="AJ131" s="56"/>
      <c r="AK131" s="68"/>
      <c r="AM131" s="56"/>
      <c r="AN131" s="68"/>
      <c r="AP131" s="56"/>
      <c r="AQ131" s="68"/>
    </row>
    <row r="132" spans="3:43" x14ac:dyDescent="0.2">
      <c r="C132" s="67"/>
      <c r="D132" s="67"/>
      <c r="E132" s="67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68"/>
      <c r="Q132" s="56"/>
      <c r="R132" s="56"/>
      <c r="S132" s="56"/>
      <c r="T132" s="56"/>
      <c r="U132" s="68"/>
      <c r="V132" s="56"/>
      <c r="W132" s="56"/>
      <c r="X132" s="68"/>
      <c r="Y132" s="56"/>
      <c r="Z132" s="56"/>
      <c r="AA132" s="56"/>
      <c r="AB132" s="68"/>
      <c r="AD132" s="56"/>
      <c r="AE132" s="68"/>
      <c r="AG132" s="56"/>
      <c r="AH132" s="68"/>
      <c r="AJ132" s="56"/>
      <c r="AK132" s="68"/>
      <c r="AM132" s="56"/>
      <c r="AN132" s="68"/>
      <c r="AP132" s="56"/>
      <c r="AQ132" s="68"/>
    </row>
    <row r="133" spans="3:43" x14ac:dyDescent="0.2">
      <c r="C133" s="67"/>
      <c r="D133" s="67"/>
      <c r="E133" s="67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68"/>
      <c r="Q133" s="56"/>
      <c r="R133" s="56"/>
      <c r="S133" s="56"/>
      <c r="T133" s="56"/>
      <c r="U133" s="68"/>
      <c r="V133" s="56"/>
      <c r="W133" s="56"/>
      <c r="X133" s="68"/>
      <c r="Y133" s="56"/>
      <c r="Z133" s="56"/>
      <c r="AA133" s="56"/>
      <c r="AB133" s="68"/>
      <c r="AD133" s="56"/>
      <c r="AE133" s="68"/>
      <c r="AG133" s="56"/>
      <c r="AH133" s="68"/>
      <c r="AJ133" s="56"/>
      <c r="AK133" s="68"/>
      <c r="AM133" s="56"/>
      <c r="AN133" s="68"/>
      <c r="AP133" s="56"/>
      <c r="AQ133" s="68"/>
    </row>
    <row r="134" spans="3:43" x14ac:dyDescent="0.2">
      <c r="C134" s="67"/>
      <c r="D134" s="67"/>
      <c r="E134" s="67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68"/>
      <c r="Q134" s="56"/>
      <c r="R134" s="56"/>
      <c r="S134" s="56"/>
      <c r="T134" s="56"/>
      <c r="U134" s="68"/>
      <c r="V134" s="56"/>
      <c r="W134" s="56"/>
      <c r="X134" s="68"/>
      <c r="Y134" s="56"/>
      <c r="Z134" s="56"/>
      <c r="AA134" s="56"/>
      <c r="AB134" s="68"/>
      <c r="AD134" s="56"/>
      <c r="AE134" s="68"/>
      <c r="AG134" s="56"/>
      <c r="AH134" s="68"/>
      <c r="AJ134" s="56"/>
      <c r="AK134" s="68"/>
      <c r="AM134" s="56"/>
      <c r="AN134" s="68"/>
      <c r="AP134" s="56"/>
      <c r="AQ134" s="68"/>
    </row>
    <row r="135" spans="3:43" x14ac:dyDescent="0.2">
      <c r="C135" s="67"/>
      <c r="D135" s="67"/>
      <c r="E135" s="67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68"/>
      <c r="Q135" s="56"/>
      <c r="R135" s="56"/>
      <c r="S135" s="56"/>
      <c r="T135" s="56"/>
      <c r="U135" s="68"/>
      <c r="V135" s="56"/>
      <c r="W135" s="56"/>
      <c r="X135" s="68"/>
      <c r="Y135" s="56"/>
      <c r="Z135" s="56"/>
      <c r="AA135" s="56"/>
      <c r="AB135" s="68"/>
      <c r="AD135" s="56"/>
      <c r="AE135" s="68"/>
      <c r="AG135" s="56"/>
      <c r="AH135" s="68"/>
      <c r="AJ135" s="56"/>
      <c r="AK135" s="68"/>
      <c r="AM135" s="56"/>
      <c r="AN135" s="68"/>
      <c r="AP135" s="56"/>
      <c r="AQ135" s="68"/>
    </row>
    <row r="136" spans="3:43" x14ac:dyDescent="0.2">
      <c r="C136" s="67"/>
      <c r="D136" s="67"/>
      <c r="E136" s="67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68"/>
      <c r="Q136" s="56"/>
      <c r="R136" s="56"/>
      <c r="S136" s="56"/>
      <c r="T136" s="56"/>
      <c r="U136" s="68"/>
      <c r="V136" s="56"/>
      <c r="W136" s="56"/>
      <c r="X136" s="68"/>
      <c r="Y136" s="56"/>
      <c r="Z136" s="56"/>
      <c r="AA136" s="56"/>
      <c r="AB136" s="68"/>
      <c r="AD136" s="56"/>
      <c r="AE136" s="68"/>
      <c r="AG136" s="56"/>
      <c r="AH136" s="68"/>
      <c r="AJ136" s="56"/>
      <c r="AK136" s="68"/>
      <c r="AM136" s="56"/>
      <c r="AN136" s="68"/>
      <c r="AP136" s="56"/>
      <c r="AQ136" s="68"/>
    </row>
    <row r="137" spans="3:43" x14ac:dyDescent="0.2">
      <c r="C137" s="67"/>
      <c r="D137" s="67"/>
      <c r="E137" s="67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68"/>
      <c r="Q137" s="56"/>
      <c r="R137" s="56"/>
      <c r="S137" s="56"/>
      <c r="T137" s="56"/>
      <c r="U137" s="68"/>
      <c r="V137" s="56"/>
      <c r="W137" s="56"/>
      <c r="X137" s="68"/>
      <c r="Y137" s="56"/>
      <c r="Z137" s="56"/>
      <c r="AA137" s="56"/>
      <c r="AB137" s="68"/>
      <c r="AD137" s="56"/>
      <c r="AE137" s="68"/>
      <c r="AG137" s="56"/>
      <c r="AH137" s="68"/>
      <c r="AJ137" s="56"/>
      <c r="AK137" s="68"/>
      <c r="AM137" s="56"/>
      <c r="AN137" s="68"/>
      <c r="AP137" s="56"/>
      <c r="AQ137" s="68"/>
    </row>
    <row r="138" spans="3:43" x14ac:dyDescent="0.2">
      <c r="C138" s="67"/>
      <c r="D138" s="67"/>
      <c r="E138" s="67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68"/>
      <c r="Q138" s="56"/>
      <c r="R138" s="56"/>
      <c r="S138" s="56"/>
      <c r="T138" s="56"/>
      <c r="U138" s="68"/>
      <c r="V138" s="56"/>
      <c r="W138" s="56"/>
      <c r="X138" s="68"/>
      <c r="Y138" s="56"/>
      <c r="Z138" s="56"/>
      <c r="AA138" s="56"/>
      <c r="AB138" s="68"/>
      <c r="AD138" s="56"/>
      <c r="AE138" s="68"/>
      <c r="AG138" s="56"/>
      <c r="AH138" s="68"/>
      <c r="AJ138" s="56"/>
      <c r="AK138" s="68"/>
      <c r="AM138" s="56"/>
      <c r="AN138" s="68"/>
      <c r="AP138" s="56"/>
      <c r="AQ138" s="68"/>
    </row>
    <row r="139" spans="3:43" x14ac:dyDescent="0.2">
      <c r="C139" s="67"/>
      <c r="D139" s="67"/>
      <c r="E139" s="67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68"/>
      <c r="Q139" s="56"/>
      <c r="R139" s="56"/>
      <c r="S139" s="56"/>
      <c r="T139" s="56"/>
      <c r="U139" s="68"/>
      <c r="V139" s="56"/>
      <c r="W139" s="56"/>
      <c r="X139" s="68"/>
      <c r="Y139" s="56"/>
      <c r="Z139" s="56"/>
      <c r="AA139" s="56"/>
      <c r="AB139" s="68"/>
      <c r="AD139" s="56"/>
      <c r="AE139" s="68"/>
      <c r="AG139" s="56"/>
      <c r="AH139" s="68"/>
      <c r="AJ139" s="56"/>
      <c r="AK139" s="68"/>
      <c r="AM139" s="56"/>
      <c r="AN139" s="68"/>
      <c r="AP139" s="56"/>
      <c r="AQ139" s="68"/>
    </row>
    <row r="140" spans="3:43" x14ac:dyDescent="0.2">
      <c r="C140" s="67"/>
      <c r="D140" s="67"/>
      <c r="E140" s="67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68"/>
      <c r="Q140" s="56"/>
      <c r="R140" s="56"/>
      <c r="S140" s="56"/>
      <c r="T140" s="56"/>
      <c r="U140" s="68"/>
      <c r="V140" s="56"/>
      <c r="W140" s="56"/>
      <c r="X140" s="68"/>
      <c r="Y140" s="56"/>
      <c r="Z140" s="56"/>
      <c r="AA140" s="56"/>
      <c r="AB140" s="68"/>
      <c r="AD140" s="56"/>
      <c r="AE140" s="68"/>
      <c r="AG140" s="56"/>
      <c r="AH140" s="68"/>
      <c r="AJ140" s="56"/>
      <c r="AK140" s="68"/>
      <c r="AM140" s="56"/>
      <c r="AN140" s="68"/>
      <c r="AP140" s="56"/>
      <c r="AQ140" s="68"/>
    </row>
    <row r="141" spans="3:43" x14ac:dyDescent="0.2">
      <c r="C141" s="67"/>
      <c r="D141" s="67"/>
      <c r="E141" s="67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68"/>
      <c r="Q141" s="56"/>
      <c r="R141" s="56"/>
      <c r="S141" s="56"/>
      <c r="T141" s="56"/>
      <c r="U141" s="68"/>
      <c r="V141" s="56"/>
      <c r="W141" s="56"/>
      <c r="X141" s="68"/>
      <c r="Y141" s="56"/>
      <c r="Z141" s="56"/>
      <c r="AA141" s="56"/>
      <c r="AB141" s="68"/>
      <c r="AD141" s="56"/>
      <c r="AE141" s="68"/>
      <c r="AG141" s="56"/>
      <c r="AH141" s="68"/>
      <c r="AJ141" s="56"/>
      <c r="AK141" s="68"/>
      <c r="AM141" s="56"/>
      <c r="AN141" s="68"/>
      <c r="AP141" s="56"/>
      <c r="AQ141" s="68"/>
    </row>
    <row r="142" spans="3:43" x14ac:dyDescent="0.2">
      <c r="C142" s="67"/>
      <c r="D142" s="67"/>
      <c r="E142" s="67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68"/>
      <c r="Q142" s="56"/>
      <c r="R142" s="56"/>
      <c r="S142" s="56"/>
      <c r="T142" s="56"/>
      <c r="U142" s="68"/>
      <c r="V142" s="56"/>
      <c r="W142" s="56"/>
      <c r="X142" s="68"/>
      <c r="Y142" s="56"/>
      <c r="Z142" s="56"/>
      <c r="AA142" s="56"/>
      <c r="AB142" s="68"/>
      <c r="AD142" s="56"/>
      <c r="AE142" s="68"/>
      <c r="AG142" s="56"/>
      <c r="AH142" s="68"/>
      <c r="AJ142" s="56"/>
      <c r="AK142" s="68"/>
      <c r="AM142" s="56"/>
      <c r="AN142" s="68"/>
      <c r="AP142" s="56"/>
      <c r="AQ142" s="68"/>
    </row>
    <row r="143" spans="3:43" x14ac:dyDescent="0.2">
      <c r="C143" s="67"/>
      <c r="D143" s="67"/>
      <c r="E143" s="67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68"/>
      <c r="Q143" s="56"/>
      <c r="R143" s="56"/>
      <c r="S143" s="56"/>
      <c r="T143" s="56"/>
      <c r="U143" s="68"/>
      <c r="V143" s="56"/>
      <c r="W143" s="56"/>
      <c r="X143" s="68"/>
      <c r="Y143" s="56"/>
      <c r="Z143" s="56"/>
      <c r="AA143" s="56"/>
      <c r="AB143" s="68"/>
      <c r="AD143" s="56"/>
      <c r="AE143" s="68"/>
      <c r="AG143" s="56"/>
      <c r="AH143" s="68"/>
      <c r="AJ143" s="56"/>
      <c r="AK143" s="68"/>
      <c r="AM143" s="56"/>
      <c r="AN143" s="68"/>
      <c r="AP143" s="56"/>
      <c r="AQ143" s="68"/>
    </row>
    <row r="144" spans="3:43" x14ac:dyDescent="0.2">
      <c r="C144" s="67"/>
      <c r="D144" s="67"/>
      <c r="E144" s="67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68"/>
      <c r="Q144" s="56"/>
      <c r="R144" s="56"/>
      <c r="S144" s="56"/>
      <c r="T144" s="56"/>
      <c r="U144" s="68"/>
      <c r="V144" s="56"/>
      <c r="W144" s="56"/>
      <c r="X144" s="68"/>
      <c r="Y144" s="56"/>
      <c r="Z144" s="56"/>
      <c r="AA144" s="56"/>
      <c r="AB144" s="68"/>
      <c r="AD144" s="56"/>
      <c r="AE144" s="68"/>
      <c r="AG144" s="56"/>
      <c r="AH144" s="68"/>
      <c r="AJ144" s="56"/>
      <c r="AK144" s="68"/>
      <c r="AM144" s="56"/>
      <c r="AN144" s="68"/>
      <c r="AP144" s="56"/>
      <c r="AQ144" s="68"/>
    </row>
    <row r="145" spans="3:43" x14ac:dyDescent="0.2">
      <c r="C145" s="67"/>
      <c r="D145" s="67"/>
      <c r="E145" s="67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68"/>
      <c r="Q145" s="56"/>
      <c r="R145" s="56"/>
      <c r="S145" s="56"/>
      <c r="T145" s="56"/>
      <c r="U145" s="68"/>
      <c r="V145" s="56"/>
      <c r="W145" s="56"/>
      <c r="X145" s="68"/>
      <c r="Y145" s="56"/>
      <c r="Z145" s="56"/>
      <c r="AA145" s="56"/>
      <c r="AB145" s="68"/>
      <c r="AD145" s="56"/>
      <c r="AE145" s="68"/>
      <c r="AG145" s="56"/>
      <c r="AH145" s="68"/>
      <c r="AJ145" s="56"/>
      <c r="AK145" s="68"/>
      <c r="AM145" s="56"/>
      <c r="AN145" s="68"/>
      <c r="AP145" s="56"/>
      <c r="AQ145" s="68"/>
    </row>
    <row r="146" spans="3:43" x14ac:dyDescent="0.2">
      <c r="C146" s="67"/>
      <c r="D146" s="67"/>
      <c r="E146" s="67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68"/>
      <c r="Q146" s="56"/>
      <c r="R146" s="56"/>
      <c r="S146" s="56"/>
      <c r="T146" s="56"/>
      <c r="U146" s="68"/>
      <c r="V146" s="56"/>
      <c r="W146" s="56"/>
      <c r="X146" s="68"/>
      <c r="Y146" s="56"/>
      <c r="Z146" s="56"/>
      <c r="AA146" s="56"/>
      <c r="AB146" s="68"/>
      <c r="AD146" s="56"/>
      <c r="AE146" s="68"/>
      <c r="AG146" s="56"/>
      <c r="AH146" s="68"/>
      <c r="AJ146" s="56"/>
      <c r="AK146" s="68"/>
      <c r="AM146" s="56"/>
      <c r="AN146" s="68"/>
      <c r="AP146" s="56"/>
      <c r="AQ146" s="68"/>
    </row>
    <row r="147" spans="3:43" x14ac:dyDescent="0.2">
      <c r="C147" s="67"/>
      <c r="D147" s="67"/>
      <c r="E147" s="6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68"/>
      <c r="Q147" s="56"/>
      <c r="R147" s="56"/>
      <c r="S147" s="56"/>
      <c r="T147" s="56"/>
      <c r="U147" s="68"/>
      <c r="V147" s="56"/>
      <c r="W147" s="56"/>
      <c r="X147" s="68"/>
      <c r="Y147" s="56"/>
      <c r="Z147" s="56"/>
      <c r="AA147" s="56"/>
      <c r="AB147" s="68"/>
      <c r="AD147" s="56"/>
      <c r="AE147" s="68"/>
      <c r="AG147" s="56"/>
      <c r="AH147" s="68"/>
      <c r="AJ147" s="56"/>
      <c r="AK147" s="68"/>
      <c r="AM147" s="56"/>
      <c r="AN147" s="68"/>
      <c r="AP147" s="56"/>
      <c r="AQ147" s="68"/>
    </row>
    <row r="148" spans="3:43" x14ac:dyDescent="0.2">
      <c r="C148" s="67"/>
      <c r="D148" s="67"/>
      <c r="E148" s="6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68"/>
      <c r="Q148" s="56"/>
      <c r="R148" s="56"/>
      <c r="S148" s="56"/>
      <c r="T148" s="56"/>
      <c r="U148" s="68"/>
      <c r="V148" s="56"/>
      <c r="W148" s="56"/>
      <c r="X148" s="68"/>
      <c r="Y148" s="56"/>
      <c r="Z148" s="56"/>
      <c r="AA148" s="56"/>
      <c r="AB148" s="68"/>
      <c r="AD148" s="56"/>
      <c r="AE148" s="68"/>
      <c r="AG148" s="56"/>
      <c r="AH148" s="68"/>
      <c r="AJ148" s="56"/>
      <c r="AK148" s="68"/>
      <c r="AM148" s="56"/>
      <c r="AN148" s="68"/>
      <c r="AP148" s="56"/>
      <c r="AQ148" s="68"/>
    </row>
    <row r="149" spans="3:43" x14ac:dyDescent="0.2">
      <c r="C149" s="67"/>
      <c r="D149" s="67"/>
      <c r="E149" s="67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68"/>
      <c r="Q149" s="56"/>
      <c r="R149" s="56"/>
      <c r="S149" s="56"/>
      <c r="T149" s="56"/>
      <c r="U149" s="68"/>
      <c r="V149" s="56"/>
      <c r="W149" s="56"/>
      <c r="X149" s="68"/>
      <c r="Y149" s="56"/>
      <c r="Z149" s="56"/>
      <c r="AA149" s="56"/>
      <c r="AB149" s="68"/>
      <c r="AD149" s="56"/>
      <c r="AE149" s="68"/>
      <c r="AG149" s="56"/>
      <c r="AH149" s="68"/>
      <c r="AJ149" s="56"/>
      <c r="AK149" s="68"/>
      <c r="AM149" s="56"/>
      <c r="AN149" s="68"/>
      <c r="AP149" s="56"/>
      <c r="AQ149" s="68"/>
    </row>
    <row r="150" spans="3:43" x14ac:dyDescent="0.2">
      <c r="C150" s="67"/>
      <c r="D150" s="67"/>
      <c r="E150" s="67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68"/>
      <c r="Q150" s="56"/>
      <c r="R150" s="56"/>
      <c r="S150" s="56"/>
      <c r="T150" s="56"/>
      <c r="U150" s="68"/>
      <c r="V150" s="56"/>
      <c r="W150" s="56"/>
      <c r="X150" s="68"/>
      <c r="Y150" s="56"/>
      <c r="Z150" s="56"/>
      <c r="AA150" s="56"/>
      <c r="AB150" s="68"/>
      <c r="AD150" s="56"/>
      <c r="AE150" s="68"/>
      <c r="AG150" s="56"/>
      <c r="AH150" s="68"/>
      <c r="AJ150" s="56"/>
      <c r="AK150" s="68"/>
      <c r="AM150" s="56"/>
      <c r="AN150" s="68"/>
      <c r="AP150" s="56"/>
      <c r="AQ150" s="68"/>
    </row>
    <row r="151" spans="3:43" x14ac:dyDescent="0.2">
      <c r="C151" s="67"/>
      <c r="D151" s="67"/>
      <c r="E151" s="67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68"/>
      <c r="Q151" s="56"/>
      <c r="R151" s="56"/>
      <c r="S151" s="56"/>
      <c r="T151" s="56"/>
      <c r="U151" s="68"/>
      <c r="V151" s="56"/>
      <c r="W151" s="56"/>
      <c r="X151" s="68"/>
      <c r="Y151" s="56"/>
      <c r="Z151" s="56"/>
      <c r="AA151" s="56"/>
      <c r="AB151" s="68"/>
      <c r="AD151" s="56"/>
      <c r="AE151" s="68"/>
      <c r="AG151" s="56"/>
      <c r="AH151" s="68"/>
      <c r="AJ151" s="56"/>
      <c r="AK151" s="68"/>
      <c r="AM151" s="56"/>
      <c r="AN151" s="68"/>
      <c r="AP151" s="56"/>
      <c r="AQ151" s="68"/>
    </row>
    <row r="152" spans="3:43" x14ac:dyDescent="0.2">
      <c r="C152" s="67"/>
      <c r="D152" s="67"/>
      <c r="E152" s="6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68"/>
      <c r="Q152" s="56"/>
      <c r="R152" s="56"/>
      <c r="S152" s="56"/>
      <c r="T152" s="56"/>
      <c r="U152" s="68"/>
      <c r="V152" s="56"/>
      <c r="W152" s="56"/>
      <c r="X152" s="68"/>
      <c r="Y152" s="56"/>
      <c r="Z152" s="56"/>
      <c r="AA152" s="56"/>
      <c r="AB152" s="68"/>
      <c r="AD152" s="56"/>
      <c r="AE152" s="68"/>
      <c r="AG152" s="56"/>
      <c r="AH152" s="68"/>
      <c r="AJ152" s="56"/>
      <c r="AK152" s="68"/>
      <c r="AM152" s="56"/>
      <c r="AN152" s="68"/>
      <c r="AP152" s="56"/>
      <c r="AQ152" s="68"/>
    </row>
    <row r="153" spans="3:43" x14ac:dyDescent="0.2">
      <c r="C153" s="67"/>
      <c r="D153" s="67"/>
      <c r="E153" s="67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68"/>
      <c r="Q153" s="56"/>
      <c r="R153" s="56"/>
      <c r="S153" s="56"/>
      <c r="T153" s="56"/>
      <c r="U153" s="68"/>
      <c r="V153" s="56"/>
      <c r="W153" s="56"/>
      <c r="X153" s="68"/>
      <c r="Y153" s="56"/>
      <c r="Z153" s="56"/>
      <c r="AA153" s="56"/>
      <c r="AB153" s="68"/>
      <c r="AD153" s="56"/>
      <c r="AE153" s="68"/>
      <c r="AG153" s="56"/>
      <c r="AH153" s="68"/>
      <c r="AJ153" s="56"/>
      <c r="AK153" s="68"/>
      <c r="AM153" s="56"/>
      <c r="AN153" s="68"/>
      <c r="AP153" s="56"/>
      <c r="AQ153" s="68"/>
    </row>
    <row r="154" spans="3:43" x14ac:dyDescent="0.2">
      <c r="C154" s="67"/>
      <c r="D154" s="67"/>
      <c r="E154" s="67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68"/>
      <c r="Q154" s="56"/>
      <c r="R154" s="56"/>
      <c r="S154" s="56"/>
      <c r="T154" s="56"/>
      <c r="U154" s="68"/>
      <c r="V154" s="56"/>
      <c r="W154" s="56"/>
      <c r="X154" s="68"/>
      <c r="Y154" s="56"/>
      <c r="Z154" s="56"/>
      <c r="AA154" s="56"/>
      <c r="AB154" s="68"/>
      <c r="AD154" s="56"/>
      <c r="AE154" s="68"/>
      <c r="AG154" s="56"/>
      <c r="AH154" s="68"/>
      <c r="AJ154" s="56"/>
      <c r="AK154" s="68"/>
      <c r="AM154" s="56"/>
      <c r="AN154" s="68"/>
      <c r="AP154" s="56"/>
      <c r="AQ154" s="68"/>
    </row>
    <row r="155" spans="3:43" x14ac:dyDescent="0.2">
      <c r="C155" s="67"/>
      <c r="D155" s="67"/>
      <c r="E155" s="67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68"/>
      <c r="Q155" s="56"/>
      <c r="R155" s="56"/>
      <c r="S155" s="56"/>
      <c r="T155" s="56"/>
      <c r="U155" s="68"/>
      <c r="V155" s="56"/>
      <c r="W155" s="56"/>
      <c r="X155" s="68"/>
      <c r="Y155" s="56"/>
      <c r="Z155" s="56"/>
      <c r="AA155" s="56"/>
      <c r="AB155" s="68"/>
      <c r="AD155" s="56"/>
      <c r="AE155" s="68"/>
      <c r="AG155" s="56"/>
      <c r="AH155" s="68"/>
      <c r="AJ155" s="56"/>
      <c r="AK155" s="68"/>
      <c r="AM155" s="56"/>
      <c r="AN155" s="68"/>
      <c r="AP155" s="56"/>
      <c r="AQ155" s="68"/>
    </row>
    <row r="156" spans="3:43" x14ac:dyDescent="0.2">
      <c r="C156" s="67"/>
      <c r="D156" s="67"/>
      <c r="E156" s="67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68"/>
      <c r="Q156" s="56"/>
      <c r="R156" s="56"/>
      <c r="S156" s="56"/>
      <c r="T156" s="56"/>
      <c r="U156" s="68"/>
      <c r="V156" s="56"/>
      <c r="W156" s="56"/>
      <c r="X156" s="68"/>
      <c r="Y156" s="56"/>
      <c r="Z156" s="56"/>
      <c r="AA156" s="56"/>
      <c r="AB156" s="68"/>
      <c r="AD156" s="56"/>
      <c r="AE156" s="68"/>
      <c r="AG156" s="56"/>
      <c r="AH156" s="68"/>
      <c r="AJ156" s="56"/>
      <c r="AK156" s="68"/>
      <c r="AM156" s="56"/>
      <c r="AN156" s="68"/>
      <c r="AP156" s="56"/>
      <c r="AQ156" s="68"/>
    </row>
    <row r="157" spans="3:43" x14ac:dyDescent="0.2">
      <c r="C157" s="67"/>
      <c r="D157" s="67"/>
      <c r="E157" s="67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68"/>
      <c r="Q157" s="56"/>
      <c r="R157" s="56"/>
      <c r="S157" s="56"/>
      <c r="T157" s="56"/>
      <c r="U157" s="68"/>
      <c r="V157" s="56"/>
      <c r="W157" s="56"/>
      <c r="X157" s="68"/>
      <c r="Y157" s="56"/>
      <c r="Z157" s="56"/>
      <c r="AA157" s="56"/>
      <c r="AB157" s="68"/>
      <c r="AD157" s="56"/>
      <c r="AE157" s="68"/>
      <c r="AG157" s="56"/>
      <c r="AH157" s="68"/>
      <c r="AJ157" s="56"/>
      <c r="AK157" s="68"/>
      <c r="AM157" s="56"/>
      <c r="AN157" s="68"/>
      <c r="AP157" s="56"/>
      <c r="AQ157" s="68"/>
    </row>
    <row r="158" spans="3:43" x14ac:dyDescent="0.2">
      <c r="C158" s="67"/>
      <c r="D158" s="67"/>
      <c r="E158" s="67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68"/>
      <c r="Q158" s="56"/>
      <c r="R158" s="56"/>
      <c r="S158" s="56"/>
      <c r="T158" s="56"/>
      <c r="U158" s="68"/>
      <c r="V158" s="56"/>
      <c r="W158" s="56"/>
      <c r="X158" s="68"/>
      <c r="Y158" s="56"/>
      <c r="Z158" s="56"/>
      <c r="AA158" s="56"/>
      <c r="AB158" s="68"/>
      <c r="AD158" s="56"/>
      <c r="AE158" s="68"/>
      <c r="AG158" s="56"/>
      <c r="AH158" s="68"/>
      <c r="AJ158" s="56"/>
      <c r="AK158" s="68"/>
      <c r="AM158" s="56"/>
      <c r="AN158" s="68"/>
      <c r="AP158" s="56"/>
      <c r="AQ158" s="68"/>
    </row>
    <row r="159" spans="3:43" x14ac:dyDescent="0.2">
      <c r="C159" s="67"/>
      <c r="D159" s="67"/>
      <c r="E159" s="67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68"/>
      <c r="Q159" s="56"/>
      <c r="R159" s="56"/>
      <c r="S159" s="56"/>
      <c r="T159" s="56"/>
      <c r="U159" s="68"/>
      <c r="V159" s="56"/>
      <c r="W159" s="56"/>
      <c r="X159" s="68"/>
      <c r="Y159" s="56"/>
      <c r="Z159" s="56"/>
      <c r="AA159" s="56"/>
      <c r="AB159" s="68"/>
      <c r="AD159" s="56"/>
      <c r="AE159" s="68"/>
      <c r="AG159" s="56"/>
      <c r="AH159" s="68"/>
      <c r="AJ159" s="56"/>
      <c r="AK159" s="68"/>
      <c r="AM159" s="56"/>
      <c r="AN159" s="68"/>
      <c r="AP159" s="56"/>
      <c r="AQ159" s="68"/>
    </row>
    <row r="160" spans="3:43" x14ac:dyDescent="0.2">
      <c r="C160" s="67"/>
      <c r="D160" s="67"/>
      <c r="E160" s="67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68"/>
      <c r="Q160" s="56"/>
      <c r="R160" s="56"/>
      <c r="S160" s="56"/>
      <c r="T160" s="56"/>
      <c r="U160" s="68"/>
      <c r="V160" s="56"/>
      <c r="W160" s="56"/>
      <c r="X160" s="68"/>
      <c r="Y160" s="56"/>
      <c r="Z160" s="56"/>
      <c r="AA160" s="56"/>
      <c r="AB160" s="68"/>
      <c r="AD160" s="56"/>
      <c r="AE160" s="68"/>
      <c r="AG160" s="56"/>
      <c r="AH160" s="68"/>
      <c r="AJ160" s="56"/>
      <c r="AK160" s="68"/>
      <c r="AM160" s="56"/>
      <c r="AN160" s="68"/>
      <c r="AP160" s="56"/>
      <c r="AQ160" s="68"/>
    </row>
    <row r="161" spans="3:43" x14ac:dyDescent="0.2">
      <c r="C161" s="67"/>
      <c r="D161" s="67"/>
      <c r="E161" s="67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68"/>
      <c r="Q161" s="56"/>
      <c r="R161" s="56"/>
      <c r="S161" s="56"/>
      <c r="T161" s="56"/>
      <c r="U161" s="68"/>
      <c r="V161" s="56"/>
      <c r="W161" s="56"/>
      <c r="X161" s="68"/>
      <c r="Y161" s="56"/>
      <c r="Z161" s="56"/>
      <c r="AA161" s="56"/>
      <c r="AB161" s="68"/>
      <c r="AD161" s="56"/>
      <c r="AE161" s="68"/>
      <c r="AG161" s="56"/>
      <c r="AH161" s="68"/>
      <c r="AJ161" s="56"/>
      <c r="AK161" s="68"/>
      <c r="AM161" s="56"/>
      <c r="AN161" s="68"/>
      <c r="AP161" s="56"/>
      <c r="AQ161" s="68"/>
    </row>
    <row r="162" spans="3:43" x14ac:dyDescent="0.2">
      <c r="C162" s="67"/>
      <c r="D162" s="67"/>
      <c r="E162" s="67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68"/>
      <c r="Q162" s="56"/>
      <c r="R162" s="56"/>
      <c r="S162" s="56"/>
      <c r="T162" s="56"/>
      <c r="U162" s="68"/>
      <c r="V162" s="56"/>
      <c r="W162" s="56"/>
      <c r="X162" s="68"/>
      <c r="Y162" s="56"/>
      <c r="Z162" s="56"/>
      <c r="AA162" s="56"/>
      <c r="AB162" s="68"/>
      <c r="AD162" s="56"/>
      <c r="AE162" s="68"/>
      <c r="AG162" s="56"/>
      <c r="AH162" s="68"/>
      <c r="AJ162" s="56"/>
      <c r="AK162" s="68"/>
      <c r="AM162" s="56"/>
      <c r="AN162" s="68"/>
      <c r="AP162" s="56"/>
      <c r="AQ162" s="68"/>
    </row>
    <row r="163" spans="3:43" x14ac:dyDescent="0.2">
      <c r="C163" s="67"/>
      <c r="D163" s="67"/>
      <c r="E163" s="67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68"/>
      <c r="Q163" s="56"/>
      <c r="R163" s="56"/>
      <c r="S163" s="56"/>
      <c r="T163" s="56"/>
      <c r="U163" s="68"/>
      <c r="V163" s="56"/>
      <c r="W163" s="56"/>
      <c r="X163" s="68"/>
      <c r="Y163" s="56"/>
      <c r="Z163" s="56"/>
      <c r="AA163" s="56"/>
      <c r="AB163" s="68"/>
      <c r="AD163" s="56"/>
      <c r="AE163" s="68"/>
      <c r="AG163" s="56"/>
      <c r="AH163" s="68"/>
      <c r="AJ163" s="56"/>
      <c r="AK163" s="68"/>
      <c r="AM163" s="56"/>
      <c r="AN163" s="68"/>
      <c r="AP163" s="56"/>
      <c r="AQ163" s="68"/>
    </row>
    <row r="164" spans="3:43" x14ac:dyDescent="0.2">
      <c r="C164" s="67"/>
      <c r="D164" s="67"/>
      <c r="E164" s="67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68"/>
      <c r="Q164" s="56"/>
      <c r="R164" s="56"/>
      <c r="S164" s="56"/>
      <c r="T164" s="56"/>
      <c r="U164" s="68"/>
      <c r="V164" s="56"/>
      <c r="W164" s="56"/>
      <c r="X164" s="68"/>
      <c r="Y164" s="56"/>
      <c r="Z164" s="56"/>
      <c r="AA164" s="56"/>
      <c r="AB164" s="68"/>
      <c r="AD164" s="56"/>
      <c r="AE164" s="68"/>
      <c r="AG164" s="56"/>
      <c r="AH164" s="68"/>
      <c r="AJ164" s="56"/>
      <c r="AK164" s="68"/>
      <c r="AM164" s="56"/>
      <c r="AN164" s="68"/>
      <c r="AP164" s="56"/>
      <c r="AQ164" s="68"/>
    </row>
    <row r="165" spans="3:43" x14ac:dyDescent="0.2">
      <c r="C165" s="67"/>
      <c r="D165" s="67"/>
      <c r="E165" s="67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68"/>
      <c r="Q165" s="56"/>
      <c r="R165" s="56"/>
      <c r="S165" s="56"/>
      <c r="T165" s="56"/>
      <c r="U165" s="68"/>
      <c r="V165" s="56"/>
      <c r="W165" s="56"/>
      <c r="X165" s="68"/>
      <c r="Y165" s="56"/>
      <c r="Z165" s="56"/>
      <c r="AA165" s="56"/>
      <c r="AB165" s="68"/>
      <c r="AD165" s="56"/>
      <c r="AE165" s="68"/>
      <c r="AG165" s="56"/>
      <c r="AH165" s="68"/>
      <c r="AJ165" s="56"/>
      <c r="AK165" s="68"/>
      <c r="AM165" s="56"/>
      <c r="AN165" s="68"/>
      <c r="AP165" s="56"/>
      <c r="AQ165" s="68"/>
    </row>
    <row r="166" spans="3:43" x14ac:dyDescent="0.2">
      <c r="C166" s="67"/>
      <c r="D166" s="67"/>
      <c r="E166" s="67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68"/>
      <c r="Q166" s="56"/>
      <c r="R166" s="56"/>
      <c r="S166" s="56"/>
      <c r="T166" s="56"/>
      <c r="U166" s="68"/>
      <c r="V166" s="56"/>
      <c r="W166" s="56"/>
      <c r="X166" s="68"/>
      <c r="Y166" s="56"/>
      <c r="Z166" s="56"/>
      <c r="AA166" s="56"/>
      <c r="AB166" s="68"/>
      <c r="AD166" s="56"/>
      <c r="AE166" s="68"/>
      <c r="AG166" s="56"/>
      <c r="AH166" s="68"/>
      <c r="AJ166" s="56"/>
      <c r="AK166" s="68"/>
      <c r="AM166" s="56"/>
      <c r="AN166" s="68"/>
      <c r="AP166" s="56"/>
      <c r="AQ166" s="68"/>
    </row>
    <row r="167" spans="3:43" x14ac:dyDescent="0.2">
      <c r="C167" s="67"/>
      <c r="D167" s="67"/>
      <c r="E167" s="67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68"/>
      <c r="Q167" s="56"/>
      <c r="R167" s="56"/>
      <c r="S167" s="56"/>
      <c r="T167" s="56"/>
      <c r="U167" s="68"/>
      <c r="V167" s="56"/>
      <c r="W167" s="56"/>
      <c r="X167" s="68"/>
      <c r="Y167" s="56"/>
      <c r="Z167" s="56"/>
      <c r="AA167" s="56"/>
      <c r="AB167" s="68"/>
      <c r="AD167" s="56"/>
      <c r="AE167" s="68"/>
      <c r="AG167" s="56"/>
      <c r="AH167" s="68"/>
      <c r="AJ167" s="56"/>
      <c r="AK167" s="68"/>
      <c r="AM167" s="56"/>
      <c r="AN167" s="68"/>
      <c r="AP167" s="56"/>
      <c r="AQ167" s="68"/>
    </row>
    <row r="168" spans="3:43" x14ac:dyDescent="0.2">
      <c r="C168" s="67"/>
      <c r="D168" s="67"/>
      <c r="E168" s="67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68"/>
      <c r="Q168" s="56"/>
      <c r="R168" s="56"/>
      <c r="S168" s="56"/>
      <c r="T168" s="56"/>
      <c r="U168" s="68"/>
      <c r="V168" s="56"/>
      <c r="W168" s="56"/>
      <c r="X168" s="68"/>
      <c r="Y168" s="56"/>
      <c r="Z168" s="56"/>
      <c r="AA168" s="56"/>
      <c r="AB168" s="68"/>
      <c r="AD168" s="56"/>
      <c r="AE168" s="68"/>
      <c r="AG168" s="56"/>
      <c r="AH168" s="68"/>
      <c r="AJ168" s="56"/>
      <c r="AK168" s="68"/>
      <c r="AM168" s="56"/>
      <c r="AN168" s="68"/>
      <c r="AP168" s="56"/>
      <c r="AQ168" s="68"/>
    </row>
    <row r="169" spans="3:43" x14ac:dyDescent="0.2">
      <c r="C169" s="67"/>
      <c r="D169" s="67"/>
      <c r="E169" s="67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68"/>
      <c r="Q169" s="56"/>
      <c r="R169" s="56"/>
      <c r="S169" s="56"/>
      <c r="T169" s="56"/>
      <c r="U169" s="68"/>
      <c r="V169" s="56"/>
      <c r="W169" s="56"/>
      <c r="X169" s="68"/>
      <c r="Y169" s="56"/>
      <c r="Z169" s="56"/>
      <c r="AA169" s="56"/>
      <c r="AB169" s="68"/>
      <c r="AD169" s="56"/>
      <c r="AE169" s="68"/>
      <c r="AG169" s="56"/>
      <c r="AH169" s="68"/>
      <c r="AJ169" s="56"/>
      <c r="AK169" s="68"/>
      <c r="AM169" s="56"/>
      <c r="AN169" s="68"/>
      <c r="AP169" s="56"/>
      <c r="AQ169" s="68"/>
    </row>
    <row r="170" spans="3:43" x14ac:dyDescent="0.2">
      <c r="C170" s="67"/>
      <c r="D170" s="67"/>
      <c r="E170" s="67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68"/>
      <c r="Q170" s="56"/>
      <c r="R170" s="56"/>
      <c r="S170" s="56"/>
      <c r="T170" s="56"/>
      <c r="U170" s="68"/>
      <c r="V170" s="56"/>
      <c r="W170" s="56"/>
      <c r="X170" s="68"/>
      <c r="Y170" s="56"/>
      <c r="Z170" s="56"/>
      <c r="AA170" s="56"/>
      <c r="AB170" s="68"/>
      <c r="AD170" s="56"/>
      <c r="AE170" s="68"/>
      <c r="AG170" s="56"/>
      <c r="AH170" s="68"/>
      <c r="AJ170" s="56"/>
      <c r="AK170" s="68"/>
      <c r="AM170" s="56"/>
      <c r="AN170" s="68"/>
      <c r="AP170" s="56"/>
      <c r="AQ170" s="68"/>
    </row>
    <row r="171" spans="3:43" x14ac:dyDescent="0.2">
      <c r="C171" s="67"/>
      <c r="D171" s="67"/>
      <c r="E171" s="67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68"/>
      <c r="Q171" s="56"/>
      <c r="R171" s="56"/>
      <c r="S171" s="56"/>
      <c r="T171" s="56"/>
      <c r="U171" s="68"/>
      <c r="V171" s="56"/>
      <c r="W171" s="56"/>
      <c r="X171" s="68"/>
      <c r="Y171" s="56"/>
      <c r="Z171" s="56"/>
      <c r="AA171" s="56"/>
      <c r="AB171" s="68"/>
      <c r="AD171" s="56"/>
      <c r="AE171" s="68"/>
      <c r="AG171" s="56"/>
      <c r="AH171" s="68"/>
      <c r="AJ171" s="56"/>
      <c r="AK171" s="68"/>
      <c r="AM171" s="56"/>
      <c r="AN171" s="68"/>
      <c r="AP171" s="56"/>
      <c r="AQ171" s="68"/>
    </row>
    <row r="172" spans="3:43" x14ac:dyDescent="0.2">
      <c r="C172" s="67"/>
      <c r="D172" s="67"/>
      <c r="E172" s="67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68"/>
      <c r="Q172" s="56"/>
      <c r="R172" s="56"/>
      <c r="S172" s="56"/>
      <c r="T172" s="56"/>
      <c r="U172" s="68"/>
      <c r="V172" s="56"/>
      <c r="W172" s="56"/>
      <c r="X172" s="68"/>
      <c r="Y172" s="56"/>
      <c r="Z172" s="56"/>
      <c r="AA172" s="56"/>
      <c r="AB172" s="68"/>
      <c r="AD172" s="56"/>
      <c r="AE172" s="68"/>
      <c r="AG172" s="56"/>
      <c r="AH172" s="68"/>
      <c r="AJ172" s="56"/>
      <c r="AK172" s="68"/>
      <c r="AM172" s="56"/>
      <c r="AN172" s="68"/>
      <c r="AP172" s="56"/>
      <c r="AQ172" s="68"/>
    </row>
    <row r="173" spans="3:43" x14ac:dyDescent="0.2">
      <c r="C173" s="67"/>
      <c r="D173" s="67"/>
      <c r="E173" s="67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68"/>
      <c r="Q173" s="56"/>
      <c r="R173" s="56"/>
      <c r="S173" s="56"/>
      <c r="T173" s="56"/>
      <c r="U173" s="68"/>
      <c r="V173" s="56"/>
      <c r="W173" s="56"/>
      <c r="X173" s="68"/>
      <c r="Y173" s="56"/>
      <c r="Z173" s="56"/>
      <c r="AA173" s="56"/>
      <c r="AB173" s="68"/>
      <c r="AD173" s="56"/>
      <c r="AE173" s="68"/>
      <c r="AG173" s="56"/>
      <c r="AH173" s="68"/>
      <c r="AJ173" s="56"/>
      <c r="AK173" s="68"/>
      <c r="AM173" s="56"/>
      <c r="AN173" s="68"/>
      <c r="AP173" s="56"/>
      <c r="AQ173" s="68"/>
    </row>
    <row r="174" spans="3:43" x14ac:dyDescent="0.2">
      <c r="C174" s="67"/>
      <c r="D174" s="67"/>
      <c r="E174" s="67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68"/>
      <c r="Q174" s="56"/>
      <c r="R174" s="56"/>
      <c r="S174" s="56"/>
      <c r="T174" s="56"/>
      <c r="U174" s="68"/>
      <c r="V174" s="56"/>
      <c r="W174" s="56"/>
      <c r="X174" s="68"/>
      <c r="Y174" s="56"/>
      <c r="Z174" s="56"/>
      <c r="AA174" s="56"/>
      <c r="AB174" s="68"/>
      <c r="AD174" s="56"/>
      <c r="AE174" s="68"/>
      <c r="AG174" s="56"/>
      <c r="AH174" s="68"/>
      <c r="AJ174" s="56"/>
      <c r="AK174" s="68"/>
      <c r="AM174" s="56"/>
      <c r="AN174" s="68"/>
      <c r="AP174" s="56"/>
      <c r="AQ174" s="68"/>
    </row>
    <row r="175" spans="3:43" x14ac:dyDescent="0.2">
      <c r="C175" s="67"/>
      <c r="D175" s="67"/>
      <c r="E175" s="67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68"/>
      <c r="Q175" s="56"/>
      <c r="R175" s="56"/>
      <c r="S175" s="56"/>
      <c r="T175" s="56"/>
      <c r="U175" s="68"/>
      <c r="V175" s="56"/>
      <c r="W175" s="56"/>
      <c r="X175" s="68"/>
      <c r="Y175" s="56"/>
      <c r="Z175" s="56"/>
      <c r="AA175" s="56"/>
      <c r="AB175" s="68"/>
      <c r="AD175" s="56"/>
      <c r="AE175" s="68"/>
      <c r="AG175" s="56"/>
      <c r="AH175" s="68"/>
      <c r="AJ175" s="56"/>
      <c r="AK175" s="68"/>
      <c r="AM175" s="56"/>
      <c r="AN175" s="68"/>
      <c r="AP175" s="56"/>
      <c r="AQ175" s="68"/>
    </row>
    <row r="176" spans="3:43" x14ac:dyDescent="0.2">
      <c r="C176" s="67"/>
      <c r="D176" s="67"/>
      <c r="E176" s="67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68"/>
      <c r="Q176" s="56"/>
      <c r="R176" s="56"/>
      <c r="S176" s="56"/>
      <c r="T176" s="56"/>
      <c r="U176" s="68"/>
      <c r="V176" s="56"/>
      <c r="W176" s="56"/>
      <c r="X176" s="68"/>
      <c r="Y176" s="56"/>
      <c r="Z176" s="56"/>
      <c r="AA176" s="56"/>
      <c r="AB176" s="68"/>
      <c r="AD176" s="56"/>
      <c r="AE176" s="68"/>
      <c r="AG176" s="56"/>
      <c r="AH176" s="68"/>
      <c r="AJ176" s="56"/>
      <c r="AK176" s="68"/>
      <c r="AM176" s="56"/>
      <c r="AN176" s="68"/>
      <c r="AP176" s="56"/>
      <c r="AQ176" s="68"/>
    </row>
    <row r="177" spans="3:43" x14ac:dyDescent="0.2">
      <c r="C177" s="67"/>
      <c r="D177" s="67"/>
      <c r="E177" s="67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68"/>
      <c r="Q177" s="56"/>
      <c r="R177" s="56"/>
      <c r="S177" s="56"/>
      <c r="T177" s="56"/>
      <c r="U177" s="68"/>
      <c r="V177" s="56"/>
      <c r="W177" s="56"/>
      <c r="X177" s="68"/>
      <c r="Y177" s="56"/>
      <c r="Z177" s="56"/>
      <c r="AA177" s="56"/>
      <c r="AB177" s="68"/>
      <c r="AD177" s="56"/>
      <c r="AE177" s="68"/>
      <c r="AG177" s="56"/>
      <c r="AH177" s="68"/>
      <c r="AJ177" s="56"/>
      <c r="AK177" s="68"/>
      <c r="AM177" s="56"/>
      <c r="AN177" s="68"/>
      <c r="AP177" s="56"/>
      <c r="AQ177" s="68"/>
    </row>
    <row r="178" spans="3:43" x14ac:dyDescent="0.2">
      <c r="C178" s="67"/>
      <c r="D178" s="67"/>
      <c r="E178" s="67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68"/>
      <c r="Q178" s="56"/>
      <c r="R178" s="56"/>
      <c r="S178" s="56"/>
      <c r="T178" s="56"/>
      <c r="U178" s="68"/>
      <c r="V178" s="56"/>
      <c r="W178" s="56"/>
      <c r="X178" s="68"/>
      <c r="Y178" s="56"/>
      <c r="Z178" s="56"/>
      <c r="AA178" s="56"/>
      <c r="AB178" s="68"/>
      <c r="AD178" s="56"/>
      <c r="AE178" s="68"/>
      <c r="AG178" s="56"/>
      <c r="AH178" s="68"/>
      <c r="AJ178" s="56"/>
      <c r="AK178" s="68"/>
      <c r="AM178" s="56"/>
      <c r="AN178" s="68"/>
      <c r="AP178" s="56"/>
      <c r="AQ178" s="68"/>
    </row>
    <row r="179" spans="3:43" x14ac:dyDescent="0.2">
      <c r="C179" s="67"/>
      <c r="D179" s="67"/>
      <c r="E179" s="67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68"/>
      <c r="Q179" s="56"/>
      <c r="R179" s="56"/>
      <c r="S179" s="56"/>
      <c r="T179" s="56"/>
      <c r="U179" s="68"/>
      <c r="V179" s="56"/>
      <c r="W179" s="56"/>
      <c r="X179" s="68"/>
      <c r="Y179" s="56"/>
      <c r="Z179" s="56"/>
      <c r="AA179" s="56"/>
      <c r="AB179" s="68"/>
      <c r="AD179" s="56"/>
      <c r="AE179" s="68"/>
      <c r="AG179" s="56"/>
      <c r="AH179" s="68"/>
      <c r="AJ179" s="56"/>
      <c r="AK179" s="68"/>
      <c r="AM179" s="56"/>
      <c r="AN179" s="68"/>
      <c r="AP179" s="56"/>
      <c r="AQ179" s="68"/>
    </row>
    <row r="180" spans="3:43" x14ac:dyDescent="0.2">
      <c r="C180" s="67"/>
      <c r="D180" s="67"/>
      <c r="E180" s="67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68"/>
      <c r="Q180" s="56"/>
      <c r="R180" s="56"/>
      <c r="S180" s="56"/>
      <c r="T180" s="56"/>
      <c r="U180" s="68"/>
      <c r="V180" s="56"/>
      <c r="W180" s="56"/>
      <c r="X180" s="68"/>
      <c r="Y180" s="56"/>
      <c r="Z180" s="56"/>
      <c r="AA180" s="56"/>
      <c r="AB180" s="68"/>
      <c r="AD180" s="56"/>
      <c r="AE180" s="68"/>
      <c r="AG180" s="56"/>
      <c r="AH180" s="68"/>
      <c r="AJ180" s="56"/>
      <c r="AK180" s="68"/>
      <c r="AM180" s="56"/>
      <c r="AN180" s="68"/>
      <c r="AP180" s="56"/>
      <c r="AQ180" s="68"/>
    </row>
    <row r="181" spans="3:43" x14ac:dyDescent="0.2">
      <c r="C181" s="67"/>
      <c r="D181" s="67"/>
      <c r="E181" s="67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68"/>
      <c r="Q181" s="56"/>
      <c r="R181" s="56"/>
      <c r="S181" s="56"/>
      <c r="T181" s="56"/>
      <c r="U181" s="68"/>
      <c r="V181" s="56"/>
      <c r="W181" s="56"/>
      <c r="X181" s="68"/>
      <c r="Y181" s="56"/>
      <c r="Z181" s="56"/>
      <c r="AA181" s="56"/>
      <c r="AB181" s="68"/>
      <c r="AD181" s="56"/>
      <c r="AE181" s="68"/>
      <c r="AG181" s="56"/>
      <c r="AH181" s="68"/>
      <c r="AJ181" s="56"/>
      <c r="AK181" s="68"/>
      <c r="AM181" s="56"/>
      <c r="AN181" s="68"/>
      <c r="AP181" s="56"/>
      <c r="AQ181" s="68"/>
    </row>
    <row r="182" spans="3:43" x14ac:dyDescent="0.2">
      <c r="C182" s="67"/>
      <c r="D182" s="67"/>
      <c r="E182" s="67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68"/>
      <c r="Q182" s="56"/>
      <c r="R182" s="56"/>
      <c r="S182" s="56"/>
      <c r="T182" s="56"/>
      <c r="U182" s="68"/>
      <c r="V182" s="56"/>
      <c r="W182" s="56"/>
      <c r="X182" s="68"/>
      <c r="Y182" s="56"/>
      <c r="Z182" s="56"/>
      <c r="AA182" s="56"/>
      <c r="AB182" s="68"/>
      <c r="AD182" s="56"/>
      <c r="AE182" s="68"/>
      <c r="AG182" s="56"/>
      <c r="AH182" s="68"/>
      <c r="AJ182" s="56"/>
      <c r="AK182" s="68"/>
      <c r="AM182" s="56"/>
      <c r="AN182" s="68"/>
      <c r="AP182" s="56"/>
      <c r="AQ182" s="68"/>
    </row>
    <row r="183" spans="3:43" x14ac:dyDescent="0.2">
      <c r="C183" s="67"/>
      <c r="D183" s="67"/>
      <c r="E183" s="67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68"/>
      <c r="Q183" s="56"/>
      <c r="R183" s="56"/>
      <c r="S183" s="56"/>
      <c r="T183" s="56"/>
      <c r="U183" s="68"/>
      <c r="V183" s="56"/>
      <c r="W183" s="56"/>
      <c r="X183" s="68"/>
      <c r="Y183" s="56"/>
      <c r="Z183" s="56"/>
      <c r="AA183" s="56"/>
      <c r="AB183" s="68"/>
      <c r="AD183" s="56"/>
      <c r="AE183" s="68"/>
      <c r="AG183" s="56"/>
      <c r="AH183" s="68"/>
      <c r="AJ183" s="56"/>
      <c r="AK183" s="68"/>
      <c r="AM183" s="56"/>
      <c r="AN183" s="68"/>
      <c r="AP183" s="56"/>
      <c r="AQ183" s="68"/>
    </row>
    <row r="184" spans="3:43" x14ac:dyDescent="0.2">
      <c r="C184" s="67"/>
      <c r="D184" s="67"/>
      <c r="E184" s="67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68"/>
      <c r="Q184" s="56"/>
      <c r="R184" s="56"/>
      <c r="S184" s="56"/>
      <c r="T184" s="56"/>
      <c r="U184" s="68"/>
      <c r="V184" s="56"/>
      <c r="W184" s="56"/>
      <c r="X184" s="68"/>
      <c r="Y184" s="56"/>
      <c r="Z184" s="56"/>
      <c r="AA184" s="56"/>
      <c r="AB184" s="68"/>
      <c r="AD184" s="56"/>
      <c r="AE184" s="68"/>
      <c r="AG184" s="56"/>
      <c r="AH184" s="68"/>
      <c r="AJ184" s="56"/>
      <c r="AK184" s="68"/>
      <c r="AM184" s="56"/>
      <c r="AN184" s="68"/>
      <c r="AP184" s="56"/>
      <c r="AQ184" s="68"/>
    </row>
    <row r="185" spans="3:43" x14ac:dyDescent="0.2">
      <c r="C185" s="67"/>
      <c r="D185" s="67"/>
      <c r="E185" s="67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68"/>
      <c r="Q185" s="56"/>
      <c r="R185" s="56"/>
      <c r="S185" s="56"/>
      <c r="T185" s="56"/>
      <c r="U185" s="68"/>
      <c r="V185" s="56"/>
      <c r="W185" s="56"/>
      <c r="X185" s="68"/>
      <c r="Y185" s="56"/>
      <c r="Z185" s="56"/>
      <c r="AA185" s="56"/>
      <c r="AB185" s="68"/>
      <c r="AD185" s="56"/>
      <c r="AE185" s="68"/>
      <c r="AG185" s="56"/>
      <c r="AH185" s="68"/>
      <c r="AJ185" s="56"/>
      <c r="AK185" s="68"/>
      <c r="AM185" s="56"/>
      <c r="AN185" s="68"/>
      <c r="AP185" s="56"/>
      <c r="AQ185" s="68"/>
    </row>
    <row r="186" spans="3:43" x14ac:dyDescent="0.2">
      <c r="C186" s="67"/>
      <c r="D186" s="67"/>
      <c r="E186" s="67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68"/>
      <c r="Q186" s="56"/>
      <c r="R186" s="56"/>
      <c r="S186" s="56"/>
      <c r="T186" s="56"/>
      <c r="U186" s="68"/>
      <c r="V186" s="56"/>
      <c r="W186" s="56"/>
      <c r="X186" s="68"/>
      <c r="Y186" s="56"/>
      <c r="Z186" s="56"/>
      <c r="AA186" s="56"/>
      <c r="AB186" s="68"/>
      <c r="AD186" s="56"/>
      <c r="AE186" s="68"/>
      <c r="AG186" s="56"/>
      <c r="AH186" s="68"/>
      <c r="AJ186" s="56"/>
      <c r="AK186" s="68"/>
      <c r="AM186" s="56"/>
      <c r="AN186" s="68"/>
      <c r="AP186" s="56"/>
      <c r="AQ186" s="68"/>
    </row>
    <row r="187" spans="3:43" x14ac:dyDescent="0.2">
      <c r="C187" s="67"/>
      <c r="D187" s="67"/>
      <c r="E187" s="67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68"/>
      <c r="Q187" s="56"/>
      <c r="R187" s="56"/>
      <c r="S187" s="56"/>
      <c r="T187" s="56"/>
      <c r="U187" s="68"/>
      <c r="V187" s="56"/>
      <c r="W187" s="56"/>
      <c r="X187" s="68"/>
      <c r="Y187" s="56"/>
      <c r="Z187" s="56"/>
      <c r="AA187" s="56"/>
      <c r="AB187" s="68"/>
      <c r="AD187" s="56"/>
      <c r="AE187" s="68"/>
      <c r="AG187" s="56"/>
      <c r="AH187" s="68"/>
      <c r="AJ187" s="56"/>
      <c r="AK187" s="68"/>
      <c r="AM187" s="56"/>
      <c r="AN187" s="68"/>
      <c r="AP187" s="56"/>
      <c r="AQ187" s="68"/>
    </row>
    <row r="188" spans="3:43" x14ac:dyDescent="0.2">
      <c r="C188" s="67"/>
      <c r="D188" s="67"/>
      <c r="E188" s="67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68"/>
      <c r="Q188" s="56"/>
      <c r="R188" s="56"/>
      <c r="S188" s="56"/>
      <c r="T188" s="56"/>
      <c r="U188" s="68"/>
      <c r="V188" s="56"/>
      <c r="W188" s="56"/>
      <c r="X188" s="68"/>
      <c r="Y188" s="56"/>
      <c r="Z188" s="56"/>
      <c r="AA188" s="56"/>
      <c r="AB188" s="68"/>
      <c r="AD188" s="56"/>
      <c r="AE188" s="68"/>
      <c r="AG188" s="56"/>
      <c r="AH188" s="68"/>
      <c r="AJ188" s="56"/>
      <c r="AK188" s="68"/>
      <c r="AM188" s="56"/>
      <c r="AN188" s="68"/>
      <c r="AP188" s="56"/>
      <c r="AQ188" s="68"/>
    </row>
    <row r="189" spans="3:43" x14ac:dyDescent="0.2">
      <c r="C189" s="67"/>
      <c r="D189" s="67"/>
      <c r="E189" s="67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68"/>
      <c r="Q189" s="56"/>
      <c r="R189" s="56"/>
      <c r="S189" s="56"/>
      <c r="T189" s="56"/>
      <c r="U189" s="68"/>
      <c r="V189" s="56"/>
      <c r="W189" s="56"/>
      <c r="X189" s="68"/>
      <c r="Y189" s="56"/>
      <c r="Z189" s="56"/>
      <c r="AA189" s="56"/>
      <c r="AB189" s="68"/>
      <c r="AD189" s="56"/>
      <c r="AE189" s="68"/>
      <c r="AG189" s="56"/>
      <c r="AH189" s="68"/>
      <c r="AJ189" s="56"/>
      <c r="AK189" s="68"/>
      <c r="AM189" s="56"/>
      <c r="AN189" s="68"/>
      <c r="AP189" s="56"/>
      <c r="AQ189" s="68"/>
    </row>
    <row r="190" spans="3:43" x14ac:dyDescent="0.2">
      <c r="C190" s="67"/>
      <c r="D190" s="67"/>
      <c r="E190" s="67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68"/>
      <c r="Q190" s="56"/>
      <c r="R190" s="56"/>
      <c r="S190" s="56"/>
      <c r="T190" s="56"/>
      <c r="U190" s="68"/>
      <c r="V190" s="56"/>
      <c r="W190" s="56"/>
      <c r="X190" s="68"/>
      <c r="Y190" s="56"/>
      <c r="Z190" s="56"/>
      <c r="AA190" s="56"/>
      <c r="AB190" s="68"/>
      <c r="AD190" s="56"/>
      <c r="AE190" s="68"/>
      <c r="AG190" s="56"/>
      <c r="AH190" s="68"/>
      <c r="AJ190" s="56"/>
      <c r="AK190" s="68"/>
      <c r="AM190" s="56"/>
      <c r="AN190" s="68"/>
      <c r="AP190" s="56"/>
      <c r="AQ190" s="68"/>
    </row>
    <row r="191" spans="3:43" x14ac:dyDescent="0.2">
      <c r="C191" s="67"/>
      <c r="D191" s="67"/>
      <c r="E191" s="67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68"/>
      <c r="Q191" s="56"/>
      <c r="R191" s="56"/>
      <c r="S191" s="56"/>
      <c r="T191" s="56"/>
      <c r="U191" s="68"/>
      <c r="V191" s="56"/>
      <c r="W191" s="56"/>
      <c r="X191" s="68"/>
      <c r="Y191" s="56"/>
      <c r="Z191" s="56"/>
      <c r="AA191" s="56"/>
      <c r="AB191" s="68"/>
      <c r="AD191" s="56"/>
      <c r="AE191" s="68"/>
      <c r="AG191" s="56"/>
      <c r="AH191" s="68"/>
      <c r="AJ191" s="56"/>
      <c r="AK191" s="68"/>
      <c r="AM191" s="56"/>
      <c r="AN191" s="68"/>
      <c r="AP191" s="56"/>
      <c r="AQ191" s="68"/>
    </row>
    <row r="192" spans="3:43" x14ac:dyDescent="0.2">
      <c r="C192" s="67"/>
      <c r="D192" s="67"/>
      <c r="E192" s="67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68"/>
      <c r="Q192" s="56"/>
      <c r="R192" s="56"/>
      <c r="S192" s="56"/>
      <c r="T192" s="56"/>
      <c r="U192" s="68"/>
      <c r="V192" s="56"/>
      <c r="W192" s="56"/>
      <c r="X192" s="68"/>
      <c r="Y192" s="56"/>
      <c r="Z192" s="56"/>
      <c r="AA192" s="56"/>
      <c r="AB192" s="68"/>
      <c r="AD192" s="56"/>
      <c r="AE192" s="68"/>
      <c r="AG192" s="56"/>
      <c r="AH192" s="68"/>
      <c r="AJ192" s="56"/>
      <c r="AK192" s="68"/>
      <c r="AM192" s="56"/>
      <c r="AN192" s="68"/>
      <c r="AP192" s="56"/>
      <c r="AQ192" s="68"/>
    </row>
    <row r="193" spans="3:43" x14ac:dyDescent="0.2">
      <c r="C193" s="67"/>
      <c r="D193" s="67"/>
      <c r="E193" s="67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68"/>
      <c r="Q193" s="56"/>
      <c r="R193" s="56"/>
      <c r="S193" s="56"/>
      <c r="T193" s="56"/>
      <c r="U193" s="68"/>
      <c r="V193" s="56"/>
      <c r="W193" s="56"/>
      <c r="X193" s="68"/>
      <c r="Y193" s="56"/>
      <c r="Z193" s="56"/>
      <c r="AA193" s="56"/>
      <c r="AB193" s="68"/>
      <c r="AD193" s="56"/>
      <c r="AE193" s="68"/>
      <c r="AG193" s="56"/>
      <c r="AH193" s="68"/>
      <c r="AJ193" s="56"/>
      <c r="AK193" s="68"/>
      <c r="AM193" s="56"/>
      <c r="AN193" s="68"/>
      <c r="AP193" s="56"/>
      <c r="AQ193" s="68"/>
    </row>
    <row r="194" spans="3:43" x14ac:dyDescent="0.2">
      <c r="C194" s="67"/>
      <c r="D194" s="67"/>
      <c r="E194" s="67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68"/>
      <c r="Q194" s="56"/>
      <c r="R194" s="56"/>
      <c r="S194" s="56"/>
      <c r="T194" s="56"/>
      <c r="U194" s="68"/>
      <c r="V194" s="56"/>
      <c r="W194" s="56"/>
      <c r="X194" s="68"/>
      <c r="Y194" s="56"/>
      <c r="Z194" s="56"/>
      <c r="AA194" s="56"/>
      <c r="AB194" s="68"/>
      <c r="AD194" s="56"/>
      <c r="AE194" s="68"/>
      <c r="AG194" s="56"/>
      <c r="AH194" s="68"/>
      <c r="AJ194" s="56"/>
      <c r="AK194" s="68"/>
      <c r="AM194" s="56"/>
      <c r="AN194" s="68"/>
      <c r="AP194" s="56"/>
      <c r="AQ194" s="68"/>
    </row>
    <row r="195" spans="3:43" x14ac:dyDescent="0.2">
      <c r="C195" s="67"/>
      <c r="D195" s="67"/>
      <c r="E195" s="67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68"/>
      <c r="Q195" s="56"/>
      <c r="R195" s="56"/>
      <c r="S195" s="56"/>
      <c r="T195" s="56"/>
      <c r="U195" s="68"/>
      <c r="V195" s="56"/>
      <c r="W195" s="56"/>
      <c r="X195" s="68"/>
      <c r="Y195" s="56"/>
      <c r="Z195" s="56"/>
      <c r="AA195" s="56"/>
      <c r="AB195" s="68"/>
      <c r="AD195" s="56"/>
      <c r="AE195" s="68"/>
      <c r="AG195" s="56"/>
      <c r="AH195" s="68"/>
      <c r="AJ195" s="56"/>
      <c r="AK195" s="68"/>
      <c r="AM195" s="56"/>
      <c r="AN195" s="68"/>
      <c r="AP195" s="56"/>
      <c r="AQ195" s="68"/>
    </row>
    <row r="196" spans="3:43" x14ac:dyDescent="0.2">
      <c r="C196" s="67"/>
      <c r="D196" s="67"/>
      <c r="E196" s="67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68"/>
      <c r="Q196" s="56"/>
      <c r="R196" s="56"/>
      <c r="S196" s="56"/>
      <c r="T196" s="56"/>
      <c r="U196" s="68"/>
      <c r="V196" s="56"/>
      <c r="W196" s="56"/>
      <c r="X196" s="68"/>
      <c r="Y196" s="56"/>
      <c r="Z196" s="56"/>
      <c r="AA196" s="56"/>
      <c r="AB196" s="68"/>
      <c r="AD196" s="56"/>
      <c r="AE196" s="68"/>
      <c r="AG196" s="56"/>
      <c r="AH196" s="68"/>
      <c r="AJ196" s="56"/>
      <c r="AK196" s="68"/>
      <c r="AM196" s="56"/>
      <c r="AN196" s="68"/>
      <c r="AP196" s="56"/>
      <c r="AQ196" s="68"/>
    </row>
    <row r="197" spans="3:43" x14ac:dyDescent="0.2">
      <c r="C197" s="67"/>
      <c r="D197" s="67"/>
      <c r="E197" s="67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68"/>
      <c r="Q197" s="56"/>
      <c r="R197" s="56"/>
      <c r="S197" s="56"/>
      <c r="T197" s="56"/>
      <c r="U197" s="68"/>
      <c r="V197" s="56"/>
      <c r="W197" s="56"/>
      <c r="X197" s="68"/>
      <c r="Y197" s="56"/>
      <c r="Z197" s="56"/>
      <c r="AA197" s="56"/>
      <c r="AB197" s="68"/>
      <c r="AD197" s="56"/>
      <c r="AE197" s="68"/>
      <c r="AG197" s="56"/>
      <c r="AH197" s="68"/>
      <c r="AJ197" s="56"/>
      <c r="AK197" s="68"/>
      <c r="AM197" s="56"/>
      <c r="AN197" s="68"/>
      <c r="AP197" s="56"/>
      <c r="AQ197" s="68"/>
    </row>
    <row r="198" spans="3:43" x14ac:dyDescent="0.2">
      <c r="C198" s="67"/>
      <c r="D198" s="67"/>
      <c r="E198" s="67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68"/>
      <c r="Q198" s="56"/>
      <c r="R198" s="56"/>
      <c r="S198" s="56"/>
      <c r="T198" s="56"/>
      <c r="U198" s="68"/>
      <c r="V198" s="56"/>
      <c r="W198" s="56"/>
      <c r="X198" s="68"/>
      <c r="Y198" s="56"/>
      <c r="Z198" s="56"/>
      <c r="AA198" s="56"/>
      <c r="AB198" s="68"/>
      <c r="AD198" s="56"/>
      <c r="AE198" s="68"/>
      <c r="AG198" s="56"/>
      <c r="AH198" s="68"/>
      <c r="AJ198" s="56"/>
      <c r="AK198" s="68"/>
      <c r="AM198" s="56"/>
      <c r="AN198" s="68"/>
      <c r="AP198" s="56"/>
      <c r="AQ198" s="68"/>
    </row>
    <row r="199" spans="3:43" x14ac:dyDescent="0.2">
      <c r="C199" s="67"/>
      <c r="D199" s="67"/>
      <c r="E199" s="67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68"/>
      <c r="Q199" s="56"/>
      <c r="R199" s="56"/>
      <c r="S199" s="56"/>
      <c r="T199" s="56"/>
      <c r="U199" s="68"/>
      <c r="V199" s="56"/>
      <c r="W199" s="56"/>
      <c r="X199" s="68"/>
      <c r="Y199" s="56"/>
      <c r="Z199" s="56"/>
      <c r="AA199" s="56"/>
      <c r="AB199" s="68"/>
      <c r="AD199" s="56"/>
      <c r="AE199" s="68"/>
      <c r="AG199" s="56"/>
      <c r="AH199" s="68"/>
      <c r="AJ199" s="56"/>
      <c r="AK199" s="68"/>
      <c r="AM199" s="56"/>
      <c r="AN199" s="68"/>
      <c r="AP199" s="56"/>
      <c r="AQ199" s="68"/>
    </row>
    <row r="200" spans="3:43" x14ac:dyDescent="0.2">
      <c r="C200" s="67"/>
      <c r="D200" s="67"/>
      <c r="E200" s="67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68"/>
      <c r="Q200" s="56"/>
      <c r="R200" s="56"/>
      <c r="S200" s="56"/>
      <c r="T200" s="56"/>
      <c r="U200" s="68"/>
      <c r="V200" s="56"/>
      <c r="W200" s="56"/>
      <c r="X200" s="68"/>
      <c r="Y200" s="56"/>
      <c r="Z200" s="56"/>
      <c r="AA200" s="56"/>
      <c r="AB200" s="68"/>
      <c r="AD200" s="56"/>
      <c r="AE200" s="68"/>
      <c r="AG200" s="56"/>
      <c r="AH200" s="68"/>
      <c r="AJ200" s="56"/>
      <c r="AK200" s="68"/>
      <c r="AM200" s="56"/>
      <c r="AN200" s="68"/>
      <c r="AP200" s="56"/>
      <c r="AQ200" s="68"/>
    </row>
    <row r="201" spans="3:43" x14ac:dyDescent="0.2">
      <c r="C201" s="67"/>
      <c r="D201" s="67"/>
      <c r="E201" s="67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68"/>
      <c r="Q201" s="56"/>
      <c r="R201" s="56"/>
      <c r="S201" s="56"/>
      <c r="T201" s="56"/>
      <c r="U201" s="68"/>
      <c r="V201" s="56"/>
      <c r="W201" s="56"/>
      <c r="X201" s="68"/>
      <c r="Y201" s="56"/>
      <c r="Z201" s="56"/>
      <c r="AA201" s="56"/>
      <c r="AB201" s="68"/>
      <c r="AD201" s="56"/>
      <c r="AE201" s="68"/>
      <c r="AG201" s="56"/>
      <c r="AH201" s="68"/>
      <c r="AJ201" s="56"/>
      <c r="AK201" s="68"/>
      <c r="AM201" s="56"/>
      <c r="AN201" s="68"/>
      <c r="AP201" s="56"/>
      <c r="AQ201" s="68"/>
    </row>
    <row r="202" spans="3:43" x14ac:dyDescent="0.2">
      <c r="C202" s="67"/>
      <c r="D202" s="67"/>
      <c r="E202" s="67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68"/>
      <c r="Q202" s="56"/>
      <c r="R202" s="56"/>
      <c r="S202" s="56"/>
      <c r="T202" s="56"/>
      <c r="U202" s="68"/>
      <c r="V202" s="56"/>
      <c r="W202" s="56"/>
      <c r="X202" s="68"/>
      <c r="Y202" s="56"/>
      <c r="Z202" s="56"/>
      <c r="AA202" s="56"/>
      <c r="AB202" s="68"/>
      <c r="AD202" s="56"/>
      <c r="AE202" s="68"/>
      <c r="AG202" s="56"/>
      <c r="AH202" s="68"/>
      <c r="AJ202" s="56"/>
      <c r="AK202" s="68"/>
      <c r="AM202" s="56"/>
      <c r="AN202" s="68"/>
      <c r="AP202" s="56"/>
      <c r="AQ202" s="68"/>
    </row>
    <row r="203" spans="3:43" x14ac:dyDescent="0.2">
      <c r="C203" s="67"/>
      <c r="D203" s="67"/>
      <c r="E203" s="67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68"/>
      <c r="Q203" s="56"/>
      <c r="R203" s="56"/>
      <c r="S203" s="56"/>
      <c r="T203" s="56"/>
      <c r="U203" s="68"/>
      <c r="V203" s="56"/>
      <c r="W203" s="56"/>
      <c r="X203" s="68"/>
      <c r="Y203" s="56"/>
      <c r="Z203" s="56"/>
      <c r="AA203" s="56"/>
      <c r="AB203" s="68"/>
      <c r="AD203" s="56"/>
      <c r="AE203" s="68"/>
      <c r="AG203" s="56"/>
      <c r="AH203" s="68"/>
      <c r="AJ203" s="56"/>
      <c r="AK203" s="68"/>
      <c r="AM203" s="56"/>
      <c r="AN203" s="68"/>
      <c r="AP203" s="56"/>
      <c r="AQ203" s="68"/>
    </row>
    <row r="204" spans="3:43" x14ac:dyDescent="0.2">
      <c r="C204" s="67"/>
      <c r="D204" s="67"/>
      <c r="E204" s="67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68"/>
      <c r="Q204" s="56"/>
      <c r="R204" s="56"/>
      <c r="S204" s="56"/>
      <c r="T204" s="56"/>
      <c r="U204" s="68"/>
      <c r="V204" s="56"/>
      <c r="W204" s="56"/>
      <c r="X204" s="68"/>
      <c r="Y204" s="56"/>
      <c r="Z204" s="56"/>
      <c r="AA204" s="56"/>
      <c r="AB204" s="68"/>
      <c r="AD204" s="56"/>
      <c r="AE204" s="68"/>
      <c r="AG204" s="56"/>
      <c r="AH204" s="68"/>
      <c r="AJ204" s="56"/>
      <c r="AK204" s="68"/>
      <c r="AM204" s="56"/>
      <c r="AN204" s="68"/>
      <c r="AP204" s="56"/>
      <c r="AQ204" s="68"/>
    </row>
    <row r="205" spans="3:43" x14ac:dyDescent="0.2">
      <c r="C205" s="67"/>
      <c r="D205" s="67"/>
      <c r="E205" s="67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68"/>
      <c r="Q205" s="56"/>
      <c r="R205" s="56"/>
      <c r="S205" s="56"/>
      <c r="T205" s="56"/>
      <c r="U205" s="68"/>
      <c r="V205" s="56"/>
      <c r="W205" s="56"/>
      <c r="X205" s="68"/>
      <c r="Y205" s="56"/>
      <c r="Z205" s="56"/>
      <c r="AA205" s="56"/>
      <c r="AB205" s="68"/>
      <c r="AD205" s="56"/>
      <c r="AE205" s="68"/>
      <c r="AG205" s="56"/>
      <c r="AH205" s="68"/>
      <c r="AJ205" s="56"/>
      <c r="AK205" s="68"/>
      <c r="AM205" s="56"/>
      <c r="AN205" s="68"/>
      <c r="AP205" s="56"/>
      <c r="AQ205" s="68"/>
    </row>
    <row r="206" spans="3:43" x14ac:dyDescent="0.2">
      <c r="C206" s="67"/>
      <c r="D206" s="67"/>
      <c r="E206" s="67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68"/>
      <c r="Q206" s="56"/>
      <c r="R206" s="56"/>
      <c r="S206" s="56"/>
      <c r="T206" s="56"/>
      <c r="U206" s="68"/>
      <c r="V206" s="56"/>
      <c r="W206" s="56"/>
      <c r="X206" s="68"/>
      <c r="Y206" s="56"/>
      <c r="Z206" s="56"/>
      <c r="AA206" s="56"/>
      <c r="AB206" s="68"/>
      <c r="AD206" s="56"/>
      <c r="AE206" s="68"/>
      <c r="AG206" s="56"/>
      <c r="AH206" s="68"/>
      <c r="AJ206" s="56"/>
      <c r="AK206" s="68"/>
      <c r="AM206" s="56"/>
      <c r="AN206" s="68"/>
      <c r="AP206" s="56"/>
      <c r="AQ206" s="68"/>
    </row>
    <row r="207" spans="3:43" x14ac:dyDescent="0.2">
      <c r="C207" s="67"/>
      <c r="D207" s="67"/>
      <c r="E207" s="67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68"/>
      <c r="Q207" s="56"/>
      <c r="R207" s="56"/>
      <c r="S207" s="56"/>
      <c r="T207" s="56"/>
      <c r="U207" s="68"/>
      <c r="V207" s="56"/>
      <c r="W207" s="56"/>
      <c r="X207" s="68"/>
      <c r="Y207" s="56"/>
      <c r="Z207" s="56"/>
      <c r="AA207" s="56"/>
      <c r="AB207" s="68"/>
      <c r="AD207" s="56"/>
      <c r="AE207" s="68"/>
      <c r="AG207" s="56"/>
      <c r="AH207" s="68"/>
      <c r="AJ207" s="56"/>
      <c r="AK207" s="68"/>
      <c r="AM207" s="56"/>
      <c r="AN207" s="68"/>
      <c r="AP207" s="56"/>
      <c r="AQ207" s="68"/>
    </row>
    <row r="208" spans="3:43" x14ac:dyDescent="0.2">
      <c r="C208" s="67"/>
      <c r="D208" s="67"/>
      <c r="E208" s="67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68"/>
      <c r="Q208" s="56"/>
      <c r="R208" s="56"/>
      <c r="S208" s="56"/>
      <c r="T208" s="56"/>
      <c r="U208" s="68"/>
      <c r="V208" s="56"/>
      <c r="W208" s="56"/>
      <c r="X208" s="68"/>
      <c r="Y208" s="56"/>
      <c r="Z208" s="56"/>
      <c r="AA208" s="56"/>
      <c r="AB208" s="68"/>
      <c r="AD208" s="56"/>
      <c r="AE208" s="68"/>
      <c r="AG208" s="56"/>
      <c r="AH208" s="68"/>
      <c r="AJ208" s="56"/>
      <c r="AK208" s="68"/>
      <c r="AM208" s="56"/>
      <c r="AN208" s="68"/>
      <c r="AP208" s="56"/>
      <c r="AQ208" s="68"/>
    </row>
    <row r="209" spans="3:43" x14ac:dyDescent="0.2">
      <c r="C209" s="67"/>
      <c r="D209" s="67"/>
      <c r="E209" s="67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68"/>
      <c r="Q209" s="56"/>
      <c r="R209" s="56"/>
      <c r="S209" s="56"/>
      <c r="T209" s="56"/>
      <c r="U209" s="68"/>
      <c r="V209" s="56"/>
      <c r="W209" s="56"/>
      <c r="X209" s="68"/>
      <c r="Y209" s="56"/>
      <c r="Z209" s="56"/>
      <c r="AA209" s="56"/>
      <c r="AB209" s="68"/>
      <c r="AD209" s="56"/>
      <c r="AE209" s="68"/>
      <c r="AG209" s="56"/>
      <c r="AH209" s="68"/>
      <c r="AJ209" s="56"/>
      <c r="AK209" s="68"/>
      <c r="AM209" s="56"/>
      <c r="AN209" s="68"/>
      <c r="AP209" s="56"/>
      <c r="AQ209" s="68"/>
    </row>
    <row r="210" spans="3:43" x14ac:dyDescent="0.2">
      <c r="C210" s="67"/>
      <c r="D210" s="67"/>
      <c r="E210" s="67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68"/>
      <c r="Q210" s="56"/>
      <c r="R210" s="56"/>
      <c r="S210" s="56"/>
      <c r="T210" s="56"/>
      <c r="U210" s="68"/>
      <c r="V210" s="56"/>
      <c r="W210" s="56"/>
      <c r="X210" s="68"/>
      <c r="Y210" s="56"/>
      <c r="Z210" s="56"/>
      <c r="AA210" s="56"/>
      <c r="AB210" s="68"/>
      <c r="AD210" s="56"/>
      <c r="AE210" s="68"/>
      <c r="AG210" s="56"/>
      <c r="AH210" s="68"/>
      <c r="AJ210" s="56"/>
      <c r="AK210" s="68"/>
      <c r="AM210" s="56"/>
      <c r="AN210" s="68"/>
      <c r="AP210" s="56"/>
      <c r="AQ210" s="68"/>
    </row>
    <row r="211" spans="3:43" x14ac:dyDescent="0.2">
      <c r="C211" s="67"/>
      <c r="D211" s="67"/>
      <c r="E211" s="67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68"/>
      <c r="Q211" s="56"/>
      <c r="R211" s="56"/>
      <c r="S211" s="56"/>
      <c r="T211" s="56"/>
      <c r="U211" s="68"/>
      <c r="V211" s="56"/>
      <c r="W211" s="56"/>
      <c r="X211" s="68"/>
      <c r="Y211" s="56"/>
      <c r="Z211" s="56"/>
      <c r="AA211" s="56"/>
      <c r="AB211" s="68"/>
      <c r="AD211" s="56"/>
      <c r="AE211" s="68"/>
      <c r="AG211" s="56"/>
      <c r="AH211" s="68"/>
      <c r="AJ211" s="56"/>
      <c r="AK211" s="68"/>
      <c r="AM211" s="56"/>
      <c r="AN211" s="68"/>
      <c r="AP211" s="56"/>
      <c r="AQ211" s="68"/>
    </row>
    <row r="212" spans="3:43" x14ac:dyDescent="0.2">
      <c r="C212" s="67"/>
      <c r="D212" s="67"/>
      <c r="E212" s="67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68"/>
      <c r="Q212" s="56"/>
      <c r="R212" s="56"/>
      <c r="S212" s="56"/>
      <c r="T212" s="56"/>
      <c r="U212" s="68"/>
      <c r="V212" s="56"/>
      <c r="W212" s="56"/>
      <c r="X212" s="68"/>
      <c r="Y212" s="56"/>
      <c r="Z212" s="56"/>
      <c r="AA212" s="56"/>
      <c r="AB212" s="68"/>
      <c r="AD212" s="56"/>
      <c r="AE212" s="68"/>
      <c r="AG212" s="56"/>
      <c r="AH212" s="68"/>
      <c r="AJ212" s="56"/>
      <c r="AK212" s="68"/>
      <c r="AM212" s="56"/>
      <c r="AN212" s="68"/>
      <c r="AP212" s="56"/>
      <c r="AQ212" s="68"/>
    </row>
    <row r="213" spans="3:43" x14ac:dyDescent="0.2">
      <c r="C213" s="67"/>
      <c r="D213" s="67"/>
      <c r="E213" s="67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68"/>
      <c r="Q213" s="56"/>
      <c r="R213" s="56"/>
      <c r="S213" s="56"/>
      <c r="T213" s="56"/>
      <c r="U213" s="68"/>
      <c r="V213" s="56"/>
      <c r="W213" s="56"/>
      <c r="X213" s="68"/>
      <c r="Y213" s="56"/>
      <c r="Z213" s="56"/>
      <c r="AA213" s="56"/>
      <c r="AB213" s="68"/>
      <c r="AD213" s="56"/>
      <c r="AE213" s="68"/>
      <c r="AG213" s="56"/>
      <c r="AH213" s="68"/>
      <c r="AJ213" s="56"/>
      <c r="AK213" s="68"/>
      <c r="AM213" s="56"/>
      <c r="AN213" s="68"/>
      <c r="AP213" s="56"/>
      <c r="AQ213" s="68"/>
    </row>
    <row r="214" spans="3:43" x14ac:dyDescent="0.2">
      <c r="C214" s="67"/>
      <c r="D214" s="67"/>
      <c r="E214" s="67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68"/>
      <c r="Q214" s="56"/>
      <c r="R214" s="56"/>
      <c r="S214" s="56"/>
      <c r="T214" s="56"/>
      <c r="U214" s="68"/>
      <c r="V214" s="56"/>
      <c r="W214" s="56"/>
      <c r="X214" s="68"/>
      <c r="Y214" s="56"/>
      <c r="Z214" s="56"/>
      <c r="AA214" s="56"/>
      <c r="AB214" s="68"/>
      <c r="AD214" s="56"/>
      <c r="AE214" s="68"/>
      <c r="AG214" s="56"/>
      <c r="AH214" s="68"/>
      <c r="AJ214" s="56"/>
      <c r="AK214" s="68"/>
      <c r="AM214" s="56"/>
      <c r="AN214" s="68"/>
      <c r="AP214" s="56"/>
      <c r="AQ214" s="68"/>
    </row>
    <row r="215" spans="3:43" x14ac:dyDescent="0.2">
      <c r="C215" s="67"/>
      <c r="D215" s="67"/>
      <c r="E215" s="67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68"/>
      <c r="Q215" s="56"/>
      <c r="R215" s="56"/>
      <c r="S215" s="56"/>
      <c r="T215" s="56"/>
      <c r="U215" s="68"/>
      <c r="V215" s="56"/>
      <c r="W215" s="56"/>
      <c r="X215" s="68"/>
      <c r="Y215" s="56"/>
      <c r="Z215" s="56"/>
      <c r="AA215" s="56"/>
      <c r="AB215" s="68"/>
      <c r="AD215" s="56"/>
      <c r="AE215" s="68"/>
      <c r="AG215" s="56"/>
      <c r="AH215" s="68"/>
      <c r="AJ215" s="56"/>
      <c r="AK215" s="68"/>
      <c r="AM215" s="56"/>
      <c r="AN215" s="68"/>
      <c r="AP215" s="56"/>
      <c r="AQ215" s="68"/>
    </row>
    <row r="216" spans="3:43" x14ac:dyDescent="0.2">
      <c r="C216" s="67"/>
      <c r="D216" s="67"/>
      <c r="E216" s="67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68"/>
      <c r="Q216" s="56"/>
      <c r="R216" s="56"/>
      <c r="S216" s="56"/>
      <c r="T216" s="56"/>
      <c r="U216" s="68"/>
      <c r="V216" s="56"/>
      <c r="W216" s="56"/>
      <c r="X216" s="68"/>
      <c r="Y216" s="56"/>
      <c r="Z216" s="56"/>
      <c r="AA216" s="56"/>
      <c r="AB216" s="68"/>
      <c r="AD216" s="56"/>
      <c r="AE216" s="68"/>
      <c r="AG216" s="56"/>
      <c r="AH216" s="68"/>
      <c r="AJ216" s="56"/>
      <c r="AK216" s="68"/>
      <c r="AM216" s="56"/>
      <c r="AN216" s="68"/>
      <c r="AP216" s="56"/>
      <c r="AQ216" s="68"/>
    </row>
    <row r="217" spans="3:43" x14ac:dyDescent="0.2">
      <c r="C217" s="67"/>
      <c r="D217" s="67"/>
      <c r="E217" s="67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68"/>
      <c r="Q217" s="56"/>
      <c r="R217" s="56"/>
      <c r="S217" s="56"/>
      <c r="T217" s="56"/>
      <c r="U217" s="68"/>
      <c r="V217" s="56"/>
      <c r="W217" s="56"/>
      <c r="X217" s="68"/>
      <c r="Y217" s="56"/>
      <c r="Z217" s="56"/>
      <c r="AA217" s="56"/>
      <c r="AB217" s="68"/>
      <c r="AD217" s="56"/>
      <c r="AE217" s="68"/>
      <c r="AG217" s="56"/>
      <c r="AH217" s="68"/>
      <c r="AJ217" s="56"/>
      <c r="AK217" s="68"/>
      <c r="AM217" s="56"/>
      <c r="AN217" s="68"/>
      <c r="AP217" s="56"/>
      <c r="AQ217" s="68"/>
    </row>
    <row r="218" spans="3:43" x14ac:dyDescent="0.2">
      <c r="C218" s="67"/>
      <c r="D218" s="67"/>
      <c r="E218" s="67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68"/>
      <c r="Q218" s="56"/>
      <c r="R218" s="56"/>
      <c r="S218" s="56"/>
      <c r="T218" s="56"/>
      <c r="U218" s="68"/>
      <c r="V218" s="56"/>
      <c r="W218" s="56"/>
      <c r="X218" s="68"/>
      <c r="Y218" s="56"/>
      <c r="Z218" s="56"/>
      <c r="AA218" s="56"/>
      <c r="AB218" s="68"/>
      <c r="AD218" s="56"/>
      <c r="AE218" s="68"/>
      <c r="AG218" s="56"/>
      <c r="AH218" s="68"/>
      <c r="AJ218" s="56"/>
      <c r="AK218" s="68"/>
      <c r="AM218" s="56"/>
      <c r="AN218" s="68"/>
      <c r="AP218" s="56"/>
      <c r="AQ218" s="68"/>
    </row>
    <row r="219" spans="3:43" x14ac:dyDescent="0.2">
      <c r="C219" s="67"/>
      <c r="D219" s="67"/>
      <c r="E219" s="67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68"/>
      <c r="Q219" s="56"/>
      <c r="R219" s="56"/>
      <c r="S219" s="56"/>
      <c r="T219" s="56"/>
      <c r="U219" s="68"/>
      <c r="V219" s="56"/>
      <c r="W219" s="56"/>
      <c r="X219" s="68"/>
      <c r="Y219" s="56"/>
      <c r="Z219" s="56"/>
      <c r="AA219" s="56"/>
      <c r="AB219" s="68"/>
      <c r="AD219" s="56"/>
      <c r="AE219" s="68"/>
      <c r="AG219" s="56"/>
      <c r="AH219" s="68"/>
      <c r="AJ219" s="56"/>
      <c r="AK219" s="68"/>
      <c r="AM219" s="56"/>
      <c r="AN219" s="68"/>
      <c r="AP219" s="56"/>
      <c r="AQ219" s="68"/>
    </row>
    <row r="220" spans="3:43" x14ac:dyDescent="0.2">
      <c r="C220" s="67"/>
      <c r="D220" s="67"/>
      <c r="E220" s="67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68"/>
      <c r="Q220" s="56"/>
      <c r="R220" s="56"/>
      <c r="S220" s="56"/>
      <c r="T220" s="56"/>
      <c r="U220" s="68"/>
      <c r="V220" s="56"/>
      <c r="W220" s="56"/>
      <c r="X220" s="68"/>
      <c r="Y220" s="56"/>
      <c r="Z220" s="56"/>
      <c r="AA220" s="56"/>
      <c r="AB220" s="68"/>
      <c r="AD220" s="56"/>
      <c r="AE220" s="68"/>
      <c r="AG220" s="56"/>
      <c r="AH220" s="68"/>
      <c r="AJ220" s="56"/>
      <c r="AK220" s="68"/>
      <c r="AM220" s="56"/>
      <c r="AN220" s="68"/>
      <c r="AP220" s="56"/>
      <c r="AQ220" s="68"/>
    </row>
    <row r="221" spans="3:43" x14ac:dyDescent="0.2">
      <c r="C221" s="67"/>
      <c r="D221" s="67"/>
      <c r="E221" s="67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68"/>
      <c r="Q221" s="56"/>
      <c r="R221" s="56"/>
      <c r="S221" s="56"/>
      <c r="T221" s="56"/>
      <c r="U221" s="68"/>
      <c r="V221" s="56"/>
      <c r="W221" s="56"/>
      <c r="X221" s="68"/>
      <c r="Y221" s="56"/>
      <c r="Z221" s="56"/>
      <c r="AA221" s="56"/>
      <c r="AB221" s="68"/>
      <c r="AD221" s="56"/>
      <c r="AE221" s="68"/>
      <c r="AG221" s="56"/>
      <c r="AH221" s="68"/>
      <c r="AJ221" s="56"/>
      <c r="AK221" s="68"/>
      <c r="AM221" s="56"/>
      <c r="AN221" s="68"/>
      <c r="AP221" s="56"/>
      <c r="AQ221" s="68"/>
    </row>
    <row r="222" spans="3:43" x14ac:dyDescent="0.2">
      <c r="C222" s="67"/>
      <c r="D222" s="67"/>
      <c r="E222" s="67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68"/>
      <c r="Q222" s="56"/>
      <c r="R222" s="56"/>
      <c r="S222" s="56"/>
      <c r="T222" s="56"/>
      <c r="U222" s="68"/>
      <c r="V222" s="56"/>
      <c r="W222" s="56"/>
      <c r="X222" s="68"/>
      <c r="Y222" s="56"/>
      <c r="Z222" s="56"/>
      <c r="AA222" s="56"/>
      <c r="AB222" s="68"/>
      <c r="AD222" s="56"/>
      <c r="AE222" s="68"/>
      <c r="AG222" s="56"/>
      <c r="AH222" s="68"/>
      <c r="AJ222" s="56"/>
      <c r="AK222" s="68"/>
      <c r="AM222" s="56"/>
      <c r="AN222" s="68"/>
      <c r="AP222" s="56"/>
      <c r="AQ222" s="68"/>
    </row>
    <row r="223" spans="3:43" x14ac:dyDescent="0.2">
      <c r="C223" s="67"/>
      <c r="D223" s="67"/>
      <c r="E223" s="67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68"/>
      <c r="Q223" s="56"/>
      <c r="R223" s="56"/>
      <c r="S223" s="56"/>
      <c r="T223" s="56"/>
      <c r="U223" s="68"/>
      <c r="V223" s="56"/>
      <c r="W223" s="56"/>
      <c r="X223" s="68"/>
      <c r="Y223" s="56"/>
      <c r="Z223" s="56"/>
      <c r="AA223" s="56"/>
      <c r="AB223" s="68"/>
      <c r="AD223" s="56"/>
      <c r="AE223" s="68"/>
      <c r="AG223" s="56"/>
      <c r="AH223" s="68"/>
      <c r="AJ223" s="56"/>
      <c r="AK223" s="68"/>
      <c r="AM223" s="56"/>
      <c r="AN223" s="68"/>
      <c r="AP223" s="56"/>
      <c r="AQ223" s="68"/>
    </row>
    <row r="224" spans="3:43" x14ac:dyDescent="0.2">
      <c r="C224" s="67"/>
      <c r="D224" s="67"/>
      <c r="E224" s="67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68"/>
      <c r="Q224" s="56"/>
      <c r="R224" s="56"/>
      <c r="S224" s="56"/>
      <c r="T224" s="56"/>
      <c r="U224" s="68"/>
      <c r="V224" s="56"/>
      <c r="W224" s="56"/>
      <c r="X224" s="68"/>
      <c r="Y224" s="56"/>
      <c r="Z224" s="56"/>
      <c r="AA224" s="56"/>
      <c r="AB224" s="68"/>
      <c r="AD224" s="56"/>
      <c r="AE224" s="68"/>
      <c r="AG224" s="56"/>
      <c r="AH224" s="68"/>
      <c r="AJ224" s="56"/>
      <c r="AK224" s="68"/>
      <c r="AM224" s="56"/>
      <c r="AN224" s="68"/>
      <c r="AP224" s="56"/>
      <c r="AQ224" s="68"/>
    </row>
    <row r="225" spans="3:43" x14ac:dyDescent="0.2">
      <c r="C225" s="67"/>
      <c r="D225" s="67"/>
      <c r="E225" s="67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68"/>
      <c r="Q225" s="56"/>
      <c r="R225" s="56"/>
      <c r="S225" s="56"/>
      <c r="T225" s="56"/>
      <c r="U225" s="68"/>
      <c r="V225" s="56"/>
      <c r="W225" s="56"/>
      <c r="X225" s="68"/>
      <c r="Y225" s="56"/>
      <c r="Z225" s="56"/>
      <c r="AA225" s="56"/>
      <c r="AB225" s="68"/>
      <c r="AD225" s="56"/>
      <c r="AE225" s="68"/>
      <c r="AG225" s="56"/>
      <c r="AH225" s="68"/>
      <c r="AJ225" s="56"/>
      <c r="AK225" s="68"/>
      <c r="AM225" s="56"/>
      <c r="AN225" s="68"/>
      <c r="AP225" s="56"/>
      <c r="AQ225" s="68"/>
    </row>
    <row r="226" spans="3:43" x14ac:dyDescent="0.2">
      <c r="C226" s="67"/>
      <c r="D226" s="67"/>
      <c r="E226" s="67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68"/>
      <c r="Q226" s="56"/>
      <c r="R226" s="56"/>
      <c r="S226" s="56"/>
      <c r="T226" s="56"/>
      <c r="U226" s="68"/>
      <c r="V226" s="56"/>
      <c r="W226" s="56"/>
      <c r="X226" s="68"/>
      <c r="Y226" s="56"/>
      <c r="Z226" s="56"/>
      <c r="AA226" s="56"/>
      <c r="AB226" s="68"/>
      <c r="AD226" s="56"/>
      <c r="AE226" s="68"/>
      <c r="AG226" s="56"/>
      <c r="AH226" s="68"/>
      <c r="AJ226" s="56"/>
      <c r="AK226" s="68"/>
      <c r="AM226" s="56"/>
      <c r="AN226" s="68"/>
      <c r="AP226" s="56"/>
      <c r="AQ226" s="68"/>
    </row>
    <row r="227" spans="3:43" x14ac:dyDescent="0.2">
      <c r="C227" s="67"/>
      <c r="D227" s="67"/>
      <c r="E227" s="67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68"/>
      <c r="Q227" s="56"/>
      <c r="R227" s="56"/>
      <c r="S227" s="56"/>
      <c r="T227" s="56"/>
      <c r="U227" s="68"/>
      <c r="V227" s="56"/>
      <c r="W227" s="56"/>
      <c r="X227" s="68"/>
      <c r="Y227" s="56"/>
      <c r="Z227" s="56"/>
      <c r="AA227" s="56"/>
      <c r="AB227" s="68"/>
      <c r="AD227" s="56"/>
      <c r="AE227" s="68"/>
      <c r="AG227" s="56"/>
      <c r="AH227" s="68"/>
      <c r="AJ227" s="56"/>
      <c r="AK227" s="68"/>
      <c r="AM227" s="56"/>
      <c r="AN227" s="68"/>
      <c r="AP227" s="56"/>
      <c r="AQ227" s="68"/>
    </row>
    <row r="228" spans="3:43" x14ac:dyDescent="0.2">
      <c r="C228" s="67"/>
      <c r="D228" s="67"/>
      <c r="E228" s="67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68"/>
      <c r="Q228" s="56"/>
      <c r="R228" s="56"/>
      <c r="S228" s="56"/>
      <c r="T228" s="56"/>
      <c r="U228" s="68"/>
      <c r="V228" s="56"/>
      <c r="W228" s="56"/>
      <c r="X228" s="68"/>
      <c r="Y228" s="56"/>
      <c r="Z228" s="56"/>
      <c r="AA228" s="56"/>
      <c r="AB228" s="68"/>
      <c r="AD228" s="56"/>
      <c r="AE228" s="68"/>
      <c r="AG228" s="56"/>
      <c r="AH228" s="68"/>
      <c r="AJ228" s="56"/>
      <c r="AK228" s="68"/>
      <c r="AM228" s="56"/>
      <c r="AN228" s="68"/>
      <c r="AP228" s="56"/>
      <c r="AQ228" s="68"/>
    </row>
    <row r="229" spans="3:43" x14ac:dyDescent="0.2">
      <c r="C229" s="67"/>
      <c r="D229" s="67"/>
      <c r="E229" s="67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68"/>
      <c r="Q229" s="56"/>
      <c r="R229" s="56"/>
      <c r="S229" s="56"/>
      <c r="T229" s="56"/>
      <c r="U229" s="68"/>
      <c r="V229" s="56"/>
      <c r="W229" s="56"/>
      <c r="X229" s="68"/>
      <c r="Y229" s="56"/>
      <c r="Z229" s="56"/>
      <c r="AA229" s="56"/>
      <c r="AB229" s="68"/>
      <c r="AD229" s="56"/>
      <c r="AE229" s="68"/>
      <c r="AG229" s="56"/>
      <c r="AH229" s="68"/>
      <c r="AJ229" s="56"/>
      <c r="AK229" s="68"/>
      <c r="AM229" s="56"/>
      <c r="AN229" s="68"/>
      <c r="AP229" s="56"/>
      <c r="AQ229" s="68"/>
    </row>
    <row r="230" spans="3:43" x14ac:dyDescent="0.2">
      <c r="C230" s="67"/>
      <c r="D230" s="67"/>
      <c r="E230" s="67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68"/>
      <c r="Q230" s="56"/>
      <c r="R230" s="56"/>
      <c r="S230" s="56"/>
      <c r="T230" s="56"/>
      <c r="U230" s="68"/>
      <c r="V230" s="56"/>
      <c r="W230" s="56"/>
      <c r="X230" s="68"/>
      <c r="Y230" s="56"/>
      <c r="Z230" s="56"/>
      <c r="AA230" s="56"/>
      <c r="AB230" s="68"/>
      <c r="AD230" s="56"/>
      <c r="AE230" s="68"/>
      <c r="AG230" s="56"/>
      <c r="AH230" s="68"/>
      <c r="AJ230" s="56"/>
      <c r="AK230" s="68"/>
      <c r="AM230" s="56"/>
      <c r="AN230" s="68"/>
      <c r="AP230" s="56"/>
      <c r="AQ230" s="68"/>
    </row>
    <row r="231" spans="3:43" x14ac:dyDescent="0.2">
      <c r="C231" s="67"/>
      <c r="D231" s="67"/>
      <c r="E231" s="67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68"/>
      <c r="Q231" s="56"/>
      <c r="R231" s="56"/>
      <c r="S231" s="56"/>
      <c r="T231" s="56"/>
      <c r="U231" s="68"/>
      <c r="V231" s="56"/>
      <c r="W231" s="56"/>
      <c r="X231" s="68"/>
      <c r="Y231" s="56"/>
      <c r="Z231" s="56"/>
      <c r="AA231" s="56"/>
      <c r="AB231" s="68"/>
      <c r="AD231" s="56"/>
      <c r="AE231" s="68"/>
      <c r="AG231" s="56"/>
      <c r="AH231" s="68"/>
      <c r="AJ231" s="56"/>
      <c r="AK231" s="68"/>
      <c r="AM231" s="56"/>
      <c r="AN231" s="68"/>
      <c r="AP231" s="56"/>
      <c r="AQ231" s="68"/>
    </row>
    <row r="232" spans="3:43" x14ac:dyDescent="0.2">
      <c r="C232" s="67"/>
      <c r="D232" s="67"/>
      <c r="E232" s="67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68"/>
      <c r="Q232" s="56"/>
      <c r="R232" s="56"/>
      <c r="S232" s="56"/>
      <c r="T232" s="56"/>
      <c r="U232" s="68"/>
      <c r="V232" s="56"/>
      <c r="W232" s="56"/>
      <c r="X232" s="68"/>
      <c r="Y232" s="56"/>
      <c r="Z232" s="56"/>
      <c r="AA232" s="56"/>
      <c r="AB232" s="68"/>
      <c r="AD232" s="56"/>
      <c r="AE232" s="68"/>
      <c r="AG232" s="56"/>
      <c r="AH232" s="68"/>
      <c r="AJ232" s="56"/>
      <c r="AK232" s="68"/>
      <c r="AM232" s="56"/>
      <c r="AN232" s="68"/>
      <c r="AP232" s="56"/>
      <c r="AQ232" s="68"/>
    </row>
    <row r="233" spans="3:43" x14ac:dyDescent="0.2">
      <c r="C233" s="67"/>
      <c r="D233" s="67"/>
      <c r="E233" s="67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68"/>
      <c r="Q233" s="56"/>
      <c r="R233" s="56"/>
      <c r="S233" s="56"/>
      <c r="T233" s="56"/>
      <c r="U233" s="68"/>
      <c r="V233" s="56"/>
      <c r="W233" s="56"/>
      <c r="X233" s="68"/>
      <c r="Y233" s="56"/>
      <c r="Z233" s="56"/>
      <c r="AA233" s="56"/>
      <c r="AB233" s="68"/>
      <c r="AD233" s="56"/>
      <c r="AE233" s="68"/>
      <c r="AG233" s="56"/>
      <c r="AH233" s="68"/>
      <c r="AJ233" s="56"/>
      <c r="AK233" s="68"/>
      <c r="AM233" s="56"/>
      <c r="AN233" s="68"/>
      <c r="AP233" s="56"/>
      <c r="AQ233" s="68"/>
    </row>
    <row r="234" spans="3:43" x14ac:dyDescent="0.2">
      <c r="C234" s="67"/>
      <c r="D234" s="67"/>
      <c r="E234" s="67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68"/>
      <c r="Q234" s="56"/>
      <c r="R234" s="56"/>
      <c r="S234" s="56"/>
      <c r="T234" s="56"/>
      <c r="U234" s="68"/>
      <c r="V234" s="56"/>
      <c r="W234" s="56"/>
      <c r="X234" s="68"/>
      <c r="Y234" s="56"/>
      <c r="Z234" s="56"/>
      <c r="AA234" s="56"/>
      <c r="AB234" s="68"/>
      <c r="AD234" s="56"/>
      <c r="AE234" s="68"/>
      <c r="AG234" s="56"/>
      <c r="AH234" s="68"/>
      <c r="AJ234" s="56"/>
      <c r="AK234" s="68"/>
      <c r="AM234" s="56"/>
      <c r="AN234" s="68"/>
      <c r="AP234" s="56"/>
      <c r="AQ234" s="68"/>
    </row>
    <row r="235" spans="3:43" x14ac:dyDescent="0.2">
      <c r="C235" s="67"/>
      <c r="D235" s="67"/>
      <c r="E235" s="67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68"/>
      <c r="Q235" s="56"/>
      <c r="R235" s="56"/>
      <c r="S235" s="56"/>
      <c r="T235" s="56"/>
      <c r="U235" s="68"/>
      <c r="V235" s="56"/>
      <c r="W235" s="56"/>
      <c r="X235" s="68"/>
      <c r="Y235" s="56"/>
      <c r="Z235" s="56"/>
      <c r="AA235" s="56"/>
      <c r="AB235" s="68"/>
      <c r="AD235" s="56"/>
      <c r="AE235" s="68"/>
      <c r="AG235" s="56"/>
      <c r="AH235" s="68"/>
      <c r="AJ235" s="56"/>
      <c r="AK235" s="68"/>
      <c r="AM235" s="56"/>
      <c r="AN235" s="68"/>
      <c r="AP235" s="56"/>
      <c r="AQ235" s="68"/>
    </row>
    <row r="236" spans="3:43" x14ac:dyDescent="0.2">
      <c r="C236" s="67"/>
      <c r="D236" s="67"/>
      <c r="E236" s="67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68"/>
      <c r="Q236" s="56"/>
      <c r="R236" s="56"/>
      <c r="S236" s="56"/>
      <c r="T236" s="56"/>
      <c r="U236" s="68"/>
      <c r="V236" s="56"/>
      <c r="W236" s="56"/>
      <c r="X236" s="68"/>
      <c r="Y236" s="56"/>
      <c r="Z236" s="56"/>
      <c r="AA236" s="56"/>
      <c r="AB236" s="68"/>
      <c r="AD236" s="56"/>
      <c r="AE236" s="68"/>
      <c r="AG236" s="56"/>
      <c r="AH236" s="68"/>
      <c r="AJ236" s="56"/>
      <c r="AK236" s="68"/>
      <c r="AM236" s="56"/>
      <c r="AN236" s="68"/>
      <c r="AP236" s="56"/>
      <c r="AQ236" s="68"/>
    </row>
    <row r="237" spans="3:43" x14ac:dyDescent="0.2">
      <c r="C237" s="67"/>
      <c r="D237" s="67"/>
      <c r="E237" s="67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68"/>
      <c r="Q237" s="56"/>
      <c r="R237" s="56"/>
      <c r="S237" s="56"/>
      <c r="T237" s="56"/>
      <c r="U237" s="68"/>
      <c r="V237" s="56"/>
      <c r="W237" s="56"/>
      <c r="X237" s="68"/>
      <c r="Y237" s="56"/>
      <c r="Z237" s="56"/>
      <c r="AA237" s="56"/>
      <c r="AB237" s="68"/>
      <c r="AD237" s="56"/>
      <c r="AE237" s="68"/>
      <c r="AG237" s="56"/>
      <c r="AH237" s="68"/>
      <c r="AJ237" s="56"/>
      <c r="AK237" s="68"/>
      <c r="AM237" s="56"/>
      <c r="AN237" s="68"/>
      <c r="AP237" s="56"/>
      <c r="AQ237" s="68"/>
    </row>
    <row r="238" spans="3:43" x14ac:dyDescent="0.2">
      <c r="C238" s="67"/>
      <c r="D238" s="67"/>
      <c r="E238" s="67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68"/>
      <c r="Q238" s="56"/>
      <c r="R238" s="56"/>
      <c r="S238" s="56"/>
      <c r="T238" s="56"/>
      <c r="U238" s="68"/>
      <c r="V238" s="56"/>
      <c r="W238" s="56"/>
      <c r="X238" s="68"/>
      <c r="Y238" s="56"/>
      <c r="Z238" s="56"/>
      <c r="AA238" s="56"/>
      <c r="AB238" s="68"/>
      <c r="AD238" s="56"/>
      <c r="AE238" s="68"/>
      <c r="AG238" s="56"/>
      <c r="AH238" s="68"/>
      <c r="AJ238" s="56"/>
      <c r="AK238" s="68"/>
      <c r="AM238" s="56"/>
      <c r="AN238" s="68"/>
      <c r="AP238" s="56"/>
      <c r="AQ238" s="68"/>
    </row>
    <row r="239" spans="3:43" x14ac:dyDescent="0.2">
      <c r="C239" s="67"/>
      <c r="D239" s="67"/>
      <c r="E239" s="67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68"/>
      <c r="Q239" s="56"/>
      <c r="R239" s="56"/>
      <c r="S239" s="56"/>
      <c r="T239" s="56"/>
      <c r="U239" s="68"/>
      <c r="V239" s="56"/>
      <c r="W239" s="56"/>
      <c r="X239" s="68"/>
      <c r="Y239" s="56"/>
      <c r="Z239" s="56"/>
      <c r="AA239" s="56"/>
      <c r="AB239" s="68"/>
      <c r="AD239" s="56"/>
      <c r="AE239" s="68"/>
      <c r="AG239" s="56"/>
      <c r="AH239" s="68"/>
      <c r="AJ239" s="56"/>
      <c r="AK239" s="68"/>
      <c r="AM239" s="56"/>
      <c r="AN239" s="68"/>
      <c r="AP239" s="56"/>
      <c r="AQ239" s="68"/>
    </row>
    <row r="240" spans="3:43" x14ac:dyDescent="0.2">
      <c r="C240" s="67"/>
      <c r="D240" s="67"/>
      <c r="E240" s="67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68"/>
      <c r="Q240" s="56"/>
      <c r="R240" s="56"/>
      <c r="S240" s="56"/>
      <c r="T240" s="56"/>
      <c r="U240" s="68"/>
      <c r="V240" s="56"/>
      <c r="W240" s="56"/>
      <c r="X240" s="68"/>
      <c r="Y240" s="56"/>
      <c r="Z240" s="56"/>
      <c r="AA240" s="56"/>
      <c r="AB240" s="68"/>
      <c r="AD240" s="56"/>
      <c r="AE240" s="68"/>
      <c r="AG240" s="56"/>
      <c r="AH240" s="68"/>
      <c r="AJ240" s="56"/>
      <c r="AK240" s="68"/>
      <c r="AM240" s="56"/>
      <c r="AN240" s="68"/>
      <c r="AP240" s="56"/>
      <c r="AQ240" s="68"/>
    </row>
    <row r="241" spans="3:43" x14ac:dyDescent="0.2">
      <c r="C241" s="67"/>
      <c r="D241" s="67"/>
      <c r="E241" s="6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68"/>
      <c r="Q241" s="56"/>
      <c r="R241" s="56"/>
      <c r="S241" s="56"/>
      <c r="T241" s="56"/>
      <c r="U241" s="68"/>
      <c r="V241" s="56"/>
      <c r="W241" s="56"/>
      <c r="X241" s="68"/>
      <c r="Y241" s="56"/>
      <c r="Z241" s="56"/>
      <c r="AA241" s="56"/>
      <c r="AB241" s="68"/>
      <c r="AD241" s="56"/>
      <c r="AE241" s="68"/>
      <c r="AG241" s="56"/>
      <c r="AH241" s="68"/>
      <c r="AJ241" s="56"/>
      <c r="AK241" s="68"/>
      <c r="AM241" s="56"/>
      <c r="AN241" s="68"/>
      <c r="AP241" s="56"/>
      <c r="AQ241" s="68"/>
    </row>
    <row r="242" spans="3:43" x14ac:dyDescent="0.2">
      <c r="C242" s="67"/>
      <c r="D242" s="67"/>
      <c r="E242" s="67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68"/>
      <c r="Q242" s="56"/>
      <c r="R242" s="56"/>
      <c r="S242" s="56"/>
      <c r="T242" s="56"/>
      <c r="U242" s="68"/>
      <c r="V242" s="56"/>
      <c r="W242" s="56"/>
      <c r="X242" s="68"/>
      <c r="Y242" s="56"/>
      <c r="Z242" s="56"/>
      <c r="AA242" s="56"/>
      <c r="AB242" s="68"/>
      <c r="AD242" s="56"/>
      <c r="AE242" s="68"/>
      <c r="AG242" s="56"/>
      <c r="AH242" s="68"/>
      <c r="AJ242" s="56"/>
      <c r="AK242" s="68"/>
      <c r="AM242" s="56"/>
      <c r="AN242" s="68"/>
      <c r="AP242" s="56"/>
      <c r="AQ242" s="68"/>
    </row>
    <row r="243" spans="3:43" x14ac:dyDescent="0.2">
      <c r="C243" s="67"/>
      <c r="D243" s="67"/>
      <c r="E243" s="67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68"/>
      <c r="Q243" s="56"/>
      <c r="R243" s="56"/>
      <c r="S243" s="56"/>
      <c r="T243" s="56"/>
      <c r="U243" s="68"/>
      <c r="V243" s="56"/>
      <c r="W243" s="56"/>
      <c r="X243" s="68"/>
      <c r="Y243" s="56"/>
      <c r="Z243" s="56"/>
      <c r="AA243" s="56"/>
      <c r="AB243" s="68"/>
      <c r="AD243" s="56"/>
      <c r="AE243" s="68"/>
      <c r="AG243" s="56"/>
      <c r="AH243" s="68"/>
      <c r="AJ243" s="56"/>
      <c r="AK243" s="68"/>
      <c r="AM243" s="56"/>
      <c r="AN243" s="68"/>
      <c r="AP243" s="56"/>
      <c r="AQ243" s="68"/>
    </row>
    <row r="244" spans="3:43" x14ac:dyDescent="0.2">
      <c r="C244" s="67"/>
      <c r="D244" s="67"/>
      <c r="E244" s="67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68"/>
      <c r="Q244" s="56"/>
      <c r="R244" s="56"/>
      <c r="S244" s="56"/>
      <c r="T244" s="56"/>
      <c r="U244" s="68"/>
      <c r="V244" s="56"/>
      <c r="W244" s="56"/>
      <c r="X244" s="68"/>
      <c r="Y244" s="56"/>
      <c r="Z244" s="56"/>
      <c r="AA244" s="56"/>
      <c r="AB244" s="68"/>
      <c r="AD244" s="56"/>
      <c r="AE244" s="68"/>
      <c r="AG244" s="56"/>
      <c r="AH244" s="68"/>
      <c r="AJ244" s="56"/>
      <c r="AK244" s="68"/>
      <c r="AM244" s="56"/>
      <c r="AN244" s="68"/>
      <c r="AP244" s="56"/>
      <c r="AQ244" s="68"/>
    </row>
    <row r="245" spans="3:43" x14ac:dyDescent="0.2">
      <c r="C245" s="67"/>
      <c r="D245" s="67"/>
      <c r="E245" s="67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68"/>
      <c r="Q245" s="56"/>
      <c r="R245" s="56"/>
      <c r="S245" s="56"/>
      <c r="T245" s="56"/>
      <c r="U245" s="68"/>
      <c r="V245" s="56"/>
      <c r="W245" s="56"/>
      <c r="X245" s="68"/>
      <c r="Y245" s="56"/>
      <c r="Z245" s="56"/>
      <c r="AA245" s="56"/>
      <c r="AB245" s="68"/>
      <c r="AD245" s="56"/>
      <c r="AE245" s="68"/>
      <c r="AG245" s="56"/>
      <c r="AH245" s="68"/>
      <c r="AJ245" s="56"/>
      <c r="AK245" s="68"/>
      <c r="AM245" s="56"/>
      <c r="AN245" s="68"/>
      <c r="AP245" s="56"/>
      <c r="AQ245" s="68"/>
    </row>
  </sheetData>
  <mergeCells count="11">
    <mergeCell ref="D39:K39"/>
    <mergeCell ref="S39:Z39"/>
    <mergeCell ref="AL39:AT39"/>
    <mergeCell ref="C2:AU2"/>
    <mergeCell ref="B4:C4"/>
    <mergeCell ref="D36:K36"/>
    <mergeCell ref="S36:Z36"/>
    <mergeCell ref="AL36:AT36"/>
    <mergeCell ref="D38:K38"/>
    <mergeCell ref="S38:Z38"/>
    <mergeCell ref="AL38:AT38"/>
  </mergeCells>
  <printOptions horizontalCentered="1" verticalCentered="1"/>
  <pageMargins left="0" right="7.874015748031496E-2" top="0.78740157480314965" bottom="0.19685039370078741" header="0.39370078740157483" footer="0"/>
  <pageSetup paperSize="256" scale="67" fitToWidth="0" orientation="landscape" r:id="rId1"/>
  <headerFooter differentOddEven="1">
    <oddFooter xml:space="preserve"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K1" sqref="K1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6" width="17.7109375" style="156" hidden="1" customWidth="1"/>
    <col min="7" max="8" width="5.7109375" style="81" hidden="1" customWidth="1"/>
    <col min="9" max="10" width="14.28515625" style="81" hidden="1" customWidth="1"/>
    <col min="11" max="11" width="36.7109375" style="81" customWidth="1"/>
    <col min="12" max="12" width="14.140625" style="81" customWidth="1"/>
    <col min="13" max="13" width="5.7109375" style="81" hidden="1" customWidth="1"/>
    <col min="14" max="14" width="7" style="81" hidden="1" customWidth="1"/>
    <col min="15" max="15" width="16" style="81" bestFit="1" customWidth="1"/>
    <col min="16" max="16" width="5.85546875" style="81" hidden="1" customWidth="1"/>
    <col min="17" max="17" width="11.28515625" style="157" hidden="1" customWidth="1"/>
    <col min="18" max="18" width="17.42578125" style="81" customWidth="1"/>
    <col min="19" max="19" width="14" style="81" bestFit="1" customWidth="1"/>
    <col min="20" max="20" width="14.140625" style="81" customWidth="1"/>
    <col min="21" max="21" width="5.7109375" style="81" hidden="1" customWidth="1"/>
    <col min="22" max="22" width="11.28515625" style="157" hidden="1" customWidth="1"/>
    <col min="23" max="23" width="13.85546875" style="81" customWidth="1"/>
    <col min="24" max="24" width="5.7109375" style="81" hidden="1" customWidth="1"/>
    <col min="25" max="25" width="11.28515625" style="157" hidden="1" customWidth="1"/>
    <col min="26" max="26" width="20.5703125" style="81" hidden="1" customWidth="1"/>
    <col min="27" max="27" width="19.140625" style="81" customWidth="1"/>
    <col min="28" max="28" width="5.7109375" style="81" hidden="1" customWidth="1"/>
    <col min="29" max="29" width="11.28515625" style="157" hidden="1" customWidth="1"/>
    <col min="30" max="30" width="14.28515625" style="81" customWidth="1"/>
    <col min="31" max="31" width="5.7109375" style="81" hidden="1" customWidth="1"/>
    <col min="32" max="32" width="11.28515625" style="157" hidden="1" customWidth="1"/>
    <col min="33" max="33" width="17.5703125" style="139" customWidth="1"/>
    <col min="34" max="34" width="7.7109375" style="81" hidden="1" customWidth="1"/>
    <col min="35" max="35" width="11.28515625" style="157" hidden="1" customWidth="1"/>
    <col min="36" max="36" width="13.85546875" style="81" customWidth="1"/>
    <col min="37" max="37" width="5.85546875" style="81" hidden="1" customWidth="1"/>
    <col min="38" max="38" width="5.85546875" style="157" hidden="1" customWidth="1"/>
    <col min="39" max="39" width="13" style="139" customWidth="1"/>
    <col min="40" max="40" width="5.7109375" style="81" hidden="1" customWidth="1"/>
    <col min="41" max="41" width="11.28515625" style="157" hidden="1" customWidth="1"/>
    <col min="42" max="42" width="14.85546875" style="81" hidden="1" customWidth="1"/>
    <col min="43" max="43" width="5.7109375" style="81" hidden="1" customWidth="1"/>
    <col min="44" max="44" width="11.28515625" style="157" hidden="1" customWidth="1"/>
    <col min="45" max="45" width="15.5703125" style="81" hidden="1" customWidth="1"/>
    <col min="46" max="46" width="18.5703125" style="81" customWidth="1"/>
    <col min="47" max="47" width="19.28515625" style="81" customWidth="1"/>
    <col min="48" max="48" width="46.28515625" style="81" customWidth="1"/>
    <col min="49" max="49" width="14" style="81" hidden="1" customWidth="1"/>
    <col min="50" max="50" width="11.42578125" style="81" hidden="1" customWidth="1"/>
    <col min="51" max="51" width="15.28515625" style="81" hidden="1" customWidth="1"/>
    <col min="52" max="61" width="11.42578125" style="81" hidden="1" customWidth="1"/>
    <col min="62" max="62" width="10" style="81" hidden="1" customWidth="1"/>
    <col min="63" max="63" width="45.85546875" style="81" customWidth="1"/>
    <col min="64" max="66" width="11.42578125" style="81" customWidth="1"/>
    <col min="67" max="16384" width="11.42578125" style="81"/>
  </cols>
  <sheetData>
    <row r="1" spans="1:63" ht="15.75" x14ac:dyDescent="0.2">
      <c r="O1" s="138"/>
      <c r="P1" s="138"/>
      <c r="Q1" s="158"/>
      <c r="R1" s="138"/>
      <c r="S1" s="138"/>
    </row>
    <row r="2" spans="1:63" ht="35.25" customHeight="1" x14ac:dyDescent="0.2">
      <c r="C2" s="174" t="s">
        <v>140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</row>
    <row r="3" spans="1:63" s="82" customFormat="1" ht="9" thickBot="1" x14ac:dyDescent="0.25">
      <c r="A3" s="82">
        <v>1</v>
      </c>
      <c r="B3" s="82">
        <f>+A3+1</f>
        <v>2</v>
      </c>
      <c r="C3" s="82">
        <f t="shared" ref="C3:AU3" si="0">+B3+1</f>
        <v>3</v>
      </c>
      <c r="D3" s="82">
        <f t="shared" si="0"/>
        <v>4</v>
      </c>
      <c r="E3" s="82" t="e">
        <f>+#REF!+1</f>
        <v>#REF!</v>
      </c>
      <c r="F3" s="82" t="e">
        <f t="shared" si="0"/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J3" s="82" t="e">
        <f t="shared" si="0"/>
        <v>#REF!</v>
      </c>
      <c r="L3" s="82" t="e">
        <f>+J3+1</f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2" t="e">
        <f t="shared" si="0"/>
        <v>#REF!</v>
      </c>
      <c r="AG3" s="83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2" t="e">
        <f t="shared" si="0"/>
        <v>#REF!</v>
      </c>
      <c r="AM3" s="83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  <c r="AU3" s="82" t="e">
        <f t="shared" si="0"/>
        <v>#REF!</v>
      </c>
    </row>
    <row r="4" spans="1:63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4</v>
      </c>
      <c r="G4" s="87" t="s">
        <v>5</v>
      </c>
      <c r="H4" s="87" t="s">
        <v>6</v>
      </c>
      <c r="I4" s="87" t="s">
        <v>7</v>
      </c>
      <c r="J4" s="87" t="s">
        <v>8</v>
      </c>
      <c r="K4" s="7" t="s">
        <v>145</v>
      </c>
      <c r="L4" s="87" t="s">
        <v>9</v>
      </c>
      <c r="M4" s="87" t="s">
        <v>5</v>
      </c>
      <c r="N4" s="87" t="s">
        <v>6</v>
      </c>
      <c r="O4" s="88" t="s">
        <v>10</v>
      </c>
      <c r="P4" s="88" t="s">
        <v>5</v>
      </c>
      <c r="Q4" s="89" t="s">
        <v>6</v>
      </c>
      <c r="R4" s="88" t="s">
        <v>11</v>
      </c>
      <c r="S4" s="88" t="s">
        <v>12</v>
      </c>
      <c r="T4" s="88" t="s">
        <v>13</v>
      </c>
      <c r="U4" s="87" t="s">
        <v>5</v>
      </c>
      <c r="V4" s="90" t="s">
        <v>6</v>
      </c>
      <c r="W4" s="87" t="s">
        <v>14</v>
      </c>
      <c r="X4" s="91" t="s">
        <v>5</v>
      </c>
      <c r="Y4" s="92" t="s">
        <v>6</v>
      </c>
      <c r="Z4" s="88" t="s">
        <v>15</v>
      </c>
      <c r="AA4" s="7" t="s">
        <v>152</v>
      </c>
      <c r="AB4" s="87" t="s">
        <v>5</v>
      </c>
      <c r="AC4" s="90" t="s">
        <v>6</v>
      </c>
      <c r="AD4" s="87" t="s">
        <v>16</v>
      </c>
      <c r="AE4" s="87" t="s">
        <v>5</v>
      </c>
      <c r="AF4" s="90" t="s">
        <v>6</v>
      </c>
      <c r="AG4" s="88" t="s">
        <v>21</v>
      </c>
      <c r="AH4" s="87" t="s">
        <v>5</v>
      </c>
      <c r="AI4" s="90" t="s">
        <v>6</v>
      </c>
      <c r="AJ4" s="87" t="s">
        <v>18</v>
      </c>
      <c r="AK4" s="87" t="s">
        <v>5</v>
      </c>
      <c r="AL4" s="90" t="s">
        <v>6</v>
      </c>
      <c r="AM4" s="88" t="s">
        <v>19</v>
      </c>
      <c r="AN4" s="87" t="s">
        <v>5</v>
      </c>
      <c r="AO4" s="90" t="s">
        <v>6</v>
      </c>
      <c r="AP4" s="87" t="s">
        <v>20</v>
      </c>
      <c r="AQ4" s="91" t="s">
        <v>5</v>
      </c>
      <c r="AR4" s="92" t="s">
        <v>6</v>
      </c>
      <c r="AS4" s="88" t="s">
        <v>21</v>
      </c>
      <c r="AT4" s="7" t="s">
        <v>153</v>
      </c>
      <c r="AU4" s="7" t="s">
        <v>154</v>
      </c>
      <c r="AV4" s="93" t="s">
        <v>22</v>
      </c>
      <c r="AX4" s="94"/>
      <c r="AY4" s="94" t="s">
        <v>23</v>
      </c>
      <c r="AZ4" s="95" t="s">
        <v>24</v>
      </c>
      <c r="BA4" s="95" t="s">
        <v>25</v>
      </c>
      <c r="BB4" s="95" t="s">
        <v>26</v>
      </c>
      <c r="BC4" s="95" t="s">
        <v>27</v>
      </c>
      <c r="BD4" s="95" t="s">
        <v>28</v>
      </c>
      <c r="BE4" s="95" t="s">
        <v>29</v>
      </c>
      <c r="BF4" s="95" t="s">
        <v>30</v>
      </c>
      <c r="BG4" s="96"/>
      <c r="BH4" s="96"/>
      <c r="BI4" s="96"/>
      <c r="BJ4" s="94"/>
      <c r="BK4" s="93" t="s">
        <v>31</v>
      </c>
    </row>
    <row r="5" spans="1:63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0" t="s">
        <v>36</v>
      </c>
      <c r="G5" s="101" t="s">
        <v>37</v>
      </c>
      <c r="H5" s="101" t="s">
        <v>38</v>
      </c>
      <c r="I5" s="101">
        <v>15</v>
      </c>
      <c r="J5" s="101">
        <v>421.49</v>
      </c>
      <c r="K5" s="160" t="s">
        <v>146</v>
      </c>
      <c r="L5" s="101">
        <v>6572.35</v>
      </c>
      <c r="M5" s="101" t="s">
        <v>37</v>
      </c>
      <c r="N5" s="102">
        <v>1311</v>
      </c>
      <c r="O5" s="103">
        <f>134.58+33.65</f>
        <v>168.23000000000002</v>
      </c>
      <c r="P5" s="101" t="s">
        <v>37</v>
      </c>
      <c r="Q5" s="102">
        <v>1713</v>
      </c>
      <c r="R5" s="101">
        <v>351.5</v>
      </c>
      <c r="S5" s="103">
        <v>406.32</v>
      </c>
      <c r="T5" s="103">
        <f t="shared" ref="T5:T32" si="2">(L5*3%)</f>
        <v>197.1705</v>
      </c>
      <c r="U5" s="101" t="s">
        <v>37</v>
      </c>
      <c r="V5" s="102">
        <v>1712</v>
      </c>
      <c r="W5" s="104">
        <f t="shared" ref="W5:W32" si="3">(S5+T5)</f>
        <v>603.4905</v>
      </c>
      <c r="X5" s="101" t="s">
        <v>37</v>
      </c>
      <c r="Y5" s="102">
        <v>1345</v>
      </c>
      <c r="Z5" s="104">
        <v>0</v>
      </c>
      <c r="AA5" s="104">
        <f t="shared" ref="AA5:AA32" si="4">L5+O5+R5+W5+Z5</f>
        <v>7695.5704999999998</v>
      </c>
      <c r="AB5" s="101" t="s">
        <v>39</v>
      </c>
      <c r="AC5" s="102">
        <v>1431</v>
      </c>
      <c r="AD5" s="104">
        <f t="shared" ref="AD5:AD32" si="5">(L5*9.5%)</f>
        <v>624.3732500000001</v>
      </c>
      <c r="AE5" s="101" t="s">
        <v>39</v>
      </c>
      <c r="AF5" s="105" t="s">
        <v>40</v>
      </c>
      <c r="AG5" s="103">
        <v>395.77</v>
      </c>
      <c r="AH5" s="101" t="s">
        <v>39</v>
      </c>
      <c r="AI5" s="105" t="s">
        <v>41</v>
      </c>
      <c r="AJ5" s="103">
        <f t="shared" ref="AJ5:AJ32" si="6">+BF5</f>
        <v>1096.58</v>
      </c>
      <c r="AK5" s="101" t="s">
        <v>39</v>
      </c>
      <c r="AL5" s="105" t="s">
        <v>42</v>
      </c>
      <c r="AM5" s="103">
        <f t="shared" ref="AM5:AM10" si="7">(L5*1%)</f>
        <v>65.723500000000001</v>
      </c>
      <c r="AN5" s="101" t="s">
        <v>39</v>
      </c>
      <c r="AO5" s="105" t="s">
        <v>43</v>
      </c>
      <c r="AP5" s="103">
        <v>0</v>
      </c>
      <c r="AQ5" s="101" t="s">
        <v>39</v>
      </c>
      <c r="AR5" s="105">
        <v>1431</v>
      </c>
      <c r="AS5" s="103">
        <v>0</v>
      </c>
      <c r="AT5" s="104">
        <f t="shared" ref="AT5:AT32" si="8">(AD5+AG5+AJ5+AM5+AP5+AS5)</f>
        <v>2182.4467500000001</v>
      </c>
      <c r="AU5" s="106">
        <f t="shared" ref="AU5:AU32" si="9">(AA5-AT5)</f>
        <v>5513.1237499999997</v>
      </c>
      <c r="AV5" s="107"/>
      <c r="AW5" s="108"/>
      <c r="AX5" s="109">
        <f>+I5</f>
        <v>15</v>
      </c>
      <c r="AY5" s="109">
        <f>+L5+T5+O5+R5+S5+Z5</f>
        <v>7695.5704999999998</v>
      </c>
      <c r="AZ5" s="110">
        <f>IFERROR(+AY5/AX5,0)*AX5</f>
        <v>7695.5705000000007</v>
      </c>
      <c r="BA5" s="110">
        <f>IFERROR(+LOOKUP(AZ5,[12]TARIFAS!$A$4:$B$14,[12]TARIFAS!$A$4:$A$14),0)</f>
        <v>5081.41</v>
      </c>
      <c r="BB5" s="110">
        <f>+AZ5-BA5</f>
        <v>2614.1605000000009</v>
      </c>
      <c r="BC5" s="110">
        <f>IFERROR(+LOOKUP(AZ5,[12]TARIFAS!$A$4:$B$14,[12]TARIFAS!$D$4:$D$14),0)</f>
        <v>21.36</v>
      </c>
      <c r="BD5" s="110">
        <f>(+BB5*BC5)/100</f>
        <v>558.38468280000018</v>
      </c>
      <c r="BE5" s="110">
        <f>IFERROR(+LOOKUP(AZ5,[12]TARIFAS!$A$4:$B$14,[12]TARIFAS!$C$4:$C$14),0)</f>
        <v>538.20000000000005</v>
      </c>
      <c r="BF5" s="110">
        <f>ROUND(+BD5+BE5,2)</f>
        <v>1096.58</v>
      </c>
      <c r="BG5" s="110"/>
      <c r="BH5" s="110"/>
      <c r="BI5" s="110"/>
      <c r="BJ5" s="109"/>
    </row>
    <row r="6" spans="1:63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0" t="s">
        <v>47</v>
      </c>
      <c r="G6" s="101" t="s">
        <v>37</v>
      </c>
      <c r="H6" s="101" t="s">
        <v>38</v>
      </c>
      <c r="I6" s="101">
        <v>15</v>
      </c>
      <c r="J6" s="101">
        <v>421.49</v>
      </c>
      <c r="K6" s="160" t="s">
        <v>147</v>
      </c>
      <c r="L6" s="101">
        <v>6572.35</v>
      </c>
      <c r="M6" s="101" t="s">
        <v>37</v>
      </c>
      <c r="N6" s="102">
        <v>1311</v>
      </c>
      <c r="O6" s="103">
        <v>168.22500000000002</v>
      </c>
      <c r="P6" s="101" t="s">
        <v>37</v>
      </c>
      <c r="Q6" s="102">
        <v>1713</v>
      </c>
      <c r="R6" s="101">
        <v>351.5</v>
      </c>
      <c r="S6" s="103">
        <v>406.32</v>
      </c>
      <c r="T6" s="103">
        <f t="shared" si="2"/>
        <v>197.1705</v>
      </c>
      <c r="U6" s="101" t="s">
        <v>37</v>
      </c>
      <c r="V6" s="102">
        <v>1712</v>
      </c>
      <c r="W6" s="104">
        <f t="shared" si="3"/>
        <v>603.4905</v>
      </c>
      <c r="X6" s="101"/>
      <c r="Y6" s="102"/>
      <c r="Z6" s="104"/>
      <c r="AA6" s="104">
        <f t="shared" si="4"/>
        <v>7695.5655000000006</v>
      </c>
      <c r="AB6" s="101" t="s">
        <v>39</v>
      </c>
      <c r="AC6" s="102">
        <v>1431</v>
      </c>
      <c r="AD6" s="104">
        <f t="shared" si="5"/>
        <v>624.3732500000001</v>
      </c>
      <c r="AE6" s="101" t="s">
        <v>39</v>
      </c>
      <c r="AF6" s="105" t="s">
        <v>40</v>
      </c>
      <c r="AG6" s="103">
        <v>2529</v>
      </c>
      <c r="AH6" s="101" t="s">
        <v>39</v>
      </c>
      <c r="AI6" s="105" t="s">
        <v>41</v>
      </c>
      <c r="AJ6" s="103">
        <f t="shared" si="6"/>
        <v>1096.58</v>
      </c>
      <c r="AK6" s="101" t="s">
        <v>39</v>
      </c>
      <c r="AL6" s="105" t="s">
        <v>42</v>
      </c>
      <c r="AM6" s="103">
        <f t="shared" si="7"/>
        <v>65.723500000000001</v>
      </c>
      <c r="AN6" s="101" t="s">
        <v>39</v>
      </c>
      <c r="AO6" s="105" t="s">
        <v>43</v>
      </c>
      <c r="AP6" s="103">
        <v>0</v>
      </c>
      <c r="AQ6" s="101" t="s">
        <v>39</v>
      </c>
      <c r="AR6" s="105">
        <v>1431</v>
      </c>
      <c r="AS6" s="103">
        <v>0</v>
      </c>
      <c r="AT6" s="104">
        <f t="shared" si="8"/>
        <v>4315.6767500000005</v>
      </c>
      <c r="AU6" s="106">
        <f t="shared" si="9"/>
        <v>3379.8887500000001</v>
      </c>
      <c r="AV6" s="113"/>
      <c r="AW6" s="108"/>
      <c r="AX6" s="109">
        <f t="shared" ref="AX6:AX32" si="10">+I6</f>
        <v>15</v>
      </c>
      <c r="AY6" s="109">
        <f t="shared" ref="AY6:AY32" si="11">+L6+T6+O6+R6+S6+Z6</f>
        <v>7695.5655000000006</v>
      </c>
      <c r="AZ6" s="110">
        <f t="shared" ref="AZ6:AZ32" si="12">IFERROR(+AY6/AX6,0)*AX6</f>
        <v>7695.5655000000015</v>
      </c>
      <c r="BA6" s="110">
        <f>IFERROR(+LOOKUP(AZ6,[12]TARIFAS!$A$4:$B$14,[12]TARIFAS!$A$4:$A$14),0)</f>
        <v>5081.41</v>
      </c>
      <c r="BB6" s="110">
        <f t="shared" ref="BB6:BB32" si="13">+AZ6-BA6</f>
        <v>2614.1555000000017</v>
      </c>
      <c r="BC6" s="110">
        <f>IFERROR(+LOOKUP(AZ6,[12]TARIFAS!$A$4:$B$14,[12]TARIFAS!$D$4:$D$14),0)</f>
        <v>21.36</v>
      </c>
      <c r="BD6" s="110">
        <f t="shared" ref="BD6:BD32" si="14">(+BB6*BC6)/100</f>
        <v>558.38361480000037</v>
      </c>
      <c r="BE6" s="110">
        <f>IFERROR(+LOOKUP(AZ6,[12]TARIFAS!$A$4:$B$14,[12]TARIFAS!$C$4:$C$14),0)</f>
        <v>538.20000000000005</v>
      </c>
      <c r="BF6" s="110">
        <f t="shared" ref="BF6:BF32" si="15">ROUND(+BD6+BE6,2)</f>
        <v>1096.58</v>
      </c>
      <c r="BG6" s="110"/>
      <c r="BH6" s="110"/>
      <c r="BI6" s="110"/>
      <c r="BJ6" s="109"/>
    </row>
    <row r="7" spans="1:63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0" t="s">
        <v>47</v>
      </c>
      <c r="G7" s="101" t="s">
        <v>37</v>
      </c>
      <c r="H7" s="101" t="s">
        <v>38</v>
      </c>
      <c r="I7" s="101">
        <v>15</v>
      </c>
      <c r="J7" s="101">
        <v>504.21533333333332</v>
      </c>
      <c r="K7" s="160" t="s">
        <v>147</v>
      </c>
      <c r="L7" s="101">
        <v>7713.23</v>
      </c>
      <c r="M7" s="101" t="s">
        <v>37</v>
      </c>
      <c r="N7" s="102">
        <v>1311</v>
      </c>
      <c r="O7" s="103">
        <v>168.22500000000002</v>
      </c>
      <c r="P7" s="101" t="s">
        <v>37</v>
      </c>
      <c r="Q7" s="102">
        <v>1713</v>
      </c>
      <c r="R7" s="101">
        <v>282.08999999999997</v>
      </c>
      <c r="S7" s="103">
        <v>418.44</v>
      </c>
      <c r="T7" s="103">
        <f t="shared" si="2"/>
        <v>231.39689999999999</v>
      </c>
      <c r="U7" s="101" t="s">
        <v>37</v>
      </c>
      <c r="V7" s="102">
        <v>1712</v>
      </c>
      <c r="W7" s="104">
        <f t="shared" si="3"/>
        <v>649.83690000000001</v>
      </c>
      <c r="X7" s="101"/>
      <c r="Y7" s="102"/>
      <c r="Z7" s="104"/>
      <c r="AA7" s="104">
        <f t="shared" si="4"/>
        <v>8813.3819000000003</v>
      </c>
      <c r="AB7" s="101" t="s">
        <v>39</v>
      </c>
      <c r="AC7" s="102">
        <v>1431</v>
      </c>
      <c r="AD7" s="104">
        <f t="shared" si="5"/>
        <v>732.75684999999999</v>
      </c>
      <c r="AE7" s="101" t="s">
        <v>39</v>
      </c>
      <c r="AF7" s="105" t="s">
        <v>40</v>
      </c>
      <c r="AG7" s="103">
        <v>1158.5</v>
      </c>
      <c r="AH7" s="101" t="s">
        <v>39</v>
      </c>
      <c r="AI7" s="105" t="s">
        <v>41</v>
      </c>
      <c r="AJ7" s="103">
        <f t="shared" si="6"/>
        <v>1335.35</v>
      </c>
      <c r="AK7" s="101" t="s">
        <v>39</v>
      </c>
      <c r="AL7" s="105" t="s">
        <v>42</v>
      </c>
      <c r="AM7" s="103">
        <f t="shared" si="7"/>
        <v>77.132300000000001</v>
      </c>
      <c r="AN7" s="101" t="s">
        <v>39</v>
      </c>
      <c r="AO7" s="105" t="s">
        <v>43</v>
      </c>
      <c r="AP7" s="103">
        <v>0</v>
      </c>
      <c r="AQ7" s="101" t="s">
        <v>39</v>
      </c>
      <c r="AR7" s="105">
        <v>1431</v>
      </c>
      <c r="AS7" s="103">
        <v>0</v>
      </c>
      <c r="AT7" s="104">
        <f t="shared" si="8"/>
        <v>3303.7391500000003</v>
      </c>
      <c r="AU7" s="106">
        <f t="shared" si="9"/>
        <v>5509.64275</v>
      </c>
      <c r="AV7" s="113"/>
      <c r="AW7" s="108"/>
      <c r="AX7" s="109">
        <f t="shared" si="10"/>
        <v>15</v>
      </c>
      <c r="AY7" s="109">
        <f t="shared" si="11"/>
        <v>8813.3819000000003</v>
      </c>
      <c r="AZ7" s="110">
        <f t="shared" si="12"/>
        <v>8813.3819000000003</v>
      </c>
      <c r="BA7" s="110">
        <f>IFERROR(+LOOKUP(AZ7,[12]TARIFAS!$A$4:$B$14,[12]TARIFAS!$A$4:$A$14),0)</f>
        <v>5081.41</v>
      </c>
      <c r="BB7" s="110">
        <f t="shared" si="13"/>
        <v>3731.9719000000005</v>
      </c>
      <c r="BC7" s="110">
        <f>IFERROR(+LOOKUP(AZ7,[12]TARIFAS!$A$4:$B$14,[12]TARIFAS!$D$4:$D$14),0)</f>
        <v>21.36</v>
      </c>
      <c r="BD7" s="110">
        <f t="shared" si="14"/>
        <v>797.14919784000017</v>
      </c>
      <c r="BE7" s="110">
        <f>IFERROR(+LOOKUP(AZ7,[12]TARIFAS!$A$4:$B$14,[12]TARIFAS!$C$4:$C$14),0)</f>
        <v>538.20000000000005</v>
      </c>
      <c r="BF7" s="110">
        <f t="shared" si="15"/>
        <v>1335.35</v>
      </c>
      <c r="BG7" s="110"/>
      <c r="BH7" s="110"/>
      <c r="BI7" s="110"/>
      <c r="BJ7" s="109"/>
    </row>
    <row r="8" spans="1:63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0" t="s">
        <v>53</v>
      </c>
      <c r="G8" s="101" t="s">
        <v>37</v>
      </c>
      <c r="H8" s="101" t="s">
        <v>38</v>
      </c>
      <c r="I8" s="101">
        <v>15</v>
      </c>
      <c r="J8" s="101">
        <v>421.49</v>
      </c>
      <c r="K8" s="160" t="s">
        <v>148</v>
      </c>
      <c r="L8" s="101">
        <v>6572.35</v>
      </c>
      <c r="M8" s="101" t="s">
        <v>37</v>
      </c>
      <c r="N8" s="102">
        <v>1311</v>
      </c>
      <c r="O8" s="103">
        <v>201.87</v>
      </c>
      <c r="P8" s="101" t="s">
        <v>37</v>
      </c>
      <c r="Q8" s="102">
        <v>1713</v>
      </c>
      <c r="R8" s="101">
        <v>351.5</v>
      </c>
      <c r="S8" s="103">
        <v>406.32</v>
      </c>
      <c r="T8" s="103">
        <f t="shared" si="2"/>
        <v>197.1705</v>
      </c>
      <c r="U8" s="101" t="s">
        <v>37</v>
      </c>
      <c r="V8" s="102">
        <v>1712</v>
      </c>
      <c r="W8" s="104">
        <f t="shared" si="3"/>
        <v>603.4905</v>
      </c>
      <c r="X8" s="101"/>
      <c r="Y8" s="102"/>
      <c r="Z8" s="104"/>
      <c r="AA8" s="104">
        <f t="shared" si="4"/>
        <v>7729.2105000000001</v>
      </c>
      <c r="AB8" s="101" t="s">
        <v>39</v>
      </c>
      <c r="AC8" s="102">
        <v>1431</v>
      </c>
      <c r="AD8" s="104">
        <f t="shared" si="5"/>
        <v>624.3732500000001</v>
      </c>
      <c r="AE8" s="101" t="s">
        <v>39</v>
      </c>
      <c r="AF8" s="105" t="s">
        <v>40</v>
      </c>
      <c r="AG8" s="103">
        <v>1542</v>
      </c>
      <c r="AH8" s="101" t="s">
        <v>39</v>
      </c>
      <c r="AI8" s="105" t="s">
        <v>41</v>
      </c>
      <c r="AJ8" s="103">
        <f t="shared" si="6"/>
        <v>1103.77</v>
      </c>
      <c r="AK8" s="101" t="s">
        <v>39</v>
      </c>
      <c r="AL8" s="105" t="s">
        <v>42</v>
      </c>
      <c r="AM8" s="103">
        <f t="shared" si="7"/>
        <v>65.723500000000001</v>
      </c>
      <c r="AN8" s="101" t="s">
        <v>39</v>
      </c>
      <c r="AO8" s="105" t="s">
        <v>43</v>
      </c>
      <c r="AP8" s="103">
        <v>0</v>
      </c>
      <c r="AQ8" s="101" t="s">
        <v>39</v>
      </c>
      <c r="AR8" s="105">
        <v>1431</v>
      </c>
      <c r="AS8" s="103">
        <v>0</v>
      </c>
      <c r="AT8" s="104">
        <f t="shared" si="8"/>
        <v>3335.8667500000001</v>
      </c>
      <c r="AU8" s="106">
        <f t="shared" si="9"/>
        <v>4393.34375</v>
      </c>
      <c r="AV8" s="113"/>
      <c r="AW8" s="108"/>
      <c r="AX8" s="109">
        <f t="shared" si="10"/>
        <v>15</v>
      </c>
      <c r="AY8" s="109">
        <f t="shared" si="11"/>
        <v>7729.2105000000001</v>
      </c>
      <c r="AZ8" s="110">
        <f>IFERROR(+AY8/AX8,0)*AX8</f>
        <v>7729.2105000000001</v>
      </c>
      <c r="BA8" s="110">
        <f>IFERROR(+LOOKUP(AZ8,[12]TARIFAS!$A$4:$B$14,[12]TARIFAS!$A$4:$A$14),0)</f>
        <v>5081.41</v>
      </c>
      <c r="BB8" s="110">
        <f t="shared" si="13"/>
        <v>2647.8005000000003</v>
      </c>
      <c r="BC8" s="110">
        <f>IFERROR(+LOOKUP(AZ8,[12]TARIFAS!$A$4:$B$14,[12]TARIFAS!$D$4:$D$14),0)</f>
        <v>21.36</v>
      </c>
      <c r="BD8" s="110">
        <f t="shared" si="14"/>
        <v>565.57018679999999</v>
      </c>
      <c r="BE8" s="110">
        <f>IFERROR(+LOOKUP(AZ8,[12]TARIFAS!$A$4:$B$14,[12]TARIFAS!$C$4:$C$14),0)</f>
        <v>538.20000000000005</v>
      </c>
      <c r="BF8" s="110">
        <f t="shared" si="15"/>
        <v>1103.77</v>
      </c>
      <c r="BG8" s="110"/>
      <c r="BH8" s="110"/>
      <c r="BI8" s="110"/>
      <c r="BJ8" s="109"/>
    </row>
    <row r="9" spans="1:63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0" t="s">
        <v>47</v>
      </c>
      <c r="G9" s="101" t="s">
        <v>37</v>
      </c>
      <c r="H9" s="101" t="s">
        <v>38</v>
      </c>
      <c r="I9" s="101">
        <v>15</v>
      </c>
      <c r="J9" s="101">
        <v>504.21533333333332</v>
      </c>
      <c r="K9" s="160" t="s">
        <v>147</v>
      </c>
      <c r="L9" s="101">
        <v>7713.23</v>
      </c>
      <c r="M9" s="101" t="s">
        <v>37</v>
      </c>
      <c r="N9" s="102">
        <v>1311</v>
      </c>
      <c r="O9" s="103">
        <v>168.22500000000002</v>
      </c>
      <c r="P9" s="101" t="s">
        <v>37</v>
      </c>
      <c r="Q9" s="102">
        <v>1713</v>
      </c>
      <c r="R9" s="101">
        <v>282.08999999999997</v>
      </c>
      <c r="S9" s="103">
        <v>418.44</v>
      </c>
      <c r="T9" s="103">
        <f t="shared" si="2"/>
        <v>231.39689999999999</v>
      </c>
      <c r="U9" s="101" t="s">
        <v>37</v>
      </c>
      <c r="V9" s="102">
        <v>1712</v>
      </c>
      <c r="W9" s="104">
        <f t="shared" si="3"/>
        <v>649.83690000000001</v>
      </c>
      <c r="X9" s="101"/>
      <c r="Y9" s="102"/>
      <c r="Z9" s="104"/>
      <c r="AA9" s="104">
        <f t="shared" si="4"/>
        <v>8813.3819000000003</v>
      </c>
      <c r="AB9" s="101" t="s">
        <v>39</v>
      </c>
      <c r="AC9" s="102">
        <v>1431</v>
      </c>
      <c r="AD9" s="104">
        <f t="shared" si="5"/>
        <v>732.75684999999999</v>
      </c>
      <c r="AE9" s="101" t="s">
        <v>39</v>
      </c>
      <c r="AF9" s="105" t="s">
        <v>40</v>
      </c>
      <c r="AG9" s="103">
        <v>0</v>
      </c>
      <c r="AH9" s="101" t="s">
        <v>39</v>
      </c>
      <c r="AI9" s="105" t="s">
        <v>41</v>
      </c>
      <c r="AJ9" s="103">
        <f t="shared" si="6"/>
        <v>1335.35</v>
      </c>
      <c r="AK9" s="101" t="s">
        <v>39</v>
      </c>
      <c r="AL9" s="105" t="s">
        <v>42</v>
      </c>
      <c r="AM9" s="103">
        <f t="shared" si="7"/>
        <v>77.132300000000001</v>
      </c>
      <c r="AN9" s="101" t="s">
        <v>39</v>
      </c>
      <c r="AO9" s="105" t="s">
        <v>43</v>
      </c>
      <c r="AP9" s="103">
        <v>0</v>
      </c>
      <c r="AQ9" s="101" t="s">
        <v>39</v>
      </c>
      <c r="AR9" s="105">
        <v>1431</v>
      </c>
      <c r="AS9" s="103">
        <v>0</v>
      </c>
      <c r="AT9" s="104">
        <f t="shared" si="8"/>
        <v>2145.2391500000003</v>
      </c>
      <c r="AU9" s="106">
        <f t="shared" si="9"/>
        <v>6668.14275</v>
      </c>
      <c r="AV9" s="113"/>
      <c r="AW9" s="108"/>
      <c r="AX9" s="109">
        <f t="shared" si="10"/>
        <v>15</v>
      </c>
      <c r="AY9" s="109">
        <f t="shared" si="11"/>
        <v>8813.3819000000003</v>
      </c>
      <c r="AZ9" s="110">
        <f>IFERROR(+AY9/AX9,0)*AX9</f>
        <v>8813.3819000000003</v>
      </c>
      <c r="BA9" s="110">
        <f>IFERROR(+LOOKUP(AZ9,[12]TARIFAS!$A$4:$B$14,[12]TARIFAS!$A$4:$A$14),0)</f>
        <v>5081.41</v>
      </c>
      <c r="BB9" s="110">
        <f t="shared" si="13"/>
        <v>3731.9719000000005</v>
      </c>
      <c r="BC9" s="110">
        <f>IFERROR(+LOOKUP(AZ9,[12]TARIFAS!$A$4:$B$14,[12]TARIFAS!$D$4:$D$14),0)</f>
        <v>21.36</v>
      </c>
      <c r="BD9" s="110">
        <f t="shared" si="14"/>
        <v>797.14919784000017</v>
      </c>
      <c r="BE9" s="110">
        <f>IFERROR(+LOOKUP(AZ9,[12]TARIFAS!$A$4:$B$14,[12]TARIFAS!$C$4:$C$14),0)</f>
        <v>538.20000000000005</v>
      </c>
      <c r="BF9" s="110">
        <f t="shared" si="15"/>
        <v>1335.35</v>
      </c>
      <c r="BG9" s="110"/>
      <c r="BH9" s="110"/>
      <c r="BI9" s="110"/>
      <c r="BJ9" s="109"/>
    </row>
    <row r="10" spans="1:63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0" t="s">
        <v>47</v>
      </c>
      <c r="G10" s="101" t="s">
        <v>37</v>
      </c>
      <c r="H10" s="101" t="s">
        <v>38</v>
      </c>
      <c r="I10" s="101">
        <v>15</v>
      </c>
      <c r="J10" s="101">
        <v>421.49</v>
      </c>
      <c r="K10" s="160" t="s">
        <v>147</v>
      </c>
      <c r="L10" s="101">
        <v>6572.35</v>
      </c>
      <c r="M10" s="101" t="s">
        <v>37</v>
      </c>
      <c r="N10" s="102">
        <v>1311</v>
      </c>
      <c r="O10" s="103">
        <v>201.87</v>
      </c>
      <c r="P10" s="101" t="s">
        <v>37</v>
      </c>
      <c r="Q10" s="102">
        <v>1713</v>
      </c>
      <c r="R10" s="101">
        <v>351.5</v>
      </c>
      <c r="S10" s="103">
        <v>406.32</v>
      </c>
      <c r="T10" s="103">
        <f t="shared" si="2"/>
        <v>197.1705</v>
      </c>
      <c r="U10" s="101" t="s">
        <v>37</v>
      </c>
      <c r="V10" s="102">
        <v>1712</v>
      </c>
      <c r="W10" s="104">
        <f t="shared" si="3"/>
        <v>603.4905</v>
      </c>
      <c r="X10" s="101"/>
      <c r="Y10" s="102"/>
      <c r="Z10" s="104"/>
      <c r="AA10" s="104">
        <f t="shared" si="4"/>
        <v>7729.2105000000001</v>
      </c>
      <c r="AB10" s="101" t="s">
        <v>39</v>
      </c>
      <c r="AC10" s="102">
        <v>1431</v>
      </c>
      <c r="AD10" s="104">
        <f t="shared" si="5"/>
        <v>624.3732500000001</v>
      </c>
      <c r="AE10" s="101" t="s">
        <v>39</v>
      </c>
      <c r="AF10" s="105" t="s">
        <v>40</v>
      </c>
      <c r="AG10" s="103">
        <v>2108</v>
      </c>
      <c r="AH10" s="101" t="s">
        <v>39</v>
      </c>
      <c r="AI10" s="105" t="s">
        <v>41</v>
      </c>
      <c r="AJ10" s="103">
        <f t="shared" si="6"/>
        <v>1103.77</v>
      </c>
      <c r="AK10" s="101" t="s">
        <v>39</v>
      </c>
      <c r="AL10" s="105" t="s">
        <v>42</v>
      </c>
      <c r="AM10" s="103">
        <f t="shared" si="7"/>
        <v>65.723500000000001</v>
      </c>
      <c r="AN10" s="101" t="s">
        <v>39</v>
      </c>
      <c r="AO10" s="105" t="s">
        <v>43</v>
      </c>
      <c r="AP10" s="103">
        <v>0</v>
      </c>
      <c r="AQ10" s="101" t="s">
        <v>39</v>
      </c>
      <c r="AR10" s="105">
        <v>1431</v>
      </c>
      <c r="AS10" s="103">
        <v>0</v>
      </c>
      <c r="AT10" s="104">
        <f t="shared" si="8"/>
        <v>3901.8667500000001</v>
      </c>
      <c r="AU10" s="106">
        <f t="shared" si="9"/>
        <v>3827.34375</v>
      </c>
      <c r="AV10" s="113"/>
      <c r="AW10" s="108"/>
      <c r="AX10" s="109">
        <f t="shared" si="10"/>
        <v>15</v>
      </c>
      <c r="AY10" s="109">
        <f t="shared" si="11"/>
        <v>7729.2105000000001</v>
      </c>
      <c r="AZ10" s="110">
        <f>IFERROR(+AY10/AX10,0)*AX10</f>
        <v>7729.2105000000001</v>
      </c>
      <c r="BA10" s="110">
        <f>IFERROR(+LOOKUP(AZ10,[12]TARIFAS!$A$4:$B$14,[12]TARIFAS!$A$4:$A$14),0)</f>
        <v>5081.41</v>
      </c>
      <c r="BB10" s="110">
        <f t="shared" si="13"/>
        <v>2647.8005000000003</v>
      </c>
      <c r="BC10" s="110">
        <f>IFERROR(+LOOKUP(AZ10,[12]TARIFAS!$A$4:$B$14,[12]TARIFAS!$D$4:$D$14),0)</f>
        <v>21.36</v>
      </c>
      <c r="BD10" s="110">
        <f t="shared" si="14"/>
        <v>565.57018679999999</v>
      </c>
      <c r="BE10" s="110">
        <f>IFERROR(+LOOKUP(AZ10,[12]TARIFAS!$A$4:$B$14,[12]TARIFAS!$C$4:$C$14),0)</f>
        <v>538.20000000000005</v>
      </c>
      <c r="BF10" s="110">
        <f t="shared" si="15"/>
        <v>1103.77</v>
      </c>
      <c r="BG10" s="110"/>
      <c r="BH10" s="110"/>
      <c r="BI10" s="110"/>
      <c r="BJ10" s="109"/>
    </row>
    <row r="11" spans="1:63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0" t="s">
        <v>60</v>
      </c>
      <c r="G11" s="101" t="s">
        <v>37</v>
      </c>
      <c r="H11" s="101" t="s">
        <v>38</v>
      </c>
      <c r="I11" s="101">
        <v>15</v>
      </c>
      <c r="J11" s="101">
        <v>325.036</v>
      </c>
      <c r="K11" s="160" t="s">
        <v>149</v>
      </c>
      <c r="L11" s="101">
        <v>5063.04</v>
      </c>
      <c r="M11" s="101" t="s">
        <v>37</v>
      </c>
      <c r="N11" s="102">
        <v>1311</v>
      </c>
      <c r="O11" s="103">
        <v>235.51499999999999</v>
      </c>
      <c r="P11" s="101" t="s">
        <v>37</v>
      </c>
      <c r="Q11" s="102">
        <v>1713</v>
      </c>
      <c r="R11" s="101">
        <v>207.91</v>
      </c>
      <c r="S11" s="103">
        <v>371.02</v>
      </c>
      <c r="T11" s="103">
        <f t="shared" si="2"/>
        <v>151.8912</v>
      </c>
      <c r="U11" s="101" t="s">
        <v>37</v>
      </c>
      <c r="V11" s="102">
        <v>1712</v>
      </c>
      <c r="W11" s="104">
        <f t="shared" si="3"/>
        <v>522.91120000000001</v>
      </c>
      <c r="X11" s="101"/>
      <c r="Y11" s="102"/>
      <c r="Z11" s="104"/>
      <c r="AA11" s="104">
        <f t="shared" si="4"/>
        <v>6029.3762000000006</v>
      </c>
      <c r="AB11" s="101" t="s">
        <v>39</v>
      </c>
      <c r="AC11" s="102">
        <v>1431</v>
      </c>
      <c r="AD11" s="104">
        <f t="shared" si="5"/>
        <v>480.98880000000003</v>
      </c>
      <c r="AE11" s="101" t="s">
        <v>39</v>
      </c>
      <c r="AF11" s="105" t="s">
        <v>40</v>
      </c>
      <c r="AG11" s="103">
        <v>0</v>
      </c>
      <c r="AH11" s="101" t="s">
        <v>39</v>
      </c>
      <c r="AI11" s="105" t="s">
        <v>41</v>
      </c>
      <c r="AJ11" s="103">
        <f t="shared" si="6"/>
        <v>740.69</v>
      </c>
      <c r="AK11" s="101" t="s">
        <v>39</v>
      </c>
      <c r="AL11" s="105" t="s">
        <v>42</v>
      </c>
      <c r="AM11" s="103">
        <v>0</v>
      </c>
      <c r="AN11" s="101" t="s">
        <v>39</v>
      </c>
      <c r="AO11" s="105" t="s">
        <v>43</v>
      </c>
      <c r="AP11" s="103">
        <v>0</v>
      </c>
      <c r="AQ11" s="101" t="s">
        <v>39</v>
      </c>
      <c r="AR11" s="105">
        <v>1431</v>
      </c>
      <c r="AS11" s="103">
        <v>0</v>
      </c>
      <c r="AT11" s="104">
        <f t="shared" si="8"/>
        <v>1221.6788000000001</v>
      </c>
      <c r="AU11" s="106">
        <f t="shared" si="9"/>
        <v>4807.6974000000009</v>
      </c>
      <c r="AV11" s="113"/>
      <c r="AW11" s="108"/>
      <c r="AX11" s="109">
        <f t="shared" si="10"/>
        <v>15</v>
      </c>
      <c r="AY11" s="109">
        <f t="shared" si="11"/>
        <v>6029.3762000000006</v>
      </c>
      <c r="AZ11" s="110">
        <f t="shared" si="12"/>
        <v>6029.3762000000006</v>
      </c>
      <c r="BA11" s="110">
        <f>IFERROR(+LOOKUP(AZ11,[12]TARIFAS!$A$4:$B$14,[12]TARIFAS!$A$4:$A$14),0)</f>
        <v>5081.41</v>
      </c>
      <c r="BB11" s="110">
        <f t="shared" si="13"/>
        <v>947.96620000000075</v>
      </c>
      <c r="BC11" s="110">
        <f>IFERROR(+LOOKUP(AZ11,[12]TARIFAS!$A$4:$B$14,[12]TARIFAS!$D$4:$D$14),0)</f>
        <v>21.36</v>
      </c>
      <c r="BD11" s="110">
        <f t="shared" si="14"/>
        <v>202.48558032000017</v>
      </c>
      <c r="BE11" s="110">
        <f>IFERROR(+LOOKUP(AZ11,[12]TARIFAS!$A$4:$B$14,[12]TARIFAS!$C$4:$C$14),0)</f>
        <v>538.20000000000005</v>
      </c>
      <c r="BF11" s="110">
        <f t="shared" si="15"/>
        <v>740.69</v>
      </c>
      <c r="BG11" s="110"/>
      <c r="BH11" s="110"/>
      <c r="BI11" s="110"/>
      <c r="BJ11" s="109"/>
    </row>
    <row r="12" spans="1:63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0" t="s">
        <v>60</v>
      </c>
      <c r="G12" s="101" t="s">
        <v>37</v>
      </c>
      <c r="H12" s="101" t="s">
        <v>38</v>
      </c>
      <c r="I12" s="101">
        <v>15</v>
      </c>
      <c r="J12" s="101">
        <v>325.036</v>
      </c>
      <c r="K12" s="160" t="s">
        <v>149</v>
      </c>
      <c r="L12" s="101">
        <v>5063.04</v>
      </c>
      <c r="M12" s="101" t="s">
        <v>37</v>
      </c>
      <c r="N12" s="102">
        <v>1311</v>
      </c>
      <c r="O12" s="103">
        <v>201.87</v>
      </c>
      <c r="P12" s="101" t="s">
        <v>37</v>
      </c>
      <c r="Q12" s="102">
        <v>1713</v>
      </c>
      <c r="R12" s="101">
        <v>207.91</v>
      </c>
      <c r="S12" s="103">
        <v>371.02</v>
      </c>
      <c r="T12" s="103">
        <f t="shared" si="2"/>
        <v>151.8912</v>
      </c>
      <c r="U12" s="101" t="s">
        <v>37</v>
      </c>
      <c r="V12" s="102">
        <v>1712</v>
      </c>
      <c r="W12" s="104">
        <f t="shared" si="3"/>
        <v>522.91120000000001</v>
      </c>
      <c r="X12" s="101"/>
      <c r="Y12" s="102"/>
      <c r="Z12" s="104"/>
      <c r="AA12" s="104">
        <f t="shared" si="4"/>
        <v>5995.7312000000002</v>
      </c>
      <c r="AB12" s="101" t="s">
        <v>39</v>
      </c>
      <c r="AC12" s="102">
        <v>1431</v>
      </c>
      <c r="AD12" s="104">
        <f t="shared" si="5"/>
        <v>480.98880000000003</v>
      </c>
      <c r="AE12" s="101" t="s">
        <v>39</v>
      </c>
      <c r="AF12" s="105" t="s">
        <v>40</v>
      </c>
      <c r="AG12" s="103">
        <v>0</v>
      </c>
      <c r="AH12" s="101" t="s">
        <v>39</v>
      </c>
      <c r="AI12" s="105" t="s">
        <v>41</v>
      </c>
      <c r="AJ12" s="103">
        <f t="shared" si="6"/>
        <v>733.5</v>
      </c>
      <c r="AK12" s="101" t="s">
        <v>39</v>
      </c>
      <c r="AL12" s="105" t="s">
        <v>42</v>
      </c>
      <c r="AM12" s="103">
        <v>0</v>
      </c>
      <c r="AN12" s="101" t="s">
        <v>39</v>
      </c>
      <c r="AO12" s="105" t="s">
        <v>43</v>
      </c>
      <c r="AP12" s="103">
        <v>0</v>
      </c>
      <c r="AQ12" s="101" t="s">
        <v>39</v>
      </c>
      <c r="AR12" s="105">
        <v>1431</v>
      </c>
      <c r="AS12" s="103">
        <v>0</v>
      </c>
      <c r="AT12" s="104">
        <f t="shared" si="8"/>
        <v>1214.4888000000001</v>
      </c>
      <c r="AU12" s="106">
        <f t="shared" si="9"/>
        <v>4781.2424000000001</v>
      </c>
      <c r="AV12" s="113"/>
      <c r="AW12" s="108"/>
      <c r="AX12" s="109">
        <f t="shared" si="10"/>
        <v>15</v>
      </c>
      <c r="AY12" s="109">
        <f t="shared" si="11"/>
        <v>5995.7312000000002</v>
      </c>
      <c r="AZ12" s="110">
        <f t="shared" si="12"/>
        <v>5995.7312000000002</v>
      </c>
      <c r="BA12" s="110">
        <f>IFERROR(+LOOKUP(AZ12,[12]TARIFAS!$A$4:$B$14,[12]TARIFAS!$A$4:$A$14),0)</f>
        <v>5081.41</v>
      </c>
      <c r="BB12" s="110">
        <f t="shared" si="13"/>
        <v>914.32120000000032</v>
      </c>
      <c r="BC12" s="110">
        <f>IFERROR(+LOOKUP(AZ12,[12]TARIFAS!$A$4:$B$14,[12]TARIFAS!$D$4:$D$14),0)</f>
        <v>21.36</v>
      </c>
      <c r="BD12" s="110">
        <f t="shared" si="14"/>
        <v>195.29900832000007</v>
      </c>
      <c r="BE12" s="110">
        <f>IFERROR(+LOOKUP(AZ12,[12]TARIFAS!$A$4:$B$14,[12]TARIFAS!$C$4:$C$14),0)</f>
        <v>538.20000000000005</v>
      </c>
      <c r="BF12" s="110">
        <f t="shared" si="15"/>
        <v>733.5</v>
      </c>
      <c r="BG12" s="110"/>
      <c r="BH12" s="110"/>
      <c r="BI12" s="110"/>
      <c r="BJ12" s="109"/>
    </row>
    <row r="13" spans="1:63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0" t="s">
        <v>60</v>
      </c>
      <c r="G13" s="101" t="s">
        <v>37</v>
      </c>
      <c r="H13" s="101" t="s">
        <v>38</v>
      </c>
      <c r="I13" s="101">
        <v>15</v>
      </c>
      <c r="J13" s="101">
        <v>421.49</v>
      </c>
      <c r="K13" s="160" t="s">
        <v>149</v>
      </c>
      <c r="L13" s="101">
        <v>6572.35</v>
      </c>
      <c r="M13" s="101" t="s">
        <v>37</v>
      </c>
      <c r="N13" s="102">
        <v>1311</v>
      </c>
      <c r="O13" s="103">
        <v>235.51499999999999</v>
      </c>
      <c r="P13" s="101" t="s">
        <v>37</v>
      </c>
      <c r="Q13" s="102">
        <v>1713</v>
      </c>
      <c r="R13" s="101">
        <v>351.5</v>
      </c>
      <c r="S13" s="103">
        <v>406.32</v>
      </c>
      <c r="T13" s="103">
        <f t="shared" si="2"/>
        <v>197.1705</v>
      </c>
      <c r="U13" s="101" t="s">
        <v>37</v>
      </c>
      <c r="V13" s="102">
        <v>1712</v>
      </c>
      <c r="W13" s="104">
        <f t="shared" si="3"/>
        <v>603.4905</v>
      </c>
      <c r="X13" s="101"/>
      <c r="Y13" s="102"/>
      <c r="Z13" s="104"/>
      <c r="AA13" s="104">
        <f t="shared" si="4"/>
        <v>7762.8555000000006</v>
      </c>
      <c r="AB13" s="101" t="s">
        <v>39</v>
      </c>
      <c r="AC13" s="102">
        <v>1431</v>
      </c>
      <c r="AD13" s="104">
        <f t="shared" si="5"/>
        <v>624.3732500000001</v>
      </c>
      <c r="AE13" s="101" t="s">
        <v>39</v>
      </c>
      <c r="AF13" s="105" t="s">
        <v>40</v>
      </c>
      <c r="AG13" s="103">
        <v>0</v>
      </c>
      <c r="AH13" s="101" t="s">
        <v>39</v>
      </c>
      <c r="AI13" s="105" t="s">
        <v>41</v>
      </c>
      <c r="AJ13" s="103">
        <f t="shared" si="6"/>
        <v>1110.96</v>
      </c>
      <c r="AK13" s="101" t="s">
        <v>39</v>
      </c>
      <c r="AL13" s="105" t="s">
        <v>42</v>
      </c>
      <c r="AM13" s="103">
        <v>0</v>
      </c>
      <c r="AN13" s="101" t="s">
        <v>39</v>
      </c>
      <c r="AO13" s="105" t="s">
        <v>43</v>
      </c>
      <c r="AP13" s="103">
        <v>0</v>
      </c>
      <c r="AQ13" s="101" t="s">
        <v>39</v>
      </c>
      <c r="AR13" s="105">
        <v>1431</v>
      </c>
      <c r="AS13" s="103">
        <v>0</v>
      </c>
      <c r="AT13" s="104">
        <f t="shared" si="8"/>
        <v>1735.3332500000001</v>
      </c>
      <c r="AU13" s="106">
        <f t="shared" si="9"/>
        <v>6027.52225</v>
      </c>
      <c r="AV13" s="113"/>
      <c r="AW13" s="108"/>
      <c r="AX13" s="109">
        <f t="shared" si="10"/>
        <v>15</v>
      </c>
      <c r="AY13" s="109">
        <f t="shared" si="11"/>
        <v>7762.8555000000006</v>
      </c>
      <c r="AZ13" s="110">
        <f t="shared" si="12"/>
        <v>7762.8555000000015</v>
      </c>
      <c r="BA13" s="110">
        <f>IFERROR(+LOOKUP(AZ13,[12]TARIFAS!$A$4:$B$14,[12]TARIFAS!$A$4:$A$14),0)</f>
        <v>5081.41</v>
      </c>
      <c r="BB13" s="110">
        <f t="shared" si="13"/>
        <v>2681.4455000000016</v>
      </c>
      <c r="BC13" s="110">
        <f>IFERROR(+LOOKUP(AZ13,[12]TARIFAS!$A$4:$B$14,[12]TARIFAS!$D$4:$D$14),0)</f>
        <v>21.36</v>
      </c>
      <c r="BD13" s="110">
        <f t="shared" si="14"/>
        <v>572.75675880000028</v>
      </c>
      <c r="BE13" s="110">
        <f>IFERROR(+LOOKUP(AZ13,[12]TARIFAS!$A$4:$B$14,[12]TARIFAS!$C$4:$C$14),0)</f>
        <v>538.20000000000005</v>
      </c>
      <c r="BF13" s="110">
        <f t="shared" si="15"/>
        <v>1110.96</v>
      </c>
      <c r="BG13" s="110"/>
      <c r="BH13" s="110"/>
      <c r="BI13" s="110"/>
      <c r="BJ13" s="109"/>
    </row>
    <row r="14" spans="1:63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0" t="s">
        <v>47</v>
      </c>
      <c r="G14" s="101" t="s">
        <v>37</v>
      </c>
      <c r="H14" s="101" t="s">
        <v>38</v>
      </c>
      <c r="I14" s="101">
        <v>15</v>
      </c>
      <c r="J14" s="101">
        <v>1029.4333333333334</v>
      </c>
      <c r="K14" s="160" t="s">
        <v>147</v>
      </c>
      <c r="L14" s="101">
        <v>15441.5</v>
      </c>
      <c r="M14" s="101" t="s">
        <v>37</v>
      </c>
      <c r="N14" s="102">
        <v>1311</v>
      </c>
      <c r="O14" s="103">
        <v>0</v>
      </c>
      <c r="P14" s="101" t="s">
        <v>37</v>
      </c>
      <c r="Q14" s="102">
        <v>1713</v>
      </c>
      <c r="R14" s="103">
        <v>566.5</v>
      </c>
      <c r="S14" s="103">
        <v>835.5</v>
      </c>
      <c r="T14" s="103">
        <f t="shared" si="2"/>
        <v>463.245</v>
      </c>
      <c r="U14" s="101" t="s">
        <v>37</v>
      </c>
      <c r="V14" s="102">
        <v>1712</v>
      </c>
      <c r="W14" s="104">
        <f t="shared" si="3"/>
        <v>1298.7449999999999</v>
      </c>
      <c r="X14" s="101"/>
      <c r="Y14" s="102"/>
      <c r="Z14" s="104"/>
      <c r="AA14" s="104">
        <f t="shared" si="4"/>
        <v>17306.744999999999</v>
      </c>
      <c r="AB14" s="101" t="s">
        <v>39</v>
      </c>
      <c r="AC14" s="102">
        <v>1431</v>
      </c>
      <c r="AD14" s="104">
        <f t="shared" si="5"/>
        <v>1466.9425000000001</v>
      </c>
      <c r="AE14" s="101" t="s">
        <v>39</v>
      </c>
      <c r="AF14" s="105" t="s">
        <v>40</v>
      </c>
      <c r="AG14" s="103">
        <v>0</v>
      </c>
      <c r="AH14" s="101" t="s">
        <v>39</v>
      </c>
      <c r="AI14" s="105" t="s">
        <v>41</v>
      </c>
      <c r="AJ14" s="103">
        <f t="shared" si="6"/>
        <v>3376.71</v>
      </c>
      <c r="AK14" s="101" t="s">
        <v>39</v>
      </c>
      <c r="AL14" s="105" t="s">
        <v>42</v>
      </c>
      <c r="AM14" s="103">
        <v>0</v>
      </c>
      <c r="AN14" s="101" t="s">
        <v>39</v>
      </c>
      <c r="AO14" s="105" t="s">
        <v>43</v>
      </c>
      <c r="AP14" s="103">
        <v>0</v>
      </c>
      <c r="AQ14" s="101" t="s">
        <v>39</v>
      </c>
      <c r="AR14" s="105">
        <v>1431</v>
      </c>
      <c r="AS14" s="103">
        <v>0</v>
      </c>
      <c r="AT14" s="104">
        <f t="shared" si="8"/>
        <v>4843.6525000000001</v>
      </c>
      <c r="AU14" s="106">
        <f t="shared" si="9"/>
        <v>12463.092499999999</v>
      </c>
      <c r="AV14" s="113"/>
      <c r="AW14" s="108"/>
      <c r="AX14" s="109">
        <f t="shared" si="10"/>
        <v>15</v>
      </c>
      <c r="AY14" s="109">
        <f t="shared" si="11"/>
        <v>17306.745000000003</v>
      </c>
      <c r="AZ14" s="110">
        <f t="shared" si="12"/>
        <v>17306.745000000003</v>
      </c>
      <c r="BA14" s="110">
        <f>IFERROR(+LOOKUP(AZ14,[12]TARIFAS!$A$4:$B$14,[12]TARIFAS!$A$4:$A$14),0)</f>
        <v>16153.06</v>
      </c>
      <c r="BB14" s="110">
        <f t="shared" si="13"/>
        <v>1153.6850000000031</v>
      </c>
      <c r="BC14" s="110">
        <f>IFERROR(+LOOKUP(AZ14,[12]TARIFAS!$A$4:$B$14,[12]TARIFAS!$D$4:$D$14),0)</f>
        <v>30</v>
      </c>
      <c r="BD14" s="110">
        <f t="shared" si="14"/>
        <v>346.10550000000092</v>
      </c>
      <c r="BE14" s="110">
        <f>IFERROR(+LOOKUP(AZ14,[12]TARIFAS!$A$4:$B$14,[12]TARIFAS!$C$4:$C$14),0)</f>
        <v>3030.6</v>
      </c>
      <c r="BF14" s="110">
        <f t="shared" si="15"/>
        <v>3376.71</v>
      </c>
      <c r="BG14" s="110"/>
      <c r="BH14" s="110"/>
      <c r="BI14" s="110"/>
      <c r="BJ14" s="109"/>
    </row>
    <row r="15" spans="1:63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0" t="s">
        <v>47</v>
      </c>
      <c r="G15" s="101" t="s">
        <v>37</v>
      </c>
      <c r="H15" s="101" t="s">
        <v>38</v>
      </c>
      <c r="I15" s="101">
        <v>15</v>
      </c>
      <c r="J15" s="101">
        <v>325.036</v>
      </c>
      <c r="K15" s="160" t="s">
        <v>147</v>
      </c>
      <c r="L15" s="101">
        <v>5063.04</v>
      </c>
      <c r="M15" s="101" t="s">
        <v>37</v>
      </c>
      <c r="N15" s="102">
        <v>1311</v>
      </c>
      <c r="O15" s="115">
        <v>100.935</v>
      </c>
      <c r="P15" s="101" t="s">
        <v>37</v>
      </c>
      <c r="Q15" s="102">
        <v>1713</v>
      </c>
      <c r="R15" s="116">
        <v>207.91</v>
      </c>
      <c r="S15" s="115">
        <v>371.02</v>
      </c>
      <c r="T15" s="103">
        <f t="shared" si="2"/>
        <v>151.8912</v>
      </c>
      <c r="U15" s="101" t="s">
        <v>37</v>
      </c>
      <c r="V15" s="102">
        <v>1712</v>
      </c>
      <c r="W15" s="104">
        <f t="shared" si="3"/>
        <v>522.91120000000001</v>
      </c>
      <c r="X15" s="101"/>
      <c r="Y15" s="102"/>
      <c r="Z15" s="104"/>
      <c r="AA15" s="104">
        <f t="shared" si="4"/>
        <v>5894.7962000000007</v>
      </c>
      <c r="AB15" s="101" t="s">
        <v>39</v>
      </c>
      <c r="AC15" s="102">
        <v>1431</v>
      </c>
      <c r="AD15" s="104">
        <f t="shared" si="5"/>
        <v>480.98880000000003</v>
      </c>
      <c r="AE15" s="101" t="s">
        <v>39</v>
      </c>
      <c r="AF15" s="105" t="s">
        <v>40</v>
      </c>
      <c r="AG15" s="115">
        <v>0</v>
      </c>
      <c r="AH15" s="101" t="s">
        <v>39</v>
      </c>
      <c r="AI15" s="105" t="s">
        <v>41</v>
      </c>
      <c r="AJ15" s="103">
        <f t="shared" si="6"/>
        <v>711.94</v>
      </c>
      <c r="AK15" s="101" t="s">
        <v>39</v>
      </c>
      <c r="AL15" s="105" t="s">
        <v>42</v>
      </c>
      <c r="AM15" s="103">
        <f t="shared" ref="AM15:AM20" si="16">(L15*1%)</f>
        <v>50.630400000000002</v>
      </c>
      <c r="AN15" s="101" t="s">
        <v>39</v>
      </c>
      <c r="AO15" s="105" t="s">
        <v>43</v>
      </c>
      <c r="AP15" s="115">
        <v>0</v>
      </c>
      <c r="AQ15" s="101" t="s">
        <v>39</v>
      </c>
      <c r="AR15" s="105">
        <v>1431</v>
      </c>
      <c r="AS15" s="103">
        <v>0</v>
      </c>
      <c r="AT15" s="104">
        <f t="shared" si="8"/>
        <v>1243.5592000000001</v>
      </c>
      <c r="AU15" s="106">
        <f t="shared" si="9"/>
        <v>4651.237000000001</v>
      </c>
      <c r="AV15" s="117"/>
      <c r="AW15" s="108"/>
      <c r="AX15" s="109">
        <f t="shared" si="10"/>
        <v>15</v>
      </c>
      <c r="AY15" s="109">
        <f t="shared" si="11"/>
        <v>5894.7962000000007</v>
      </c>
      <c r="AZ15" s="110">
        <f t="shared" si="12"/>
        <v>5894.7962000000007</v>
      </c>
      <c r="BA15" s="110">
        <f>IFERROR(+LOOKUP(AZ15,[12]TARIFAS!$A$4:$B$14,[12]TARIFAS!$A$4:$A$14),0)</f>
        <v>5081.41</v>
      </c>
      <c r="BB15" s="110">
        <f t="shared" si="13"/>
        <v>813.38620000000083</v>
      </c>
      <c r="BC15" s="110">
        <f>IFERROR(+LOOKUP(AZ15,[12]TARIFAS!$A$4:$B$14,[12]TARIFAS!$D$4:$D$14),0)</f>
        <v>21.36</v>
      </c>
      <c r="BD15" s="110">
        <f t="shared" si="14"/>
        <v>173.73929232000017</v>
      </c>
      <c r="BE15" s="110">
        <f>IFERROR(+LOOKUP(AZ15,[12]TARIFAS!$A$4:$B$14,[12]TARIFAS!$C$4:$C$14),0)</f>
        <v>538.20000000000005</v>
      </c>
      <c r="BF15" s="110">
        <f t="shared" si="15"/>
        <v>711.94</v>
      </c>
      <c r="BG15" s="110"/>
      <c r="BH15" s="110"/>
      <c r="BI15" s="110"/>
      <c r="BJ15" s="109"/>
    </row>
    <row r="16" spans="1:63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0" t="s">
        <v>47</v>
      </c>
      <c r="G16" s="101" t="s">
        <v>37</v>
      </c>
      <c r="H16" s="101" t="s">
        <v>38</v>
      </c>
      <c r="I16" s="101">
        <v>15</v>
      </c>
      <c r="J16" s="101">
        <v>421.49</v>
      </c>
      <c r="K16" s="160" t="s">
        <v>147</v>
      </c>
      <c r="L16" s="101">
        <v>6572.35</v>
      </c>
      <c r="M16" s="101" t="s">
        <v>37</v>
      </c>
      <c r="N16" s="102">
        <v>1311</v>
      </c>
      <c r="O16" s="103">
        <v>100.935</v>
      </c>
      <c r="P16" s="101" t="s">
        <v>37</v>
      </c>
      <c r="Q16" s="102">
        <v>1713</v>
      </c>
      <c r="R16" s="101">
        <v>351.5</v>
      </c>
      <c r="S16" s="103">
        <v>406.32</v>
      </c>
      <c r="T16" s="103">
        <f t="shared" si="2"/>
        <v>197.1705</v>
      </c>
      <c r="U16" s="101" t="s">
        <v>37</v>
      </c>
      <c r="V16" s="102">
        <v>1712</v>
      </c>
      <c r="W16" s="104">
        <f t="shared" si="3"/>
        <v>603.4905</v>
      </c>
      <c r="X16" s="101"/>
      <c r="Y16" s="102"/>
      <c r="Z16" s="104"/>
      <c r="AA16" s="104">
        <f t="shared" si="4"/>
        <v>7628.2755000000006</v>
      </c>
      <c r="AB16" s="101" t="s">
        <v>39</v>
      </c>
      <c r="AC16" s="102">
        <v>1431</v>
      </c>
      <c r="AD16" s="104">
        <f t="shared" si="5"/>
        <v>624.3732500000001</v>
      </c>
      <c r="AE16" s="101" t="s">
        <v>39</v>
      </c>
      <c r="AF16" s="105" t="s">
        <v>40</v>
      </c>
      <c r="AG16" s="103">
        <v>411</v>
      </c>
      <c r="AH16" s="101" t="s">
        <v>39</v>
      </c>
      <c r="AI16" s="105" t="s">
        <v>41</v>
      </c>
      <c r="AJ16" s="103">
        <f t="shared" si="6"/>
        <v>1082.21</v>
      </c>
      <c r="AK16" s="101" t="s">
        <v>39</v>
      </c>
      <c r="AL16" s="105" t="s">
        <v>42</v>
      </c>
      <c r="AM16" s="103">
        <f t="shared" si="16"/>
        <v>65.723500000000001</v>
      </c>
      <c r="AN16" s="101" t="s">
        <v>39</v>
      </c>
      <c r="AO16" s="105" t="s">
        <v>43</v>
      </c>
      <c r="AP16" s="103">
        <v>0</v>
      </c>
      <c r="AQ16" s="101" t="s">
        <v>39</v>
      </c>
      <c r="AR16" s="105">
        <v>1431</v>
      </c>
      <c r="AS16" s="103">
        <v>0</v>
      </c>
      <c r="AT16" s="104">
        <f t="shared" si="8"/>
        <v>2183.3067500000002</v>
      </c>
      <c r="AU16" s="106">
        <f t="shared" si="9"/>
        <v>5444.96875</v>
      </c>
      <c r="AV16" s="113"/>
      <c r="AW16" s="108"/>
      <c r="AX16" s="109">
        <f t="shared" si="10"/>
        <v>15</v>
      </c>
      <c r="AY16" s="109">
        <f t="shared" si="11"/>
        <v>7628.2755000000006</v>
      </c>
      <c r="AZ16" s="110">
        <f t="shared" si="12"/>
        <v>7628.2755000000006</v>
      </c>
      <c r="BA16" s="110">
        <f>IFERROR(+LOOKUP(AZ16,[12]TARIFAS!$A$4:$B$14,[12]TARIFAS!$A$4:$A$14),0)</f>
        <v>5081.41</v>
      </c>
      <c r="BB16" s="110">
        <f t="shared" si="13"/>
        <v>2546.8655000000008</v>
      </c>
      <c r="BC16" s="110">
        <f>IFERROR(+LOOKUP(AZ16,[12]TARIFAS!$A$4:$B$14,[12]TARIFAS!$D$4:$D$14),0)</f>
        <v>21.36</v>
      </c>
      <c r="BD16" s="110">
        <f t="shared" si="14"/>
        <v>544.01047080000023</v>
      </c>
      <c r="BE16" s="110">
        <f>IFERROR(+LOOKUP(AZ16,[12]TARIFAS!$A$4:$B$14,[12]TARIFAS!$C$4:$C$14),0)</f>
        <v>538.20000000000005</v>
      </c>
      <c r="BF16" s="110">
        <f t="shared" si="15"/>
        <v>1082.21</v>
      </c>
      <c r="BG16" s="110"/>
      <c r="BH16" s="110"/>
      <c r="BI16" s="110"/>
      <c r="BJ16" s="109"/>
    </row>
    <row r="17" spans="1:63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0" t="s">
        <v>60</v>
      </c>
      <c r="G17" s="101" t="s">
        <v>37</v>
      </c>
      <c r="H17" s="101" t="s">
        <v>38</v>
      </c>
      <c r="I17" s="101">
        <v>15</v>
      </c>
      <c r="J17" s="101">
        <v>421.49</v>
      </c>
      <c r="K17" s="160" t="s">
        <v>149</v>
      </c>
      <c r="L17" s="101">
        <v>6572.35</v>
      </c>
      <c r="M17" s="101" t="s">
        <v>37</v>
      </c>
      <c r="N17" s="102">
        <v>1311</v>
      </c>
      <c r="O17" s="103">
        <v>100.94</v>
      </c>
      <c r="P17" s="101" t="s">
        <v>37</v>
      </c>
      <c r="Q17" s="102">
        <v>1713</v>
      </c>
      <c r="R17" s="101">
        <v>351.5</v>
      </c>
      <c r="S17" s="103">
        <v>406.32</v>
      </c>
      <c r="T17" s="103">
        <f t="shared" si="2"/>
        <v>197.1705</v>
      </c>
      <c r="U17" s="101" t="s">
        <v>37</v>
      </c>
      <c r="V17" s="102">
        <v>1712</v>
      </c>
      <c r="W17" s="104">
        <f t="shared" si="3"/>
        <v>603.4905</v>
      </c>
      <c r="X17" s="101"/>
      <c r="Y17" s="102"/>
      <c r="Z17" s="104"/>
      <c r="AA17" s="104">
        <f t="shared" si="4"/>
        <v>7628.2804999999998</v>
      </c>
      <c r="AB17" s="101" t="s">
        <v>39</v>
      </c>
      <c r="AC17" s="102">
        <v>1431</v>
      </c>
      <c r="AD17" s="104">
        <v>799.19</v>
      </c>
      <c r="AE17" s="101" t="s">
        <v>39</v>
      </c>
      <c r="AF17" s="105" t="s">
        <v>40</v>
      </c>
      <c r="AG17" s="103">
        <v>1537</v>
      </c>
      <c r="AH17" s="101" t="s">
        <v>39</v>
      </c>
      <c r="AI17" s="105" t="s">
        <v>41</v>
      </c>
      <c r="AJ17" s="103">
        <f t="shared" si="6"/>
        <v>1082.21</v>
      </c>
      <c r="AK17" s="101" t="s">
        <v>39</v>
      </c>
      <c r="AL17" s="105" t="s">
        <v>42</v>
      </c>
      <c r="AM17" s="103">
        <f t="shared" si="16"/>
        <v>65.723500000000001</v>
      </c>
      <c r="AN17" s="101" t="s">
        <v>39</v>
      </c>
      <c r="AO17" s="105" t="s">
        <v>43</v>
      </c>
      <c r="AP17" s="103">
        <v>0</v>
      </c>
      <c r="AQ17" s="101" t="s">
        <v>39</v>
      </c>
      <c r="AR17" s="105">
        <v>1431</v>
      </c>
      <c r="AS17" s="103">
        <v>0</v>
      </c>
      <c r="AT17" s="104">
        <f t="shared" si="8"/>
        <v>3484.1235000000001</v>
      </c>
      <c r="AU17" s="106">
        <f t="shared" si="9"/>
        <v>4144.1569999999992</v>
      </c>
      <c r="AV17" s="113"/>
      <c r="AW17" s="108"/>
      <c r="AX17" s="109">
        <f t="shared" si="10"/>
        <v>15</v>
      </c>
      <c r="AY17" s="109">
        <f t="shared" si="11"/>
        <v>7628.2804999999998</v>
      </c>
      <c r="AZ17" s="110">
        <f t="shared" si="12"/>
        <v>7628.2804999999998</v>
      </c>
      <c r="BA17" s="110">
        <f>IFERROR(+LOOKUP(AZ17,[12]TARIFAS!$A$4:$B$14,[12]TARIFAS!$A$4:$A$14),0)</f>
        <v>5081.41</v>
      </c>
      <c r="BB17" s="110">
        <f t="shared" si="13"/>
        <v>2546.8705</v>
      </c>
      <c r="BC17" s="110">
        <f>IFERROR(+LOOKUP(AZ17,[12]TARIFAS!$A$4:$B$14,[12]TARIFAS!$D$4:$D$14),0)</f>
        <v>21.36</v>
      </c>
      <c r="BD17" s="110">
        <f t="shared" si="14"/>
        <v>544.01153879999993</v>
      </c>
      <c r="BE17" s="110">
        <f>IFERROR(+LOOKUP(AZ17,[12]TARIFAS!$A$4:$B$14,[12]TARIFAS!$C$4:$C$14),0)</f>
        <v>538.20000000000005</v>
      </c>
      <c r="BF17" s="110">
        <f t="shared" si="15"/>
        <v>1082.21</v>
      </c>
      <c r="BG17" s="110"/>
      <c r="BH17" s="110"/>
      <c r="BI17" s="110"/>
      <c r="BJ17" s="109"/>
    </row>
    <row r="18" spans="1:63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0" t="s">
        <v>78</v>
      </c>
      <c r="G18" s="101" t="s">
        <v>37</v>
      </c>
      <c r="H18" s="101" t="s">
        <v>38</v>
      </c>
      <c r="I18" s="101">
        <v>15</v>
      </c>
      <c r="J18" s="101">
        <v>504.21533333333332</v>
      </c>
      <c r="K18" s="160" t="s">
        <v>150</v>
      </c>
      <c r="L18" s="101">
        <v>7713.23</v>
      </c>
      <c r="M18" s="101" t="s">
        <v>37</v>
      </c>
      <c r="N18" s="102">
        <v>1311</v>
      </c>
      <c r="O18" s="103">
        <v>100.935</v>
      </c>
      <c r="P18" s="101" t="s">
        <v>37</v>
      </c>
      <c r="Q18" s="102">
        <v>1713</v>
      </c>
      <c r="R18" s="103">
        <v>282.08999999999997</v>
      </c>
      <c r="S18" s="103">
        <v>418.44</v>
      </c>
      <c r="T18" s="103">
        <f t="shared" si="2"/>
        <v>231.39689999999999</v>
      </c>
      <c r="U18" s="101" t="s">
        <v>37</v>
      </c>
      <c r="V18" s="102">
        <v>1712</v>
      </c>
      <c r="W18" s="104">
        <f t="shared" si="3"/>
        <v>649.83690000000001</v>
      </c>
      <c r="X18" s="101"/>
      <c r="Y18" s="102"/>
      <c r="Z18" s="104"/>
      <c r="AA18" s="104">
        <f t="shared" si="4"/>
        <v>8746.0918999999994</v>
      </c>
      <c r="AB18" s="101" t="s">
        <v>39</v>
      </c>
      <c r="AC18" s="102">
        <v>1431</v>
      </c>
      <c r="AD18" s="104">
        <f t="shared" si="5"/>
        <v>732.75684999999999</v>
      </c>
      <c r="AE18" s="101" t="s">
        <v>39</v>
      </c>
      <c r="AF18" s="105" t="s">
        <v>40</v>
      </c>
      <c r="AG18" s="104">
        <f>523.61+10.13+3666.74+151.2</f>
        <v>4351.6799999999994</v>
      </c>
      <c r="AH18" s="101" t="s">
        <v>39</v>
      </c>
      <c r="AI18" s="105" t="s">
        <v>41</v>
      </c>
      <c r="AJ18" s="103">
        <f t="shared" si="6"/>
        <v>1320.98</v>
      </c>
      <c r="AK18" s="101" t="s">
        <v>39</v>
      </c>
      <c r="AL18" s="105" t="s">
        <v>42</v>
      </c>
      <c r="AM18" s="103">
        <f t="shared" si="16"/>
        <v>77.132300000000001</v>
      </c>
      <c r="AN18" s="101" t="s">
        <v>39</v>
      </c>
      <c r="AO18" s="105" t="s">
        <v>43</v>
      </c>
      <c r="AP18" s="103">
        <v>0</v>
      </c>
      <c r="AQ18" s="101" t="s">
        <v>39</v>
      </c>
      <c r="AR18" s="105">
        <v>1431</v>
      </c>
      <c r="AS18" s="103">
        <v>0</v>
      </c>
      <c r="AT18" s="104">
        <f t="shared" si="8"/>
        <v>6482.5491499999998</v>
      </c>
      <c r="AU18" s="106">
        <f t="shared" si="9"/>
        <v>2263.5427499999996</v>
      </c>
      <c r="AV18" s="113"/>
      <c r="AW18" s="108"/>
      <c r="AX18" s="109">
        <f t="shared" si="10"/>
        <v>15</v>
      </c>
      <c r="AY18" s="109">
        <f t="shared" si="11"/>
        <v>8746.0918999999994</v>
      </c>
      <c r="AZ18" s="110">
        <f t="shared" si="12"/>
        <v>8746.0918999999994</v>
      </c>
      <c r="BA18" s="110">
        <f>IFERROR(+LOOKUP(AZ18,[12]TARIFAS!$A$4:$B$14,[12]TARIFAS!$A$4:$A$14),0)</f>
        <v>5081.41</v>
      </c>
      <c r="BB18" s="110">
        <f t="shared" si="13"/>
        <v>3664.6818999999996</v>
      </c>
      <c r="BC18" s="110">
        <f>IFERROR(+LOOKUP(AZ18,[12]TARIFAS!$A$4:$B$14,[12]TARIFAS!$D$4:$D$14),0)</f>
        <v>21.36</v>
      </c>
      <c r="BD18" s="110">
        <f t="shared" si="14"/>
        <v>782.77605383999992</v>
      </c>
      <c r="BE18" s="110">
        <f>IFERROR(+LOOKUP(AZ18,[12]TARIFAS!$A$4:$B$14,[12]TARIFAS!$C$4:$C$14),0)</f>
        <v>538.20000000000005</v>
      </c>
      <c r="BF18" s="110">
        <f t="shared" si="15"/>
        <v>1320.98</v>
      </c>
      <c r="BG18" s="110"/>
      <c r="BH18" s="110"/>
      <c r="BI18" s="110"/>
      <c r="BJ18" s="109"/>
    </row>
    <row r="19" spans="1:63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0" t="s">
        <v>36</v>
      </c>
      <c r="G19" s="101" t="s">
        <v>37</v>
      </c>
      <c r="H19" s="101" t="s">
        <v>38</v>
      </c>
      <c r="I19" s="101">
        <v>15</v>
      </c>
      <c r="J19" s="101">
        <v>421.49</v>
      </c>
      <c r="K19" s="160" t="s">
        <v>146</v>
      </c>
      <c r="L19" s="101">
        <v>6572.35</v>
      </c>
      <c r="M19" s="101" t="s">
        <v>37</v>
      </c>
      <c r="N19" s="102">
        <v>1311</v>
      </c>
      <c r="O19" s="103">
        <v>67.290000000000006</v>
      </c>
      <c r="P19" s="101" t="s">
        <v>37</v>
      </c>
      <c r="Q19" s="102">
        <v>1713</v>
      </c>
      <c r="R19" s="103">
        <v>351.5</v>
      </c>
      <c r="S19" s="103">
        <v>406.32</v>
      </c>
      <c r="T19" s="103">
        <f t="shared" si="2"/>
        <v>197.1705</v>
      </c>
      <c r="U19" s="101" t="s">
        <v>37</v>
      </c>
      <c r="V19" s="102">
        <v>1712</v>
      </c>
      <c r="W19" s="104">
        <f t="shared" si="3"/>
        <v>603.4905</v>
      </c>
      <c r="X19" s="101"/>
      <c r="Y19" s="102"/>
      <c r="Z19" s="104"/>
      <c r="AA19" s="104">
        <f t="shared" si="4"/>
        <v>7594.6305000000002</v>
      </c>
      <c r="AB19" s="101" t="s">
        <v>39</v>
      </c>
      <c r="AC19" s="102">
        <v>1431</v>
      </c>
      <c r="AD19" s="104">
        <f t="shared" si="5"/>
        <v>624.3732500000001</v>
      </c>
      <c r="AE19" s="101" t="s">
        <v>39</v>
      </c>
      <c r="AF19" s="105" t="s">
        <v>40</v>
      </c>
      <c r="AG19" s="103">
        <v>402</v>
      </c>
      <c r="AH19" s="101" t="s">
        <v>39</v>
      </c>
      <c r="AI19" s="105" t="s">
        <v>41</v>
      </c>
      <c r="AJ19" s="103">
        <f t="shared" si="6"/>
        <v>1075.02</v>
      </c>
      <c r="AK19" s="101" t="s">
        <v>39</v>
      </c>
      <c r="AL19" s="105" t="s">
        <v>42</v>
      </c>
      <c r="AM19" s="103">
        <f t="shared" si="16"/>
        <v>65.723500000000001</v>
      </c>
      <c r="AN19" s="101" t="s">
        <v>39</v>
      </c>
      <c r="AO19" s="105" t="s">
        <v>43</v>
      </c>
      <c r="AP19" s="103">
        <v>0</v>
      </c>
      <c r="AQ19" s="101" t="s">
        <v>39</v>
      </c>
      <c r="AR19" s="105">
        <v>1431</v>
      </c>
      <c r="AS19" s="103">
        <v>0</v>
      </c>
      <c r="AT19" s="104">
        <f t="shared" si="8"/>
        <v>2167.1167500000001</v>
      </c>
      <c r="AU19" s="106">
        <f t="shared" si="9"/>
        <v>5427.5137500000001</v>
      </c>
      <c r="AV19" s="113"/>
      <c r="AW19" s="108"/>
      <c r="AX19" s="109">
        <f t="shared" si="10"/>
        <v>15</v>
      </c>
      <c r="AY19" s="109">
        <f t="shared" si="11"/>
        <v>7594.6305000000002</v>
      </c>
      <c r="AZ19" s="110">
        <f t="shared" si="12"/>
        <v>7594.6305000000002</v>
      </c>
      <c r="BA19" s="110">
        <f>IFERROR(+LOOKUP(AZ19,[12]TARIFAS!$A$4:$B$14,[12]TARIFAS!$A$4:$A$14),0)</f>
        <v>5081.41</v>
      </c>
      <c r="BB19" s="110">
        <f t="shared" si="13"/>
        <v>2513.2205000000004</v>
      </c>
      <c r="BC19" s="110">
        <f>IFERROR(+LOOKUP(AZ19,[12]TARIFAS!$A$4:$B$14,[12]TARIFAS!$D$4:$D$14),0)</f>
        <v>21.36</v>
      </c>
      <c r="BD19" s="110">
        <f t="shared" si="14"/>
        <v>536.82389880000005</v>
      </c>
      <c r="BE19" s="110">
        <f>IFERROR(+LOOKUP(AZ19,[12]TARIFAS!$A$4:$B$14,[12]TARIFAS!$C$4:$C$14),0)</f>
        <v>538.20000000000005</v>
      </c>
      <c r="BF19" s="110">
        <f t="shared" si="15"/>
        <v>1075.02</v>
      </c>
      <c r="BG19" s="110"/>
      <c r="BH19" s="110"/>
      <c r="BI19" s="110"/>
      <c r="BJ19" s="109"/>
    </row>
    <row r="20" spans="1:63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0" t="s">
        <v>78</v>
      </c>
      <c r="G20" s="101" t="s">
        <v>37</v>
      </c>
      <c r="H20" s="101" t="s">
        <v>38</v>
      </c>
      <c r="I20" s="101">
        <v>15</v>
      </c>
      <c r="J20" s="101">
        <v>353.488</v>
      </c>
      <c r="K20" s="160" t="s">
        <v>150</v>
      </c>
      <c r="L20" s="101">
        <v>5414.82</v>
      </c>
      <c r="M20" s="101" t="s">
        <v>37</v>
      </c>
      <c r="N20" s="102">
        <v>1311</v>
      </c>
      <c r="O20" s="103">
        <v>67.290000000000006</v>
      </c>
      <c r="P20" s="101" t="s">
        <v>37</v>
      </c>
      <c r="Q20" s="102">
        <v>1713</v>
      </c>
      <c r="R20" s="103">
        <v>211.44</v>
      </c>
      <c r="S20" s="103">
        <v>378.6</v>
      </c>
      <c r="T20" s="103">
        <f t="shared" si="2"/>
        <v>162.44459999999998</v>
      </c>
      <c r="U20" s="101" t="s">
        <v>37</v>
      </c>
      <c r="V20" s="102">
        <v>1712</v>
      </c>
      <c r="W20" s="104">
        <f t="shared" si="3"/>
        <v>541.04459999999995</v>
      </c>
      <c r="X20" s="101"/>
      <c r="Y20" s="102"/>
      <c r="Z20" s="104"/>
      <c r="AA20" s="104">
        <f t="shared" si="4"/>
        <v>6234.5945999999994</v>
      </c>
      <c r="AB20" s="101" t="s">
        <v>39</v>
      </c>
      <c r="AC20" s="102">
        <v>1431</v>
      </c>
      <c r="AD20" s="104">
        <f t="shared" si="5"/>
        <v>514.40789999999993</v>
      </c>
      <c r="AE20" s="101" t="s">
        <v>39</v>
      </c>
      <c r="AF20" s="105" t="s">
        <v>40</v>
      </c>
      <c r="AG20" s="103">
        <v>0</v>
      </c>
      <c r="AH20" s="101" t="s">
        <v>39</v>
      </c>
      <c r="AI20" s="105" t="s">
        <v>41</v>
      </c>
      <c r="AJ20" s="103">
        <f t="shared" si="6"/>
        <v>784.52</v>
      </c>
      <c r="AK20" s="101" t="s">
        <v>39</v>
      </c>
      <c r="AL20" s="105" t="s">
        <v>42</v>
      </c>
      <c r="AM20" s="103">
        <f t="shared" si="16"/>
        <v>54.148199999999996</v>
      </c>
      <c r="AN20" s="101" t="s">
        <v>39</v>
      </c>
      <c r="AO20" s="105" t="s">
        <v>43</v>
      </c>
      <c r="AP20" s="103">
        <v>0</v>
      </c>
      <c r="AQ20" s="101" t="s">
        <v>39</v>
      </c>
      <c r="AR20" s="105">
        <v>1431</v>
      </c>
      <c r="AS20" s="103">
        <v>0</v>
      </c>
      <c r="AT20" s="104">
        <f t="shared" si="8"/>
        <v>1353.0761</v>
      </c>
      <c r="AU20" s="106">
        <f t="shared" si="9"/>
        <v>4881.5184999999992</v>
      </c>
      <c r="AV20" s="113"/>
      <c r="AW20" s="108"/>
      <c r="AX20" s="109">
        <f t="shared" si="10"/>
        <v>15</v>
      </c>
      <c r="AY20" s="109">
        <f t="shared" si="11"/>
        <v>6234.5945999999994</v>
      </c>
      <c r="AZ20" s="110">
        <f t="shared" si="12"/>
        <v>6234.5945999999994</v>
      </c>
      <c r="BA20" s="110">
        <f>IFERROR(+LOOKUP(AZ20,[12]TARIFAS!$A$4:$B$14,[12]TARIFAS!$A$4:$A$14),0)</f>
        <v>5081.41</v>
      </c>
      <c r="BB20" s="110">
        <f t="shared" si="13"/>
        <v>1153.1845999999996</v>
      </c>
      <c r="BC20" s="110">
        <f>IFERROR(+LOOKUP(AZ20,[12]TARIFAS!$A$4:$B$14,[12]TARIFAS!$D$4:$D$14),0)</f>
        <v>21.36</v>
      </c>
      <c r="BD20" s="110">
        <f t="shared" si="14"/>
        <v>246.32023055999991</v>
      </c>
      <c r="BE20" s="110">
        <f>IFERROR(+LOOKUP(AZ20,[12]TARIFAS!$A$4:$B$14,[12]TARIFAS!$C$4:$C$14),0)</f>
        <v>538.20000000000005</v>
      </c>
      <c r="BF20" s="110">
        <f t="shared" si="15"/>
        <v>784.52</v>
      </c>
      <c r="BG20" s="110"/>
      <c r="BH20" s="110"/>
      <c r="BI20" s="110"/>
      <c r="BJ20" s="109"/>
    </row>
    <row r="21" spans="1:63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0" t="s">
        <v>60</v>
      </c>
      <c r="G21" s="101" t="s">
        <v>37</v>
      </c>
      <c r="H21" s="101" t="s">
        <v>38</v>
      </c>
      <c r="I21" s="101">
        <v>15</v>
      </c>
      <c r="J21" s="101">
        <v>421.49</v>
      </c>
      <c r="K21" s="160" t="s">
        <v>149</v>
      </c>
      <c r="L21" s="101">
        <v>6572.35</v>
      </c>
      <c r="M21" s="101" t="s">
        <v>37</v>
      </c>
      <c r="N21" s="102">
        <v>1311</v>
      </c>
      <c r="O21" s="115">
        <v>100.935</v>
      </c>
      <c r="P21" s="101" t="s">
        <v>37</v>
      </c>
      <c r="Q21" s="102">
        <v>1713</v>
      </c>
      <c r="R21" s="115">
        <v>351.5</v>
      </c>
      <c r="S21" s="115">
        <v>406.32</v>
      </c>
      <c r="T21" s="103">
        <f t="shared" si="2"/>
        <v>197.1705</v>
      </c>
      <c r="U21" s="101" t="s">
        <v>37</v>
      </c>
      <c r="V21" s="102">
        <v>1712</v>
      </c>
      <c r="W21" s="104">
        <f t="shared" si="3"/>
        <v>603.4905</v>
      </c>
      <c r="X21" s="101"/>
      <c r="Y21" s="102"/>
      <c r="Z21" s="104"/>
      <c r="AA21" s="104">
        <f t="shared" si="4"/>
        <v>7628.2755000000006</v>
      </c>
      <c r="AB21" s="101" t="s">
        <v>39</v>
      </c>
      <c r="AC21" s="102">
        <v>1431</v>
      </c>
      <c r="AD21" s="104">
        <f t="shared" si="5"/>
        <v>624.3732500000001</v>
      </c>
      <c r="AE21" s="101" t="s">
        <v>39</v>
      </c>
      <c r="AF21" s="105" t="s">
        <v>40</v>
      </c>
      <c r="AG21" s="115">
        <v>1405</v>
      </c>
      <c r="AH21" s="101" t="s">
        <v>39</v>
      </c>
      <c r="AI21" s="105" t="s">
        <v>41</v>
      </c>
      <c r="AJ21" s="103">
        <f t="shared" si="6"/>
        <v>1082.21</v>
      </c>
      <c r="AK21" s="101" t="s">
        <v>39</v>
      </c>
      <c r="AL21" s="105" t="s">
        <v>42</v>
      </c>
      <c r="AM21" s="103">
        <v>0</v>
      </c>
      <c r="AN21" s="101" t="s">
        <v>39</v>
      </c>
      <c r="AO21" s="105" t="s">
        <v>43</v>
      </c>
      <c r="AP21" s="115">
        <v>0</v>
      </c>
      <c r="AQ21" s="101" t="s">
        <v>39</v>
      </c>
      <c r="AR21" s="105">
        <v>1431</v>
      </c>
      <c r="AS21" s="103">
        <v>0</v>
      </c>
      <c r="AT21" s="104">
        <f t="shared" si="8"/>
        <v>3111.5832500000001</v>
      </c>
      <c r="AU21" s="106">
        <f t="shared" si="9"/>
        <v>4516.6922500000001</v>
      </c>
      <c r="AV21" s="113"/>
      <c r="AW21" s="108"/>
      <c r="AX21" s="109">
        <f t="shared" si="10"/>
        <v>15</v>
      </c>
      <c r="AY21" s="109">
        <f t="shared" si="11"/>
        <v>7628.2755000000006</v>
      </c>
      <c r="AZ21" s="110">
        <f t="shared" si="12"/>
        <v>7628.2755000000006</v>
      </c>
      <c r="BA21" s="110">
        <f>IFERROR(+LOOKUP(AZ21,[12]TARIFAS!$A$4:$B$14,[12]TARIFAS!$A$4:$A$14),0)</f>
        <v>5081.41</v>
      </c>
      <c r="BB21" s="110">
        <f t="shared" si="13"/>
        <v>2546.8655000000008</v>
      </c>
      <c r="BC21" s="110">
        <f>IFERROR(+LOOKUP(AZ21,[12]TARIFAS!$A$4:$B$14,[12]TARIFAS!$D$4:$D$14),0)</f>
        <v>21.36</v>
      </c>
      <c r="BD21" s="110">
        <f t="shared" si="14"/>
        <v>544.01047080000023</v>
      </c>
      <c r="BE21" s="110">
        <f>IFERROR(+LOOKUP(AZ21,[12]TARIFAS!$A$4:$B$14,[12]TARIFAS!$C$4:$C$14),0)</f>
        <v>538.20000000000005</v>
      </c>
      <c r="BF21" s="110">
        <f t="shared" si="15"/>
        <v>1082.21</v>
      </c>
      <c r="BG21" s="110"/>
      <c r="BH21" s="110"/>
      <c r="BI21" s="110"/>
      <c r="BJ21" s="109"/>
    </row>
    <row r="22" spans="1:63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0" t="s">
        <v>87</v>
      </c>
      <c r="G22" s="101" t="s">
        <v>37</v>
      </c>
      <c r="H22" s="101" t="s">
        <v>38</v>
      </c>
      <c r="I22" s="101">
        <v>15</v>
      </c>
      <c r="J22" s="101">
        <v>421.49</v>
      </c>
      <c r="K22" s="160" t="s">
        <v>151</v>
      </c>
      <c r="L22" s="101">
        <v>6572.35</v>
      </c>
      <c r="M22" s="101" t="s">
        <v>37</v>
      </c>
      <c r="N22" s="102">
        <v>1311</v>
      </c>
      <c r="O22" s="115">
        <v>67.290000000000006</v>
      </c>
      <c r="P22" s="101" t="s">
        <v>37</v>
      </c>
      <c r="Q22" s="102">
        <v>1713</v>
      </c>
      <c r="R22" s="115">
        <v>351.5</v>
      </c>
      <c r="S22" s="115">
        <v>406.32</v>
      </c>
      <c r="T22" s="103">
        <f t="shared" si="2"/>
        <v>197.1705</v>
      </c>
      <c r="U22" s="101" t="s">
        <v>37</v>
      </c>
      <c r="V22" s="102">
        <v>1712</v>
      </c>
      <c r="W22" s="104">
        <f t="shared" si="3"/>
        <v>603.4905</v>
      </c>
      <c r="X22" s="101"/>
      <c r="Y22" s="102"/>
      <c r="Z22" s="104"/>
      <c r="AA22" s="104">
        <f t="shared" si="4"/>
        <v>7594.6305000000002</v>
      </c>
      <c r="AB22" s="101" t="s">
        <v>39</v>
      </c>
      <c r="AC22" s="102">
        <v>1431</v>
      </c>
      <c r="AD22" s="104">
        <f t="shared" si="5"/>
        <v>624.3732500000001</v>
      </c>
      <c r="AE22" s="101" t="s">
        <v>39</v>
      </c>
      <c r="AF22" s="105" t="s">
        <v>40</v>
      </c>
      <c r="AG22" s="115">
        <v>2191</v>
      </c>
      <c r="AH22" s="101" t="s">
        <v>39</v>
      </c>
      <c r="AI22" s="105" t="s">
        <v>41</v>
      </c>
      <c r="AJ22" s="103">
        <f t="shared" si="6"/>
        <v>1075.02</v>
      </c>
      <c r="AK22" s="101" t="s">
        <v>39</v>
      </c>
      <c r="AL22" s="105" t="s">
        <v>42</v>
      </c>
      <c r="AM22" s="103">
        <f>(L22*1%)</f>
        <v>65.723500000000001</v>
      </c>
      <c r="AN22" s="101" t="s">
        <v>39</v>
      </c>
      <c r="AO22" s="105" t="s">
        <v>43</v>
      </c>
      <c r="AP22" s="115">
        <v>0</v>
      </c>
      <c r="AQ22" s="101" t="s">
        <v>39</v>
      </c>
      <c r="AR22" s="105">
        <v>1431</v>
      </c>
      <c r="AS22" s="103">
        <v>0</v>
      </c>
      <c r="AT22" s="104">
        <f t="shared" si="8"/>
        <v>3956.1167500000001</v>
      </c>
      <c r="AU22" s="106">
        <f t="shared" si="9"/>
        <v>3638.5137500000001</v>
      </c>
      <c r="AV22" s="113"/>
      <c r="AW22" s="108"/>
      <c r="AX22" s="109">
        <f t="shared" si="10"/>
        <v>15</v>
      </c>
      <c r="AY22" s="109">
        <f t="shared" si="11"/>
        <v>7594.6305000000002</v>
      </c>
      <c r="AZ22" s="110">
        <f t="shared" si="12"/>
        <v>7594.6305000000002</v>
      </c>
      <c r="BA22" s="110">
        <f>IFERROR(+LOOKUP(AZ22,[12]TARIFAS!$A$4:$B$14,[12]TARIFAS!$A$4:$A$14),0)</f>
        <v>5081.41</v>
      </c>
      <c r="BB22" s="110">
        <f t="shared" si="13"/>
        <v>2513.2205000000004</v>
      </c>
      <c r="BC22" s="110">
        <f>IFERROR(+LOOKUP(AZ22,[12]TARIFAS!$A$4:$B$14,[12]TARIFAS!$D$4:$D$14),0)</f>
        <v>21.36</v>
      </c>
      <c r="BD22" s="110">
        <f t="shared" si="14"/>
        <v>536.82389880000005</v>
      </c>
      <c r="BE22" s="110">
        <f>IFERROR(+LOOKUP(AZ22,[12]TARIFAS!$A$4:$B$14,[12]TARIFAS!$C$4:$C$14),0)</f>
        <v>538.20000000000005</v>
      </c>
      <c r="BF22" s="110">
        <f t="shared" si="15"/>
        <v>1075.02</v>
      </c>
      <c r="BG22" s="110"/>
      <c r="BH22" s="110"/>
      <c r="BI22" s="110"/>
      <c r="BJ22" s="109"/>
    </row>
    <row r="23" spans="1:63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0" t="s">
        <v>60</v>
      </c>
      <c r="G23" s="101" t="s">
        <v>37</v>
      </c>
      <c r="H23" s="101" t="s">
        <v>38</v>
      </c>
      <c r="I23" s="101">
        <v>15</v>
      </c>
      <c r="J23" s="101">
        <v>421.49</v>
      </c>
      <c r="K23" s="160" t="s">
        <v>149</v>
      </c>
      <c r="L23" s="101">
        <v>6572.35</v>
      </c>
      <c r="M23" s="101" t="s">
        <v>37</v>
      </c>
      <c r="N23" s="102">
        <v>1311</v>
      </c>
      <c r="O23" s="115">
        <v>0</v>
      </c>
      <c r="P23" s="101" t="s">
        <v>37</v>
      </c>
      <c r="Q23" s="102">
        <v>1713</v>
      </c>
      <c r="R23" s="115">
        <v>351.5</v>
      </c>
      <c r="S23" s="115">
        <v>406.32</v>
      </c>
      <c r="T23" s="103">
        <f t="shared" si="2"/>
        <v>197.1705</v>
      </c>
      <c r="U23" s="101" t="s">
        <v>37</v>
      </c>
      <c r="V23" s="102">
        <v>1712</v>
      </c>
      <c r="W23" s="104">
        <f t="shared" si="3"/>
        <v>603.4905</v>
      </c>
      <c r="X23" s="101"/>
      <c r="Y23" s="102"/>
      <c r="Z23" s="104"/>
      <c r="AA23" s="104">
        <f t="shared" si="4"/>
        <v>7527.3405000000002</v>
      </c>
      <c r="AB23" s="101" t="s">
        <v>39</v>
      </c>
      <c r="AC23" s="102">
        <v>1431</v>
      </c>
      <c r="AD23" s="104">
        <f t="shared" si="5"/>
        <v>624.3732500000001</v>
      </c>
      <c r="AE23" s="101" t="s">
        <v>39</v>
      </c>
      <c r="AF23" s="105" t="s">
        <v>40</v>
      </c>
      <c r="AG23" s="115">
        <v>0</v>
      </c>
      <c r="AH23" s="101" t="s">
        <v>39</v>
      </c>
      <c r="AI23" s="105" t="s">
        <v>41</v>
      </c>
      <c r="AJ23" s="103">
        <f t="shared" si="6"/>
        <v>1060.6500000000001</v>
      </c>
      <c r="AK23" s="101" t="s">
        <v>39</v>
      </c>
      <c r="AL23" s="105" t="s">
        <v>42</v>
      </c>
      <c r="AM23" s="103">
        <f>(L23*1%)</f>
        <v>65.723500000000001</v>
      </c>
      <c r="AN23" s="101" t="s">
        <v>39</v>
      </c>
      <c r="AO23" s="105" t="s">
        <v>43</v>
      </c>
      <c r="AP23" s="115">
        <v>0</v>
      </c>
      <c r="AQ23" s="101" t="s">
        <v>39</v>
      </c>
      <c r="AR23" s="105">
        <v>1431</v>
      </c>
      <c r="AS23" s="103">
        <v>0</v>
      </c>
      <c r="AT23" s="104">
        <f t="shared" si="8"/>
        <v>1750.7467500000002</v>
      </c>
      <c r="AU23" s="106">
        <f t="shared" si="9"/>
        <v>5776.59375</v>
      </c>
      <c r="AV23" s="113"/>
      <c r="AW23" s="108"/>
      <c r="AX23" s="109">
        <f t="shared" si="10"/>
        <v>15</v>
      </c>
      <c r="AY23" s="109">
        <f t="shared" si="11"/>
        <v>7527.3405000000002</v>
      </c>
      <c r="AZ23" s="110">
        <f t="shared" si="12"/>
        <v>7527.3405000000002</v>
      </c>
      <c r="BA23" s="110">
        <f>IFERROR(+LOOKUP(AZ23,[12]TARIFAS!$A$4:$B$14,[12]TARIFAS!$A$4:$A$14),0)</f>
        <v>5081.41</v>
      </c>
      <c r="BB23" s="110">
        <f t="shared" si="13"/>
        <v>2445.9305000000004</v>
      </c>
      <c r="BC23" s="110">
        <f>IFERROR(+LOOKUP(AZ23,[12]TARIFAS!$A$4:$B$14,[12]TARIFAS!$D$4:$D$14),0)</f>
        <v>21.36</v>
      </c>
      <c r="BD23" s="110">
        <f t="shared" si="14"/>
        <v>522.45075480000003</v>
      </c>
      <c r="BE23" s="110">
        <f>IFERROR(+LOOKUP(AZ23,[12]TARIFAS!$A$4:$B$14,[12]TARIFAS!$C$4:$C$14),0)</f>
        <v>538.20000000000005</v>
      </c>
      <c r="BF23" s="110">
        <f t="shared" si="15"/>
        <v>1060.6500000000001</v>
      </c>
      <c r="BG23" s="110"/>
      <c r="BH23" s="110"/>
      <c r="BI23" s="110"/>
      <c r="BJ23" s="109"/>
    </row>
    <row r="24" spans="1:63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0" t="s">
        <v>78</v>
      </c>
      <c r="G24" s="101" t="s">
        <v>37</v>
      </c>
      <c r="H24" s="101" t="s">
        <v>38</v>
      </c>
      <c r="I24" s="101">
        <v>15</v>
      </c>
      <c r="J24" s="101">
        <v>325.036</v>
      </c>
      <c r="K24" s="160" t="s">
        <v>150</v>
      </c>
      <c r="L24" s="101">
        <v>5063.04</v>
      </c>
      <c r="M24" s="101" t="s">
        <v>37</v>
      </c>
      <c r="N24" s="102">
        <v>1311</v>
      </c>
      <c r="O24" s="115">
        <v>0</v>
      </c>
      <c r="P24" s="101" t="s">
        <v>37</v>
      </c>
      <c r="Q24" s="102">
        <v>1713</v>
      </c>
      <c r="R24" s="115">
        <v>207.91</v>
      </c>
      <c r="S24" s="115">
        <v>371.02</v>
      </c>
      <c r="T24" s="103">
        <f t="shared" si="2"/>
        <v>151.8912</v>
      </c>
      <c r="U24" s="101" t="s">
        <v>37</v>
      </c>
      <c r="V24" s="102">
        <v>1712</v>
      </c>
      <c r="W24" s="104">
        <f t="shared" si="3"/>
        <v>522.91120000000001</v>
      </c>
      <c r="X24" s="101"/>
      <c r="Y24" s="102"/>
      <c r="Z24" s="104"/>
      <c r="AA24" s="104">
        <f t="shared" si="4"/>
        <v>5793.8611999999994</v>
      </c>
      <c r="AB24" s="101" t="s">
        <v>39</v>
      </c>
      <c r="AC24" s="102">
        <v>1431</v>
      </c>
      <c r="AD24" s="104">
        <f t="shared" si="5"/>
        <v>480.98880000000003</v>
      </c>
      <c r="AE24" s="101" t="s">
        <v>39</v>
      </c>
      <c r="AF24" s="105" t="s">
        <v>40</v>
      </c>
      <c r="AG24" s="115">
        <v>0</v>
      </c>
      <c r="AH24" s="101" t="s">
        <v>39</v>
      </c>
      <c r="AI24" s="105" t="s">
        <v>41</v>
      </c>
      <c r="AJ24" s="103">
        <f t="shared" si="6"/>
        <v>690.38</v>
      </c>
      <c r="AK24" s="101" t="s">
        <v>39</v>
      </c>
      <c r="AL24" s="105" t="s">
        <v>42</v>
      </c>
      <c r="AM24" s="103">
        <f>(L24*1%)</f>
        <v>50.630400000000002</v>
      </c>
      <c r="AN24" s="101" t="s">
        <v>39</v>
      </c>
      <c r="AO24" s="105" t="s">
        <v>43</v>
      </c>
      <c r="AP24" s="115">
        <v>0</v>
      </c>
      <c r="AQ24" s="101" t="s">
        <v>39</v>
      </c>
      <c r="AR24" s="105">
        <v>1431</v>
      </c>
      <c r="AS24" s="103">
        <v>0</v>
      </c>
      <c r="AT24" s="104">
        <f t="shared" si="8"/>
        <v>1221.9992</v>
      </c>
      <c r="AU24" s="106">
        <f t="shared" si="9"/>
        <v>4571.8619999999992</v>
      </c>
      <c r="AV24" s="113"/>
      <c r="AW24" s="108"/>
      <c r="AX24" s="109">
        <f t="shared" si="10"/>
        <v>15</v>
      </c>
      <c r="AY24" s="109">
        <f t="shared" si="11"/>
        <v>5793.8611999999994</v>
      </c>
      <c r="AZ24" s="110">
        <f t="shared" si="12"/>
        <v>5793.8611999999994</v>
      </c>
      <c r="BA24" s="110">
        <f>IFERROR(+LOOKUP(AZ24,[12]TARIFAS!$A$4:$B$14,[12]TARIFAS!$A$4:$A$14),0)</f>
        <v>5081.41</v>
      </c>
      <c r="BB24" s="110">
        <f t="shared" si="13"/>
        <v>712.45119999999952</v>
      </c>
      <c r="BC24" s="110">
        <f>IFERROR(+LOOKUP(AZ24,[12]TARIFAS!$A$4:$B$14,[12]TARIFAS!$D$4:$D$14),0)</f>
        <v>21.36</v>
      </c>
      <c r="BD24" s="110">
        <f t="shared" si="14"/>
        <v>152.17957631999988</v>
      </c>
      <c r="BE24" s="110">
        <f>IFERROR(+LOOKUP(AZ24,[12]TARIFAS!$A$4:$B$14,[12]TARIFAS!$C$4:$C$14),0)</f>
        <v>538.20000000000005</v>
      </c>
      <c r="BF24" s="110">
        <f t="shared" si="15"/>
        <v>690.38</v>
      </c>
      <c r="BG24" s="110"/>
      <c r="BH24" s="110"/>
      <c r="BI24" s="110"/>
      <c r="BJ24" s="109"/>
    </row>
    <row r="25" spans="1:63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0" t="s">
        <v>87</v>
      </c>
      <c r="G25" s="101" t="s">
        <v>37</v>
      </c>
      <c r="H25" s="101" t="s">
        <v>38</v>
      </c>
      <c r="I25" s="101">
        <v>15</v>
      </c>
      <c r="J25" s="101">
        <v>421.49</v>
      </c>
      <c r="K25" s="160" t="s">
        <v>151</v>
      </c>
      <c r="L25" s="101">
        <v>6572.35</v>
      </c>
      <c r="M25" s="101" t="s">
        <v>37</v>
      </c>
      <c r="N25" s="102">
        <v>1311</v>
      </c>
      <c r="O25" s="115">
        <v>0</v>
      </c>
      <c r="P25" s="101" t="s">
        <v>37</v>
      </c>
      <c r="Q25" s="102">
        <v>1713</v>
      </c>
      <c r="R25" s="115">
        <v>351.5</v>
      </c>
      <c r="S25" s="115">
        <v>406.32</v>
      </c>
      <c r="T25" s="103">
        <f t="shared" si="2"/>
        <v>197.1705</v>
      </c>
      <c r="U25" s="101" t="s">
        <v>37</v>
      </c>
      <c r="V25" s="102">
        <v>1712</v>
      </c>
      <c r="W25" s="104">
        <f t="shared" si="3"/>
        <v>603.4905</v>
      </c>
      <c r="X25" s="101"/>
      <c r="Y25" s="102"/>
      <c r="Z25" s="104"/>
      <c r="AA25" s="104">
        <f t="shared" si="4"/>
        <v>7527.3405000000002</v>
      </c>
      <c r="AB25" s="101" t="s">
        <v>39</v>
      </c>
      <c r="AC25" s="102">
        <v>1431</v>
      </c>
      <c r="AD25" s="104">
        <f t="shared" si="5"/>
        <v>624.3732500000001</v>
      </c>
      <c r="AE25" s="101" t="s">
        <v>39</v>
      </c>
      <c r="AF25" s="105" t="s">
        <v>40</v>
      </c>
      <c r="AG25" s="115">
        <v>0</v>
      </c>
      <c r="AH25" s="101" t="s">
        <v>39</v>
      </c>
      <c r="AI25" s="105" t="s">
        <v>41</v>
      </c>
      <c r="AJ25" s="103">
        <f t="shared" si="6"/>
        <v>1060.6500000000001</v>
      </c>
      <c r="AK25" s="101" t="s">
        <v>39</v>
      </c>
      <c r="AL25" s="105" t="s">
        <v>42</v>
      </c>
      <c r="AM25" s="103">
        <f>(L25*1%)</f>
        <v>65.723500000000001</v>
      </c>
      <c r="AN25" s="101" t="s">
        <v>39</v>
      </c>
      <c r="AO25" s="105" t="s">
        <v>43</v>
      </c>
      <c r="AP25" s="115">
        <v>0</v>
      </c>
      <c r="AQ25" s="101" t="s">
        <v>39</v>
      </c>
      <c r="AR25" s="105">
        <v>1431</v>
      </c>
      <c r="AS25" s="103">
        <v>0</v>
      </c>
      <c r="AT25" s="104">
        <f t="shared" si="8"/>
        <v>1750.7467500000002</v>
      </c>
      <c r="AU25" s="106">
        <f t="shared" si="9"/>
        <v>5776.59375</v>
      </c>
      <c r="AV25" s="113"/>
      <c r="AW25" s="108"/>
      <c r="AX25" s="109">
        <f t="shared" si="10"/>
        <v>15</v>
      </c>
      <c r="AY25" s="109">
        <f t="shared" si="11"/>
        <v>7527.3405000000002</v>
      </c>
      <c r="AZ25" s="110">
        <f t="shared" si="12"/>
        <v>7527.3405000000002</v>
      </c>
      <c r="BA25" s="110">
        <f>IFERROR(+LOOKUP(AZ25,[12]TARIFAS!$A$4:$B$14,[12]TARIFAS!$A$4:$A$14),0)</f>
        <v>5081.41</v>
      </c>
      <c r="BB25" s="110">
        <f t="shared" si="13"/>
        <v>2445.9305000000004</v>
      </c>
      <c r="BC25" s="110">
        <f>IFERROR(+LOOKUP(AZ25,[12]TARIFAS!$A$4:$B$14,[12]TARIFAS!$D$4:$D$14),0)</f>
        <v>21.36</v>
      </c>
      <c r="BD25" s="110">
        <f t="shared" si="14"/>
        <v>522.45075480000003</v>
      </c>
      <c r="BE25" s="110">
        <f>IFERROR(+LOOKUP(AZ25,[12]TARIFAS!$A$4:$B$14,[12]TARIFAS!$C$4:$C$14),0)</f>
        <v>538.20000000000005</v>
      </c>
      <c r="BF25" s="110">
        <f t="shared" si="15"/>
        <v>1060.6500000000001</v>
      </c>
      <c r="BG25" s="110"/>
      <c r="BH25" s="110"/>
      <c r="BI25" s="110"/>
      <c r="BJ25" s="109"/>
    </row>
    <row r="26" spans="1:63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0" t="s">
        <v>60</v>
      </c>
      <c r="G26" s="101" t="s">
        <v>37</v>
      </c>
      <c r="H26" s="101" t="s">
        <v>38</v>
      </c>
      <c r="I26" s="101">
        <v>15</v>
      </c>
      <c r="J26" s="101">
        <v>325.036</v>
      </c>
      <c r="K26" s="160" t="s">
        <v>149</v>
      </c>
      <c r="L26" s="101">
        <v>5063.04</v>
      </c>
      <c r="M26" s="101" t="s">
        <v>37</v>
      </c>
      <c r="N26" s="102">
        <v>1311</v>
      </c>
      <c r="O26" s="115">
        <v>0</v>
      </c>
      <c r="P26" s="101" t="s">
        <v>37</v>
      </c>
      <c r="Q26" s="102">
        <v>1713</v>
      </c>
      <c r="R26" s="115">
        <v>207.91</v>
      </c>
      <c r="S26" s="115">
        <v>371.02</v>
      </c>
      <c r="T26" s="103">
        <f t="shared" si="2"/>
        <v>151.8912</v>
      </c>
      <c r="U26" s="101" t="s">
        <v>37</v>
      </c>
      <c r="V26" s="102">
        <v>1712</v>
      </c>
      <c r="W26" s="104">
        <f t="shared" si="3"/>
        <v>522.91120000000001</v>
      </c>
      <c r="X26" s="101"/>
      <c r="Y26" s="102"/>
      <c r="Z26" s="104"/>
      <c r="AA26" s="104">
        <f t="shared" si="4"/>
        <v>5793.8611999999994</v>
      </c>
      <c r="AB26" s="101" t="s">
        <v>39</v>
      </c>
      <c r="AC26" s="102">
        <v>1431</v>
      </c>
      <c r="AD26" s="104">
        <f t="shared" si="5"/>
        <v>480.98880000000003</v>
      </c>
      <c r="AE26" s="101" t="s">
        <v>39</v>
      </c>
      <c r="AF26" s="105" t="s">
        <v>40</v>
      </c>
      <c r="AG26" s="115">
        <v>0</v>
      </c>
      <c r="AH26" s="101" t="s">
        <v>39</v>
      </c>
      <c r="AI26" s="105" t="s">
        <v>41</v>
      </c>
      <c r="AJ26" s="103">
        <f t="shared" si="6"/>
        <v>690.38</v>
      </c>
      <c r="AK26" s="101" t="s">
        <v>39</v>
      </c>
      <c r="AL26" s="105" t="s">
        <v>42</v>
      </c>
      <c r="AM26" s="103">
        <f>(L26*1%)</f>
        <v>50.630400000000002</v>
      </c>
      <c r="AN26" s="101" t="s">
        <v>39</v>
      </c>
      <c r="AO26" s="105" t="s">
        <v>43</v>
      </c>
      <c r="AP26" s="115">
        <v>0</v>
      </c>
      <c r="AQ26" s="101" t="s">
        <v>39</v>
      </c>
      <c r="AR26" s="105">
        <v>1431</v>
      </c>
      <c r="AS26" s="103">
        <v>0</v>
      </c>
      <c r="AT26" s="104">
        <f t="shared" si="8"/>
        <v>1221.9992</v>
      </c>
      <c r="AU26" s="106">
        <f t="shared" si="9"/>
        <v>4571.8619999999992</v>
      </c>
      <c r="AV26" s="113"/>
      <c r="AW26" s="108"/>
      <c r="AX26" s="109">
        <f t="shared" si="10"/>
        <v>15</v>
      </c>
      <c r="AY26" s="109">
        <f t="shared" si="11"/>
        <v>5793.8611999999994</v>
      </c>
      <c r="AZ26" s="110">
        <f t="shared" si="12"/>
        <v>5793.8611999999994</v>
      </c>
      <c r="BA26" s="110">
        <f>IFERROR(+LOOKUP(AZ26,[12]TARIFAS!$A$4:$B$14,[12]TARIFAS!$A$4:$A$14),0)</f>
        <v>5081.41</v>
      </c>
      <c r="BB26" s="110">
        <f t="shared" si="13"/>
        <v>712.45119999999952</v>
      </c>
      <c r="BC26" s="110">
        <f>IFERROR(+LOOKUP(AZ26,[12]TARIFAS!$A$4:$B$14,[12]TARIFAS!$D$4:$D$14),0)</f>
        <v>21.36</v>
      </c>
      <c r="BD26" s="110">
        <f t="shared" si="14"/>
        <v>152.17957631999988</v>
      </c>
      <c r="BE26" s="110">
        <f>IFERROR(+LOOKUP(AZ26,[12]TARIFAS!$A$4:$B$14,[12]TARIFAS!$C$4:$C$14),0)</f>
        <v>538.20000000000005</v>
      </c>
      <c r="BF26" s="110">
        <f t="shared" si="15"/>
        <v>690.38</v>
      </c>
      <c r="BG26" s="110"/>
      <c r="BH26" s="110"/>
      <c r="BI26" s="110"/>
      <c r="BJ26" s="109"/>
    </row>
    <row r="27" spans="1:63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0" t="s">
        <v>36</v>
      </c>
      <c r="G27" s="101" t="s">
        <v>37</v>
      </c>
      <c r="H27" s="101" t="s">
        <v>38</v>
      </c>
      <c r="I27" s="101">
        <v>15</v>
      </c>
      <c r="J27" s="101">
        <v>1029.4333333333334</v>
      </c>
      <c r="K27" s="160" t="s">
        <v>146</v>
      </c>
      <c r="L27" s="101">
        <v>15441.5</v>
      </c>
      <c r="M27" s="101" t="s">
        <v>37</v>
      </c>
      <c r="N27" s="102">
        <v>1311</v>
      </c>
      <c r="O27" s="115">
        <v>0</v>
      </c>
      <c r="P27" s="101" t="s">
        <v>37</v>
      </c>
      <c r="Q27" s="102">
        <v>1713</v>
      </c>
      <c r="R27" s="115">
        <v>566.5</v>
      </c>
      <c r="S27" s="115">
        <v>835.5</v>
      </c>
      <c r="T27" s="103">
        <f t="shared" si="2"/>
        <v>463.245</v>
      </c>
      <c r="U27" s="101" t="s">
        <v>37</v>
      </c>
      <c r="V27" s="102">
        <v>1712</v>
      </c>
      <c r="W27" s="104">
        <f t="shared" si="3"/>
        <v>1298.7449999999999</v>
      </c>
      <c r="X27" s="101"/>
      <c r="Y27" s="102"/>
      <c r="Z27" s="104"/>
      <c r="AA27" s="104">
        <f t="shared" si="4"/>
        <v>17306.744999999999</v>
      </c>
      <c r="AB27" s="101" t="s">
        <v>39</v>
      </c>
      <c r="AC27" s="102">
        <v>1431</v>
      </c>
      <c r="AD27" s="104">
        <f t="shared" si="5"/>
        <v>1466.9425000000001</v>
      </c>
      <c r="AE27" s="101" t="s">
        <v>39</v>
      </c>
      <c r="AF27" s="105" t="s">
        <v>40</v>
      </c>
      <c r="AG27" s="115">
        <v>0</v>
      </c>
      <c r="AH27" s="101" t="s">
        <v>39</v>
      </c>
      <c r="AI27" s="105" t="s">
        <v>41</v>
      </c>
      <c r="AJ27" s="103">
        <f t="shared" si="6"/>
        <v>3376.71</v>
      </c>
      <c r="AK27" s="101" t="s">
        <v>39</v>
      </c>
      <c r="AL27" s="105" t="s">
        <v>42</v>
      </c>
      <c r="AM27" s="103">
        <v>0</v>
      </c>
      <c r="AN27" s="101" t="s">
        <v>39</v>
      </c>
      <c r="AO27" s="105" t="s">
        <v>43</v>
      </c>
      <c r="AP27" s="115">
        <v>0</v>
      </c>
      <c r="AQ27" s="101" t="s">
        <v>39</v>
      </c>
      <c r="AR27" s="105">
        <v>1431</v>
      </c>
      <c r="AS27" s="103">
        <v>0</v>
      </c>
      <c r="AT27" s="104">
        <f t="shared" si="8"/>
        <v>4843.6525000000001</v>
      </c>
      <c r="AU27" s="106">
        <f t="shared" si="9"/>
        <v>12463.092499999999</v>
      </c>
      <c r="AV27" s="113"/>
      <c r="AW27" s="108"/>
      <c r="AX27" s="111">
        <f t="shared" si="10"/>
        <v>15</v>
      </c>
      <c r="AY27" s="109">
        <f t="shared" si="11"/>
        <v>17306.745000000003</v>
      </c>
      <c r="AZ27" s="119">
        <f>IFERROR(+AY27/AX27,0)*AX27</f>
        <v>17306.745000000003</v>
      </c>
      <c r="BA27" s="119">
        <f>IFERROR(+LOOKUP(AZ27,[12]TARIFAS!$A$4:$B$14,[12]TARIFAS!$A$4:$A$14),0)</f>
        <v>16153.06</v>
      </c>
      <c r="BB27" s="119">
        <f>+AZ27-BA27</f>
        <v>1153.6850000000031</v>
      </c>
      <c r="BC27" s="119">
        <f>IFERROR(+LOOKUP(AZ27,[12]TARIFAS!$A$4:$B$14,[12]TARIFAS!$D$4:$D$14),0)</f>
        <v>30</v>
      </c>
      <c r="BD27" s="119">
        <f>(+BB27*BC27)/100</f>
        <v>346.10550000000092</v>
      </c>
      <c r="BE27" s="119">
        <f>IFERROR(+LOOKUP(AZ27,[12]TARIFAS!$A$4:$B$14,[12]TARIFAS!$C$4:$C$14),0)</f>
        <v>3030.6</v>
      </c>
      <c r="BF27" s="119">
        <f>ROUND(+BD27+BE27,2)</f>
        <v>3376.71</v>
      </c>
      <c r="BG27" s="119"/>
      <c r="BH27" s="119"/>
      <c r="BI27" s="119"/>
      <c r="BK27" s="120"/>
    </row>
    <row r="28" spans="1:63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0" t="s">
        <v>53</v>
      </c>
      <c r="G28" s="101" t="s">
        <v>37</v>
      </c>
      <c r="H28" s="101" t="s">
        <v>38</v>
      </c>
      <c r="I28" s="101">
        <v>15</v>
      </c>
      <c r="J28" s="101">
        <v>1958.6333333333334</v>
      </c>
      <c r="K28" s="160" t="s">
        <v>148</v>
      </c>
      <c r="L28" s="101">
        <v>29379.5</v>
      </c>
      <c r="M28" s="101" t="s">
        <v>37</v>
      </c>
      <c r="N28" s="102">
        <v>1311</v>
      </c>
      <c r="O28" s="115">
        <v>0</v>
      </c>
      <c r="P28" s="101" t="s">
        <v>37</v>
      </c>
      <c r="Q28" s="102">
        <v>1713</v>
      </c>
      <c r="R28" s="116">
        <v>808.5</v>
      </c>
      <c r="S28" s="115">
        <v>1144</v>
      </c>
      <c r="T28" s="103">
        <f t="shared" si="2"/>
        <v>881.38499999999999</v>
      </c>
      <c r="U28" s="101" t="s">
        <v>37</v>
      </c>
      <c r="V28" s="102">
        <v>1712</v>
      </c>
      <c r="W28" s="104">
        <f t="shared" si="3"/>
        <v>2025.385</v>
      </c>
      <c r="X28" s="101"/>
      <c r="Y28" s="102"/>
      <c r="Z28" s="104"/>
      <c r="AA28" s="104">
        <f t="shared" si="4"/>
        <v>32213.384999999998</v>
      </c>
      <c r="AB28" s="101" t="s">
        <v>39</v>
      </c>
      <c r="AC28" s="102">
        <v>1431</v>
      </c>
      <c r="AD28" s="104">
        <f t="shared" si="5"/>
        <v>2791.0525000000002</v>
      </c>
      <c r="AE28" s="101" t="s">
        <v>39</v>
      </c>
      <c r="AF28" s="105" t="s">
        <v>40</v>
      </c>
      <c r="AG28" s="115">
        <v>4897</v>
      </c>
      <c r="AH28" s="101" t="s">
        <v>39</v>
      </c>
      <c r="AI28" s="105" t="s">
        <v>41</v>
      </c>
      <c r="AJ28" s="103">
        <f t="shared" si="6"/>
        <v>7876.11</v>
      </c>
      <c r="AK28" s="101" t="s">
        <v>39</v>
      </c>
      <c r="AL28" s="105" t="s">
        <v>42</v>
      </c>
      <c r="AM28" s="103">
        <v>0</v>
      </c>
      <c r="AN28" s="101" t="s">
        <v>39</v>
      </c>
      <c r="AO28" s="105" t="s">
        <v>43</v>
      </c>
      <c r="AP28" s="115">
        <v>0</v>
      </c>
      <c r="AQ28" s="101" t="s">
        <v>39</v>
      </c>
      <c r="AR28" s="105">
        <v>1431</v>
      </c>
      <c r="AS28" s="103">
        <v>0</v>
      </c>
      <c r="AT28" s="104">
        <f t="shared" si="8"/>
        <v>15564.162499999999</v>
      </c>
      <c r="AU28" s="106">
        <f t="shared" si="9"/>
        <v>16649.2225</v>
      </c>
      <c r="AV28" s="113"/>
      <c r="AW28" s="108"/>
      <c r="AX28" s="109">
        <f t="shared" si="10"/>
        <v>15</v>
      </c>
      <c r="AY28" s="109">
        <f t="shared" si="11"/>
        <v>32213.384999999998</v>
      </c>
      <c r="AZ28" s="110">
        <f t="shared" si="12"/>
        <v>32213.384999999995</v>
      </c>
      <c r="BA28" s="110">
        <f>IFERROR(+LOOKUP(AZ28,[12]TARIFAS!$A$4:$B$14,[12]TARIFAS!$A$4:$A$14),0)</f>
        <v>30838.81</v>
      </c>
      <c r="BB28" s="110">
        <f t="shared" si="13"/>
        <v>1374.5749999999935</v>
      </c>
      <c r="BC28" s="110">
        <f>IFERROR(+LOOKUP(AZ28,[12]TARIFAS!$A$4:$B$14,[12]TARIFAS!$D$4:$D$14),0)</f>
        <v>32</v>
      </c>
      <c r="BD28" s="110">
        <f t="shared" si="14"/>
        <v>439.86399999999793</v>
      </c>
      <c r="BE28" s="110">
        <f>IFERROR(+LOOKUP(AZ28,[12]TARIFAS!$A$4:$B$14,[12]TARIFAS!$C$4:$C$14),0)</f>
        <v>7436.25</v>
      </c>
      <c r="BF28" s="110">
        <f t="shared" si="15"/>
        <v>7876.11</v>
      </c>
      <c r="BG28" s="110"/>
      <c r="BH28" s="110"/>
      <c r="BI28" s="110"/>
      <c r="BJ28" s="109"/>
    </row>
    <row r="29" spans="1:63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0" t="s">
        <v>87</v>
      </c>
      <c r="G29" s="101" t="s">
        <v>37</v>
      </c>
      <c r="H29" s="101" t="s">
        <v>38</v>
      </c>
      <c r="I29" s="101">
        <v>15</v>
      </c>
      <c r="J29" s="101">
        <v>421.49</v>
      </c>
      <c r="K29" s="160" t="s">
        <v>151</v>
      </c>
      <c r="L29" s="101">
        <v>6572.35</v>
      </c>
      <c r="M29" s="101" t="s">
        <v>37</v>
      </c>
      <c r="N29" s="102">
        <v>1311</v>
      </c>
      <c r="O29" s="115">
        <v>0</v>
      </c>
      <c r="P29" s="101" t="s">
        <v>37</v>
      </c>
      <c r="Q29" s="102">
        <v>1713</v>
      </c>
      <c r="R29" s="116">
        <v>351.5</v>
      </c>
      <c r="S29" s="115">
        <v>406.32</v>
      </c>
      <c r="T29" s="103">
        <f t="shared" si="2"/>
        <v>197.1705</v>
      </c>
      <c r="U29" s="101" t="s">
        <v>37</v>
      </c>
      <c r="V29" s="102">
        <v>1712</v>
      </c>
      <c r="W29" s="104">
        <f t="shared" si="3"/>
        <v>603.4905</v>
      </c>
      <c r="X29" s="101"/>
      <c r="Y29" s="102"/>
      <c r="Z29" s="104"/>
      <c r="AA29" s="104">
        <f t="shared" si="4"/>
        <v>7527.3405000000002</v>
      </c>
      <c r="AB29" s="101" t="s">
        <v>39</v>
      </c>
      <c r="AC29" s="102">
        <v>1431</v>
      </c>
      <c r="AD29" s="104">
        <f t="shared" si="5"/>
        <v>624.3732500000001</v>
      </c>
      <c r="AE29" s="101" t="s">
        <v>39</v>
      </c>
      <c r="AF29" s="105" t="s">
        <v>40</v>
      </c>
      <c r="AG29" s="115">
        <v>96.05</v>
      </c>
      <c r="AH29" s="101" t="s">
        <v>39</v>
      </c>
      <c r="AI29" s="105" t="s">
        <v>41</v>
      </c>
      <c r="AJ29" s="103">
        <f t="shared" si="6"/>
        <v>1060.6500000000001</v>
      </c>
      <c r="AK29" s="101" t="s">
        <v>39</v>
      </c>
      <c r="AL29" s="105" t="s">
        <v>42</v>
      </c>
      <c r="AM29" s="103">
        <v>0</v>
      </c>
      <c r="AN29" s="101" t="s">
        <v>39</v>
      </c>
      <c r="AO29" s="105" t="s">
        <v>43</v>
      </c>
      <c r="AP29" s="115">
        <v>0</v>
      </c>
      <c r="AQ29" s="101" t="s">
        <v>39</v>
      </c>
      <c r="AR29" s="105">
        <v>1431</v>
      </c>
      <c r="AS29" s="103">
        <v>0</v>
      </c>
      <c r="AT29" s="104">
        <f t="shared" si="8"/>
        <v>1781.0732500000001</v>
      </c>
      <c r="AU29" s="106">
        <f t="shared" si="9"/>
        <v>5746.2672499999999</v>
      </c>
      <c r="AV29" s="113"/>
      <c r="AW29" s="108"/>
      <c r="AX29" s="109">
        <f t="shared" si="10"/>
        <v>15</v>
      </c>
      <c r="AY29" s="109">
        <f t="shared" si="11"/>
        <v>7527.3405000000002</v>
      </c>
      <c r="AZ29" s="110">
        <f t="shared" si="12"/>
        <v>7527.3405000000002</v>
      </c>
      <c r="BA29" s="110">
        <f>IFERROR(+LOOKUP(AZ29,[12]TARIFAS!$A$4:$B$14,[12]TARIFAS!$A$4:$A$14),0)</f>
        <v>5081.41</v>
      </c>
      <c r="BB29" s="110">
        <f t="shared" si="13"/>
        <v>2445.9305000000004</v>
      </c>
      <c r="BC29" s="110">
        <f>IFERROR(+LOOKUP(AZ29,[12]TARIFAS!$A$4:$B$14,[12]TARIFAS!$D$4:$D$14),0)</f>
        <v>21.36</v>
      </c>
      <c r="BD29" s="110">
        <f t="shared" si="14"/>
        <v>522.45075480000003</v>
      </c>
      <c r="BE29" s="110">
        <f>IFERROR(+LOOKUP(AZ29,[12]TARIFAS!$A$4:$B$14,[12]TARIFAS!$C$4:$C$14),0)</f>
        <v>538.20000000000005</v>
      </c>
      <c r="BF29" s="110">
        <f>ROUND(+BD29+BE29,2)</f>
        <v>1060.6500000000001</v>
      </c>
      <c r="BG29" s="110"/>
      <c r="BH29" s="110"/>
      <c r="BI29" s="110"/>
      <c r="BJ29" s="109"/>
    </row>
    <row r="30" spans="1:63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0" t="s">
        <v>87</v>
      </c>
      <c r="G30" s="101" t="s">
        <v>37</v>
      </c>
      <c r="H30" s="101" t="s">
        <v>38</v>
      </c>
      <c r="I30" s="101">
        <v>15</v>
      </c>
      <c r="J30" s="101">
        <v>1029.4333333333334</v>
      </c>
      <c r="K30" s="160" t="s">
        <v>151</v>
      </c>
      <c r="L30" s="101">
        <v>15441.5</v>
      </c>
      <c r="M30" s="101" t="s">
        <v>37</v>
      </c>
      <c r="N30" s="102">
        <v>1311</v>
      </c>
      <c r="O30" s="103">
        <f>67.29</f>
        <v>67.290000000000006</v>
      </c>
      <c r="P30" s="101" t="s">
        <v>37</v>
      </c>
      <c r="Q30" s="102">
        <v>1713</v>
      </c>
      <c r="R30" s="103">
        <v>566.5</v>
      </c>
      <c r="S30" s="103">
        <v>835.5</v>
      </c>
      <c r="T30" s="103">
        <f t="shared" si="2"/>
        <v>463.245</v>
      </c>
      <c r="U30" s="101" t="s">
        <v>37</v>
      </c>
      <c r="V30" s="102">
        <v>1712</v>
      </c>
      <c r="W30" s="104">
        <f t="shared" si="3"/>
        <v>1298.7449999999999</v>
      </c>
      <c r="X30" s="101"/>
      <c r="Y30" s="102"/>
      <c r="Z30" s="104"/>
      <c r="AA30" s="104">
        <f t="shared" si="4"/>
        <v>17374.035</v>
      </c>
      <c r="AB30" s="101" t="s">
        <v>39</v>
      </c>
      <c r="AC30" s="102">
        <v>1431</v>
      </c>
      <c r="AD30" s="104">
        <f t="shared" si="5"/>
        <v>1466.9425000000001</v>
      </c>
      <c r="AE30" s="101" t="s">
        <v>39</v>
      </c>
      <c r="AF30" s="105" t="s">
        <v>40</v>
      </c>
      <c r="AG30" s="115">
        <v>0</v>
      </c>
      <c r="AH30" s="101" t="s">
        <v>39</v>
      </c>
      <c r="AI30" s="105" t="s">
        <v>41</v>
      </c>
      <c r="AJ30" s="103">
        <f t="shared" si="6"/>
        <v>3396.89</v>
      </c>
      <c r="AK30" s="101" t="s">
        <v>39</v>
      </c>
      <c r="AL30" s="105" t="s">
        <v>42</v>
      </c>
      <c r="AM30" s="103">
        <v>0</v>
      </c>
      <c r="AN30" s="101" t="s">
        <v>39</v>
      </c>
      <c r="AO30" s="105" t="s">
        <v>43</v>
      </c>
      <c r="AP30" s="115">
        <v>0</v>
      </c>
      <c r="AQ30" s="101" t="s">
        <v>39</v>
      </c>
      <c r="AR30" s="105">
        <v>1431</v>
      </c>
      <c r="AS30" s="103">
        <v>0</v>
      </c>
      <c r="AT30" s="104">
        <f t="shared" si="8"/>
        <v>4863.8325000000004</v>
      </c>
      <c r="AU30" s="106">
        <f t="shared" si="9"/>
        <v>12510.202499999999</v>
      </c>
      <c r="AV30" s="113"/>
      <c r="AW30" s="108"/>
      <c r="AX30" s="109">
        <f t="shared" si="10"/>
        <v>15</v>
      </c>
      <c r="AY30" s="109">
        <f t="shared" si="11"/>
        <v>17374.035000000003</v>
      </c>
      <c r="AZ30" s="110">
        <f t="shared" si="12"/>
        <v>17374.035000000003</v>
      </c>
      <c r="BA30" s="110">
        <f>IFERROR(+LOOKUP(AZ30,[12]TARIFAS!$A$4:$B$14,[12]TARIFAS!$A$4:$A$14),0)</f>
        <v>16153.06</v>
      </c>
      <c r="BB30" s="110">
        <f t="shared" si="13"/>
        <v>1220.975000000004</v>
      </c>
      <c r="BC30" s="110">
        <f>IFERROR(+LOOKUP(AZ30,[12]TARIFAS!$A$4:$B$14,[12]TARIFAS!$D$4:$D$14),0)</f>
        <v>30</v>
      </c>
      <c r="BD30" s="110">
        <f t="shared" si="14"/>
        <v>366.29250000000116</v>
      </c>
      <c r="BE30" s="110">
        <f>IFERROR(+LOOKUP(AZ30,[12]TARIFAS!$A$4:$B$14,[12]TARIFAS!$C$4:$C$14),0)</f>
        <v>3030.6</v>
      </c>
      <c r="BF30" s="110">
        <f t="shared" si="15"/>
        <v>3396.89</v>
      </c>
      <c r="BG30" s="110"/>
      <c r="BH30" s="110"/>
      <c r="BI30" s="110"/>
      <c r="BJ30" s="109"/>
    </row>
    <row r="31" spans="1:63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0" t="s">
        <v>78</v>
      </c>
      <c r="G31" s="101" t="s">
        <v>37</v>
      </c>
      <c r="H31" s="101" t="s">
        <v>38</v>
      </c>
      <c r="I31" s="101">
        <v>15</v>
      </c>
      <c r="J31" s="101">
        <v>325.036</v>
      </c>
      <c r="K31" s="163" t="s">
        <v>150</v>
      </c>
      <c r="L31" s="101">
        <v>5063.04</v>
      </c>
      <c r="M31" s="101" t="s">
        <v>37</v>
      </c>
      <c r="N31" s="102">
        <v>1311</v>
      </c>
      <c r="O31" s="115">
        <v>0</v>
      </c>
      <c r="P31" s="101" t="s">
        <v>37</v>
      </c>
      <c r="Q31" s="102">
        <v>1713</v>
      </c>
      <c r="R31" s="115">
        <v>207.91</v>
      </c>
      <c r="S31" s="115">
        <v>371.02</v>
      </c>
      <c r="T31" s="103">
        <f t="shared" si="2"/>
        <v>151.8912</v>
      </c>
      <c r="U31" s="101" t="s">
        <v>37</v>
      </c>
      <c r="V31" s="102">
        <v>1712</v>
      </c>
      <c r="W31" s="104">
        <f t="shared" si="3"/>
        <v>522.91120000000001</v>
      </c>
      <c r="X31" s="101"/>
      <c r="Y31" s="102"/>
      <c r="Z31" s="104"/>
      <c r="AA31" s="104">
        <f t="shared" si="4"/>
        <v>5793.8611999999994</v>
      </c>
      <c r="AB31" s="101" t="s">
        <v>39</v>
      </c>
      <c r="AC31" s="102">
        <v>1431</v>
      </c>
      <c r="AD31" s="104">
        <f t="shared" si="5"/>
        <v>480.98880000000003</v>
      </c>
      <c r="AE31" s="101" t="s">
        <v>39</v>
      </c>
      <c r="AF31" s="105" t="s">
        <v>40</v>
      </c>
      <c r="AG31" s="115">
        <v>0</v>
      </c>
      <c r="AH31" s="101" t="s">
        <v>39</v>
      </c>
      <c r="AI31" s="105" t="s">
        <v>41</v>
      </c>
      <c r="AJ31" s="103">
        <f t="shared" si="6"/>
        <v>690.38</v>
      </c>
      <c r="AK31" s="101" t="s">
        <v>39</v>
      </c>
      <c r="AL31" s="105" t="s">
        <v>42</v>
      </c>
      <c r="AM31" s="103">
        <v>0</v>
      </c>
      <c r="AN31" s="101" t="s">
        <v>39</v>
      </c>
      <c r="AO31" s="105" t="s">
        <v>43</v>
      </c>
      <c r="AP31" s="115">
        <v>0</v>
      </c>
      <c r="AQ31" s="101" t="s">
        <v>39</v>
      </c>
      <c r="AR31" s="105">
        <v>1431</v>
      </c>
      <c r="AS31" s="103">
        <v>0</v>
      </c>
      <c r="AT31" s="104">
        <f t="shared" si="8"/>
        <v>1171.3688</v>
      </c>
      <c r="AU31" s="106">
        <f t="shared" si="9"/>
        <v>4622.4923999999992</v>
      </c>
      <c r="AV31" s="113"/>
      <c r="AW31" s="108"/>
      <c r="AX31" s="109">
        <f>+I31</f>
        <v>15</v>
      </c>
      <c r="AY31" s="109">
        <f>+L31+T31+O31+R31+S31+Z31</f>
        <v>5793.8611999999994</v>
      </c>
      <c r="AZ31" s="110">
        <f>IFERROR(+AY31/AX31,0)*AX31</f>
        <v>5793.8611999999994</v>
      </c>
      <c r="BA31" s="110">
        <f>IFERROR(+LOOKUP(AZ31,[12]TARIFAS!$A$4:$B$14,[12]TARIFAS!$A$4:$A$14),0)</f>
        <v>5081.41</v>
      </c>
      <c r="BB31" s="110">
        <f>+AZ31-BA31</f>
        <v>712.45119999999952</v>
      </c>
      <c r="BC31" s="110">
        <f>IFERROR(+LOOKUP(AZ31,[12]TARIFAS!$A$4:$B$14,[12]TARIFAS!$D$4:$D$14),0)</f>
        <v>21.36</v>
      </c>
      <c r="BD31" s="110">
        <f>(+BB31*BC31)/100</f>
        <v>152.17957631999988</v>
      </c>
      <c r="BE31" s="110">
        <f>IFERROR(+LOOKUP(AZ31,[12]TARIFAS!$A$4:$B$14,[12]TARIFAS!$C$4:$C$14),0)</f>
        <v>538.20000000000005</v>
      </c>
      <c r="BF31" s="110">
        <f>ROUND(+BD31+BE31,2)</f>
        <v>690.38</v>
      </c>
      <c r="BG31" s="110"/>
      <c r="BH31" s="110"/>
      <c r="BI31" s="110"/>
      <c r="BJ31" s="109"/>
    </row>
    <row r="32" spans="1:63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0" t="s">
        <v>47</v>
      </c>
      <c r="G32" s="101" t="s">
        <v>37</v>
      </c>
      <c r="H32" s="101" t="s">
        <v>38</v>
      </c>
      <c r="I32" s="101">
        <v>11</v>
      </c>
      <c r="J32" s="101">
        <v>421.49</v>
      </c>
      <c r="K32" s="163" t="s">
        <v>147</v>
      </c>
      <c r="L32" s="101">
        <v>6572.35</v>
      </c>
      <c r="M32" s="101" t="s">
        <v>37</v>
      </c>
      <c r="N32" s="102">
        <v>1311</v>
      </c>
      <c r="O32" s="115">
        <v>0</v>
      </c>
      <c r="P32" s="101" t="s">
        <v>37</v>
      </c>
      <c r="Q32" s="102">
        <v>1713</v>
      </c>
      <c r="R32" s="116">
        <f>23.43*15</f>
        <v>351.45</v>
      </c>
      <c r="S32" s="115">
        <f>27.09*15</f>
        <v>406.35</v>
      </c>
      <c r="T32" s="103">
        <f t="shared" si="2"/>
        <v>197.1705</v>
      </c>
      <c r="U32" s="101" t="s">
        <v>37</v>
      </c>
      <c r="V32" s="102">
        <v>1712</v>
      </c>
      <c r="W32" s="104">
        <f t="shared" si="3"/>
        <v>603.52050000000008</v>
      </c>
      <c r="X32" s="101"/>
      <c r="Y32" s="102"/>
      <c r="Z32" s="104"/>
      <c r="AA32" s="104">
        <f t="shared" si="4"/>
        <v>7527.3204999999998</v>
      </c>
      <c r="AB32" s="101" t="s">
        <v>39</v>
      </c>
      <c r="AC32" s="102">
        <v>1431</v>
      </c>
      <c r="AD32" s="104">
        <f t="shared" si="5"/>
        <v>624.3732500000001</v>
      </c>
      <c r="AE32" s="101" t="s">
        <v>39</v>
      </c>
      <c r="AF32" s="105" t="s">
        <v>40</v>
      </c>
      <c r="AG32" s="115">
        <v>0</v>
      </c>
      <c r="AH32" s="101" t="s">
        <v>39</v>
      </c>
      <c r="AI32" s="105" t="s">
        <v>41</v>
      </c>
      <c r="AJ32" s="103">
        <f t="shared" si="6"/>
        <v>1060.6500000000001</v>
      </c>
      <c r="AK32" s="101" t="s">
        <v>39</v>
      </c>
      <c r="AL32" s="105" t="s">
        <v>42</v>
      </c>
      <c r="AM32" s="103">
        <v>0</v>
      </c>
      <c r="AN32" s="101" t="s">
        <v>39</v>
      </c>
      <c r="AO32" s="105" t="s">
        <v>43</v>
      </c>
      <c r="AP32" s="115">
        <v>0</v>
      </c>
      <c r="AQ32" s="101" t="s">
        <v>39</v>
      </c>
      <c r="AR32" s="105">
        <v>1431</v>
      </c>
      <c r="AS32" s="103">
        <v>0</v>
      </c>
      <c r="AT32" s="104">
        <f t="shared" si="8"/>
        <v>1685.0232500000002</v>
      </c>
      <c r="AU32" s="106">
        <f t="shared" si="9"/>
        <v>5842.2972499999996</v>
      </c>
      <c r="AV32" s="113"/>
      <c r="AW32" s="108"/>
      <c r="AX32" s="109">
        <f t="shared" si="10"/>
        <v>11</v>
      </c>
      <c r="AY32" s="109">
        <f t="shared" si="11"/>
        <v>7527.3205000000007</v>
      </c>
      <c r="AZ32" s="110">
        <f t="shared" si="12"/>
        <v>7527.3205000000007</v>
      </c>
      <c r="BA32" s="110">
        <f>IFERROR(+LOOKUP(AZ32,[12]TARIFAS!$A$4:$B$14,[12]TARIFAS!$A$4:$A$14),0)</f>
        <v>5081.41</v>
      </c>
      <c r="BB32" s="110">
        <f t="shared" si="13"/>
        <v>2445.9105000000009</v>
      </c>
      <c r="BC32" s="110">
        <f>IFERROR(+LOOKUP(AZ32,[12]TARIFAS!$A$4:$B$14,[12]TARIFAS!$D$4:$D$14),0)</f>
        <v>21.36</v>
      </c>
      <c r="BD32" s="110">
        <f t="shared" si="14"/>
        <v>522.44648280000013</v>
      </c>
      <c r="BE32" s="110">
        <f>IFERROR(+LOOKUP(AZ32,[12]TARIFAS!$A$4:$B$14,[12]TARIFAS!$C$4:$C$14),0)</f>
        <v>538.20000000000005</v>
      </c>
      <c r="BF32" s="110">
        <f t="shared" si="15"/>
        <v>1060.6500000000001</v>
      </c>
      <c r="BG32" s="110"/>
      <c r="BH32" s="110"/>
      <c r="BI32" s="110"/>
      <c r="BJ32" s="109"/>
    </row>
    <row r="33" spans="1:48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3"/>
      <c r="G33" s="124"/>
      <c r="H33" s="124"/>
      <c r="I33" s="124"/>
      <c r="J33" s="124"/>
      <c r="K33" s="124"/>
      <c r="L33" s="124">
        <f>SUM(L5:L32)</f>
        <v>226649.65000000005</v>
      </c>
      <c r="M33" s="124"/>
      <c r="N33" s="124"/>
      <c r="O33" s="124">
        <f>SUM(O5:O32)</f>
        <v>2523.3849999999993</v>
      </c>
      <c r="P33" s="124"/>
      <c r="Q33" s="124"/>
      <c r="R33" s="124">
        <f>SUM(R5:R32)</f>
        <v>9734.119999999999</v>
      </c>
      <c r="S33" s="124">
        <f>SUM(S5:S32)</f>
        <v>13199.05</v>
      </c>
      <c r="T33" s="124">
        <f>SUM(T5:T32)</f>
        <v>6799.4895000000015</v>
      </c>
      <c r="U33" s="124"/>
      <c r="V33" s="124"/>
      <c r="W33" s="124">
        <f>SUM(W5:W32)</f>
        <v>19998.539499999995</v>
      </c>
      <c r="X33" s="124"/>
      <c r="Y33" s="125"/>
      <c r="Z33" s="124">
        <f>SUM(Z5:Z30)</f>
        <v>0</v>
      </c>
      <c r="AA33" s="124">
        <f>SUM(AA5:AA32)</f>
        <v>258905.69449999995</v>
      </c>
      <c r="AB33" s="124"/>
      <c r="AC33" s="125"/>
      <c r="AD33" s="124">
        <f>SUM(AD5:AD32)</f>
        <v>21706.533500000005</v>
      </c>
      <c r="AE33" s="124"/>
      <c r="AF33" s="125"/>
      <c r="AG33" s="126">
        <f>SUM(AG5:AG32)</f>
        <v>23024</v>
      </c>
      <c r="AH33" s="124"/>
      <c r="AI33" s="125"/>
      <c r="AJ33" s="124">
        <f>SUM(AJ5:AJ32)</f>
        <v>42210.82</v>
      </c>
      <c r="AK33" s="124"/>
      <c r="AL33" s="125"/>
      <c r="AM33" s="126">
        <f>SUM(AM5:AM32)</f>
        <v>1094.6713000000002</v>
      </c>
      <c r="AN33" s="124"/>
      <c r="AO33" s="125"/>
      <c r="AP33" s="124">
        <f>SUM(AP5:AP32)</f>
        <v>0</v>
      </c>
      <c r="AQ33" s="124"/>
      <c r="AR33" s="125"/>
      <c r="AS33" s="124">
        <f>SUM(AS5:AS32)</f>
        <v>0</v>
      </c>
      <c r="AT33" s="124">
        <f>SUM(AT5:AT32)</f>
        <v>88036.024799999985</v>
      </c>
      <c r="AU33" s="124">
        <f>SUM(AU5:AU32)</f>
        <v>170869.66969999997</v>
      </c>
      <c r="AV33" s="127"/>
    </row>
    <row r="34" spans="1:48" s="128" customFormat="1" ht="21" customHeight="1" x14ac:dyDescent="0.2">
      <c r="A34" s="129"/>
      <c r="B34" s="129"/>
      <c r="C34" s="130"/>
      <c r="D34" s="130"/>
      <c r="E34" s="130"/>
      <c r="F34" s="130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31"/>
      <c r="Z34" s="129"/>
      <c r="AA34" s="129"/>
      <c r="AB34" s="129"/>
      <c r="AC34" s="131"/>
      <c r="AD34" s="129"/>
      <c r="AE34" s="129"/>
      <c r="AF34" s="131"/>
      <c r="AG34" s="132"/>
      <c r="AH34" s="129"/>
      <c r="AI34" s="131"/>
      <c r="AJ34" s="129"/>
      <c r="AK34" s="129"/>
      <c r="AL34" s="131"/>
      <c r="AM34" s="132"/>
      <c r="AN34" s="129"/>
      <c r="AO34" s="131"/>
      <c r="AP34" s="129"/>
      <c r="AQ34" s="129"/>
      <c r="AR34" s="131"/>
      <c r="AS34" s="129"/>
      <c r="AT34" s="129"/>
      <c r="AU34" s="129"/>
      <c r="AV34" s="129"/>
    </row>
    <row r="35" spans="1:48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73"/>
      <c r="L35" s="173"/>
      <c r="M35" s="135"/>
      <c r="N35" s="135"/>
      <c r="P35" s="135"/>
      <c r="Q35" s="136"/>
      <c r="R35" s="137"/>
      <c r="S35" s="138"/>
      <c r="T35" s="173"/>
      <c r="U35" s="173"/>
      <c r="V35" s="173"/>
      <c r="W35" s="173"/>
      <c r="X35" s="173"/>
      <c r="Y35" s="173"/>
      <c r="Z35" s="173"/>
      <c r="AA35" s="173"/>
      <c r="AB35" s="133"/>
      <c r="AC35" s="133"/>
      <c r="AD35" s="133"/>
      <c r="AE35" s="133"/>
      <c r="AF35" s="133"/>
      <c r="AH35" s="133"/>
      <c r="AI35" s="133"/>
      <c r="AJ35" s="133"/>
      <c r="AK35" s="133"/>
      <c r="AL35" s="133"/>
      <c r="AM35" s="173" t="s">
        <v>113</v>
      </c>
      <c r="AN35" s="173"/>
      <c r="AO35" s="173"/>
      <c r="AP35" s="173"/>
      <c r="AQ35" s="173"/>
      <c r="AR35" s="173"/>
      <c r="AS35" s="173"/>
      <c r="AT35" s="173"/>
      <c r="AU35" s="173"/>
    </row>
    <row r="36" spans="1:48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P36" s="141"/>
      <c r="Q36" s="142"/>
      <c r="R36" s="141"/>
      <c r="S36" s="138"/>
      <c r="T36" s="138"/>
      <c r="U36" s="141"/>
      <c r="V36" s="142"/>
      <c r="X36" s="141"/>
      <c r="Y36" s="142"/>
      <c r="AA36" s="138"/>
      <c r="AB36" s="141"/>
      <c r="AC36" s="142"/>
      <c r="AD36" s="143"/>
      <c r="AE36" s="141"/>
      <c r="AF36" s="142"/>
      <c r="AG36" s="144"/>
      <c r="AH36" s="141"/>
      <c r="AI36" s="142"/>
      <c r="AJ36" s="133"/>
      <c r="AK36" s="141"/>
      <c r="AL36" s="142"/>
      <c r="AM36" s="145"/>
      <c r="AN36" s="141"/>
      <c r="AO36" s="142"/>
      <c r="AP36" s="133"/>
      <c r="AQ36" s="141"/>
      <c r="AR36" s="142"/>
      <c r="AS36" s="133"/>
      <c r="AU36" s="133"/>
    </row>
    <row r="37" spans="1:48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73"/>
      <c r="L37" s="173"/>
      <c r="M37" s="135"/>
      <c r="N37" s="135"/>
      <c r="P37" s="135"/>
      <c r="Q37" s="136"/>
      <c r="R37" s="138"/>
      <c r="S37" s="138"/>
      <c r="T37" s="173"/>
      <c r="U37" s="173"/>
      <c r="V37" s="173"/>
      <c r="W37" s="173"/>
      <c r="X37" s="173"/>
      <c r="Y37" s="173"/>
      <c r="Z37" s="173"/>
      <c r="AA37" s="173"/>
      <c r="AB37" s="133"/>
      <c r="AC37" s="133"/>
      <c r="AD37" s="133"/>
      <c r="AE37" s="133"/>
      <c r="AF37" s="133"/>
      <c r="AH37" s="133"/>
      <c r="AI37" s="133"/>
      <c r="AK37" s="133"/>
      <c r="AL37" s="133"/>
      <c r="AM37" s="173" t="s">
        <v>115</v>
      </c>
      <c r="AN37" s="173"/>
      <c r="AO37" s="173"/>
      <c r="AP37" s="173"/>
      <c r="AQ37" s="173"/>
      <c r="AR37" s="173"/>
      <c r="AS37" s="173"/>
      <c r="AT37" s="173"/>
      <c r="AU37" s="173"/>
      <c r="AV37" s="133"/>
    </row>
    <row r="38" spans="1:48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73"/>
      <c r="L38" s="173"/>
      <c r="M38" s="135"/>
      <c r="N38" s="135"/>
      <c r="P38" s="135"/>
      <c r="Q38" s="136"/>
      <c r="R38" s="138"/>
      <c r="S38" s="138"/>
      <c r="T38" s="173"/>
      <c r="U38" s="173"/>
      <c r="V38" s="173"/>
      <c r="W38" s="173"/>
      <c r="X38" s="173"/>
      <c r="Y38" s="173"/>
      <c r="Z38" s="173"/>
      <c r="AA38" s="173"/>
      <c r="AB38" s="133"/>
      <c r="AC38" s="133"/>
      <c r="AD38" s="133"/>
      <c r="AE38" s="133"/>
      <c r="AF38" s="133"/>
      <c r="AH38" s="133"/>
      <c r="AI38" s="133"/>
      <c r="AK38" s="133"/>
      <c r="AL38" s="133"/>
      <c r="AM38" s="173" t="s">
        <v>133</v>
      </c>
      <c r="AN38" s="173"/>
      <c r="AO38" s="173"/>
      <c r="AP38" s="173"/>
      <c r="AQ38" s="173"/>
      <c r="AR38" s="173"/>
      <c r="AS38" s="173"/>
      <c r="AT38" s="173"/>
      <c r="AU38" s="173"/>
      <c r="AV38" s="133"/>
    </row>
    <row r="39" spans="1:48" x14ac:dyDescent="0.2">
      <c r="A39" s="133"/>
      <c r="B39" s="133"/>
      <c r="C39" s="146"/>
      <c r="D39" s="146"/>
      <c r="E39" s="146"/>
      <c r="F39" s="146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47"/>
      <c r="R39" s="133"/>
      <c r="U39" s="133"/>
      <c r="V39" s="147"/>
      <c r="X39" s="133"/>
      <c r="Y39" s="147"/>
      <c r="AA39" s="133"/>
      <c r="AB39" s="133"/>
      <c r="AC39" s="147"/>
      <c r="AD39" s="133"/>
      <c r="AE39" s="133"/>
      <c r="AF39" s="147"/>
      <c r="AG39" s="148"/>
      <c r="AH39" s="133"/>
      <c r="AI39" s="147"/>
      <c r="AK39" s="133"/>
      <c r="AL39" s="147"/>
      <c r="AN39" s="133"/>
      <c r="AO39" s="147"/>
      <c r="AQ39" s="133"/>
      <c r="AR39" s="147"/>
      <c r="AT39" s="133"/>
      <c r="AU39" s="133"/>
      <c r="AV39" s="133"/>
    </row>
    <row r="40" spans="1:48" x14ac:dyDescent="0.2">
      <c r="C40" s="146"/>
      <c r="D40" s="146"/>
      <c r="E40" s="146"/>
      <c r="F40" s="146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47"/>
      <c r="R40" s="133"/>
      <c r="S40" s="133"/>
      <c r="T40" s="133"/>
      <c r="U40" s="133"/>
      <c r="V40" s="147"/>
      <c r="W40" s="149"/>
      <c r="X40" s="133"/>
      <c r="Y40" s="147"/>
      <c r="Z40" s="149"/>
      <c r="AA40" s="133"/>
      <c r="AB40" s="133"/>
      <c r="AC40" s="147"/>
      <c r="AD40" s="133"/>
      <c r="AE40" s="133"/>
      <c r="AF40" s="147"/>
      <c r="AG40" s="150"/>
      <c r="AH40" s="133"/>
      <c r="AI40" s="147"/>
      <c r="AJ40" s="133"/>
      <c r="AK40" s="133"/>
      <c r="AL40" s="147"/>
      <c r="AM40" s="150"/>
      <c r="AN40" s="133"/>
      <c r="AO40" s="147"/>
      <c r="AP40" s="133"/>
      <c r="AQ40" s="133"/>
      <c r="AR40" s="147"/>
      <c r="AS40" s="133"/>
      <c r="AT40" s="133"/>
    </row>
    <row r="41" spans="1:48" x14ac:dyDescent="0.2">
      <c r="C41" s="146"/>
      <c r="D41" s="146"/>
      <c r="E41" s="146"/>
      <c r="F41" s="146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47"/>
      <c r="R41" s="133"/>
      <c r="S41" s="133"/>
      <c r="T41" s="133"/>
      <c r="U41" s="133"/>
      <c r="V41" s="147"/>
      <c r="W41" s="149"/>
      <c r="X41" s="133"/>
      <c r="Y41" s="147"/>
      <c r="Z41" s="149"/>
      <c r="AA41" s="133"/>
      <c r="AB41" s="133"/>
      <c r="AC41" s="147"/>
      <c r="AD41" s="133"/>
      <c r="AE41" s="133"/>
      <c r="AF41" s="147"/>
      <c r="AG41" s="150"/>
      <c r="AH41" s="133"/>
      <c r="AI41" s="147"/>
      <c r="AJ41" s="133"/>
      <c r="AK41" s="133"/>
      <c r="AL41" s="147"/>
      <c r="AM41" s="150"/>
      <c r="AN41" s="133"/>
      <c r="AO41" s="147"/>
      <c r="AP41" s="133"/>
      <c r="AQ41" s="133"/>
      <c r="AR41" s="147"/>
      <c r="AS41" s="133"/>
      <c r="AT41" s="133"/>
    </row>
    <row r="42" spans="1:48" x14ac:dyDescent="0.2">
      <c r="C42" s="146"/>
      <c r="D42" s="146"/>
      <c r="E42" s="146"/>
      <c r="F42" s="146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47"/>
      <c r="R42" s="133"/>
      <c r="S42" s="133"/>
      <c r="T42" s="133"/>
      <c r="U42" s="133"/>
      <c r="V42" s="147"/>
      <c r="W42" s="149"/>
      <c r="X42" s="133"/>
      <c r="Y42" s="147"/>
      <c r="Z42" s="149"/>
      <c r="AA42" s="133"/>
      <c r="AB42" s="133"/>
      <c r="AC42" s="147"/>
      <c r="AD42" s="133"/>
      <c r="AE42" s="133"/>
      <c r="AF42" s="147"/>
      <c r="AG42" s="150"/>
      <c r="AH42" s="133"/>
      <c r="AI42" s="147"/>
      <c r="AJ42" s="133"/>
      <c r="AK42" s="133"/>
      <c r="AL42" s="147"/>
      <c r="AM42" s="150"/>
      <c r="AN42" s="133"/>
      <c r="AO42" s="147"/>
      <c r="AP42" s="133"/>
      <c r="AQ42" s="133"/>
      <c r="AR42" s="147"/>
      <c r="AS42" s="133"/>
      <c r="AT42" s="133"/>
      <c r="AU42" s="133"/>
    </row>
    <row r="43" spans="1:48" x14ac:dyDescent="0.2">
      <c r="C43" s="146"/>
      <c r="D43" s="146"/>
      <c r="E43" s="146"/>
      <c r="F43" s="146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47"/>
      <c r="R43" s="133"/>
      <c r="S43" s="133"/>
      <c r="T43" s="133"/>
      <c r="U43" s="133"/>
      <c r="V43" s="147"/>
      <c r="W43" s="149"/>
      <c r="X43" s="133"/>
      <c r="Y43" s="147"/>
      <c r="Z43" s="149"/>
      <c r="AA43" s="133"/>
      <c r="AB43" s="133"/>
      <c r="AC43" s="147"/>
      <c r="AD43" s="133"/>
      <c r="AE43" s="133"/>
      <c r="AF43" s="147"/>
      <c r="AG43" s="150"/>
      <c r="AH43" s="133"/>
      <c r="AI43" s="147"/>
      <c r="AJ43" s="133"/>
      <c r="AK43" s="133"/>
      <c r="AL43" s="147"/>
      <c r="AM43" s="150"/>
      <c r="AN43" s="133"/>
      <c r="AO43" s="147"/>
      <c r="AP43" s="133"/>
      <c r="AQ43" s="133"/>
      <c r="AR43" s="147"/>
      <c r="AS43" s="133"/>
      <c r="AT43" s="133"/>
      <c r="AU43" s="133"/>
    </row>
    <row r="44" spans="1:48" x14ac:dyDescent="0.2">
      <c r="C44" s="146"/>
      <c r="D44" s="146"/>
      <c r="E44" s="146"/>
      <c r="F44" s="146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47"/>
      <c r="R44" s="133"/>
      <c r="S44" s="133"/>
      <c r="T44" s="133"/>
      <c r="U44" s="133"/>
      <c r="V44" s="147"/>
      <c r="W44" s="149"/>
      <c r="X44" s="133"/>
      <c r="Y44" s="147"/>
      <c r="Z44" s="149"/>
      <c r="AA44" s="133"/>
      <c r="AB44" s="133"/>
      <c r="AC44" s="147"/>
      <c r="AD44" s="133"/>
      <c r="AE44" s="133"/>
      <c r="AF44" s="147"/>
      <c r="AG44" s="150"/>
      <c r="AH44" s="133"/>
      <c r="AI44" s="147"/>
      <c r="AJ44" s="133"/>
      <c r="AK44" s="133"/>
      <c r="AL44" s="147"/>
      <c r="AM44" s="150"/>
      <c r="AN44" s="133"/>
      <c r="AO44" s="147"/>
      <c r="AP44" s="133"/>
      <c r="AQ44" s="133"/>
      <c r="AR44" s="147"/>
      <c r="AS44" s="133"/>
      <c r="AT44" s="133"/>
      <c r="AU44" s="133"/>
    </row>
    <row r="45" spans="1:48" x14ac:dyDescent="0.2">
      <c r="C45" s="146"/>
      <c r="D45" s="146"/>
      <c r="E45" s="146"/>
      <c r="F45" s="146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47"/>
      <c r="R45" s="133"/>
      <c r="S45" s="133"/>
      <c r="T45" s="133"/>
      <c r="U45" s="133"/>
      <c r="V45" s="147"/>
      <c r="W45" s="149"/>
      <c r="X45" s="133"/>
      <c r="Y45" s="147"/>
      <c r="Z45" s="149"/>
      <c r="AA45" s="133"/>
      <c r="AB45" s="133"/>
      <c r="AC45" s="147"/>
      <c r="AD45" s="133"/>
      <c r="AE45" s="133"/>
      <c r="AF45" s="147"/>
      <c r="AG45" s="150"/>
      <c r="AH45" s="133"/>
      <c r="AI45" s="147"/>
      <c r="AJ45" s="133"/>
      <c r="AK45" s="133"/>
      <c r="AL45" s="147"/>
      <c r="AM45" s="150"/>
      <c r="AN45" s="133"/>
      <c r="AO45" s="147"/>
      <c r="AP45" s="133"/>
      <c r="AQ45" s="133"/>
      <c r="AR45" s="147"/>
      <c r="AS45" s="133"/>
      <c r="AT45" s="133"/>
      <c r="AU45" s="133"/>
    </row>
    <row r="46" spans="1:48" x14ac:dyDescent="0.2">
      <c r="C46" s="146"/>
      <c r="D46" s="146"/>
      <c r="E46" s="146"/>
      <c r="F46" s="146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47"/>
      <c r="R46" s="133"/>
      <c r="S46" s="133"/>
      <c r="T46" s="133"/>
      <c r="U46" s="133"/>
      <c r="V46" s="147"/>
      <c r="W46" s="149"/>
      <c r="X46" s="133"/>
      <c r="Y46" s="147"/>
      <c r="Z46" s="149"/>
      <c r="AA46" s="133"/>
      <c r="AB46" s="133"/>
      <c r="AC46" s="147"/>
      <c r="AD46" s="133"/>
      <c r="AE46" s="133"/>
      <c r="AF46" s="147"/>
      <c r="AG46" s="150"/>
      <c r="AH46" s="133"/>
      <c r="AI46" s="147"/>
      <c r="AJ46" s="133"/>
      <c r="AK46" s="133"/>
      <c r="AL46" s="147"/>
      <c r="AM46" s="150"/>
      <c r="AN46" s="133"/>
      <c r="AO46" s="147"/>
      <c r="AP46" s="133"/>
      <c r="AQ46" s="133"/>
      <c r="AR46" s="147"/>
      <c r="AS46" s="133"/>
      <c r="AT46" s="133"/>
    </row>
    <row r="47" spans="1:48" x14ac:dyDescent="0.2">
      <c r="C47" s="146"/>
      <c r="D47" s="146"/>
      <c r="E47" s="146"/>
      <c r="F47" s="14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47"/>
      <c r="R47" s="133"/>
      <c r="S47" s="133"/>
      <c r="T47" s="133"/>
      <c r="U47" s="133"/>
      <c r="V47" s="147"/>
      <c r="W47" s="149"/>
      <c r="X47" s="133"/>
      <c r="Y47" s="147"/>
      <c r="Z47" s="149"/>
      <c r="AA47" s="133"/>
      <c r="AB47" s="133"/>
      <c r="AC47" s="147"/>
      <c r="AD47" s="133"/>
      <c r="AE47" s="133"/>
      <c r="AF47" s="147"/>
      <c r="AG47" s="150"/>
      <c r="AH47" s="133"/>
      <c r="AI47" s="147"/>
      <c r="AJ47" s="133"/>
      <c r="AK47" s="133"/>
      <c r="AL47" s="147"/>
      <c r="AM47" s="150"/>
      <c r="AN47" s="133"/>
      <c r="AO47" s="147"/>
      <c r="AP47" s="133"/>
      <c r="AQ47" s="133"/>
      <c r="AR47" s="147"/>
      <c r="AS47" s="133"/>
      <c r="AT47" s="133"/>
    </row>
    <row r="48" spans="1:48" x14ac:dyDescent="0.2">
      <c r="C48" s="146"/>
      <c r="D48" s="146"/>
      <c r="E48" s="146"/>
      <c r="F48" s="14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47"/>
      <c r="R48" s="133"/>
      <c r="S48" s="133"/>
      <c r="T48" s="133"/>
      <c r="U48" s="133"/>
      <c r="V48" s="147"/>
      <c r="W48" s="149"/>
      <c r="X48" s="133"/>
      <c r="Y48" s="147"/>
      <c r="Z48" s="149"/>
      <c r="AA48" s="133"/>
      <c r="AB48" s="133"/>
      <c r="AC48" s="147"/>
      <c r="AD48" s="133"/>
      <c r="AE48" s="133"/>
      <c r="AF48" s="147"/>
      <c r="AG48" s="150"/>
      <c r="AH48" s="133"/>
      <c r="AI48" s="147"/>
      <c r="AJ48" s="133"/>
      <c r="AK48" s="133"/>
      <c r="AL48" s="147"/>
      <c r="AM48" s="150"/>
      <c r="AN48" s="133"/>
      <c r="AO48" s="147"/>
      <c r="AP48" s="133"/>
      <c r="AQ48" s="133"/>
      <c r="AR48" s="147"/>
      <c r="AS48" s="133"/>
      <c r="AT48" s="133"/>
    </row>
    <row r="49" spans="3:46" x14ac:dyDescent="0.2">
      <c r="C49" s="146"/>
      <c r="D49" s="146"/>
      <c r="E49" s="146"/>
      <c r="F49" s="146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47"/>
      <c r="R49" s="133"/>
      <c r="S49" s="133"/>
      <c r="T49" s="133"/>
      <c r="U49" s="133"/>
      <c r="V49" s="147"/>
      <c r="W49" s="149"/>
      <c r="X49" s="133"/>
      <c r="Y49" s="147"/>
      <c r="Z49" s="149"/>
      <c r="AA49" s="133"/>
      <c r="AB49" s="133"/>
      <c r="AC49" s="147"/>
      <c r="AD49" s="133"/>
      <c r="AE49" s="133"/>
      <c r="AF49" s="147"/>
      <c r="AG49" s="150"/>
      <c r="AH49" s="133"/>
      <c r="AI49" s="147"/>
      <c r="AJ49" s="133"/>
      <c r="AK49" s="133"/>
      <c r="AL49" s="147"/>
      <c r="AM49" s="150"/>
      <c r="AN49" s="133"/>
      <c r="AO49" s="147"/>
      <c r="AP49" s="133"/>
      <c r="AQ49" s="133"/>
      <c r="AR49" s="147"/>
      <c r="AS49" s="133"/>
      <c r="AT49" s="133"/>
    </row>
    <row r="50" spans="3:46" x14ac:dyDescent="0.2">
      <c r="C50" s="146"/>
      <c r="D50" s="146"/>
      <c r="E50" s="146"/>
      <c r="F50" s="146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47"/>
      <c r="R50" s="133"/>
      <c r="S50" s="133"/>
      <c r="T50" s="133"/>
      <c r="U50" s="133"/>
      <c r="V50" s="147"/>
      <c r="W50" s="149"/>
      <c r="X50" s="133"/>
      <c r="Y50" s="147"/>
      <c r="Z50" s="149"/>
      <c r="AA50" s="133"/>
      <c r="AB50" s="133"/>
      <c r="AC50" s="147"/>
      <c r="AD50" s="133"/>
      <c r="AE50" s="133"/>
      <c r="AF50" s="147"/>
      <c r="AG50" s="150"/>
      <c r="AH50" s="133"/>
      <c r="AI50" s="147"/>
      <c r="AJ50" s="133"/>
      <c r="AK50" s="133"/>
      <c r="AL50" s="147"/>
      <c r="AM50" s="150"/>
      <c r="AN50" s="133"/>
      <c r="AO50" s="147"/>
      <c r="AP50" s="133"/>
      <c r="AQ50" s="133"/>
      <c r="AR50" s="147"/>
      <c r="AS50" s="133"/>
      <c r="AT50" s="133"/>
    </row>
    <row r="51" spans="3:46" x14ac:dyDescent="0.2">
      <c r="C51" s="146"/>
      <c r="D51" s="146"/>
      <c r="E51" s="146"/>
      <c r="F51" s="146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47"/>
      <c r="R51" s="133"/>
      <c r="S51" s="133"/>
      <c r="T51" s="133"/>
      <c r="U51" s="133"/>
      <c r="V51" s="147"/>
      <c r="W51" s="149"/>
      <c r="X51" s="133"/>
      <c r="Y51" s="147"/>
      <c r="Z51" s="149"/>
      <c r="AA51" s="133"/>
      <c r="AB51" s="133"/>
      <c r="AC51" s="147"/>
      <c r="AD51" s="133"/>
      <c r="AE51" s="133"/>
      <c r="AF51" s="147"/>
      <c r="AG51" s="150"/>
      <c r="AH51" s="133"/>
      <c r="AI51" s="147"/>
      <c r="AJ51" s="133"/>
      <c r="AK51" s="133"/>
      <c r="AL51" s="147"/>
      <c r="AM51" s="150"/>
      <c r="AN51" s="133"/>
      <c r="AO51" s="147"/>
      <c r="AP51" s="133"/>
      <c r="AQ51" s="133"/>
      <c r="AR51" s="147"/>
      <c r="AS51" s="133"/>
      <c r="AT51" s="133"/>
    </row>
    <row r="52" spans="3:46" x14ac:dyDescent="0.2">
      <c r="C52" s="146"/>
      <c r="D52" s="146"/>
      <c r="E52" s="146"/>
      <c r="F52" s="146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47"/>
      <c r="R52" s="133"/>
      <c r="S52" s="133"/>
      <c r="T52" s="133"/>
      <c r="U52" s="133"/>
      <c r="V52" s="147"/>
      <c r="W52" s="149"/>
      <c r="X52" s="133"/>
      <c r="Y52" s="147"/>
      <c r="Z52" s="149"/>
      <c r="AA52" s="133"/>
      <c r="AB52" s="133"/>
      <c r="AC52" s="147"/>
      <c r="AD52" s="133"/>
      <c r="AE52" s="133"/>
      <c r="AF52" s="147"/>
      <c r="AG52" s="150"/>
      <c r="AH52" s="133"/>
      <c r="AI52" s="147"/>
      <c r="AJ52" s="133"/>
      <c r="AK52" s="133"/>
      <c r="AL52" s="147"/>
      <c r="AM52" s="150"/>
      <c r="AN52" s="133"/>
      <c r="AO52" s="147"/>
      <c r="AP52" s="133"/>
      <c r="AQ52" s="133"/>
      <c r="AR52" s="147"/>
      <c r="AS52" s="133"/>
      <c r="AT52" s="133"/>
    </row>
    <row r="53" spans="3:46" x14ac:dyDescent="0.2">
      <c r="C53" s="146"/>
      <c r="D53" s="146"/>
      <c r="E53" s="146"/>
      <c r="F53" s="146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47"/>
      <c r="R53" s="133"/>
      <c r="S53" s="133"/>
      <c r="T53" s="133"/>
      <c r="U53" s="133"/>
      <c r="V53" s="147"/>
      <c r="W53" s="149"/>
      <c r="X53" s="133"/>
      <c r="Y53" s="147"/>
      <c r="Z53" s="149"/>
      <c r="AA53" s="133"/>
      <c r="AB53" s="133"/>
      <c r="AC53" s="147"/>
      <c r="AD53" s="133"/>
      <c r="AE53" s="133"/>
      <c r="AF53" s="147"/>
      <c r="AG53" s="150"/>
      <c r="AH53" s="133"/>
      <c r="AI53" s="147"/>
      <c r="AJ53" s="133"/>
      <c r="AK53" s="133"/>
      <c r="AL53" s="147"/>
      <c r="AM53" s="150"/>
      <c r="AN53" s="133"/>
      <c r="AO53" s="147"/>
      <c r="AP53" s="133"/>
      <c r="AQ53" s="133"/>
      <c r="AR53" s="147"/>
      <c r="AS53" s="133"/>
      <c r="AT53" s="133"/>
    </row>
    <row r="54" spans="3:46" x14ac:dyDescent="0.2">
      <c r="C54" s="146"/>
      <c r="D54" s="146"/>
      <c r="E54" s="146"/>
      <c r="F54" s="146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47"/>
      <c r="R54" s="133"/>
      <c r="S54" s="133"/>
      <c r="T54" s="133"/>
      <c r="U54" s="133"/>
      <c r="V54" s="147"/>
      <c r="W54" s="149"/>
      <c r="X54" s="133"/>
      <c r="Y54" s="147"/>
      <c r="Z54" s="149"/>
      <c r="AA54" s="133"/>
      <c r="AB54" s="133"/>
      <c r="AC54" s="147"/>
      <c r="AD54" s="133"/>
      <c r="AE54" s="133"/>
      <c r="AF54" s="147"/>
      <c r="AG54" s="150"/>
      <c r="AH54" s="133"/>
      <c r="AI54" s="147"/>
      <c r="AJ54" s="133"/>
      <c r="AK54" s="133"/>
      <c r="AL54" s="147"/>
      <c r="AM54" s="150"/>
      <c r="AN54" s="133"/>
      <c r="AO54" s="147"/>
      <c r="AP54" s="133"/>
      <c r="AQ54" s="133"/>
      <c r="AR54" s="147"/>
      <c r="AS54" s="133"/>
      <c r="AT54" s="133"/>
    </row>
    <row r="55" spans="3:46" x14ac:dyDescent="0.2">
      <c r="C55" s="134"/>
      <c r="D55" s="151"/>
      <c r="E55" s="151"/>
      <c r="F55" s="151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47"/>
      <c r="R55" s="133"/>
      <c r="S55" s="133"/>
      <c r="T55" s="133"/>
      <c r="U55" s="133"/>
      <c r="V55" s="147"/>
      <c r="W55" s="149"/>
      <c r="X55" s="133"/>
      <c r="Y55" s="147"/>
      <c r="Z55" s="149"/>
      <c r="AA55" s="133"/>
      <c r="AB55" s="133"/>
      <c r="AC55" s="147"/>
      <c r="AD55" s="133"/>
      <c r="AE55" s="133"/>
      <c r="AF55" s="147"/>
      <c r="AG55" s="150"/>
      <c r="AH55" s="133"/>
      <c r="AI55" s="147"/>
      <c r="AJ55" s="133"/>
      <c r="AK55" s="133"/>
      <c r="AL55" s="147"/>
      <c r="AM55" s="150"/>
      <c r="AN55" s="133"/>
      <c r="AO55" s="147"/>
      <c r="AP55" s="133"/>
      <c r="AQ55" s="133"/>
      <c r="AR55" s="147"/>
      <c r="AS55" s="133"/>
      <c r="AT55" s="133"/>
    </row>
    <row r="56" spans="3:46" x14ac:dyDescent="0.2">
      <c r="C56" s="134"/>
      <c r="D56" s="151"/>
      <c r="E56" s="151"/>
      <c r="F56" s="151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47"/>
      <c r="R56" s="133"/>
      <c r="S56" s="133"/>
      <c r="T56" s="133"/>
      <c r="U56" s="133"/>
      <c r="V56" s="147"/>
      <c r="W56" s="149"/>
      <c r="X56" s="133"/>
      <c r="Y56" s="147"/>
      <c r="Z56" s="149"/>
      <c r="AA56" s="133"/>
      <c r="AB56" s="133"/>
      <c r="AC56" s="147"/>
      <c r="AD56" s="133"/>
      <c r="AE56" s="133"/>
      <c r="AF56" s="147"/>
      <c r="AG56" s="150"/>
      <c r="AH56" s="133"/>
      <c r="AI56" s="147"/>
      <c r="AJ56" s="133"/>
      <c r="AK56" s="133"/>
      <c r="AL56" s="147"/>
      <c r="AM56" s="150"/>
      <c r="AN56" s="133"/>
      <c r="AO56" s="147"/>
      <c r="AP56" s="133"/>
      <c r="AQ56" s="133"/>
      <c r="AR56" s="147"/>
      <c r="AS56" s="133"/>
      <c r="AT56" s="133"/>
    </row>
    <row r="57" spans="3:46" x14ac:dyDescent="0.2">
      <c r="C57" s="134"/>
      <c r="D57" s="151"/>
      <c r="E57" s="151"/>
      <c r="F57" s="151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47"/>
      <c r="R57" s="133"/>
      <c r="S57" s="133"/>
      <c r="T57" s="133"/>
      <c r="U57" s="133"/>
      <c r="V57" s="147"/>
      <c r="W57" s="149"/>
      <c r="X57" s="133"/>
      <c r="Y57" s="147"/>
      <c r="Z57" s="149"/>
      <c r="AA57" s="133"/>
      <c r="AB57" s="133"/>
      <c r="AC57" s="147"/>
      <c r="AD57" s="133"/>
      <c r="AE57" s="133"/>
      <c r="AF57" s="147"/>
      <c r="AG57" s="150"/>
      <c r="AH57" s="133"/>
      <c r="AI57" s="147"/>
      <c r="AJ57" s="133"/>
      <c r="AK57" s="133"/>
      <c r="AL57" s="147"/>
      <c r="AM57" s="150"/>
      <c r="AN57" s="133"/>
      <c r="AO57" s="147"/>
      <c r="AP57" s="133"/>
      <c r="AQ57" s="133"/>
      <c r="AR57" s="147"/>
      <c r="AS57" s="133"/>
      <c r="AT57" s="133"/>
    </row>
    <row r="58" spans="3:46" x14ac:dyDescent="0.2">
      <c r="C58" s="134"/>
      <c r="D58" s="151"/>
      <c r="E58" s="151"/>
      <c r="F58" s="151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47"/>
      <c r="R58" s="133"/>
      <c r="S58" s="133"/>
      <c r="T58" s="133"/>
      <c r="U58" s="133"/>
      <c r="V58" s="147"/>
      <c r="W58" s="149"/>
      <c r="X58" s="133"/>
      <c r="Y58" s="147"/>
      <c r="Z58" s="149"/>
      <c r="AA58" s="133"/>
      <c r="AB58" s="133"/>
      <c r="AC58" s="147"/>
      <c r="AD58" s="133"/>
      <c r="AE58" s="133"/>
      <c r="AF58" s="147"/>
      <c r="AG58" s="150"/>
      <c r="AH58" s="133"/>
      <c r="AI58" s="147"/>
      <c r="AJ58" s="133"/>
      <c r="AK58" s="133"/>
      <c r="AL58" s="147"/>
      <c r="AM58" s="150"/>
      <c r="AN58" s="133"/>
      <c r="AO58" s="147"/>
      <c r="AP58" s="133"/>
      <c r="AQ58" s="133"/>
      <c r="AR58" s="147"/>
      <c r="AS58" s="133"/>
      <c r="AT58" s="133"/>
    </row>
    <row r="59" spans="3:46" x14ac:dyDescent="0.2">
      <c r="C59" s="146"/>
      <c r="D59" s="146"/>
      <c r="E59" s="146"/>
      <c r="F59" s="146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47"/>
      <c r="R59" s="133"/>
      <c r="S59" s="133"/>
      <c r="T59" s="133"/>
      <c r="U59" s="133"/>
      <c r="V59" s="147"/>
      <c r="W59" s="149"/>
      <c r="X59" s="133"/>
      <c r="Y59" s="147"/>
      <c r="Z59" s="149"/>
      <c r="AA59" s="133"/>
      <c r="AB59" s="133"/>
      <c r="AC59" s="147"/>
      <c r="AE59" s="133"/>
      <c r="AF59" s="147"/>
      <c r="AH59" s="133"/>
      <c r="AI59" s="147"/>
      <c r="AK59" s="133"/>
      <c r="AL59" s="147"/>
      <c r="AN59" s="133"/>
      <c r="AO59" s="147"/>
      <c r="AQ59" s="133"/>
      <c r="AR59" s="147"/>
    </row>
    <row r="60" spans="3:46" x14ac:dyDescent="0.2">
      <c r="C60" s="146"/>
      <c r="D60" s="146"/>
      <c r="E60" s="146"/>
      <c r="F60" s="146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47"/>
      <c r="R60" s="133"/>
      <c r="S60" s="133"/>
      <c r="T60" s="133"/>
      <c r="U60" s="133"/>
      <c r="V60" s="147"/>
      <c r="W60" s="149"/>
      <c r="X60" s="133"/>
      <c r="Y60" s="147"/>
      <c r="Z60" s="149"/>
      <c r="AA60" s="133"/>
      <c r="AB60" s="133"/>
      <c r="AC60" s="147"/>
      <c r="AE60" s="133"/>
      <c r="AF60" s="147"/>
      <c r="AH60" s="133"/>
      <c r="AI60" s="147"/>
      <c r="AK60" s="133"/>
      <c r="AL60" s="147"/>
      <c r="AN60" s="133"/>
      <c r="AO60" s="147"/>
      <c r="AQ60" s="133"/>
      <c r="AR60" s="147"/>
    </row>
    <row r="61" spans="3:46" x14ac:dyDescent="0.2">
      <c r="C61" s="146"/>
      <c r="D61" s="146"/>
      <c r="E61" s="146"/>
      <c r="F61" s="146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47"/>
      <c r="R61" s="133"/>
      <c r="S61" s="133"/>
      <c r="T61" s="133"/>
      <c r="U61" s="133"/>
      <c r="V61" s="147"/>
      <c r="W61" s="149"/>
      <c r="X61" s="133"/>
      <c r="Y61" s="147"/>
      <c r="Z61" s="149"/>
      <c r="AA61" s="133"/>
      <c r="AB61" s="133"/>
      <c r="AC61" s="147"/>
      <c r="AE61" s="133"/>
      <c r="AF61" s="147"/>
      <c r="AH61" s="133"/>
      <c r="AI61" s="147"/>
      <c r="AK61" s="133"/>
      <c r="AL61" s="147"/>
      <c r="AN61" s="133"/>
      <c r="AO61" s="147"/>
      <c r="AQ61" s="133"/>
      <c r="AR61" s="147"/>
    </row>
    <row r="62" spans="3:46" x14ac:dyDescent="0.2">
      <c r="C62" s="146"/>
      <c r="D62" s="146"/>
      <c r="E62" s="146"/>
      <c r="F62" s="146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47"/>
      <c r="R62" s="133"/>
      <c r="S62" s="133"/>
      <c r="T62" s="133"/>
      <c r="U62" s="133"/>
      <c r="V62" s="147"/>
      <c r="W62" s="149"/>
      <c r="X62" s="133"/>
      <c r="Y62" s="147"/>
      <c r="Z62" s="149"/>
      <c r="AA62" s="133"/>
      <c r="AB62" s="133"/>
      <c r="AC62" s="147"/>
      <c r="AE62" s="133"/>
      <c r="AF62" s="147"/>
      <c r="AH62" s="133"/>
      <c r="AI62" s="147"/>
      <c r="AK62" s="133"/>
      <c r="AL62" s="147"/>
      <c r="AN62" s="133"/>
      <c r="AO62" s="147"/>
      <c r="AQ62" s="133"/>
      <c r="AR62" s="147"/>
    </row>
    <row r="63" spans="3:46" x14ac:dyDescent="0.2">
      <c r="C63" s="146"/>
      <c r="D63" s="146"/>
      <c r="E63" s="146"/>
      <c r="F63" s="146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47"/>
      <c r="R63" s="133"/>
      <c r="S63" s="133"/>
      <c r="T63" s="133"/>
      <c r="U63" s="133"/>
      <c r="V63" s="147"/>
      <c r="W63" s="149"/>
      <c r="X63" s="133"/>
      <c r="Y63" s="147"/>
      <c r="Z63" s="149"/>
      <c r="AA63" s="133"/>
      <c r="AB63" s="133"/>
      <c r="AC63" s="147"/>
      <c r="AE63" s="133"/>
      <c r="AF63" s="147"/>
      <c r="AH63" s="133"/>
      <c r="AI63" s="147"/>
      <c r="AK63" s="133"/>
      <c r="AL63" s="147"/>
      <c r="AN63" s="133"/>
      <c r="AO63" s="147"/>
      <c r="AQ63" s="133"/>
      <c r="AR63" s="147"/>
    </row>
    <row r="64" spans="3:46" x14ac:dyDescent="0.2">
      <c r="C64" s="146"/>
      <c r="D64" s="146"/>
      <c r="E64" s="146"/>
      <c r="F64" s="146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47"/>
      <c r="R64" s="133"/>
      <c r="S64" s="133"/>
      <c r="T64" s="133"/>
      <c r="U64" s="133"/>
      <c r="V64" s="147"/>
      <c r="W64" s="149"/>
      <c r="X64" s="133"/>
      <c r="Y64" s="147"/>
      <c r="Z64" s="149"/>
      <c r="AA64" s="133"/>
      <c r="AB64" s="133"/>
      <c r="AC64" s="147"/>
      <c r="AE64" s="133"/>
      <c r="AF64" s="147"/>
      <c r="AH64" s="133"/>
      <c r="AI64" s="147"/>
      <c r="AK64" s="133"/>
      <c r="AL64" s="147"/>
      <c r="AN64" s="133"/>
      <c r="AO64" s="147"/>
      <c r="AQ64" s="133"/>
      <c r="AR64" s="147"/>
    </row>
    <row r="65" spans="3:47" x14ac:dyDescent="0.2">
      <c r="C65" s="140"/>
      <c r="D65" s="140"/>
      <c r="E65" s="140"/>
      <c r="F65" s="140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47"/>
      <c r="R65" s="149"/>
      <c r="S65" s="133"/>
      <c r="T65" s="149"/>
      <c r="U65" s="133"/>
      <c r="V65" s="147"/>
      <c r="W65" s="149"/>
      <c r="X65" s="133"/>
      <c r="Y65" s="147"/>
      <c r="Z65" s="149"/>
      <c r="AA65" s="133"/>
      <c r="AB65" s="133"/>
      <c r="AC65" s="147"/>
      <c r="AD65" s="133"/>
      <c r="AE65" s="133"/>
      <c r="AF65" s="147"/>
      <c r="AG65" s="150"/>
      <c r="AH65" s="133"/>
      <c r="AI65" s="147"/>
      <c r="AJ65" s="133"/>
      <c r="AK65" s="133"/>
      <c r="AL65" s="147"/>
      <c r="AM65" s="150"/>
      <c r="AN65" s="133"/>
      <c r="AO65" s="147"/>
      <c r="AP65" s="133"/>
      <c r="AQ65" s="133"/>
      <c r="AR65" s="147"/>
      <c r="AS65" s="133"/>
      <c r="AT65" s="133"/>
    </row>
    <row r="66" spans="3:47" x14ac:dyDescent="0.2">
      <c r="C66" s="146"/>
      <c r="D66" s="146"/>
      <c r="E66" s="146"/>
      <c r="F66" s="146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47"/>
      <c r="R66" s="133"/>
      <c r="S66" s="133"/>
      <c r="T66" s="133"/>
      <c r="U66" s="133"/>
      <c r="V66" s="147"/>
      <c r="W66" s="133"/>
      <c r="X66" s="133"/>
      <c r="Y66" s="147"/>
      <c r="Z66" s="133"/>
      <c r="AA66" s="133"/>
      <c r="AB66" s="133"/>
      <c r="AC66" s="147"/>
      <c r="AD66" s="133"/>
      <c r="AE66" s="133"/>
      <c r="AF66" s="147"/>
      <c r="AG66" s="150"/>
      <c r="AH66" s="133"/>
      <c r="AI66" s="147"/>
      <c r="AJ66" s="133"/>
      <c r="AK66" s="133"/>
      <c r="AL66" s="147"/>
      <c r="AM66" s="150"/>
      <c r="AN66" s="133"/>
      <c r="AO66" s="147"/>
      <c r="AP66" s="133"/>
      <c r="AQ66" s="133"/>
      <c r="AR66" s="147"/>
      <c r="AS66" s="133"/>
      <c r="AT66" s="133"/>
    </row>
    <row r="67" spans="3:47" x14ac:dyDescent="0.2">
      <c r="C67" s="134"/>
      <c r="D67" s="146"/>
      <c r="E67" s="146"/>
      <c r="F67" s="146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47"/>
      <c r="R67" s="133"/>
      <c r="S67" s="133"/>
      <c r="T67" s="133"/>
      <c r="U67" s="133"/>
      <c r="V67" s="147"/>
      <c r="W67" s="133"/>
      <c r="X67" s="133"/>
      <c r="Y67" s="147"/>
      <c r="Z67" s="133"/>
      <c r="AA67" s="133"/>
      <c r="AB67" s="133"/>
      <c r="AC67" s="147"/>
      <c r="AD67" s="133"/>
      <c r="AE67" s="133"/>
      <c r="AF67" s="147"/>
      <c r="AG67" s="150"/>
      <c r="AH67" s="133"/>
      <c r="AI67" s="147"/>
      <c r="AJ67" s="133"/>
      <c r="AK67" s="133"/>
      <c r="AL67" s="147"/>
      <c r="AM67" s="150"/>
      <c r="AN67" s="133"/>
      <c r="AO67" s="147"/>
      <c r="AP67" s="133"/>
      <c r="AQ67" s="133"/>
      <c r="AR67" s="147"/>
      <c r="AS67" s="133"/>
      <c r="AT67" s="133"/>
    </row>
    <row r="68" spans="3:47" x14ac:dyDescent="0.2">
      <c r="C68" s="146"/>
      <c r="D68" s="146"/>
      <c r="E68" s="146"/>
      <c r="F68" s="146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47"/>
      <c r="R68" s="133"/>
      <c r="S68" s="133"/>
      <c r="T68" s="133"/>
      <c r="U68" s="133"/>
      <c r="V68" s="147"/>
      <c r="W68" s="133"/>
      <c r="X68" s="133"/>
      <c r="Y68" s="147"/>
      <c r="Z68" s="133"/>
      <c r="AA68" s="133"/>
      <c r="AB68" s="133"/>
      <c r="AC68" s="147"/>
      <c r="AD68" s="133"/>
      <c r="AE68" s="133"/>
      <c r="AF68" s="147"/>
      <c r="AG68" s="150"/>
      <c r="AH68" s="133"/>
      <c r="AI68" s="147"/>
      <c r="AJ68" s="133"/>
      <c r="AK68" s="133"/>
      <c r="AL68" s="147"/>
      <c r="AM68" s="150"/>
      <c r="AN68" s="133"/>
      <c r="AO68" s="147"/>
      <c r="AP68" s="133"/>
      <c r="AQ68" s="133"/>
      <c r="AR68" s="147"/>
      <c r="AS68" s="133"/>
      <c r="AT68" s="133"/>
    </row>
    <row r="69" spans="3:47" x14ac:dyDescent="0.2">
      <c r="C69" s="146"/>
      <c r="D69" s="146"/>
      <c r="E69" s="146"/>
      <c r="F69" s="146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47"/>
      <c r="R69" s="133"/>
      <c r="S69" s="133"/>
      <c r="T69" s="133"/>
      <c r="U69" s="133"/>
      <c r="V69" s="147"/>
      <c r="W69" s="133"/>
      <c r="X69" s="133"/>
      <c r="Y69" s="147"/>
      <c r="Z69" s="133"/>
      <c r="AA69" s="133"/>
      <c r="AB69" s="133"/>
      <c r="AC69" s="147"/>
      <c r="AD69" s="133"/>
      <c r="AE69" s="133"/>
      <c r="AF69" s="147"/>
      <c r="AG69" s="150"/>
      <c r="AH69" s="133"/>
      <c r="AI69" s="147"/>
      <c r="AJ69" s="133"/>
      <c r="AK69" s="133"/>
      <c r="AL69" s="147"/>
      <c r="AM69" s="150"/>
      <c r="AN69" s="133"/>
      <c r="AO69" s="147"/>
      <c r="AP69" s="133"/>
      <c r="AQ69" s="133"/>
      <c r="AR69" s="147"/>
      <c r="AS69" s="133"/>
      <c r="AT69" s="133"/>
    </row>
    <row r="70" spans="3:47" x14ac:dyDescent="0.2">
      <c r="C70" s="146"/>
      <c r="D70" s="146"/>
      <c r="E70" s="146"/>
      <c r="F70" s="146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47"/>
      <c r="R70" s="133"/>
      <c r="S70" s="133"/>
      <c r="T70" s="133"/>
      <c r="U70" s="133"/>
      <c r="V70" s="147"/>
      <c r="W70" s="133"/>
      <c r="X70" s="133"/>
      <c r="Y70" s="147"/>
      <c r="Z70" s="133"/>
      <c r="AA70" s="133"/>
      <c r="AB70" s="133"/>
      <c r="AC70" s="147"/>
      <c r="AD70" s="133"/>
      <c r="AE70" s="133"/>
      <c r="AF70" s="147"/>
      <c r="AG70" s="150"/>
      <c r="AH70" s="133"/>
      <c r="AI70" s="147"/>
      <c r="AJ70" s="133"/>
      <c r="AK70" s="133"/>
      <c r="AL70" s="147"/>
      <c r="AM70" s="150"/>
      <c r="AN70" s="133"/>
      <c r="AO70" s="147"/>
      <c r="AP70" s="133"/>
      <c r="AQ70" s="133"/>
      <c r="AR70" s="147"/>
      <c r="AS70" s="133"/>
      <c r="AT70" s="133"/>
    </row>
    <row r="71" spans="3:47" x14ac:dyDescent="0.2">
      <c r="C71" s="146"/>
      <c r="D71" s="146"/>
      <c r="E71" s="146"/>
      <c r="F71" s="146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47"/>
      <c r="R71" s="133"/>
      <c r="S71" s="152"/>
      <c r="T71" s="133"/>
      <c r="U71" s="133"/>
      <c r="V71" s="147"/>
      <c r="W71" s="133"/>
      <c r="X71" s="133"/>
      <c r="Y71" s="147"/>
      <c r="Z71" s="133"/>
      <c r="AA71" s="133"/>
      <c r="AB71" s="133"/>
      <c r="AC71" s="147"/>
      <c r="AD71" s="133"/>
      <c r="AE71" s="133"/>
      <c r="AF71" s="147"/>
      <c r="AG71" s="150"/>
      <c r="AH71" s="133"/>
      <c r="AI71" s="147"/>
      <c r="AJ71" s="133"/>
      <c r="AK71" s="133"/>
      <c r="AL71" s="147"/>
      <c r="AM71" s="150"/>
      <c r="AN71" s="133"/>
      <c r="AO71" s="147"/>
      <c r="AP71" s="133"/>
      <c r="AQ71" s="133"/>
      <c r="AR71" s="147"/>
      <c r="AS71" s="133"/>
      <c r="AT71" s="133"/>
    </row>
    <row r="72" spans="3:47" x14ac:dyDescent="0.2">
      <c r="C72" s="146"/>
      <c r="D72" s="146"/>
      <c r="E72" s="146"/>
      <c r="F72" s="146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47"/>
      <c r="R72" s="133"/>
      <c r="S72" s="152"/>
      <c r="T72" s="133"/>
      <c r="U72" s="133"/>
      <c r="V72" s="147"/>
      <c r="W72" s="133"/>
      <c r="X72" s="133"/>
      <c r="Y72" s="147"/>
      <c r="Z72" s="133"/>
      <c r="AA72" s="133"/>
      <c r="AB72" s="133"/>
      <c r="AC72" s="147"/>
      <c r="AD72" s="133"/>
      <c r="AE72" s="133"/>
      <c r="AF72" s="147"/>
      <c r="AG72" s="150"/>
      <c r="AH72" s="133"/>
      <c r="AI72" s="147"/>
      <c r="AJ72" s="133"/>
      <c r="AK72" s="133"/>
      <c r="AL72" s="147"/>
      <c r="AM72" s="150"/>
      <c r="AN72" s="133"/>
      <c r="AO72" s="147"/>
      <c r="AP72" s="133"/>
      <c r="AQ72" s="133"/>
      <c r="AR72" s="147"/>
      <c r="AS72" s="133"/>
      <c r="AT72" s="133"/>
    </row>
    <row r="73" spans="3:47" x14ac:dyDescent="0.2">
      <c r="C73" s="146"/>
      <c r="D73" s="146"/>
      <c r="E73" s="146"/>
      <c r="F73" s="146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47"/>
      <c r="R73" s="133"/>
      <c r="S73" s="152"/>
      <c r="T73" s="133"/>
      <c r="U73" s="133"/>
      <c r="V73" s="147"/>
      <c r="W73" s="133"/>
      <c r="X73" s="133"/>
      <c r="Y73" s="147"/>
      <c r="Z73" s="133"/>
      <c r="AA73" s="133"/>
      <c r="AB73" s="133"/>
      <c r="AC73" s="147"/>
      <c r="AD73" s="133"/>
      <c r="AE73" s="133"/>
      <c r="AF73" s="147"/>
      <c r="AG73" s="150"/>
      <c r="AH73" s="133"/>
      <c r="AI73" s="147"/>
      <c r="AJ73" s="133"/>
      <c r="AK73" s="133"/>
      <c r="AL73" s="147"/>
      <c r="AM73" s="150"/>
      <c r="AN73" s="133"/>
      <c r="AO73" s="147"/>
      <c r="AP73" s="133"/>
      <c r="AQ73" s="133"/>
      <c r="AR73" s="147"/>
      <c r="AS73" s="133"/>
      <c r="AT73" s="133"/>
    </row>
    <row r="74" spans="3:47" x14ac:dyDescent="0.2">
      <c r="C74" s="146"/>
      <c r="D74" s="146"/>
      <c r="E74" s="146"/>
      <c r="F74" s="146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47"/>
      <c r="R74" s="133"/>
      <c r="S74" s="152"/>
      <c r="T74" s="133"/>
      <c r="U74" s="133"/>
      <c r="V74" s="147"/>
      <c r="W74" s="133"/>
      <c r="X74" s="133"/>
      <c r="Y74" s="147"/>
      <c r="Z74" s="133"/>
      <c r="AA74" s="133"/>
      <c r="AB74" s="133"/>
      <c r="AC74" s="147"/>
      <c r="AD74" s="133"/>
      <c r="AE74" s="133"/>
      <c r="AF74" s="147"/>
      <c r="AG74" s="150"/>
      <c r="AH74" s="133"/>
      <c r="AI74" s="147"/>
      <c r="AJ74" s="133"/>
      <c r="AK74" s="133"/>
      <c r="AL74" s="147"/>
      <c r="AM74" s="150"/>
      <c r="AN74" s="133"/>
      <c r="AO74" s="147"/>
      <c r="AP74" s="133"/>
      <c r="AQ74" s="133"/>
      <c r="AR74" s="147"/>
      <c r="AS74" s="133"/>
      <c r="AT74" s="133"/>
      <c r="AU74" s="133"/>
    </row>
    <row r="75" spans="3:47" x14ac:dyDescent="0.2">
      <c r="C75" s="146"/>
      <c r="D75" s="146"/>
      <c r="E75" s="146"/>
      <c r="F75" s="146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47"/>
      <c r="R75" s="133"/>
      <c r="S75" s="152"/>
      <c r="T75" s="133"/>
      <c r="U75" s="133"/>
      <c r="V75" s="147"/>
      <c r="W75" s="133"/>
      <c r="X75" s="133"/>
      <c r="Y75" s="147"/>
      <c r="Z75" s="133"/>
      <c r="AA75" s="133"/>
      <c r="AB75" s="133"/>
      <c r="AC75" s="147"/>
      <c r="AD75" s="133"/>
      <c r="AE75" s="133"/>
      <c r="AF75" s="147"/>
      <c r="AG75" s="150"/>
      <c r="AH75" s="133"/>
      <c r="AI75" s="147"/>
      <c r="AJ75" s="133"/>
      <c r="AK75" s="133"/>
      <c r="AL75" s="147"/>
      <c r="AM75" s="150"/>
      <c r="AN75" s="133"/>
      <c r="AO75" s="147"/>
      <c r="AP75" s="133"/>
      <c r="AQ75" s="133"/>
      <c r="AR75" s="147"/>
      <c r="AS75" s="133"/>
      <c r="AT75" s="133"/>
      <c r="AU75" s="133"/>
    </row>
    <row r="76" spans="3:47" x14ac:dyDescent="0.2">
      <c r="C76" s="146"/>
      <c r="D76" s="146"/>
      <c r="E76" s="146"/>
      <c r="F76" s="146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47"/>
      <c r="R76" s="133"/>
      <c r="S76" s="152"/>
      <c r="T76" s="133"/>
      <c r="U76" s="133"/>
      <c r="V76" s="147"/>
      <c r="W76" s="133"/>
      <c r="X76" s="133"/>
      <c r="Y76" s="147"/>
      <c r="Z76" s="133"/>
      <c r="AA76" s="133"/>
      <c r="AB76" s="133"/>
      <c r="AC76" s="147"/>
      <c r="AE76" s="133"/>
      <c r="AF76" s="147"/>
      <c r="AH76" s="133"/>
      <c r="AI76" s="147"/>
      <c r="AK76" s="133"/>
      <c r="AL76" s="147"/>
      <c r="AN76" s="133"/>
      <c r="AO76" s="147"/>
      <c r="AQ76" s="133"/>
      <c r="AR76" s="147"/>
      <c r="AU76" s="133"/>
    </row>
    <row r="77" spans="3:47" x14ac:dyDescent="0.2">
      <c r="C77" s="146"/>
      <c r="D77" s="146"/>
      <c r="E77" s="146"/>
      <c r="F77" s="146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47"/>
      <c r="R77" s="133"/>
      <c r="S77" s="152"/>
      <c r="T77" s="133"/>
      <c r="U77" s="133"/>
      <c r="V77" s="147"/>
      <c r="W77" s="133"/>
      <c r="X77" s="133"/>
      <c r="Y77" s="147"/>
      <c r="Z77" s="133"/>
      <c r="AA77" s="133"/>
      <c r="AB77" s="133"/>
      <c r="AC77" s="147"/>
      <c r="AE77" s="133"/>
      <c r="AF77" s="147"/>
      <c r="AH77" s="133"/>
      <c r="AI77" s="147"/>
      <c r="AK77" s="133"/>
      <c r="AL77" s="147"/>
      <c r="AN77" s="133"/>
      <c r="AO77" s="147"/>
      <c r="AQ77" s="133"/>
      <c r="AR77" s="147"/>
      <c r="AU77" s="133"/>
    </row>
    <row r="78" spans="3:47" x14ac:dyDescent="0.2">
      <c r="C78" s="146"/>
      <c r="D78" s="146"/>
      <c r="E78" s="146"/>
      <c r="F78" s="146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47"/>
      <c r="R78" s="133"/>
      <c r="S78" s="152"/>
      <c r="T78" s="133"/>
      <c r="U78" s="133"/>
      <c r="V78" s="147"/>
      <c r="W78" s="133"/>
      <c r="X78" s="133"/>
      <c r="Y78" s="147"/>
      <c r="Z78" s="133"/>
      <c r="AA78" s="133"/>
      <c r="AB78" s="133"/>
      <c r="AC78" s="147"/>
      <c r="AE78" s="133"/>
      <c r="AF78" s="147"/>
      <c r="AH78" s="133"/>
      <c r="AI78" s="147"/>
      <c r="AK78" s="133"/>
      <c r="AL78" s="147"/>
      <c r="AN78" s="133"/>
      <c r="AO78" s="147"/>
      <c r="AQ78" s="133"/>
      <c r="AR78" s="147"/>
    </row>
    <row r="79" spans="3:47" x14ac:dyDescent="0.2">
      <c r="C79" s="146"/>
      <c r="D79" s="146"/>
      <c r="E79" s="146"/>
      <c r="F79" s="146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47"/>
      <c r="R79" s="133"/>
      <c r="S79" s="152"/>
      <c r="T79" s="133"/>
      <c r="U79" s="133"/>
      <c r="V79" s="147"/>
      <c r="W79" s="133"/>
      <c r="X79" s="133"/>
      <c r="Y79" s="147"/>
      <c r="Z79" s="133"/>
      <c r="AA79" s="153"/>
      <c r="AB79" s="133"/>
      <c r="AC79" s="147"/>
      <c r="AD79" s="153"/>
      <c r="AE79" s="133"/>
      <c r="AF79" s="147"/>
      <c r="AG79" s="154"/>
      <c r="AH79" s="133"/>
      <c r="AI79" s="147"/>
      <c r="AJ79" s="153"/>
      <c r="AK79" s="133"/>
      <c r="AL79" s="147"/>
      <c r="AM79" s="154"/>
      <c r="AN79" s="133"/>
      <c r="AO79" s="147"/>
      <c r="AP79" s="153"/>
      <c r="AQ79" s="133"/>
      <c r="AR79" s="147"/>
      <c r="AS79" s="153"/>
      <c r="AT79" s="153"/>
      <c r="AU79" s="153"/>
    </row>
    <row r="80" spans="3:47" x14ac:dyDescent="0.2">
      <c r="C80" s="146"/>
      <c r="D80" s="146"/>
      <c r="E80" s="146"/>
      <c r="F80" s="146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47"/>
      <c r="R80" s="133"/>
      <c r="S80" s="152"/>
      <c r="T80" s="133"/>
      <c r="U80" s="133"/>
      <c r="V80" s="147"/>
      <c r="W80" s="133"/>
      <c r="X80" s="133"/>
      <c r="Y80" s="147"/>
      <c r="Z80" s="133"/>
      <c r="AA80" s="133"/>
      <c r="AB80" s="133"/>
      <c r="AC80" s="147"/>
      <c r="AD80" s="133"/>
      <c r="AE80" s="133"/>
      <c r="AF80" s="147"/>
      <c r="AG80" s="150"/>
      <c r="AH80" s="133"/>
      <c r="AI80" s="147"/>
      <c r="AJ80" s="133"/>
      <c r="AK80" s="133"/>
      <c r="AL80" s="147"/>
      <c r="AM80" s="150"/>
      <c r="AN80" s="133"/>
      <c r="AO80" s="147"/>
      <c r="AP80" s="133"/>
      <c r="AQ80" s="133"/>
      <c r="AR80" s="147"/>
      <c r="AS80" s="133"/>
      <c r="AT80" s="133"/>
      <c r="AU80" s="133"/>
    </row>
    <row r="81" spans="3:48" x14ac:dyDescent="0.2">
      <c r="C81" s="140"/>
      <c r="D81" s="140"/>
      <c r="E81" s="140"/>
      <c r="F81" s="140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47"/>
      <c r="R81" s="133"/>
      <c r="S81" s="152"/>
      <c r="T81" s="133"/>
      <c r="U81" s="133"/>
      <c r="V81" s="147"/>
      <c r="W81" s="133"/>
      <c r="X81" s="133"/>
      <c r="Y81" s="147"/>
      <c r="Z81" s="133"/>
      <c r="AA81" s="133"/>
      <c r="AB81" s="133"/>
      <c r="AC81" s="147"/>
      <c r="AD81" s="133"/>
      <c r="AE81" s="133"/>
      <c r="AF81" s="147"/>
      <c r="AG81" s="150"/>
      <c r="AH81" s="133"/>
      <c r="AI81" s="147"/>
      <c r="AJ81" s="133"/>
      <c r="AK81" s="133"/>
      <c r="AL81" s="147"/>
      <c r="AM81" s="150"/>
      <c r="AN81" s="133"/>
      <c r="AO81" s="147"/>
      <c r="AP81" s="133"/>
      <c r="AQ81" s="133"/>
      <c r="AR81" s="147"/>
      <c r="AS81" s="133"/>
      <c r="AT81" s="133"/>
      <c r="AU81" s="133"/>
    </row>
    <row r="82" spans="3:48" x14ac:dyDescent="0.2">
      <c r="C82" s="146"/>
      <c r="D82" s="146"/>
      <c r="E82" s="146"/>
      <c r="F82" s="146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47"/>
      <c r="R82" s="133"/>
      <c r="S82" s="152"/>
      <c r="T82" s="133"/>
      <c r="U82" s="133"/>
      <c r="V82" s="147"/>
      <c r="W82" s="133"/>
      <c r="X82" s="133"/>
      <c r="Y82" s="147"/>
      <c r="Z82" s="133"/>
      <c r="AA82" s="133"/>
      <c r="AB82" s="133"/>
      <c r="AC82" s="147"/>
      <c r="AD82" s="133"/>
      <c r="AE82" s="133"/>
      <c r="AF82" s="147"/>
      <c r="AG82" s="150"/>
      <c r="AH82" s="133"/>
      <c r="AI82" s="147"/>
      <c r="AJ82" s="133"/>
      <c r="AK82" s="133"/>
      <c r="AL82" s="147"/>
      <c r="AM82" s="150"/>
      <c r="AN82" s="133"/>
      <c r="AO82" s="147"/>
      <c r="AP82" s="133"/>
      <c r="AQ82" s="133"/>
      <c r="AR82" s="147"/>
      <c r="AS82" s="133"/>
      <c r="AT82" s="133"/>
      <c r="AU82" s="133"/>
    </row>
    <row r="83" spans="3:48" x14ac:dyDescent="0.2">
      <c r="C83" s="146"/>
      <c r="D83" s="146"/>
      <c r="E83" s="146"/>
      <c r="F83" s="146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47"/>
      <c r="R83" s="133"/>
      <c r="S83" s="152"/>
      <c r="T83" s="133"/>
      <c r="U83" s="133"/>
      <c r="V83" s="147"/>
      <c r="W83" s="133"/>
      <c r="X83" s="133"/>
      <c r="Y83" s="147"/>
      <c r="Z83" s="133"/>
      <c r="AA83" s="133"/>
      <c r="AB83" s="133"/>
      <c r="AC83" s="147"/>
      <c r="AD83" s="133"/>
      <c r="AE83" s="133"/>
      <c r="AF83" s="147"/>
      <c r="AG83" s="150"/>
      <c r="AH83" s="133"/>
      <c r="AI83" s="147"/>
      <c r="AJ83" s="133"/>
      <c r="AK83" s="133"/>
      <c r="AL83" s="147"/>
      <c r="AM83" s="150"/>
      <c r="AN83" s="133"/>
      <c r="AO83" s="147"/>
      <c r="AP83" s="133"/>
      <c r="AQ83" s="133"/>
      <c r="AR83" s="147"/>
      <c r="AS83" s="133"/>
      <c r="AT83" s="133"/>
      <c r="AU83" s="133"/>
    </row>
    <row r="84" spans="3:48" x14ac:dyDescent="0.2">
      <c r="C84" s="146"/>
      <c r="D84" s="146"/>
      <c r="E84" s="146"/>
      <c r="F84" s="146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47"/>
      <c r="R84" s="133"/>
      <c r="S84" s="152"/>
      <c r="T84" s="133"/>
      <c r="U84" s="133"/>
      <c r="V84" s="147"/>
      <c r="W84" s="133"/>
      <c r="X84" s="133"/>
      <c r="Y84" s="147"/>
      <c r="Z84" s="133"/>
      <c r="AA84" s="133"/>
      <c r="AB84" s="133"/>
      <c r="AC84" s="147"/>
      <c r="AD84" s="133"/>
      <c r="AE84" s="133"/>
      <c r="AF84" s="147"/>
      <c r="AG84" s="150"/>
      <c r="AH84" s="133"/>
      <c r="AI84" s="147"/>
      <c r="AJ84" s="133"/>
      <c r="AK84" s="133"/>
      <c r="AL84" s="147"/>
      <c r="AM84" s="150"/>
      <c r="AN84" s="133"/>
      <c r="AO84" s="147"/>
      <c r="AP84" s="133"/>
      <c r="AQ84" s="133"/>
      <c r="AR84" s="147"/>
      <c r="AS84" s="133"/>
      <c r="AT84" s="133"/>
      <c r="AU84" s="133"/>
    </row>
    <row r="85" spans="3:48" x14ac:dyDescent="0.2">
      <c r="C85" s="146"/>
      <c r="D85" s="146"/>
      <c r="E85" s="146"/>
      <c r="F85" s="146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47"/>
      <c r="R85" s="133"/>
      <c r="S85" s="152"/>
      <c r="T85" s="133"/>
      <c r="U85" s="133"/>
      <c r="V85" s="147"/>
      <c r="W85" s="133"/>
      <c r="X85" s="133"/>
      <c r="Y85" s="147"/>
      <c r="Z85" s="133"/>
      <c r="AA85" s="133"/>
      <c r="AB85" s="133"/>
      <c r="AC85" s="147"/>
      <c r="AD85" s="133"/>
      <c r="AE85" s="133"/>
      <c r="AF85" s="147"/>
      <c r="AG85" s="150"/>
      <c r="AH85" s="133"/>
      <c r="AI85" s="147"/>
      <c r="AJ85" s="133"/>
      <c r="AK85" s="133"/>
      <c r="AL85" s="147"/>
      <c r="AM85" s="150"/>
      <c r="AN85" s="133"/>
      <c r="AO85" s="147"/>
      <c r="AP85" s="133"/>
      <c r="AQ85" s="133"/>
      <c r="AR85" s="147"/>
      <c r="AS85" s="133"/>
      <c r="AT85" s="133"/>
      <c r="AU85" s="133"/>
    </row>
    <row r="86" spans="3:48" x14ac:dyDescent="0.2">
      <c r="C86" s="146"/>
      <c r="D86" s="146"/>
      <c r="E86" s="146"/>
      <c r="F86" s="146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47"/>
      <c r="R86" s="133"/>
      <c r="S86" s="152"/>
      <c r="T86" s="133"/>
      <c r="U86" s="133"/>
      <c r="V86" s="147"/>
      <c r="W86" s="133"/>
      <c r="X86" s="133"/>
      <c r="Y86" s="147"/>
      <c r="Z86" s="133"/>
      <c r="AA86" s="133"/>
      <c r="AB86" s="133"/>
      <c r="AC86" s="147"/>
      <c r="AD86" s="133"/>
      <c r="AE86" s="133"/>
      <c r="AF86" s="147"/>
      <c r="AG86" s="150"/>
      <c r="AH86" s="133"/>
      <c r="AI86" s="147"/>
      <c r="AJ86" s="133"/>
      <c r="AK86" s="133"/>
      <c r="AL86" s="147"/>
      <c r="AM86" s="150"/>
      <c r="AN86" s="133"/>
      <c r="AO86" s="147"/>
      <c r="AP86" s="133"/>
      <c r="AQ86" s="133"/>
      <c r="AR86" s="147"/>
      <c r="AS86" s="133"/>
      <c r="AT86" s="133"/>
      <c r="AU86" s="133"/>
    </row>
    <row r="87" spans="3:48" x14ac:dyDescent="0.2">
      <c r="C87" s="146"/>
      <c r="D87" s="146"/>
      <c r="E87" s="146"/>
      <c r="F87" s="146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47"/>
      <c r="R87" s="133"/>
      <c r="S87" s="152"/>
      <c r="T87" s="133"/>
      <c r="U87" s="133"/>
      <c r="V87" s="147"/>
      <c r="W87" s="133"/>
      <c r="X87" s="133"/>
      <c r="Y87" s="147"/>
      <c r="Z87" s="133"/>
      <c r="AA87" s="133"/>
      <c r="AB87" s="133"/>
      <c r="AC87" s="147"/>
      <c r="AD87" s="133"/>
      <c r="AE87" s="133"/>
      <c r="AF87" s="147"/>
      <c r="AG87" s="150"/>
      <c r="AH87" s="133"/>
      <c r="AI87" s="147"/>
      <c r="AJ87" s="133"/>
      <c r="AK87" s="133"/>
      <c r="AL87" s="147"/>
      <c r="AM87" s="150"/>
      <c r="AN87" s="133"/>
      <c r="AO87" s="147"/>
      <c r="AP87" s="133"/>
      <c r="AQ87" s="133"/>
      <c r="AR87" s="147"/>
      <c r="AS87" s="133"/>
      <c r="AT87" s="133"/>
      <c r="AU87" s="133"/>
    </row>
    <row r="88" spans="3:48" x14ac:dyDescent="0.2">
      <c r="C88" s="146"/>
      <c r="D88" s="146"/>
      <c r="E88" s="146"/>
      <c r="F88" s="146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47"/>
      <c r="R88" s="133"/>
      <c r="S88" s="152"/>
      <c r="T88" s="133"/>
      <c r="U88" s="133"/>
      <c r="V88" s="147"/>
      <c r="W88" s="133"/>
      <c r="X88" s="133"/>
      <c r="Y88" s="147"/>
      <c r="Z88" s="133"/>
      <c r="AA88" s="133"/>
      <c r="AB88" s="133"/>
      <c r="AC88" s="147"/>
      <c r="AD88" s="133"/>
      <c r="AE88" s="133"/>
      <c r="AF88" s="147"/>
      <c r="AG88" s="150"/>
      <c r="AH88" s="133"/>
      <c r="AI88" s="147"/>
      <c r="AJ88" s="133"/>
      <c r="AK88" s="133"/>
      <c r="AL88" s="147"/>
      <c r="AM88" s="150"/>
      <c r="AN88" s="133"/>
      <c r="AO88" s="147"/>
      <c r="AP88" s="133"/>
      <c r="AQ88" s="133"/>
      <c r="AR88" s="147"/>
      <c r="AS88" s="133"/>
      <c r="AT88" s="133"/>
      <c r="AU88" s="133"/>
    </row>
    <row r="89" spans="3:48" x14ac:dyDescent="0.2">
      <c r="C89" s="146"/>
      <c r="D89" s="146"/>
      <c r="E89" s="146"/>
      <c r="F89" s="146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47"/>
      <c r="R89" s="133"/>
      <c r="S89" s="152"/>
      <c r="T89" s="133"/>
      <c r="U89" s="133"/>
      <c r="V89" s="147"/>
      <c r="W89" s="133"/>
      <c r="X89" s="133"/>
      <c r="Y89" s="147"/>
      <c r="Z89" s="133"/>
      <c r="AA89" s="133"/>
      <c r="AB89" s="133"/>
      <c r="AC89" s="147"/>
      <c r="AD89" s="133"/>
      <c r="AE89" s="133"/>
      <c r="AF89" s="147"/>
      <c r="AG89" s="150"/>
      <c r="AH89" s="133"/>
      <c r="AI89" s="147"/>
      <c r="AJ89" s="133"/>
      <c r="AK89" s="133"/>
      <c r="AL89" s="147"/>
      <c r="AM89" s="150"/>
      <c r="AN89" s="133"/>
      <c r="AO89" s="147"/>
      <c r="AP89" s="133"/>
      <c r="AQ89" s="133"/>
      <c r="AR89" s="147"/>
      <c r="AS89" s="133"/>
      <c r="AT89" s="133"/>
      <c r="AU89" s="133"/>
    </row>
    <row r="90" spans="3:48" x14ac:dyDescent="0.2">
      <c r="C90" s="146"/>
      <c r="D90" s="146"/>
      <c r="E90" s="146"/>
      <c r="F90" s="146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47"/>
      <c r="R90" s="133"/>
      <c r="S90" s="152"/>
      <c r="T90" s="133"/>
      <c r="U90" s="133"/>
      <c r="V90" s="147"/>
      <c r="W90" s="133"/>
      <c r="X90" s="133"/>
      <c r="Y90" s="147"/>
      <c r="Z90" s="133"/>
      <c r="AA90" s="133"/>
      <c r="AB90" s="133"/>
      <c r="AC90" s="147"/>
      <c r="AD90" s="133"/>
      <c r="AE90" s="133"/>
      <c r="AF90" s="147"/>
      <c r="AG90" s="150"/>
      <c r="AH90" s="133"/>
      <c r="AI90" s="147"/>
      <c r="AJ90" s="133"/>
      <c r="AK90" s="133"/>
      <c r="AL90" s="147"/>
      <c r="AM90" s="150"/>
      <c r="AN90" s="133"/>
      <c r="AO90" s="147"/>
      <c r="AP90" s="133"/>
      <c r="AQ90" s="133"/>
      <c r="AR90" s="147"/>
      <c r="AS90" s="133"/>
      <c r="AT90" s="133"/>
      <c r="AU90" s="133"/>
    </row>
    <row r="91" spans="3:48" x14ac:dyDescent="0.2">
      <c r="C91" s="146"/>
      <c r="D91" s="146"/>
      <c r="E91" s="146"/>
      <c r="F91" s="146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47"/>
      <c r="R91" s="133"/>
      <c r="S91" s="152"/>
      <c r="T91" s="133"/>
      <c r="U91" s="133"/>
      <c r="V91" s="147"/>
      <c r="W91" s="133"/>
      <c r="X91" s="133"/>
      <c r="Y91" s="147"/>
      <c r="Z91" s="133"/>
      <c r="AA91" s="133"/>
      <c r="AB91" s="133"/>
      <c r="AC91" s="147"/>
      <c r="AD91" s="133"/>
      <c r="AE91" s="133"/>
      <c r="AF91" s="147"/>
      <c r="AG91" s="150"/>
      <c r="AH91" s="133"/>
      <c r="AI91" s="147"/>
      <c r="AJ91" s="133"/>
      <c r="AK91" s="133"/>
      <c r="AL91" s="147"/>
      <c r="AM91" s="150"/>
      <c r="AN91" s="133"/>
      <c r="AO91" s="147"/>
      <c r="AP91" s="133"/>
      <c r="AQ91" s="133"/>
      <c r="AR91" s="147"/>
      <c r="AS91" s="133"/>
      <c r="AT91" s="133"/>
      <c r="AU91" s="133"/>
    </row>
    <row r="92" spans="3:48" x14ac:dyDescent="0.2">
      <c r="C92" s="146"/>
      <c r="D92" s="146"/>
      <c r="E92" s="146"/>
      <c r="F92" s="146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47"/>
      <c r="R92" s="133"/>
      <c r="S92" s="152"/>
      <c r="T92" s="133"/>
      <c r="U92" s="133"/>
      <c r="V92" s="147"/>
      <c r="W92" s="133"/>
      <c r="X92" s="133"/>
      <c r="Y92" s="147"/>
      <c r="Z92" s="133"/>
      <c r="AA92" s="133"/>
      <c r="AB92" s="133"/>
      <c r="AC92" s="147"/>
      <c r="AD92" s="133"/>
      <c r="AE92" s="133"/>
      <c r="AF92" s="147"/>
      <c r="AG92" s="150"/>
      <c r="AH92" s="133"/>
      <c r="AI92" s="147"/>
      <c r="AJ92" s="133"/>
      <c r="AK92" s="133"/>
      <c r="AL92" s="147"/>
      <c r="AM92" s="150"/>
      <c r="AN92" s="133"/>
      <c r="AO92" s="147"/>
      <c r="AP92" s="133"/>
      <c r="AQ92" s="133"/>
      <c r="AR92" s="147"/>
      <c r="AS92" s="133"/>
      <c r="AT92" s="133"/>
      <c r="AU92" s="133"/>
    </row>
    <row r="93" spans="3:48" x14ac:dyDescent="0.2">
      <c r="C93" s="146"/>
      <c r="D93" s="146"/>
      <c r="E93" s="146"/>
      <c r="F93" s="146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47"/>
      <c r="R93" s="133"/>
      <c r="S93" s="133"/>
      <c r="T93" s="133"/>
      <c r="U93" s="133"/>
      <c r="V93" s="147"/>
      <c r="W93" s="133"/>
      <c r="X93" s="133"/>
      <c r="Y93" s="147"/>
      <c r="Z93" s="133"/>
      <c r="AA93" s="133"/>
      <c r="AB93" s="133"/>
      <c r="AC93" s="147"/>
      <c r="AD93" s="133"/>
      <c r="AE93" s="133"/>
      <c r="AF93" s="147"/>
      <c r="AG93" s="150"/>
      <c r="AH93" s="133"/>
      <c r="AI93" s="147"/>
      <c r="AJ93" s="133"/>
      <c r="AK93" s="133"/>
      <c r="AL93" s="147"/>
      <c r="AM93" s="150"/>
      <c r="AN93" s="133"/>
      <c r="AO93" s="147"/>
      <c r="AP93" s="133"/>
      <c r="AQ93" s="133"/>
      <c r="AR93" s="147"/>
      <c r="AS93" s="133"/>
      <c r="AT93" s="133"/>
      <c r="AU93" s="133"/>
    </row>
    <row r="94" spans="3:48" x14ac:dyDescent="0.2">
      <c r="C94" s="146"/>
      <c r="D94" s="146"/>
      <c r="E94" s="146"/>
      <c r="F94" s="146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47"/>
      <c r="R94" s="133"/>
      <c r="S94" s="133"/>
      <c r="T94" s="133"/>
      <c r="U94" s="133"/>
      <c r="V94" s="147"/>
      <c r="W94" s="133"/>
      <c r="X94" s="133"/>
      <c r="Y94" s="147"/>
      <c r="Z94" s="133"/>
      <c r="AA94" s="133"/>
      <c r="AB94" s="133"/>
      <c r="AC94" s="147"/>
      <c r="AD94" s="133"/>
      <c r="AE94" s="133"/>
      <c r="AF94" s="147"/>
      <c r="AG94" s="150"/>
      <c r="AH94" s="133"/>
      <c r="AI94" s="147"/>
      <c r="AJ94" s="133"/>
      <c r="AK94" s="133"/>
      <c r="AL94" s="147"/>
      <c r="AM94" s="150"/>
      <c r="AN94" s="133"/>
      <c r="AO94" s="147"/>
      <c r="AP94" s="133"/>
      <c r="AQ94" s="133"/>
      <c r="AR94" s="147"/>
      <c r="AS94" s="133"/>
      <c r="AT94" s="133"/>
      <c r="AU94" s="133"/>
    </row>
    <row r="95" spans="3:48" x14ac:dyDescent="0.2">
      <c r="C95" s="146"/>
      <c r="D95" s="146"/>
      <c r="E95" s="146"/>
      <c r="F95" s="146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47"/>
      <c r="R95" s="133"/>
      <c r="S95" s="133"/>
      <c r="T95" s="133"/>
      <c r="U95" s="133"/>
      <c r="V95" s="147"/>
      <c r="W95" s="133"/>
      <c r="X95" s="133"/>
      <c r="Y95" s="147"/>
      <c r="Z95" s="133"/>
      <c r="AA95" s="133"/>
      <c r="AB95" s="133"/>
      <c r="AC95" s="147"/>
      <c r="AD95" s="133"/>
      <c r="AE95" s="133"/>
      <c r="AF95" s="147"/>
      <c r="AG95" s="150"/>
      <c r="AH95" s="133"/>
      <c r="AI95" s="147"/>
      <c r="AJ95" s="133"/>
      <c r="AK95" s="133"/>
      <c r="AL95" s="147"/>
      <c r="AM95" s="150"/>
      <c r="AN95" s="133"/>
      <c r="AO95" s="147"/>
      <c r="AP95" s="133"/>
      <c r="AQ95" s="133"/>
      <c r="AR95" s="147"/>
      <c r="AS95" s="133"/>
      <c r="AT95" s="133"/>
      <c r="AU95" s="133"/>
    </row>
    <row r="96" spans="3:48" x14ac:dyDescent="0.2">
      <c r="C96" s="146"/>
      <c r="D96" s="146"/>
      <c r="E96" s="146"/>
      <c r="F96" s="146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47"/>
      <c r="R96" s="133"/>
      <c r="S96" s="133"/>
      <c r="T96" s="133"/>
      <c r="U96" s="133"/>
      <c r="V96" s="147"/>
      <c r="W96" s="133"/>
      <c r="X96" s="133"/>
      <c r="Y96" s="147"/>
      <c r="Z96" s="133"/>
      <c r="AA96" s="133"/>
      <c r="AB96" s="133"/>
      <c r="AC96" s="147"/>
      <c r="AD96" s="133"/>
      <c r="AE96" s="133"/>
      <c r="AF96" s="147"/>
      <c r="AG96" s="150"/>
      <c r="AH96" s="133"/>
      <c r="AI96" s="147"/>
      <c r="AJ96" s="133"/>
      <c r="AK96" s="133"/>
      <c r="AL96" s="147"/>
      <c r="AM96" s="150"/>
      <c r="AN96" s="133"/>
      <c r="AO96" s="147"/>
      <c r="AP96" s="133"/>
      <c r="AQ96" s="133"/>
      <c r="AR96" s="147"/>
      <c r="AS96" s="133"/>
      <c r="AT96" s="133"/>
      <c r="AU96" s="133"/>
      <c r="AV96" s="155"/>
    </row>
    <row r="97" spans="1:49" x14ac:dyDescent="0.2">
      <c r="C97" s="146"/>
      <c r="D97" s="146"/>
      <c r="E97" s="146"/>
      <c r="F97" s="146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47"/>
      <c r="R97" s="133"/>
      <c r="S97" s="133"/>
      <c r="T97" s="133"/>
      <c r="U97" s="133"/>
      <c r="V97" s="147"/>
      <c r="W97" s="133"/>
      <c r="X97" s="133"/>
      <c r="Y97" s="147"/>
      <c r="Z97" s="133"/>
      <c r="AA97" s="133"/>
      <c r="AB97" s="133"/>
      <c r="AC97" s="147"/>
      <c r="AD97" s="133"/>
      <c r="AE97" s="133"/>
      <c r="AF97" s="147"/>
      <c r="AG97" s="150"/>
      <c r="AH97" s="133"/>
      <c r="AI97" s="147"/>
      <c r="AJ97" s="133"/>
      <c r="AK97" s="133"/>
      <c r="AL97" s="147"/>
      <c r="AM97" s="150"/>
      <c r="AN97" s="133"/>
      <c r="AO97" s="147"/>
      <c r="AP97" s="133"/>
      <c r="AQ97" s="133"/>
      <c r="AR97" s="147"/>
      <c r="AS97" s="133"/>
      <c r="AT97" s="133"/>
      <c r="AU97" s="133"/>
    </row>
    <row r="98" spans="1:49" x14ac:dyDescent="0.2">
      <c r="C98" s="146"/>
      <c r="D98" s="146"/>
      <c r="E98" s="146"/>
      <c r="F98" s="146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47"/>
      <c r="R98" s="133"/>
      <c r="S98" s="133"/>
      <c r="T98" s="133"/>
      <c r="U98" s="133"/>
      <c r="V98" s="147"/>
      <c r="W98" s="133"/>
      <c r="X98" s="133"/>
      <c r="Y98" s="147"/>
      <c r="Z98" s="133"/>
      <c r="AA98" s="133"/>
      <c r="AB98" s="133"/>
      <c r="AC98" s="147"/>
      <c r="AD98" s="133"/>
      <c r="AE98" s="133"/>
      <c r="AF98" s="147"/>
      <c r="AG98" s="150"/>
      <c r="AH98" s="133"/>
      <c r="AI98" s="147"/>
      <c r="AJ98" s="133"/>
      <c r="AK98" s="133"/>
      <c r="AL98" s="147"/>
      <c r="AM98" s="150"/>
      <c r="AN98" s="133"/>
      <c r="AO98" s="147"/>
      <c r="AP98" s="133"/>
      <c r="AQ98" s="133"/>
      <c r="AR98" s="147"/>
      <c r="AS98" s="133"/>
      <c r="AT98" s="133"/>
      <c r="AU98" s="133"/>
    </row>
    <row r="99" spans="1:49" x14ac:dyDescent="0.2">
      <c r="C99" s="146"/>
      <c r="D99" s="146"/>
      <c r="E99" s="146"/>
      <c r="F99" s="146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47"/>
      <c r="R99" s="133"/>
      <c r="S99" s="133"/>
      <c r="T99" s="133"/>
      <c r="U99" s="133"/>
      <c r="V99" s="147"/>
      <c r="W99" s="133"/>
      <c r="X99" s="133"/>
      <c r="Y99" s="147"/>
      <c r="Z99" s="133"/>
      <c r="AA99" s="133"/>
      <c r="AB99" s="133"/>
      <c r="AC99" s="147"/>
      <c r="AD99" s="133"/>
      <c r="AE99" s="133"/>
      <c r="AF99" s="147"/>
      <c r="AG99" s="150"/>
      <c r="AH99" s="133"/>
      <c r="AI99" s="147"/>
      <c r="AJ99" s="133"/>
      <c r="AK99" s="133"/>
      <c r="AL99" s="147"/>
      <c r="AM99" s="150"/>
      <c r="AN99" s="133"/>
      <c r="AO99" s="147"/>
      <c r="AP99" s="133"/>
      <c r="AQ99" s="133"/>
      <c r="AR99" s="147"/>
      <c r="AS99" s="133"/>
      <c r="AT99" s="133"/>
      <c r="AU99" s="133"/>
    </row>
    <row r="100" spans="1:49" x14ac:dyDescent="0.2">
      <c r="C100" s="146"/>
      <c r="D100" s="146"/>
      <c r="E100" s="146"/>
      <c r="F100" s="146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47"/>
      <c r="R100" s="133"/>
      <c r="S100" s="133"/>
      <c r="T100" s="133"/>
      <c r="U100" s="133"/>
      <c r="V100" s="147"/>
      <c r="W100" s="133"/>
      <c r="X100" s="133"/>
      <c r="Y100" s="147"/>
      <c r="Z100" s="133"/>
      <c r="AA100" s="133"/>
      <c r="AB100" s="133"/>
      <c r="AC100" s="147"/>
      <c r="AD100" s="133"/>
      <c r="AE100" s="133"/>
      <c r="AF100" s="147"/>
      <c r="AG100" s="150"/>
      <c r="AH100" s="133"/>
      <c r="AI100" s="147"/>
      <c r="AJ100" s="133"/>
      <c r="AK100" s="133"/>
      <c r="AL100" s="147"/>
      <c r="AM100" s="150"/>
      <c r="AN100" s="133"/>
      <c r="AO100" s="147"/>
      <c r="AP100" s="133"/>
      <c r="AQ100" s="133"/>
      <c r="AR100" s="147"/>
      <c r="AS100" s="133"/>
      <c r="AT100" s="133"/>
      <c r="AU100" s="133"/>
    </row>
    <row r="101" spans="1:49" x14ac:dyDescent="0.2">
      <c r="C101" s="146"/>
      <c r="D101" s="146"/>
      <c r="E101" s="146"/>
      <c r="F101" s="146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47"/>
      <c r="R101" s="133"/>
      <c r="S101" s="133"/>
      <c r="T101" s="133"/>
      <c r="U101" s="133"/>
      <c r="V101" s="147"/>
      <c r="W101" s="133"/>
      <c r="X101" s="133"/>
      <c r="Y101" s="147"/>
      <c r="Z101" s="133"/>
      <c r="AA101" s="133"/>
      <c r="AB101" s="133"/>
      <c r="AC101" s="147"/>
      <c r="AE101" s="133"/>
      <c r="AF101" s="147"/>
      <c r="AH101" s="133"/>
      <c r="AI101" s="147"/>
      <c r="AK101" s="133"/>
      <c r="AL101" s="147"/>
      <c r="AN101" s="133"/>
      <c r="AO101" s="147"/>
      <c r="AQ101" s="133"/>
      <c r="AR101" s="147"/>
      <c r="AU101" s="133"/>
    </row>
    <row r="102" spans="1:49" x14ac:dyDescent="0.2">
      <c r="C102" s="146"/>
      <c r="D102" s="146"/>
      <c r="E102" s="146"/>
      <c r="F102" s="146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47"/>
      <c r="R102" s="133"/>
      <c r="S102" s="133"/>
      <c r="T102" s="133"/>
      <c r="U102" s="133"/>
      <c r="V102" s="147"/>
      <c r="W102" s="133"/>
      <c r="X102" s="133"/>
      <c r="Y102" s="147"/>
      <c r="Z102" s="133"/>
      <c r="AA102" s="133"/>
      <c r="AB102" s="133"/>
      <c r="AC102" s="147"/>
      <c r="AE102" s="133"/>
      <c r="AF102" s="147"/>
      <c r="AH102" s="133"/>
      <c r="AI102" s="147"/>
      <c r="AK102" s="133"/>
      <c r="AL102" s="147"/>
      <c r="AN102" s="133"/>
      <c r="AO102" s="147"/>
      <c r="AQ102" s="133"/>
      <c r="AR102" s="147"/>
      <c r="AU102" s="133"/>
    </row>
    <row r="103" spans="1:49" x14ac:dyDescent="0.2">
      <c r="C103" s="146"/>
      <c r="D103" s="146"/>
      <c r="E103" s="146"/>
      <c r="F103" s="146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47"/>
      <c r="R103" s="133"/>
      <c r="S103" s="133"/>
      <c r="T103" s="133"/>
      <c r="U103" s="133"/>
      <c r="V103" s="147"/>
      <c r="W103" s="133"/>
      <c r="X103" s="133"/>
      <c r="Y103" s="147"/>
      <c r="Z103" s="133"/>
      <c r="AA103" s="133"/>
      <c r="AB103" s="133"/>
      <c r="AC103" s="147"/>
      <c r="AE103" s="133"/>
      <c r="AF103" s="147"/>
      <c r="AH103" s="133"/>
      <c r="AI103" s="147"/>
      <c r="AK103" s="133"/>
      <c r="AL103" s="147"/>
      <c r="AN103" s="133"/>
      <c r="AO103" s="147"/>
      <c r="AQ103" s="133"/>
      <c r="AR103" s="147"/>
      <c r="AU103" s="133"/>
    </row>
    <row r="104" spans="1:49" x14ac:dyDescent="0.2">
      <c r="C104" s="146"/>
      <c r="D104" s="146"/>
      <c r="E104" s="146"/>
      <c r="F104" s="146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47"/>
      <c r="R104" s="133"/>
      <c r="S104" s="133"/>
      <c r="T104" s="133"/>
      <c r="U104" s="133"/>
      <c r="V104" s="147"/>
      <c r="W104" s="133"/>
      <c r="X104" s="133"/>
      <c r="Y104" s="147"/>
      <c r="Z104" s="133"/>
      <c r="AA104" s="133"/>
      <c r="AB104" s="133"/>
      <c r="AC104" s="147"/>
      <c r="AE104" s="133"/>
      <c r="AF104" s="147"/>
      <c r="AH104" s="133"/>
      <c r="AI104" s="147"/>
      <c r="AK104" s="133"/>
      <c r="AL104" s="147"/>
      <c r="AN104" s="133"/>
      <c r="AO104" s="147"/>
      <c r="AQ104" s="133"/>
      <c r="AR104" s="147"/>
    </row>
    <row r="105" spans="1:49" x14ac:dyDescent="0.2">
      <c r="C105" s="146"/>
      <c r="D105" s="146"/>
      <c r="E105" s="146"/>
      <c r="F105" s="146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47"/>
      <c r="R105" s="133"/>
      <c r="S105" s="133"/>
      <c r="T105" s="133"/>
      <c r="U105" s="133"/>
      <c r="V105" s="147"/>
      <c r="W105" s="133"/>
      <c r="X105" s="133"/>
      <c r="Y105" s="147"/>
      <c r="Z105" s="133"/>
      <c r="AA105" s="133"/>
      <c r="AB105" s="133"/>
      <c r="AC105" s="147"/>
      <c r="AE105" s="133"/>
      <c r="AF105" s="147"/>
      <c r="AH105" s="133"/>
      <c r="AI105" s="147"/>
      <c r="AK105" s="133"/>
      <c r="AL105" s="147"/>
      <c r="AN105" s="133"/>
      <c r="AO105" s="147"/>
      <c r="AQ105" s="133"/>
      <c r="AR105" s="147"/>
    </row>
    <row r="106" spans="1:49" x14ac:dyDescent="0.2">
      <c r="C106" s="146"/>
      <c r="D106" s="146"/>
      <c r="E106" s="146"/>
      <c r="F106" s="146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47"/>
      <c r="R106" s="133"/>
      <c r="S106" s="133"/>
      <c r="T106" s="133"/>
      <c r="U106" s="133"/>
      <c r="V106" s="147"/>
      <c r="W106" s="133"/>
      <c r="X106" s="133"/>
      <c r="Y106" s="147"/>
      <c r="Z106" s="133"/>
      <c r="AA106" s="133"/>
      <c r="AB106" s="133"/>
      <c r="AC106" s="147"/>
      <c r="AE106" s="133"/>
      <c r="AF106" s="147"/>
      <c r="AH106" s="133"/>
      <c r="AI106" s="147"/>
      <c r="AK106" s="133"/>
      <c r="AL106" s="147"/>
      <c r="AN106" s="133"/>
      <c r="AO106" s="147"/>
      <c r="AQ106" s="133"/>
      <c r="AR106" s="147"/>
    </row>
    <row r="107" spans="1:49" x14ac:dyDescent="0.2">
      <c r="C107" s="146"/>
      <c r="D107" s="146"/>
      <c r="E107" s="146"/>
      <c r="F107" s="146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47"/>
      <c r="R107" s="133"/>
      <c r="S107" s="133"/>
      <c r="T107" s="133"/>
      <c r="U107" s="133"/>
      <c r="V107" s="147"/>
      <c r="W107" s="133"/>
      <c r="X107" s="133"/>
      <c r="Y107" s="147"/>
      <c r="Z107" s="133"/>
      <c r="AA107" s="133"/>
      <c r="AB107" s="133"/>
      <c r="AC107" s="147"/>
      <c r="AE107" s="133"/>
      <c r="AF107" s="147"/>
      <c r="AH107" s="133"/>
      <c r="AI107" s="147"/>
      <c r="AK107" s="133"/>
      <c r="AL107" s="147"/>
      <c r="AN107" s="133"/>
      <c r="AO107" s="147"/>
      <c r="AQ107" s="133"/>
      <c r="AR107" s="147"/>
    </row>
    <row r="108" spans="1:49" x14ac:dyDescent="0.2">
      <c r="C108" s="146"/>
      <c r="D108" s="146"/>
      <c r="E108" s="146"/>
      <c r="F108" s="146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47"/>
      <c r="R108" s="133"/>
      <c r="S108" s="133"/>
      <c r="T108" s="133"/>
      <c r="U108" s="133"/>
      <c r="V108" s="147"/>
      <c r="W108" s="133"/>
      <c r="X108" s="133"/>
      <c r="Y108" s="147"/>
      <c r="Z108" s="133"/>
      <c r="AA108" s="133"/>
      <c r="AB108" s="133"/>
      <c r="AC108" s="147"/>
      <c r="AE108" s="133"/>
      <c r="AF108" s="147"/>
      <c r="AH108" s="133"/>
      <c r="AI108" s="147"/>
      <c r="AK108" s="133"/>
      <c r="AL108" s="147"/>
      <c r="AN108" s="133"/>
      <c r="AO108" s="147"/>
      <c r="AQ108" s="133"/>
      <c r="AR108" s="147"/>
    </row>
    <row r="109" spans="1:49" x14ac:dyDescent="0.2">
      <c r="A109" s="155"/>
      <c r="B109" s="155"/>
      <c r="C109" s="146"/>
      <c r="D109" s="146"/>
      <c r="E109" s="146"/>
      <c r="F109" s="146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47"/>
      <c r="R109" s="133"/>
      <c r="S109" s="133"/>
      <c r="T109" s="133"/>
      <c r="U109" s="133"/>
      <c r="V109" s="147"/>
      <c r="W109" s="133"/>
      <c r="X109" s="133"/>
      <c r="Y109" s="147"/>
      <c r="Z109" s="133"/>
      <c r="AA109" s="133"/>
      <c r="AB109" s="133"/>
      <c r="AC109" s="147"/>
      <c r="AE109" s="133"/>
      <c r="AF109" s="147"/>
      <c r="AH109" s="133"/>
      <c r="AI109" s="147"/>
      <c r="AK109" s="133"/>
      <c r="AL109" s="147"/>
      <c r="AN109" s="133"/>
      <c r="AO109" s="147"/>
      <c r="AQ109" s="133"/>
      <c r="AR109" s="147"/>
    </row>
    <row r="110" spans="1:49" x14ac:dyDescent="0.2">
      <c r="C110" s="146"/>
      <c r="D110" s="146"/>
      <c r="E110" s="146"/>
      <c r="F110" s="146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47"/>
      <c r="R110" s="133"/>
      <c r="S110" s="133"/>
      <c r="T110" s="133"/>
      <c r="U110" s="133"/>
      <c r="V110" s="147"/>
      <c r="W110" s="133"/>
      <c r="X110" s="133"/>
      <c r="Y110" s="147"/>
      <c r="Z110" s="133"/>
      <c r="AA110" s="133"/>
      <c r="AB110" s="133"/>
      <c r="AC110" s="147"/>
      <c r="AE110" s="133"/>
      <c r="AF110" s="147"/>
      <c r="AH110" s="133"/>
      <c r="AI110" s="147"/>
      <c r="AK110" s="133"/>
      <c r="AL110" s="147"/>
      <c r="AN110" s="133"/>
      <c r="AO110" s="147"/>
      <c r="AQ110" s="133"/>
      <c r="AR110" s="147"/>
    </row>
    <row r="111" spans="1:49" x14ac:dyDescent="0.2">
      <c r="C111" s="146"/>
      <c r="D111" s="146"/>
      <c r="E111" s="146"/>
      <c r="F111" s="146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47"/>
      <c r="R111" s="133"/>
      <c r="S111" s="133"/>
      <c r="T111" s="133"/>
      <c r="U111" s="133"/>
      <c r="V111" s="147"/>
      <c r="W111" s="133"/>
      <c r="X111" s="133"/>
      <c r="Y111" s="147"/>
      <c r="Z111" s="133"/>
      <c r="AA111" s="133"/>
      <c r="AB111" s="133"/>
      <c r="AC111" s="147"/>
      <c r="AE111" s="133"/>
      <c r="AF111" s="147"/>
      <c r="AH111" s="133"/>
      <c r="AI111" s="147"/>
      <c r="AK111" s="133"/>
      <c r="AL111" s="147"/>
      <c r="AN111" s="133"/>
      <c r="AO111" s="147"/>
      <c r="AQ111" s="133"/>
      <c r="AR111" s="147"/>
    </row>
    <row r="112" spans="1:49" s="155" customFormat="1" x14ac:dyDescent="0.2">
      <c r="A112" s="81"/>
      <c r="B112" s="81"/>
      <c r="C112" s="146"/>
      <c r="D112" s="146"/>
      <c r="E112" s="146"/>
      <c r="F112" s="146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47"/>
      <c r="R112" s="133"/>
      <c r="S112" s="133"/>
      <c r="T112" s="133"/>
      <c r="U112" s="133"/>
      <c r="V112" s="147"/>
      <c r="W112" s="133"/>
      <c r="X112" s="133"/>
      <c r="Y112" s="147"/>
      <c r="Z112" s="133"/>
      <c r="AA112" s="133"/>
      <c r="AB112" s="133"/>
      <c r="AC112" s="147"/>
      <c r="AD112" s="81"/>
      <c r="AE112" s="133"/>
      <c r="AF112" s="147"/>
      <c r="AG112" s="139"/>
      <c r="AH112" s="133"/>
      <c r="AI112" s="147"/>
      <c r="AJ112" s="81"/>
      <c r="AK112" s="133"/>
      <c r="AL112" s="147"/>
      <c r="AM112" s="139"/>
      <c r="AN112" s="133"/>
      <c r="AO112" s="147"/>
      <c r="AP112" s="81"/>
      <c r="AQ112" s="133"/>
      <c r="AR112" s="147"/>
      <c r="AS112" s="81"/>
      <c r="AT112" s="81"/>
      <c r="AU112" s="81"/>
      <c r="AV112" s="81"/>
      <c r="AW112" s="81"/>
    </row>
    <row r="113" spans="3:44" x14ac:dyDescent="0.2">
      <c r="C113" s="146"/>
      <c r="D113" s="146"/>
      <c r="E113" s="146"/>
      <c r="F113" s="146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47"/>
      <c r="R113" s="133"/>
      <c r="S113" s="133"/>
      <c r="T113" s="133"/>
      <c r="U113" s="133"/>
      <c r="V113" s="147"/>
      <c r="W113" s="133"/>
      <c r="X113" s="133"/>
      <c r="Y113" s="147"/>
      <c r="Z113" s="133"/>
      <c r="AA113" s="133"/>
      <c r="AB113" s="133"/>
      <c r="AC113" s="147"/>
      <c r="AE113" s="133"/>
      <c r="AF113" s="147"/>
      <c r="AH113" s="133"/>
      <c r="AI113" s="147"/>
      <c r="AK113" s="133"/>
      <c r="AL113" s="147"/>
      <c r="AN113" s="133"/>
      <c r="AO113" s="147"/>
      <c r="AQ113" s="133"/>
      <c r="AR113" s="147"/>
    </row>
    <row r="114" spans="3:44" x14ac:dyDescent="0.2">
      <c r="C114" s="146"/>
      <c r="D114" s="146"/>
      <c r="E114" s="146"/>
      <c r="F114" s="146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47"/>
      <c r="R114" s="133"/>
      <c r="S114" s="133"/>
      <c r="T114" s="133"/>
      <c r="U114" s="133"/>
      <c r="V114" s="147"/>
      <c r="W114" s="133"/>
      <c r="X114" s="133"/>
      <c r="Y114" s="147"/>
      <c r="Z114" s="133"/>
      <c r="AA114" s="133"/>
      <c r="AB114" s="133"/>
      <c r="AC114" s="147"/>
      <c r="AE114" s="133"/>
      <c r="AF114" s="147"/>
      <c r="AH114" s="133"/>
      <c r="AI114" s="147"/>
      <c r="AK114" s="133"/>
      <c r="AL114" s="147"/>
      <c r="AN114" s="133"/>
      <c r="AO114" s="147"/>
      <c r="AQ114" s="133"/>
      <c r="AR114" s="147"/>
    </row>
    <row r="115" spans="3:44" x14ac:dyDescent="0.2">
      <c r="C115" s="146"/>
      <c r="D115" s="146"/>
      <c r="E115" s="146"/>
      <c r="F115" s="146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47"/>
      <c r="R115" s="133"/>
      <c r="S115" s="133"/>
      <c r="T115" s="133"/>
      <c r="U115" s="133"/>
      <c r="V115" s="147"/>
      <c r="W115" s="133"/>
      <c r="X115" s="133"/>
      <c r="Y115" s="147"/>
      <c r="Z115" s="133"/>
      <c r="AA115" s="133"/>
      <c r="AB115" s="133"/>
      <c r="AC115" s="147"/>
      <c r="AE115" s="133"/>
      <c r="AF115" s="147"/>
      <c r="AH115" s="133"/>
      <c r="AI115" s="147"/>
      <c r="AK115" s="133"/>
      <c r="AL115" s="147"/>
      <c r="AN115" s="133"/>
      <c r="AO115" s="147"/>
      <c r="AQ115" s="133"/>
      <c r="AR115" s="147"/>
    </row>
    <row r="116" spans="3:44" x14ac:dyDescent="0.2">
      <c r="C116" s="146"/>
      <c r="D116" s="146"/>
      <c r="E116" s="146"/>
      <c r="F116" s="146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47"/>
      <c r="R116" s="133"/>
      <c r="S116" s="133"/>
      <c r="T116" s="133"/>
      <c r="U116" s="133"/>
      <c r="V116" s="147"/>
      <c r="W116" s="133"/>
      <c r="X116" s="133"/>
      <c r="Y116" s="147"/>
      <c r="Z116" s="133"/>
      <c r="AA116" s="133"/>
      <c r="AB116" s="133"/>
      <c r="AC116" s="147"/>
      <c r="AE116" s="133"/>
      <c r="AF116" s="147"/>
      <c r="AH116" s="133"/>
      <c r="AI116" s="147"/>
      <c r="AK116" s="133"/>
      <c r="AL116" s="147"/>
      <c r="AN116" s="133"/>
      <c r="AO116" s="147"/>
      <c r="AQ116" s="133"/>
      <c r="AR116" s="147"/>
    </row>
    <row r="117" spans="3:44" x14ac:dyDescent="0.2">
      <c r="C117" s="146"/>
      <c r="D117" s="146"/>
      <c r="E117" s="146"/>
      <c r="F117" s="146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47"/>
      <c r="R117" s="133"/>
      <c r="S117" s="133"/>
      <c r="T117" s="133"/>
      <c r="U117" s="133"/>
      <c r="V117" s="147"/>
      <c r="W117" s="133"/>
      <c r="X117" s="133"/>
      <c r="Y117" s="147"/>
      <c r="Z117" s="133"/>
      <c r="AA117" s="133"/>
      <c r="AB117" s="133"/>
      <c r="AC117" s="147"/>
      <c r="AE117" s="133"/>
      <c r="AF117" s="147"/>
      <c r="AH117" s="133"/>
      <c r="AI117" s="147"/>
      <c r="AK117" s="133"/>
      <c r="AL117" s="147"/>
      <c r="AN117" s="133"/>
      <c r="AO117" s="147"/>
      <c r="AQ117" s="133"/>
      <c r="AR117" s="147"/>
    </row>
    <row r="118" spans="3:44" x14ac:dyDescent="0.2">
      <c r="C118" s="146"/>
      <c r="D118" s="146"/>
      <c r="E118" s="146"/>
      <c r="F118" s="146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47"/>
      <c r="R118" s="133"/>
      <c r="S118" s="133"/>
      <c r="T118" s="133"/>
      <c r="U118" s="133"/>
      <c r="V118" s="147"/>
      <c r="W118" s="133"/>
      <c r="X118" s="133"/>
      <c r="Y118" s="147"/>
      <c r="Z118" s="133"/>
      <c r="AA118" s="133"/>
      <c r="AB118" s="133"/>
      <c r="AC118" s="147"/>
      <c r="AE118" s="133"/>
      <c r="AF118" s="147"/>
      <c r="AH118" s="133"/>
      <c r="AI118" s="147"/>
      <c r="AK118" s="133"/>
      <c r="AL118" s="147"/>
      <c r="AN118" s="133"/>
      <c r="AO118" s="147"/>
      <c r="AQ118" s="133"/>
      <c r="AR118" s="147"/>
    </row>
    <row r="119" spans="3:44" x14ac:dyDescent="0.2">
      <c r="C119" s="146"/>
      <c r="D119" s="146"/>
      <c r="E119" s="146"/>
      <c r="F119" s="146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47"/>
      <c r="R119" s="133"/>
      <c r="S119" s="133"/>
      <c r="T119" s="133"/>
      <c r="U119" s="133"/>
      <c r="V119" s="147"/>
      <c r="W119" s="133"/>
      <c r="X119" s="133"/>
      <c r="Y119" s="147"/>
      <c r="Z119" s="133"/>
      <c r="AA119" s="133"/>
      <c r="AB119" s="133"/>
      <c r="AC119" s="147"/>
      <c r="AE119" s="133"/>
      <c r="AF119" s="147"/>
      <c r="AH119" s="133"/>
      <c r="AI119" s="147"/>
      <c r="AK119" s="133"/>
      <c r="AL119" s="147"/>
      <c r="AN119" s="133"/>
      <c r="AO119" s="147"/>
      <c r="AQ119" s="133"/>
      <c r="AR119" s="147"/>
    </row>
    <row r="120" spans="3:44" x14ac:dyDescent="0.2">
      <c r="C120" s="146"/>
      <c r="D120" s="146"/>
      <c r="E120" s="146"/>
      <c r="F120" s="146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47"/>
      <c r="R120" s="133"/>
      <c r="S120" s="133"/>
      <c r="T120" s="133"/>
      <c r="U120" s="133"/>
      <c r="V120" s="147"/>
      <c r="W120" s="133"/>
      <c r="X120" s="133"/>
      <c r="Y120" s="147"/>
      <c r="Z120" s="133"/>
      <c r="AA120" s="133"/>
      <c r="AB120" s="133"/>
      <c r="AC120" s="147"/>
      <c r="AE120" s="133"/>
      <c r="AF120" s="147"/>
      <c r="AH120" s="133"/>
      <c r="AI120" s="147"/>
      <c r="AK120" s="133"/>
      <c r="AL120" s="147"/>
      <c r="AN120" s="133"/>
      <c r="AO120" s="147"/>
      <c r="AQ120" s="133"/>
      <c r="AR120" s="147"/>
    </row>
    <row r="121" spans="3:44" x14ac:dyDescent="0.2">
      <c r="C121" s="146"/>
      <c r="D121" s="146"/>
      <c r="E121" s="146"/>
      <c r="F121" s="146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47"/>
      <c r="R121" s="133"/>
      <c r="S121" s="133"/>
      <c r="T121" s="133"/>
      <c r="U121" s="133"/>
      <c r="V121" s="147"/>
      <c r="W121" s="133"/>
      <c r="X121" s="133"/>
      <c r="Y121" s="147"/>
      <c r="Z121" s="133"/>
      <c r="AA121" s="133"/>
      <c r="AB121" s="133"/>
      <c r="AC121" s="147"/>
      <c r="AE121" s="133"/>
      <c r="AF121" s="147"/>
      <c r="AH121" s="133"/>
      <c r="AI121" s="147"/>
      <c r="AK121" s="133"/>
      <c r="AL121" s="147"/>
      <c r="AN121" s="133"/>
      <c r="AO121" s="147"/>
      <c r="AQ121" s="133"/>
      <c r="AR121" s="147"/>
    </row>
    <row r="122" spans="3:44" x14ac:dyDescent="0.2">
      <c r="C122" s="146"/>
      <c r="D122" s="146"/>
      <c r="E122" s="146"/>
      <c r="F122" s="146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47"/>
      <c r="R122" s="133"/>
      <c r="S122" s="133"/>
      <c r="T122" s="133"/>
      <c r="U122" s="133"/>
      <c r="V122" s="147"/>
      <c r="W122" s="133"/>
      <c r="X122" s="133"/>
      <c r="Y122" s="147"/>
      <c r="Z122" s="133"/>
      <c r="AA122" s="133"/>
      <c r="AB122" s="133"/>
      <c r="AC122" s="147"/>
      <c r="AE122" s="133"/>
      <c r="AF122" s="147"/>
      <c r="AH122" s="133"/>
      <c r="AI122" s="147"/>
      <c r="AK122" s="133"/>
      <c r="AL122" s="147"/>
      <c r="AN122" s="133"/>
      <c r="AO122" s="147"/>
      <c r="AQ122" s="133"/>
      <c r="AR122" s="147"/>
    </row>
    <row r="123" spans="3:44" x14ac:dyDescent="0.2">
      <c r="C123" s="146"/>
      <c r="D123" s="146"/>
      <c r="E123" s="146"/>
      <c r="F123" s="146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47"/>
      <c r="R123" s="133"/>
      <c r="S123" s="133"/>
      <c r="T123" s="133"/>
      <c r="U123" s="133"/>
      <c r="V123" s="147"/>
      <c r="W123" s="133"/>
      <c r="X123" s="133"/>
      <c r="Y123" s="147"/>
      <c r="Z123" s="133"/>
      <c r="AA123" s="133"/>
      <c r="AB123" s="133"/>
      <c r="AC123" s="147"/>
      <c r="AE123" s="133"/>
      <c r="AF123" s="147"/>
      <c r="AH123" s="133"/>
      <c r="AI123" s="147"/>
      <c r="AK123" s="133"/>
      <c r="AL123" s="147"/>
      <c r="AN123" s="133"/>
      <c r="AO123" s="147"/>
      <c r="AQ123" s="133"/>
      <c r="AR123" s="147"/>
    </row>
    <row r="124" spans="3:44" x14ac:dyDescent="0.2">
      <c r="C124" s="146"/>
      <c r="D124" s="146"/>
      <c r="E124" s="146"/>
      <c r="F124" s="146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47"/>
      <c r="R124" s="133"/>
      <c r="S124" s="133"/>
      <c r="T124" s="133"/>
      <c r="U124" s="133"/>
      <c r="V124" s="147"/>
      <c r="W124" s="133"/>
      <c r="X124" s="133"/>
      <c r="Y124" s="147"/>
      <c r="Z124" s="133"/>
      <c r="AA124" s="133"/>
      <c r="AB124" s="133"/>
      <c r="AC124" s="147"/>
      <c r="AE124" s="133"/>
      <c r="AF124" s="147"/>
      <c r="AH124" s="133"/>
      <c r="AI124" s="147"/>
      <c r="AK124" s="133"/>
      <c r="AL124" s="147"/>
      <c r="AN124" s="133"/>
      <c r="AO124" s="147"/>
      <c r="AQ124" s="133"/>
      <c r="AR124" s="147"/>
    </row>
    <row r="125" spans="3:44" x14ac:dyDescent="0.2">
      <c r="C125" s="146"/>
      <c r="D125" s="146"/>
      <c r="E125" s="146"/>
      <c r="F125" s="146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47"/>
      <c r="R125" s="133"/>
      <c r="S125" s="133"/>
      <c r="T125" s="133"/>
      <c r="U125" s="133"/>
      <c r="V125" s="147"/>
      <c r="W125" s="133"/>
      <c r="X125" s="133"/>
      <c r="Y125" s="147"/>
      <c r="Z125" s="133"/>
      <c r="AA125" s="133"/>
      <c r="AB125" s="133"/>
      <c r="AC125" s="147"/>
      <c r="AE125" s="133"/>
      <c r="AF125" s="147"/>
      <c r="AH125" s="133"/>
      <c r="AI125" s="147"/>
      <c r="AK125" s="133"/>
      <c r="AL125" s="147"/>
      <c r="AN125" s="133"/>
      <c r="AO125" s="147"/>
      <c r="AQ125" s="133"/>
      <c r="AR125" s="147"/>
    </row>
    <row r="126" spans="3:44" x14ac:dyDescent="0.2">
      <c r="C126" s="146"/>
      <c r="D126" s="146"/>
      <c r="E126" s="146"/>
      <c r="F126" s="146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47"/>
      <c r="R126" s="133"/>
      <c r="S126" s="133"/>
      <c r="T126" s="133"/>
      <c r="U126" s="133"/>
      <c r="V126" s="147"/>
      <c r="W126" s="133"/>
      <c r="X126" s="133"/>
      <c r="Y126" s="147"/>
      <c r="Z126" s="133"/>
      <c r="AA126" s="133"/>
      <c r="AB126" s="133"/>
      <c r="AC126" s="147"/>
      <c r="AE126" s="133"/>
      <c r="AF126" s="147"/>
      <c r="AH126" s="133"/>
      <c r="AI126" s="147"/>
      <c r="AK126" s="133"/>
      <c r="AL126" s="147"/>
      <c r="AN126" s="133"/>
      <c r="AO126" s="147"/>
      <c r="AQ126" s="133"/>
      <c r="AR126" s="147"/>
    </row>
    <row r="127" spans="3:44" x14ac:dyDescent="0.2">
      <c r="C127" s="146"/>
      <c r="D127" s="146"/>
      <c r="E127" s="146"/>
      <c r="F127" s="146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47"/>
      <c r="R127" s="133"/>
      <c r="S127" s="133"/>
      <c r="T127" s="133"/>
      <c r="U127" s="133"/>
      <c r="V127" s="147"/>
      <c r="W127" s="133"/>
      <c r="X127" s="133"/>
      <c r="Y127" s="147"/>
      <c r="Z127" s="133"/>
      <c r="AA127" s="133"/>
      <c r="AB127" s="133"/>
      <c r="AC127" s="147"/>
      <c r="AE127" s="133"/>
      <c r="AF127" s="147"/>
      <c r="AH127" s="133"/>
      <c r="AI127" s="147"/>
      <c r="AK127" s="133"/>
      <c r="AL127" s="147"/>
      <c r="AN127" s="133"/>
      <c r="AO127" s="147"/>
      <c r="AQ127" s="133"/>
      <c r="AR127" s="147"/>
    </row>
    <row r="128" spans="3:44" x14ac:dyDescent="0.2">
      <c r="C128" s="146"/>
      <c r="D128" s="146"/>
      <c r="E128" s="146"/>
      <c r="F128" s="146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47"/>
      <c r="R128" s="133"/>
      <c r="S128" s="133"/>
      <c r="T128" s="133"/>
      <c r="U128" s="133"/>
      <c r="V128" s="147"/>
      <c r="W128" s="133"/>
      <c r="X128" s="133"/>
      <c r="Y128" s="147"/>
      <c r="Z128" s="133"/>
      <c r="AA128" s="133"/>
      <c r="AB128" s="133"/>
      <c r="AC128" s="147"/>
      <c r="AE128" s="133"/>
      <c r="AF128" s="147"/>
      <c r="AH128" s="133"/>
      <c r="AI128" s="147"/>
      <c r="AK128" s="133"/>
      <c r="AL128" s="147"/>
      <c r="AN128" s="133"/>
      <c r="AO128" s="147"/>
      <c r="AQ128" s="133"/>
      <c r="AR128" s="147"/>
    </row>
    <row r="129" spans="3:44" x14ac:dyDescent="0.2">
      <c r="C129" s="146"/>
      <c r="D129" s="146"/>
      <c r="E129" s="146"/>
      <c r="F129" s="146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47"/>
      <c r="R129" s="133"/>
      <c r="S129" s="133"/>
      <c r="T129" s="133"/>
      <c r="U129" s="133"/>
      <c r="V129" s="147"/>
      <c r="W129" s="133"/>
      <c r="X129" s="133"/>
      <c r="Y129" s="147"/>
      <c r="Z129" s="133"/>
      <c r="AA129" s="133"/>
      <c r="AB129" s="133"/>
      <c r="AC129" s="147"/>
      <c r="AE129" s="133"/>
      <c r="AF129" s="147"/>
      <c r="AH129" s="133"/>
      <c r="AI129" s="147"/>
      <c r="AK129" s="133"/>
      <c r="AL129" s="147"/>
      <c r="AN129" s="133"/>
      <c r="AO129" s="147"/>
      <c r="AQ129" s="133"/>
      <c r="AR129" s="147"/>
    </row>
    <row r="130" spans="3:44" x14ac:dyDescent="0.2">
      <c r="C130" s="146"/>
      <c r="D130" s="146"/>
      <c r="E130" s="146"/>
      <c r="F130" s="146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47"/>
      <c r="R130" s="133"/>
      <c r="S130" s="133"/>
      <c r="T130" s="133"/>
      <c r="U130" s="133"/>
      <c r="V130" s="147"/>
      <c r="W130" s="133"/>
      <c r="X130" s="133"/>
      <c r="Y130" s="147"/>
      <c r="Z130" s="133"/>
      <c r="AA130" s="133"/>
      <c r="AB130" s="133"/>
      <c r="AC130" s="147"/>
      <c r="AE130" s="133"/>
      <c r="AF130" s="147"/>
      <c r="AH130" s="133"/>
      <c r="AI130" s="147"/>
      <c r="AK130" s="133"/>
      <c r="AL130" s="147"/>
      <c r="AN130" s="133"/>
      <c r="AO130" s="147"/>
      <c r="AQ130" s="133"/>
      <c r="AR130" s="147"/>
    </row>
    <row r="131" spans="3:44" x14ac:dyDescent="0.2">
      <c r="C131" s="146"/>
      <c r="D131" s="146"/>
      <c r="E131" s="146"/>
      <c r="F131" s="146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47"/>
      <c r="R131" s="133"/>
      <c r="S131" s="133"/>
      <c r="T131" s="133"/>
      <c r="U131" s="133"/>
      <c r="V131" s="147"/>
      <c r="W131" s="133"/>
      <c r="X131" s="133"/>
      <c r="Y131" s="147"/>
      <c r="Z131" s="133"/>
      <c r="AA131" s="133"/>
      <c r="AB131" s="133"/>
      <c r="AC131" s="147"/>
      <c r="AE131" s="133"/>
      <c r="AF131" s="147"/>
      <c r="AH131" s="133"/>
      <c r="AI131" s="147"/>
      <c r="AK131" s="133"/>
      <c r="AL131" s="147"/>
      <c r="AN131" s="133"/>
      <c r="AO131" s="147"/>
      <c r="AQ131" s="133"/>
      <c r="AR131" s="147"/>
    </row>
    <row r="132" spans="3:44" x14ac:dyDescent="0.2">
      <c r="C132" s="146"/>
      <c r="D132" s="146"/>
      <c r="E132" s="146"/>
      <c r="F132" s="146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47"/>
      <c r="R132" s="133"/>
      <c r="S132" s="133"/>
      <c r="T132" s="133"/>
      <c r="U132" s="133"/>
      <c r="V132" s="147"/>
      <c r="W132" s="133"/>
      <c r="X132" s="133"/>
      <c r="Y132" s="147"/>
      <c r="Z132" s="133"/>
      <c r="AA132" s="133"/>
      <c r="AB132" s="133"/>
      <c r="AC132" s="147"/>
      <c r="AE132" s="133"/>
      <c r="AF132" s="147"/>
      <c r="AH132" s="133"/>
      <c r="AI132" s="147"/>
      <c r="AK132" s="133"/>
      <c r="AL132" s="147"/>
      <c r="AN132" s="133"/>
      <c r="AO132" s="147"/>
      <c r="AQ132" s="133"/>
      <c r="AR132" s="147"/>
    </row>
    <row r="133" spans="3:44" x14ac:dyDescent="0.2">
      <c r="C133" s="146"/>
      <c r="D133" s="146"/>
      <c r="E133" s="146"/>
      <c r="F133" s="146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47"/>
      <c r="R133" s="133"/>
      <c r="S133" s="133"/>
      <c r="T133" s="133"/>
      <c r="U133" s="133"/>
      <c r="V133" s="147"/>
      <c r="W133" s="133"/>
      <c r="X133" s="133"/>
      <c r="Y133" s="147"/>
      <c r="Z133" s="133"/>
      <c r="AA133" s="133"/>
      <c r="AB133" s="133"/>
      <c r="AC133" s="147"/>
      <c r="AE133" s="133"/>
      <c r="AF133" s="147"/>
      <c r="AH133" s="133"/>
      <c r="AI133" s="147"/>
      <c r="AK133" s="133"/>
      <c r="AL133" s="147"/>
      <c r="AN133" s="133"/>
      <c r="AO133" s="147"/>
      <c r="AQ133" s="133"/>
      <c r="AR133" s="147"/>
    </row>
    <row r="134" spans="3:44" x14ac:dyDescent="0.2">
      <c r="C134" s="146"/>
      <c r="D134" s="146"/>
      <c r="E134" s="146"/>
      <c r="F134" s="146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47"/>
      <c r="R134" s="133"/>
      <c r="S134" s="133"/>
      <c r="T134" s="133"/>
      <c r="U134" s="133"/>
      <c r="V134" s="147"/>
      <c r="W134" s="133"/>
      <c r="X134" s="133"/>
      <c r="Y134" s="147"/>
      <c r="Z134" s="133"/>
      <c r="AA134" s="133"/>
      <c r="AB134" s="133"/>
      <c r="AC134" s="147"/>
      <c r="AE134" s="133"/>
      <c r="AF134" s="147"/>
      <c r="AH134" s="133"/>
      <c r="AI134" s="147"/>
      <c r="AK134" s="133"/>
      <c r="AL134" s="147"/>
      <c r="AN134" s="133"/>
      <c r="AO134" s="147"/>
      <c r="AQ134" s="133"/>
      <c r="AR134" s="147"/>
    </row>
    <row r="135" spans="3:44" x14ac:dyDescent="0.2">
      <c r="C135" s="146"/>
      <c r="D135" s="146"/>
      <c r="E135" s="146"/>
      <c r="F135" s="146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47"/>
      <c r="R135" s="133"/>
      <c r="S135" s="133"/>
      <c r="T135" s="133"/>
      <c r="U135" s="133"/>
      <c r="V135" s="147"/>
      <c r="W135" s="133"/>
      <c r="X135" s="133"/>
      <c r="Y135" s="147"/>
      <c r="Z135" s="133"/>
      <c r="AA135" s="133"/>
      <c r="AB135" s="133"/>
      <c r="AC135" s="147"/>
      <c r="AE135" s="133"/>
      <c r="AF135" s="147"/>
      <c r="AH135" s="133"/>
      <c r="AI135" s="147"/>
      <c r="AK135" s="133"/>
      <c r="AL135" s="147"/>
      <c r="AN135" s="133"/>
      <c r="AO135" s="147"/>
      <c r="AQ135" s="133"/>
      <c r="AR135" s="147"/>
    </row>
    <row r="136" spans="3:44" x14ac:dyDescent="0.2">
      <c r="C136" s="146"/>
      <c r="D136" s="146"/>
      <c r="E136" s="146"/>
      <c r="F136" s="146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47"/>
      <c r="R136" s="133"/>
      <c r="S136" s="133"/>
      <c r="T136" s="133"/>
      <c r="U136" s="133"/>
      <c r="V136" s="147"/>
      <c r="W136" s="133"/>
      <c r="X136" s="133"/>
      <c r="Y136" s="147"/>
      <c r="Z136" s="133"/>
      <c r="AA136" s="133"/>
      <c r="AB136" s="133"/>
      <c r="AC136" s="147"/>
      <c r="AE136" s="133"/>
      <c r="AF136" s="147"/>
      <c r="AH136" s="133"/>
      <c r="AI136" s="147"/>
      <c r="AK136" s="133"/>
      <c r="AL136" s="147"/>
      <c r="AN136" s="133"/>
      <c r="AO136" s="147"/>
      <c r="AQ136" s="133"/>
      <c r="AR136" s="147"/>
    </row>
    <row r="137" spans="3:44" x14ac:dyDescent="0.2">
      <c r="C137" s="146"/>
      <c r="D137" s="146"/>
      <c r="E137" s="146"/>
      <c r="F137" s="146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47"/>
      <c r="R137" s="133"/>
      <c r="S137" s="133"/>
      <c r="T137" s="133"/>
      <c r="U137" s="133"/>
      <c r="V137" s="147"/>
      <c r="W137" s="133"/>
      <c r="X137" s="133"/>
      <c r="Y137" s="147"/>
      <c r="Z137" s="133"/>
      <c r="AA137" s="133"/>
      <c r="AB137" s="133"/>
      <c r="AC137" s="147"/>
      <c r="AE137" s="133"/>
      <c r="AF137" s="147"/>
      <c r="AH137" s="133"/>
      <c r="AI137" s="147"/>
      <c r="AK137" s="133"/>
      <c r="AL137" s="147"/>
      <c r="AN137" s="133"/>
      <c r="AO137" s="147"/>
      <c r="AQ137" s="133"/>
      <c r="AR137" s="147"/>
    </row>
    <row r="138" spans="3:44" x14ac:dyDescent="0.2">
      <c r="C138" s="146"/>
      <c r="D138" s="146"/>
      <c r="E138" s="146"/>
      <c r="F138" s="146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47"/>
      <c r="R138" s="133"/>
      <c r="S138" s="133"/>
      <c r="T138" s="133"/>
      <c r="U138" s="133"/>
      <c r="V138" s="147"/>
      <c r="W138" s="133"/>
      <c r="X138" s="133"/>
      <c r="Y138" s="147"/>
      <c r="Z138" s="133"/>
      <c r="AA138" s="133"/>
      <c r="AB138" s="133"/>
      <c r="AC138" s="147"/>
      <c r="AE138" s="133"/>
      <c r="AF138" s="147"/>
      <c r="AH138" s="133"/>
      <c r="AI138" s="147"/>
      <c r="AK138" s="133"/>
      <c r="AL138" s="147"/>
      <c r="AN138" s="133"/>
      <c r="AO138" s="147"/>
      <c r="AQ138" s="133"/>
      <c r="AR138" s="147"/>
    </row>
    <row r="139" spans="3:44" x14ac:dyDescent="0.2">
      <c r="C139" s="146"/>
      <c r="D139" s="146"/>
      <c r="E139" s="146"/>
      <c r="F139" s="146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47"/>
      <c r="R139" s="133"/>
      <c r="S139" s="133"/>
      <c r="T139" s="133"/>
      <c r="U139" s="133"/>
      <c r="V139" s="147"/>
      <c r="W139" s="133"/>
      <c r="X139" s="133"/>
      <c r="Y139" s="147"/>
      <c r="Z139" s="133"/>
      <c r="AA139" s="133"/>
      <c r="AB139" s="133"/>
      <c r="AC139" s="147"/>
      <c r="AE139" s="133"/>
      <c r="AF139" s="147"/>
      <c r="AH139" s="133"/>
      <c r="AI139" s="147"/>
      <c r="AK139" s="133"/>
      <c r="AL139" s="147"/>
      <c r="AN139" s="133"/>
      <c r="AO139" s="147"/>
      <c r="AQ139" s="133"/>
      <c r="AR139" s="147"/>
    </row>
    <row r="140" spans="3:44" x14ac:dyDescent="0.2">
      <c r="C140" s="146"/>
      <c r="D140" s="146"/>
      <c r="E140" s="146"/>
      <c r="F140" s="146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47"/>
      <c r="R140" s="133"/>
      <c r="S140" s="133"/>
      <c r="T140" s="133"/>
      <c r="U140" s="133"/>
      <c r="V140" s="147"/>
      <c r="W140" s="133"/>
      <c r="X140" s="133"/>
      <c r="Y140" s="147"/>
      <c r="Z140" s="133"/>
      <c r="AA140" s="133"/>
      <c r="AB140" s="133"/>
      <c r="AC140" s="147"/>
      <c r="AE140" s="133"/>
      <c r="AF140" s="147"/>
      <c r="AH140" s="133"/>
      <c r="AI140" s="147"/>
      <c r="AK140" s="133"/>
      <c r="AL140" s="147"/>
      <c r="AN140" s="133"/>
      <c r="AO140" s="147"/>
      <c r="AQ140" s="133"/>
      <c r="AR140" s="147"/>
    </row>
    <row r="141" spans="3:44" x14ac:dyDescent="0.2">
      <c r="C141" s="146"/>
      <c r="D141" s="146"/>
      <c r="E141" s="146"/>
      <c r="F141" s="146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47"/>
      <c r="R141" s="133"/>
      <c r="S141" s="133"/>
      <c r="T141" s="133"/>
      <c r="U141" s="133"/>
      <c r="V141" s="147"/>
      <c r="W141" s="133"/>
      <c r="X141" s="133"/>
      <c r="Y141" s="147"/>
      <c r="Z141" s="133"/>
      <c r="AA141" s="133"/>
      <c r="AB141" s="133"/>
      <c r="AC141" s="147"/>
      <c r="AE141" s="133"/>
      <c r="AF141" s="147"/>
      <c r="AH141" s="133"/>
      <c r="AI141" s="147"/>
      <c r="AK141" s="133"/>
      <c r="AL141" s="147"/>
      <c r="AN141" s="133"/>
      <c r="AO141" s="147"/>
      <c r="AQ141" s="133"/>
      <c r="AR141" s="147"/>
    </row>
    <row r="142" spans="3:44" x14ac:dyDescent="0.2">
      <c r="C142" s="146"/>
      <c r="D142" s="146"/>
      <c r="E142" s="146"/>
      <c r="F142" s="146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47"/>
      <c r="R142" s="133"/>
      <c r="S142" s="133"/>
      <c r="T142" s="133"/>
      <c r="U142" s="133"/>
      <c r="V142" s="147"/>
      <c r="W142" s="133"/>
      <c r="X142" s="133"/>
      <c r="Y142" s="147"/>
      <c r="Z142" s="133"/>
      <c r="AA142" s="133"/>
      <c r="AB142" s="133"/>
      <c r="AC142" s="147"/>
      <c r="AE142" s="133"/>
      <c r="AF142" s="147"/>
      <c r="AH142" s="133"/>
      <c r="AI142" s="147"/>
      <c r="AK142" s="133"/>
      <c r="AL142" s="147"/>
      <c r="AN142" s="133"/>
      <c r="AO142" s="147"/>
      <c r="AQ142" s="133"/>
      <c r="AR142" s="147"/>
    </row>
    <row r="143" spans="3:44" x14ac:dyDescent="0.2">
      <c r="C143" s="146"/>
      <c r="D143" s="146"/>
      <c r="E143" s="146"/>
      <c r="F143" s="146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47"/>
      <c r="R143" s="133"/>
      <c r="S143" s="133"/>
      <c r="T143" s="133"/>
      <c r="U143" s="133"/>
      <c r="V143" s="147"/>
      <c r="W143" s="133"/>
      <c r="X143" s="133"/>
      <c r="Y143" s="147"/>
      <c r="Z143" s="133"/>
      <c r="AA143" s="133"/>
      <c r="AB143" s="133"/>
      <c r="AC143" s="147"/>
      <c r="AE143" s="133"/>
      <c r="AF143" s="147"/>
      <c r="AH143" s="133"/>
      <c r="AI143" s="147"/>
      <c r="AK143" s="133"/>
      <c r="AL143" s="147"/>
      <c r="AN143" s="133"/>
      <c r="AO143" s="147"/>
      <c r="AQ143" s="133"/>
      <c r="AR143" s="147"/>
    </row>
    <row r="144" spans="3:44" x14ac:dyDescent="0.2">
      <c r="C144" s="146"/>
      <c r="D144" s="146"/>
      <c r="E144" s="146"/>
      <c r="F144" s="146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47"/>
      <c r="R144" s="133"/>
      <c r="S144" s="133"/>
      <c r="T144" s="133"/>
      <c r="U144" s="133"/>
      <c r="V144" s="147"/>
      <c r="W144" s="133"/>
      <c r="X144" s="133"/>
      <c r="Y144" s="147"/>
      <c r="Z144" s="133"/>
      <c r="AA144" s="133"/>
      <c r="AB144" s="133"/>
      <c r="AC144" s="147"/>
      <c r="AE144" s="133"/>
      <c r="AF144" s="147"/>
      <c r="AH144" s="133"/>
      <c r="AI144" s="147"/>
      <c r="AK144" s="133"/>
      <c r="AL144" s="147"/>
      <c r="AN144" s="133"/>
      <c r="AO144" s="147"/>
      <c r="AQ144" s="133"/>
      <c r="AR144" s="147"/>
    </row>
    <row r="145" spans="3:44" x14ac:dyDescent="0.2">
      <c r="C145" s="146"/>
      <c r="D145" s="146"/>
      <c r="E145" s="146"/>
      <c r="F145" s="146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47"/>
      <c r="R145" s="133"/>
      <c r="S145" s="133"/>
      <c r="T145" s="133"/>
      <c r="U145" s="133"/>
      <c r="V145" s="147"/>
      <c r="W145" s="133"/>
      <c r="X145" s="133"/>
      <c r="Y145" s="147"/>
      <c r="Z145" s="133"/>
      <c r="AA145" s="133"/>
      <c r="AB145" s="133"/>
      <c r="AC145" s="147"/>
      <c r="AE145" s="133"/>
      <c r="AF145" s="147"/>
      <c r="AH145" s="133"/>
      <c r="AI145" s="147"/>
      <c r="AK145" s="133"/>
      <c r="AL145" s="147"/>
      <c r="AN145" s="133"/>
      <c r="AO145" s="147"/>
      <c r="AQ145" s="133"/>
      <c r="AR145" s="147"/>
    </row>
    <row r="146" spans="3:44" x14ac:dyDescent="0.2">
      <c r="C146" s="146"/>
      <c r="D146" s="146"/>
      <c r="E146" s="146"/>
      <c r="F146" s="146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47"/>
      <c r="R146" s="133"/>
      <c r="S146" s="133"/>
      <c r="T146" s="133"/>
      <c r="U146" s="133"/>
      <c r="V146" s="147"/>
      <c r="W146" s="133"/>
      <c r="X146" s="133"/>
      <c r="Y146" s="147"/>
      <c r="Z146" s="133"/>
      <c r="AA146" s="133"/>
      <c r="AB146" s="133"/>
      <c r="AC146" s="147"/>
      <c r="AE146" s="133"/>
      <c r="AF146" s="147"/>
      <c r="AH146" s="133"/>
      <c r="AI146" s="147"/>
      <c r="AK146" s="133"/>
      <c r="AL146" s="147"/>
      <c r="AN146" s="133"/>
      <c r="AO146" s="147"/>
      <c r="AQ146" s="133"/>
      <c r="AR146" s="147"/>
    </row>
    <row r="147" spans="3:44" x14ac:dyDescent="0.2">
      <c r="C147" s="146"/>
      <c r="D147" s="146"/>
      <c r="E147" s="146"/>
      <c r="F147" s="146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47"/>
      <c r="R147" s="133"/>
      <c r="S147" s="133"/>
      <c r="T147" s="133"/>
      <c r="U147" s="133"/>
      <c r="V147" s="147"/>
      <c r="W147" s="133"/>
      <c r="X147" s="133"/>
      <c r="Y147" s="147"/>
      <c r="Z147" s="133"/>
      <c r="AA147" s="133"/>
      <c r="AB147" s="133"/>
      <c r="AC147" s="147"/>
      <c r="AE147" s="133"/>
      <c r="AF147" s="147"/>
      <c r="AH147" s="133"/>
      <c r="AI147" s="147"/>
      <c r="AK147" s="133"/>
      <c r="AL147" s="147"/>
      <c r="AN147" s="133"/>
      <c r="AO147" s="147"/>
      <c r="AQ147" s="133"/>
      <c r="AR147" s="147"/>
    </row>
    <row r="148" spans="3:44" x14ac:dyDescent="0.2">
      <c r="C148" s="146"/>
      <c r="D148" s="146"/>
      <c r="E148" s="146"/>
      <c r="F148" s="146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47"/>
      <c r="R148" s="133"/>
      <c r="S148" s="133"/>
      <c r="T148" s="133"/>
      <c r="U148" s="133"/>
      <c r="V148" s="147"/>
      <c r="W148" s="133"/>
      <c r="X148" s="133"/>
      <c r="Y148" s="147"/>
      <c r="Z148" s="133"/>
      <c r="AA148" s="133"/>
      <c r="AB148" s="133"/>
      <c r="AC148" s="147"/>
      <c r="AE148" s="133"/>
      <c r="AF148" s="147"/>
      <c r="AH148" s="133"/>
      <c r="AI148" s="147"/>
      <c r="AK148" s="133"/>
      <c r="AL148" s="147"/>
      <c r="AN148" s="133"/>
      <c r="AO148" s="147"/>
      <c r="AQ148" s="133"/>
      <c r="AR148" s="147"/>
    </row>
    <row r="149" spans="3:44" x14ac:dyDescent="0.2">
      <c r="C149" s="146"/>
      <c r="D149" s="146"/>
      <c r="E149" s="146"/>
      <c r="F149" s="146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47"/>
      <c r="R149" s="133"/>
      <c r="S149" s="133"/>
      <c r="T149" s="133"/>
      <c r="U149" s="133"/>
      <c r="V149" s="147"/>
      <c r="W149" s="133"/>
      <c r="X149" s="133"/>
      <c r="Y149" s="147"/>
      <c r="Z149" s="133"/>
      <c r="AA149" s="133"/>
      <c r="AB149" s="133"/>
      <c r="AC149" s="147"/>
      <c r="AE149" s="133"/>
      <c r="AF149" s="147"/>
      <c r="AH149" s="133"/>
      <c r="AI149" s="147"/>
      <c r="AK149" s="133"/>
      <c r="AL149" s="147"/>
      <c r="AN149" s="133"/>
      <c r="AO149" s="147"/>
      <c r="AQ149" s="133"/>
      <c r="AR149" s="147"/>
    </row>
    <row r="150" spans="3:44" x14ac:dyDescent="0.2">
      <c r="C150" s="146"/>
      <c r="D150" s="146"/>
      <c r="E150" s="146"/>
      <c r="F150" s="146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47"/>
      <c r="R150" s="133"/>
      <c r="S150" s="133"/>
      <c r="T150" s="133"/>
      <c r="U150" s="133"/>
      <c r="V150" s="147"/>
      <c r="W150" s="133"/>
      <c r="X150" s="133"/>
      <c r="Y150" s="147"/>
      <c r="Z150" s="133"/>
      <c r="AA150" s="133"/>
      <c r="AB150" s="133"/>
      <c r="AC150" s="147"/>
      <c r="AE150" s="133"/>
      <c r="AF150" s="147"/>
      <c r="AH150" s="133"/>
      <c r="AI150" s="147"/>
      <c r="AK150" s="133"/>
      <c r="AL150" s="147"/>
      <c r="AN150" s="133"/>
      <c r="AO150" s="147"/>
      <c r="AQ150" s="133"/>
      <c r="AR150" s="147"/>
    </row>
    <row r="151" spans="3:44" x14ac:dyDescent="0.2">
      <c r="C151" s="146"/>
      <c r="D151" s="146"/>
      <c r="E151" s="146"/>
      <c r="F151" s="146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47"/>
      <c r="R151" s="133"/>
      <c r="S151" s="133"/>
      <c r="T151" s="133"/>
      <c r="U151" s="133"/>
      <c r="V151" s="147"/>
      <c r="W151" s="133"/>
      <c r="X151" s="133"/>
      <c r="Y151" s="147"/>
      <c r="Z151" s="133"/>
      <c r="AA151" s="133"/>
      <c r="AB151" s="133"/>
      <c r="AC151" s="147"/>
      <c r="AE151" s="133"/>
      <c r="AF151" s="147"/>
      <c r="AH151" s="133"/>
      <c r="AI151" s="147"/>
      <c r="AK151" s="133"/>
      <c r="AL151" s="147"/>
      <c r="AN151" s="133"/>
      <c r="AO151" s="147"/>
      <c r="AQ151" s="133"/>
      <c r="AR151" s="147"/>
    </row>
    <row r="152" spans="3:44" x14ac:dyDescent="0.2">
      <c r="C152" s="146"/>
      <c r="D152" s="146"/>
      <c r="E152" s="146"/>
      <c r="F152" s="146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47"/>
      <c r="R152" s="133"/>
      <c r="S152" s="133"/>
      <c r="T152" s="133"/>
      <c r="U152" s="133"/>
      <c r="V152" s="147"/>
      <c r="W152" s="133"/>
      <c r="X152" s="133"/>
      <c r="Y152" s="147"/>
      <c r="Z152" s="133"/>
      <c r="AA152" s="133"/>
      <c r="AB152" s="133"/>
      <c r="AC152" s="147"/>
      <c r="AE152" s="133"/>
      <c r="AF152" s="147"/>
      <c r="AH152" s="133"/>
      <c r="AI152" s="147"/>
      <c r="AK152" s="133"/>
      <c r="AL152" s="147"/>
      <c r="AN152" s="133"/>
      <c r="AO152" s="147"/>
      <c r="AQ152" s="133"/>
      <c r="AR152" s="147"/>
    </row>
    <row r="153" spans="3:44" x14ac:dyDescent="0.2">
      <c r="C153" s="146"/>
      <c r="D153" s="146"/>
      <c r="E153" s="146"/>
      <c r="F153" s="146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47"/>
      <c r="R153" s="133"/>
      <c r="S153" s="133"/>
      <c r="T153" s="133"/>
      <c r="U153" s="133"/>
      <c r="V153" s="147"/>
      <c r="W153" s="133"/>
      <c r="X153" s="133"/>
      <c r="Y153" s="147"/>
      <c r="Z153" s="133"/>
      <c r="AA153" s="133"/>
      <c r="AB153" s="133"/>
      <c r="AC153" s="147"/>
      <c r="AE153" s="133"/>
      <c r="AF153" s="147"/>
      <c r="AH153" s="133"/>
      <c r="AI153" s="147"/>
      <c r="AK153" s="133"/>
      <c r="AL153" s="147"/>
      <c r="AN153" s="133"/>
      <c r="AO153" s="147"/>
      <c r="AQ153" s="133"/>
      <c r="AR153" s="147"/>
    </row>
    <row r="154" spans="3:44" x14ac:dyDescent="0.2">
      <c r="C154" s="146"/>
      <c r="D154" s="146"/>
      <c r="E154" s="146"/>
      <c r="F154" s="146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47"/>
      <c r="R154" s="133"/>
      <c r="S154" s="133"/>
      <c r="T154" s="133"/>
      <c r="U154" s="133"/>
      <c r="V154" s="147"/>
      <c r="W154" s="133"/>
      <c r="X154" s="133"/>
      <c r="Y154" s="147"/>
      <c r="Z154" s="133"/>
      <c r="AA154" s="133"/>
      <c r="AB154" s="133"/>
      <c r="AC154" s="147"/>
      <c r="AE154" s="133"/>
      <c r="AF154" s="147"/>
      <c r="AH154" s="133"/>
      <c r="AI154" s="147"/>
      <c r="AK154" s="133"/>
      <c r="AL154" s="147"/>
      <c r="AN154" s="133"/>
      <c r="AO154" s="147"/>
      <c r="AQ154" s="133"/>
      <c r="AR154" s="147"/>
    </row>
    <row r="155" spans="3:44" x14ac:dyDescent="0.2">
      <c r="C155" s="146"/>
      <c r="D155" s="146"/>
      <c r="E155" s="146"/>
      <c r="F155" s="146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47"/>
      <c r="R155" s="133"/>
      <c r="S155" s="133"/>
      <c r="T155" s="133"/>
      <c r="U155" s="133"/>
      <c r="V155" s="147"/>
      <c r="W155" s="133"/>
      <c r="X155" s="133"/>
      <c r="Y155" s="147"/>
      <c r="Z155" s="133"/>
      <c r="AA155" s="133"/>
      <c r="AB155" s="133"/>
      <c r="AC155" s="147"/>
      <c r="AE155" s="133"/>
      <c r="AF155" s="147"/>
      <c r="AH155" s="133"/>
      <c r="AI155" s="147"/>
      <c r="AK155" s="133"/>
      <c r="AL155" s="147"/>
      <c r="AN155" s="133"/>
      <c r="AO155" s="147"/>
      <c r="AQ155" s="133"/>
      <c r="AR155" s="147"/>
    </row>
    <row r="156" spans="3:44" x14ac:dyDescent="0.2">
      <c r="C156" s="146"/>
      <c r="D156" s="146"/>
      <c r="E156" s="146"/>
      <c r="F156" s="146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47"/>
      <c r="R156" s="133"/>
      <c r="S156" s="133"/>
      <c r="T156" s="133"/>
      <c r="U156" s="133"/>
      <c r="V156" s="147"/>
      <c r="W156" s="133"/>
      <c r="X156" s="133"/>
      <c r="Y156" s="147"/>
      <c r="Z156" s="133"/>
      <c r="AA156" s="133"/>
      <c r="AB156" s="133"/>
      <c r="AC156" s="147"/>
      <c r="AE156" s="133"/>
      <c r="AF156" s="147"/>
      <c r="AH156" s="133"/>
      <c r="AI156" s="147"/>
      <c r="AK156" s="133"/>
      <c r="AL156" s="147"/>
      <c r="AN156" s="133"/>
      <c r="AO156" s="147"/>
      <c r="AQ156" s="133"/>
      <c r="AR156" s="147"/>
    </row>
    <row r="157" spans="3:44" x14ac:dyDescent="0.2">
      <c r="C157" s="146"/>
      <c r="D157" s="146"/>
      <c r="E157" s="146"/>
      <c r="F157" s="146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47"/>
      <c r="R157" s="133"/>
      <c r="S157" s="133"/>
      <c r="T157" s="133"/>
      <c r="U157" s="133"/>
      <c r="V157" s="147"/>
      <c r="W157" s="133"/>
      <c r="X157" s="133"/>
      <c r="Y157" s="147"/>
      <c r="Z157" s="133"/>
      <c r="AA157" s="133"/>
      <c r="AB157" s="133"/>
      <c r="AC157" s="147"/>
      <c r="AE157" s="133"/>
      <c r="AF157" s="147"/>
      <c r="AH157" s="133"/>
      <c r="AI157" s="147"/>
      <c r="AK157" s="133"/>
      <c r="AL157" s="147"/>
      <c r="AN157" s="133"/>
      <c r="AO157" s="147"/>
      <c r="AQ157" s="133"/>
      <c r="AR157" s="147"/>
    </row>
    <row r="158" spans="3:44" x14ac:dyDescent="0.2">
      <c r="C158" s="146"/>
      <c r="D158" s="146"/>
      <c r="E158" s="146"/>
      <c r="F158" s="146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47"/>
      <c r="R158" s="133"/>
      <c r="S158" s="133"/>
      <c r="T158" s="133"/>
      <c r="U158" s="133"/>
      <c r="V158" s="147"/>
      <c r="W158" s="133"/>
      <c r="X158" s="133"/>
      <c r="Y158" s="147"/>
      <c r="Z158" s="133"/>
      <c r="AA158" s="133"/>
      <c r="AB158" s="133"/>
      <c r="AC158" s="147"/>
      <c r="AE158" s="133"/>
      <c r="AF158" s="147"/>
      <c r="AH158" s="133"/>
      <c r="AI158" s="147"/>
      <c r="AK158" s="133"/>
      <c r="AL158" s="147"/>
      <c r="AN158" s="133"/>
      <c r="AO158" s="147"/>
      <c r="AQ158" s="133"/>
      <c r="AR158" s="147"/>
    </row>
    <row r="159" spans="3:44" x14ac:dyDescent="0.2">
      <c r="C159" s="146"/>
      <c r="D159" s="146"/>
      <c r="E159" s="146"/>
      <c r="F159" s="146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47"/>
      <c r="R159" s="133"/>
      <c r="S159" s="133"/>
      <c r="T159" s="133"/>
      <c r="U159" s="133"/>
      <c r="V159" s="147"/>
      <c r="W159" s="133"/>
      <c r="X159" s="133"/>
      <c r="Y159" s="147"/>
      <c r="Z159" s="133"/>
      <c r="AA159" s="133"/>
      <c r="AB159" s="133"/>
      <c r="AC159" s="147"/>
      <c r="AE159" s="133"/>
      <c r="AF159" s="147"/>
      <c r="AH159" s="133"/>
      <c r="AI159" s="147"/>
      <c r="AK159" s="133"/>
      <c r="AL159" s="147"/>
      <c r="AN159" s="133"/>
      <c r="AO159" s="147"/>
      <c r="AQ159" s="133"/>
      <c r="AR159" s="147"/>
    </row>
    <row r="160" spans="3:44" x14ac:dyDescent="0.2">
      <c r="C160" s="146"/>
      <c r="D160" s="146"/>
      <c r="E160" s="146"/>
      <c r="F160" s="146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47"/>
      <c r="R160" s="133"/>
      <c r="S160" s="133"/>
      <c r="T160" s="133"/>
      <c r="U160" s="133"/>
      <c r="V160" s="147"/>
      <c r="W160" s="133"/>
      <c r="X160" s="133"/>
      <c r="Y160" s="147"/>
      <c r="Z160" s="133"/>
      <c r="AA160" s="133"/>
      <c r="AB160" s="133"/>
      <c r="AC160" s="147"/>
      <c r="AE160" s="133"/>
      <c r="AF160" s="147"/>
      <c r="AH160" s="133"/>
      <c r="AI160" s="147"/>
      <c r="AK160" s="133"/>
      <c r="AL160" s="147"/>
      <c r="AN160" s="133"/>
      <c r="AO160" s="147"/>
      <c r="AQ160" s="133"/>
      <c r="AR160" s="147"/>
    </row>
    <row r="161" spans="3:44" x14ac:dyDescent="0.2">
      <c r="C161" s="146"/>
      <c r="D161" s="146"/>
      <c r="E161" s="146"/>
      <c r="F161" s="146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47"/>
      <c r="R161" s="133"/>
      <c r="S161" s="133"/>
      <c r="T161" s="133"/>
      <c r="U161" s="133"/>
      <c r="V161" s="147"/>
      <c r="W161" s="133"/>
      <c r="X161" s="133"/>
      <c r="Y161" s="147"/>
      <c r="Z161" s="133"/>
      <c r="AA161" s="133"/>
      <c r="AB161" s="133"/>
      <c r="AC161" s="147"/>
      <c r="AE161" s="133"/>
      <c r="AF161" s="147"/>
      <c r="AH161" s="133"/>
      <c r="AI161" s="147"/>
      <c r="AK161" s="133"/>
      <c r="AL161" s="147"/>
      <c r="AN161" s="133"/>
      <c r="AO161" s="147"/>
      <c r="AQ161" s="133"/>
      <c r="AR161" s="147"/>
    </row>
    <row r="162" spans="3:44" x14ac:dyDescent="0.2">
      <c r="C162" s="146"/>
      <c r="D162" s="146"/>
      <c r="E162" s="146"/>
      <c r="F162" s="146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47"/>
      <c r="R162" s="133"/>
      <c r="S162" s="133"/>
      <c r="T162" s="133"/>
      <c r="U162" s="133"/>
      <c r="V162" s="147"/>
      <c r="W162" s="133"/>
      <c r="X162" s="133"/>
      <c r="Y162" s="147"/>
      <c r="Z162" s="133"/>
      <c r="AA162" s="133"/>
      <c r="AB162" s="133"/>
      <c r="AC162" s="147"/>
      <c r="AE162" s="133"/>
      <c r="AF162" s="147"/>
      <c r="AH162" s="133"/>
      <c r="AI162" s="147"/>
      <c r="AK162" s="133"/>
      <c r="AL162" s="147"/>
      <c r="AN162" s="133"/>
      <c r="AO162" s="147"/>
      <c r="AQ162" s="133"/>
      <c r="AR162" s="147"/>
    </row>
    <row r="163" spans="3:44" x14ac:dyDescent="0.2">
      <c r="C163" s="146"/>
      <c r="D163" s="146"/>
      <c r="E163" s="146"/>
      <c r="F163" s="146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47"/>
      <c r="R163" s="133"/>
      <c r="S163" s="133"/>
      <c r="T163" s="133"/>
      <c r="U163" s="133"/>
      <c r="V163" s="147"/>
      <c r="W163" s="133"/>
      <c r="X163" s="133"/>
      <c r="Y163" s="147"/>
      <c r="Z163" s="133"/>
      <c r="AA163" s="133"/>
      <c r="AB163" s="133"/>
      <c r="AC163" s="147"/>
      <c r="AE163" s="133"/>
      <c r="AF163" s="147"/>
      <c r="AH163" s="133"/>
      <c r="AI163" s="147"/>
      <c r="AK163" s="133"/>
      <c r="AL163" s="147"/>
      <c r="AN163" s="133"/>
      <c r="AO163" s="147"/>
      <c r="AQ163" s="133"/>
      <c r="AR163" s="147"/>
    </row>
    <row r="164" spans="3:44" x14ac:dyDescent="0.2">
      <c r="C164" s="146"/>
      <c r="D164" s="146"/>
      <c r="E164" s="146"/>
      <c r="F164" s="146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47"/>
      <c r="R164" s="133"/>
      <c r="S164" s="133"/>
      <c r="T164" s="133"/>
      <c r="U164" s="133"/>
      <c r="V164" s="147"/>
      <c r="W164" s="133"/>
      <c r="X164" s="133"/>
      <c r="Y164" s="147"/>
      <c r="Z164" s="133"/>
      <c r="AA164" s="133"/>
      <c r="AB164" s="133"/>
      <c r="AC164" s="147"/>
      <c r="AE164" s="133"/>
      <c r="AF164" s="147"/>
      <c r="AH164" s="133"/>
      <c r="AI164" s="147"/>
      <c r="AK164" s="133"/>
      <c r="AL164" s="147"/>
      <c r="AN164" s="133"/>
      <c r="AO164" s="147"/>
      <c r="AQ164" s="133"/>
      <c r="AR164" s="147"/>
    </row>
    <row r="165" spans="3:44" x14ac:dyDescent="0.2">
      <c r="C165" s="146"/>
      <c r="D165" s="146"/>
      <c r="E165" s="146"/>
      <c r="F165" s="146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47"/>
      <c r="R165" s="133"/>
      <c r="S165" s="133"/>
      <c r="T165" s="133"/>
      <c r="U165" s="133"/>
      <c r="V165" s="147"/>
      <c r="W165" s="133"/>
      <c r="X165" s="133"/>
      <c r="Y165" s="147"/>
      <c r="Z165" s="133"/>
      <c r="AA165" s="133"/>
      <c r="AB165" s="133"/>
      <c r="AC165" s="147"/>
      <c r="AE165" s="133"/>
      <c r="AF165" s="147"/>
      <c r="AH165" s="133"/>
      <c r="AI165" s="147"/>
      <c r="AK165" s="133"/>
      <c r="AL165" s="147"/>
      <c r="AN165" s="133"/>
      <c r="AO165" s="147"/>
      <c r="AQ165" s="133"/>
      <c r="AR165" s="147"/>
    </row>
    <row r="166" spans="3:44" x14ac:dyDescent="0.2">
      <c r="C166" s="146"/>
      <c r="D166" s="146"/>
      <c r="E166" s="146"/>
      <c r="F166" s="146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47"/>
      <c r="R166" s="133"/>
      <c r="S166" s="133"/>
      <c r="T166" s="133"/>
      <c r="U166" s="133"/>
      <c r="V166" s="147"/>
      <c r="W166" s="133"/>
      <c r="X166" s="133"/>
      <c r="Y166" s="147"/>
      <c r="Z166" s="133"/>
      <c r="AA166" s="133"/>
      <c r="AB166" s="133"/>
      <c r="AC166" s="147"/>
      <c r="AE166" s="133"/>
      <c r="AF166" s="147"/>
      <c r="AH166" s="133"/>
      <c r="AI166" s="147"/>
      <c r="AK166" s="133"/>
      <c r="AL166" s="147"/>
      <c r="AN166" s="133"/>
      <c r="AO166" s="147"/>
      <c r="AQ166" s="133"/>
      <c r="AR166" s="147"/>
    </row>
    <row r="167" spans="3:44" x14ac:dyDescent="0.2">
      <c r="C167" s="146"/>
      <c r="D167" s="146"/>
      <c r="E167" s="146"/>
      <c r="F167" s="146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47"/>
      <c r="R167" s="133"/>
      <c r="S167" s="133"/>
      <c r="T167" s="133"/>
      <c r="U167" s="133"/>
      <c r="V167" s="147"/>
      <c r="W167" s="133"/>
      <c r="X167" s="133"/>
      <c r="Y167" s="147"/>
      <c r="Z167" s="133"/>
      <c r="AA167" s="133"/>
      <c r="AB167" s="133"/>
      <c r="AC167" s="147"/>
      <c r="AE167" s="133"/>
      <c r="AF167" s="147"/>
      <c r="AH167" s="133"/>
      <c r="AI167" s="147"/>
      <c r="AK167" s="133"/>
      <c r="AL167" s="147"/>
      <c r="AN167" s="133"/>
      <c r="AO167" s="147"/>
      <c r="AQ167" s="133"/>
      <c r="AR167" s="147"/>
    </row>
    <row r="168" spans="3:44" x14ac:dyDescent="0.2">
      <c r="C168" s="146"/>
      <c r="D168" s="146"/>
      <c r="E168" s="146"/>
      <c r="F168" s="146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47"/>
      <c r="R168" s="133"/>
      <c r="S168" s="133"/>
      <c r="T168" s="133"/>
      <c r="U168" s="133"/>
      <c r="V168" s="147"/>
      <c r="W168" s="133"/>
      <c r="X168" s="133"/>
      <c r="Y168" s="147"/>
      <c r="Z168" s="133"/>
      <c r="AA168" s="133"/>
      <c r="AB168" s="133"/>
      <c r="AC168" s="147"/>
      <c r="AE168" s="133"/>
      <c r="AF168" s="147"/>
      <c r="AH168" s="133"/>
      <c r="AI168" s="147"/>
      <c r="AK168" s="133"/>
      <c r="AL168" s="147"/>
      <c r="AN168" s="133"/>
      <c r="AO168" s="147"/>
      <c r="AQ168" s="133"/>
      <c r="AR168" s="147"/>
    </row>
    <row r="169" spans="3:44" x14ac:dyDescent="0.2">
      <c r="C169" s="146"/>
      <c r="D169" s="146"/>
      <c r="E169" s="146"/>
      <c r="F169" s="146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47"/>
      <c r="R169" s="133"/>
      <c r="S169" s="133"/>
      <c r="T169" s="133"/>
      <c r="U169" s="133"/>
      <c r="V169" s="147"/>
      <c r="W169" s="133"/>
      <c r="X169" s="133"/>
      <c r="Y169" s="147"/>
      <c r="Z169" s="133"/>
      <c r="AA169" s="133"/>
      <c r="AB169" s="133"/>
      <c r="AC169" s="147"/>
      <c r="AE169" s="133"/>
      <c r="AF169" s="147"/>
      <c r="AH169" s="133"/>
      <c r="AI169" s="147"/>
      <c r="AK169" s="133"/>
      <c r="AL169" s="147"/>
      <c r="AN169" s="133"/>
      <c r="AO169" s="147"/>
      <c r="AQ169" s="133"/>
      <c r="AR169" s="147"/>
    </row>
    <row r="170" spans="3:44" x14ac:dyDescent="0.2">
      <c r="C170" s="146"/>
      <c r="D170" s="146"/>
      <c r="E170" s="146"/>
      <c r="F170" s="146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47"/>
      <c r="R170" s="133"/>
      <c r="S170" s="133"/>
      <c r="T170" s="133"/>
      <c r="U170" s="133"/>
      <c r="V170" s="147"/>
      <c r="W170" s="133"/>
      <c r="X170" s="133"/>
      <c r="Y170" s="147"/>
      <c r="Z170" s="133"/>
      <c r="AA170" s="133"/>
      <c r="AB170" s="133"/>
      <c r="AC170" s="147"/>
      <c r="AE170" s="133"/>
      <c r="AF170" s="147"/>
      <c r="AH170" s="133"/>
      <c r="AI170" s="147"/>
      <c r="AK170" s="133"/>
      <c r="AL170" s="147"/>
      <c r="AN170" s="133"/>
      <c r="AO170" s="147"/>
      <c r="AQ170" s="133"/>
      <c r="AR170" s="147"/>
    </row>
    <row r="171" spans="3:44" x14ac:dyDescent="0.2">
      <c r="C171" s="146"/>
      <c r="D171" s="146"/>
      <c r="E171" s="146"/>
      <c r="F171" s="146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47"/>
      <c r="R171" s="133"/>
      <c r="S171" s="133"/>
      <c r="T171" s="133"/>
      <c r="U171" s="133"/>
      <c r="V171" s="147"/>
      <c r="W171" s="133"/>
      <c r="X171" s="133"/>
      <c r="Y171" s="147"/>
      <c r="Z171" s="133"/>
      <c r="AA171" s="133"/>
      <c r="AB171" s="133"/>
      <c r="AC171" s="147"/>
      <c r="AE171" s="133"/>
      <c r="AF171" s="147"/>
      <c r="AH171" s="133"/>
      <c r="AI171" s="147"/>
      <c r="AK171" s="133"/>
      <c r="AL171" s="147"/>
      <c r="AN171" s="133"/>
      <c r="AO171" s="147"/>
      <c r="AQ171" s="133"/>
      <c r="AR171" s="147"/>
    </row>
    <row r="172" spans="3:44" x14ac:dyDescent="0.2">
      <c r="C172" s="146"/>
      <c r="D172" s="146"/>
      <c r="E172" s="146"/>
      <c r="F172" s="146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47"/>
      <c r="R172" s="133"/>
      <c r="S172" s="133"/>
      <c r="T172" s="133"/>
      <c r="U172" s="133"/>
      <c r="V172" s="147"/>
      <c r="W172" s="133"/>
      <c r="X172" s="133"/>
      <c r="Y172" s="147"/>
      <c r="Z172" s="133"/>
      <c r="AA172" s="133"/>
      <c r="AB172" s="133"/>
      <c r="AC172" s="147"/>
      <c r="AE172" s="133"/>
      <c r="AF172" s="147"/>
      <c r="AH172" s="133"/>
      <c r="AI172" s="147"/>
      <c r="AK172" s="133"/>
      <c r="AL172" s="147"/>
      <c r="AN172" s="133"/>
      <c r="AO172" s="147"/>
      <c r="AQ172" s="133"/>
      <c r="AR172" s="147"/>
    </row>
    <row r="173" spans="3:44" x14ac:dyDescent="0.2">
      <c r="C173" s="146"/>
      <c r="D173" s="146"/>
      <c r="E173" s="146"/>
      <c r="F173" s="146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47"/>
      <c r="R173" s="133"/>
      <c r="S173" s="133"/>
      <c r="T173" s="133"/>
      <c r="U173" s="133"/>
      <c r="V173" s="147"/>
      <c r="W173" s="133"/>
      <c r="X173" s="133"/>
      <c r="Y173" s="147"/>
      <c r="Z173" s="133"/>
      <c r="AA173" s="133"/>
      <c r="AB173" s="133"/>
      <c r="AC173" s="147"/>
      <c r="AE173" s="133"/>
      <c r="AF173" s="147"/>
      <c r="AH173" s="133"/>
      <c r="AI173" s="147"/>
      <c r="AK173" s="133"/>
      <c r="AL173" s="147"/>
      <c r="AN173" s="133"/>
      <c r="AO173" s="147"/>
      <c r="AQ173" s="133"/>
      <c r="AR173" s="147"/>
    </row>
    <row r="174" spans="3:44" x14ac:dyDescent="0.2">
      <c r="C174" s="146"/>
      <c r="D174" s="146"/>
      <c r="E174" s="146"/>
      <c r="F174" s="146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47"/>
      <c r="R174" s="133"/>
      <c r="S174" s="133"/>
      <c r="T174" s="133"/>
      <c r="U174" s="133"/>
      <c r="V174" s="147"/>
      <c r="W174" s="133"/>
      <c r="X174" s="133"/>
      <c r="Y174" s="147"/>
      <c r="Z174" s="133"/>
      <c r="AA174" s="133"/>
      <c r="AB174" s="133"/>
      <c r="AC174" s="147"/>
      <c r="AE174" s="133"/>
      <c r="AF174" s="147"/>
      <c r="AH174" s="133"/>
      <c r="AI174" s="147"/>
      <c r="AK174" s="133"/>
      <c r="AL174" s="147"/>
      <c r="AN174" s="133"/>
      <c r="AO174" s="147"/>
      <c r="AQ174" s="133"/>
      <c r="AR174" s="147"/>
    </row>
    <row r="175" spans="3:44" x14ac:dyDescent="0.2">
      <c r="C175" s="146"/>
      <c r="D175" s="146"/>
      <c r="E175" s="146"/>
      <c r="F175" s="146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47"/>
      <c r="R175" s="133"/>
      <c r="S175" s="133"/>
      <c r="T175" s="133"/>
      <c r="U175" s="133"/>
      <c r="V175" s="147"/>
      <c r="W175" s="133"/>
      <c r="X175" s="133"/>
      <c r="Y175" s="147"/>
      <c r="Z175" s="133"/>
      <c r="AA175" s="133"/>
      <c r="AB175" s="133"/>
      <c r="AC175" s="147"/>
      <c r="AE175" s="133"/>
      <c r="AF175" s="147"/>
      <c r="AH175" s="133"/>
      <c r="AI175" s="147"/>
      <c r="AK175" s="133"/>
      <c r="AL175" s="147"/>
      <c r="AN175" s="133"/>
      <c r="AO175" s="147"/>
      <c r="AQ175" s="133"/>
      <c r="AR175" s="147"/>
    </row>
    <row r="176" spans="3:44" x14ac:dyDescent="0.2">
      <c r="C176" s="146"/>
      <c r="D176" s="146"/>
      <c r="E176" s="146"/>
      <c r="F176" s="146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47"/>
      <c r="R176" s="133"/>
      <c r="S176" s="133"/>
      <c r="T176" s="133"/>
      <c r="U176" s="133"/>
      <c r="V176" s="147"/>
      <c r="W176" s="133"/>
      <c r="X176" s="133"/>
      <c r="Y176" s="147"/>
      <c r="Z176" s="133"/>
      <c r="AA176" s="133"/>
      <c r="AB176" s="133"/>
      <c r="AC176" s="147"/>
      <c r="AE176" s="133"/>
      <c r="AF176" s="147"/>
      <c r="AH176" s="133"/>
      <c r="AI176" s="147"/>
      <c r="AK176" s="133"/>
      <c r="AL176" s="147"/>
      <c r="AN176" s="133"/>
      <c r="AO176" s="147"/>
      <c r="AQ176" s="133"/>
      <c r="AR176" s="147"/>
    </row>
    <row r="177" spans="3:44" x14ac:dyDescent="0.2">
      <c r="C177" s="146"/>
      <c r="D177" s="146"/>
      <c r="E177" s="146"/>
      <c r="F177" s="146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47"/>
      <c r="R177" s="133"/>
      <c r="S177" s="133"/>
      <c r="T177" s="133"/>
      <c r="U177" s="133"/>
      <c r="V177" s="147"/>
      <c r="W177" s="133"/>
      <c r="X177" s="133"/>
      <c r="Y177" s="147"/>
      <c r="Z177" s="133"/>
      <c r="AA177" s="133"/>
      <c r="AB177" s="133"/>
      <c r="AC177" s="147"/>
      <c r="AE177" s="133"/>
      <c r="AF177" s="147"/>
      <c r="AH177" s="133"/>
      <c r="AI177" s="147"/>
      <c r="AK177" s="133"/>
      <c r="AL177" s="147"/>
      <c r="AN177" s="133"/>
      <c r="AO177" s="147"/>
      <c r="AQ177" s="133"/>
      <c r="AR177" s="147"/>
    </row>
    <row r="178" spans="3:44" x14ac:dyDescent="0.2">
      <c r="C178" s="146"/>
      <c r="D178" s="146"/>
      <c r="E178" s="146"/>
      <c r="F178" s="146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47"/>
      <c r="R178" s="133"/>
      <c r="S178" s="133"/>
      <c r="T178" s="133"/>
      <c r="U178" s="133"/>
      <c r="V178" s="147"/>
      <c r="W178" s="133"/>
      <c r="X178" s="133"/>
      <c r="Y178" s="147"/>
      <c r="Z178" s="133"/>
      <c r="AA178" s="133"/>
      <c r="AB178" s="133"/>
      <c r="AC178" s="147"/>
      <c r="AE178" s="133"/>
      <c r="AF178" s="147"/>
      <c r="AH178" s="133"/>
      <c r="AI178" s="147"/>
      <c r="AK178" s="133"/>
      <c r="AL178" s="147"/>
      <c r="AN178" s="133"/>
      <c r="AO178" s="147"/>
      <c r="AQ178" s="133"/>
      <c r="AR178" s="147"/>
    </row>
    <row r="179" spans="3:44" x14ac:dyDescent="0.2">
      <c r="C179" s="146"/>
      <c r="D179" s="146"/>
      <c r="E179" s="146"/>
      <c r="F179" s="146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47"/>
      <c r="R179" s="133"/>
      <c r="S179" s="133"/>
      <c r="T179" s="133"/>
      <c r="U179" s="133"/>
      <c r="V179" s="147"/>
      <c r="W179" s="133"/>
      <c r="X179" s="133"/>
      <c r="Y179" s="147"/>
      <c r="Z179" s="133"/>
      <c r="AA179" s="133"/>
      <c r="AB179" s="133"/>
      <c r="AC179" s="147"/>
      <c r="AE179" s="133"/>
      <c r="AF179" s="147"/>
      <c r="AH179" s="133"/>
      <c r="AI179" s="147"/>
      <c r="AK179" s="133"/>
      <c r="AL179" s="147"/>
      <c r="AN179" s="133"/>
      <c r="AO179" s="147"/>
      <c r="AQ179" s="133"/>
      <c r="AR179" s="147"/>
    </row>
    <row r="180" spans="3:44" x14ac:dyDescent="0.2">
      <c r="C180" s="146"/>
      <c r="D180" s="146"/>
      <c r="E180" s="146"/>
      <c r="F180" s="146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47"/>
      <c r="R180" s="133"/>
      <c r="S180" s="133"/>
      <c r="T180" s="133"/>
      <c r="U180" s="133"/>
      <c r="V180" s="147"/>
      <c r="W180" s="133"/>
      <c r="X180" s="133"/>
      <c r="Y180" s="147"/>
      <c r="Z180" s="133"/>
      <c r="AA180" s="133"/>
      <c r="AB180" s="133"/>
      <c r="AC180" s="147"/>
      <c r="AE180" s="133"/>
      <c r="AF180" s="147"/>
      <c r="AH180" s="133"/>
      <c r="AI180" s="147"/>
      <c r="AK180" s="133"/>
      <c r="AL180" s="147"/>
      <c r="AN180" s="133"/>
      <c r="AO180" s="147"/>
      <c r="AQ180" s="133"/>
      <c r="AR180" s="147"/>
    </row>
    <row r="181" spans="3:44" x14ac:dyDescent="0.2">
      <c r="C181" s="146"/>
      <c r="D181" s="146"/>
      <c r="E181" s="146"/>
      <c r="F181" s="146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47"/>
      <c r="R181" s="133"/>
      <c r="S181" s="133"/>
      <c r="T181" s="133"/>
      <c r="U181" s="133"/>
      <c r="V181" s="147"/>
      <c r="W181" s="133"/>
      <c r="X181" s="133"/>
      <c r="Y181" s="147"/>
      <c r="Z181" s="133"/>
      <c r="AA181" s="133"/>
      <c r="AB181" s="133"/>
      <c r="AC181" s="147"/>
      <c r="AE181" s="133"/>
      <c r="AF181" s="147"/>
      <c r="AH181" s="133"/>
      <c r="AI181" s="147"/>
      <c r="AK181" s="133"/>
      <c r="AL181" s="147"/>
      <c r="AN181" s="133"/>
      <c r="AO181" s="147"/>
      <c r="AQ181" s="133"/>
      <c r="AR181" s="147"/>
    </row>
    <row r="182" spans="3:44" x14ac:dyDescent="0.2">
      <c r="C182" s="146"/>
      <c r="D182" s="146"/>
      <c r="E182" s="146"/>
      <c r="F182" s="146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47"/>
      <c r="R182" s="133"/>
      <c r="S182" s="133"/>
      <c r="T182" s="133"/>
      <c r="U182" s="133"/>
      <c r="V182" s="147"/>
      <c r="W182" s="133"/>
      <c r="X182" s="133"/>
      <c r="Y182" s="147"/>
      <c r="Z182" s="133"/>
      <c r="AA182" s="133"/>
      <c r="AB182" s="133"/>
      <c r="AC182" s="147"/>
      <c r="AE182" s="133"/>
      <c r="AF182" s="147"/>
      <c r="AH182" s="133"/>
      <c r="AI182" s="147"/>
      <c r="AK182" s="133"/>
      <c r="AL182" s="147"/>
      <c r="AN182" s="133"/>
      <c r="AO182" s="147"/>
      <c r="AQ182" s="133"/>
      <c r="AR182" s="147"/>
    </row>
    <row r="183" spans="3:44" x14ac:dyDescent="0.2">
      <c r="C183" s="146"/>
      <c r="D183" s="146"/>
      <c r="E183" s="146"/>
      <c r="F183" s="146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47"/>
      <c r="R183" s="133"/>
      <c r="S183" s="133"/>
      <c r="T183" s="133"/>
      <c r="U183" s="133"/>
      <c r="V183" s="147"/>
      <c r="W183" s="133"/>
      <c r="X183" s="133"/>
      <c r="Y183" s="147"/>
      <c r="Z183" s="133"/>
      <c r="AA183" s="133"/>
      <c r="AB183" s="133"/>
      <c r="AC183" s="147"/>
      <c r="AE183" s="133"/>
      <c r="AF183" s="147"/>
      <c r="AH183" s="133"/>
      <c r="AI183" s="147"/>
      <c r="AK183" s="133"/>
      <c r="AL183" s="147"/>
      <c r="AN183" s="133"/>
      <c r="AO183" s="147"/>
      <c r="AQ183" s="133"/>
      <c r="AR183" s="147"/>
    </row>
    <row r="184" spans="3:44" x14ac:dyDescent="0.2">
      <c r="C184" s="146"/>
      <c r="D184" s="146"/>
      <c r="E184" s="146"/>
      <c r="F184" s="146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47"/>
      <c r="R184" s="133"/>
      <c r="S184" s="133"/>
      <c r="T184" s="133"/>
      <c r="U184" s="133"/>
      <c r="V184" s="147"/>
      <c r="W184" s="133"/>
      <c r="X184" s="133"/>
      <c r="Y184" s="147"/>
      <c r="Z184" s="133"/>
      <c r="AA184" s="133"/>
      <c r="AB184" s="133"/>
      <c r="AC184" s="147"/>
      <c r="AE184" s="133"/>
      <c r="AF184" s="147"/>
      <c r="AH184" s="133"/>
      <c r="AI184" s="147"/>
      <c r="AK184" s="133"/>
      <c r="AL184" s="147"/>
      <c r="AN184" s="133"/>
      <c r="AO184" s="147"/>
      <c r="AQ184" s="133"/>
      <c r="AR184" s="147"/>
    </row>
    <row r="185" spans="3:44" x14ac:dyDescent="0.2">
      <c r="C185" s="146"/>
      <c r="D185" s="146"/>
      <c r="E185" s="146"/>
      <c r="F185" s="146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47"/>
      <c r="R185" s="133"/>
      <c r="S185" s="133"/>
      <c r="T185" s="133"/>
      <c r="U185" s="133"/>
      <c r="V185" s="147"/>
      <c r="W185" s="133"/>
      <c r="X185" s="133"/>
      <c r="Y185" s="147"/>
      <c r="Z185" s="133"/>
      <c r="AA185" s="133"/>
      <c r="AB185" s="133"/>
      <c r="AC185" s="147"/>
      <c r="AE185" s="133"/>
      <c r="AF185" s="147"/>
      <c r="AH185" s="133"/>
      <c r="AI185" s="147"/>
      <c r="AK185" s="133"/>
      <c r="AL185" s="147"/>
      <c r="AN185" s="133"/>
      <c r="AO185" s="147"/>
      <c r="AQ185" s="133"/>
      <c r="AR185" s="147"/>
    </row>
    <row r="186" spans="3:44" x14ac:dyDescent="0.2">
      <c r="C186" s="146"/>
      <c r="D186" s="146"/>
      <c r="E186" s="146"/>
      <c r="F186" s="146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47"/>
      <c r="R186" s="133"/>
      <c r="S186" s="133"/>
      <c r="T186" s="133"/>
      <c r="U186" s="133"/>
      <c r="V186" s="147"/>
      <c r="W186" s="133"/>
      <c r="X186" s="133"/>
      <c r="Y186" s="147"/>
      <c r="Z186" s="133"/>
      <c r="AA186" s="133"/>
      <c r="AB186" s="133"/>
      <c r="AC186" s="147"/>
      <c r="AE186" s="133"/>
      <c r="AF186" s="147"/>
      <c r="AH186" s="133"/>
      <c r="AI186" s="147"/>
      <c r="AK186" s="133"/>
      <c r="AL186" s="147"/>
      <c r="AN186" s="133"/>
      <c r="AO186" s="147"/>
      <c r="AQ186" s="133"/>
      <c r="AR186" s="147"/>
    </row>
    <row r="187" spans="3:44" x14ac:dyDescent="0.2">
      <c r="C187" s="146"/>
      <c r="D187" s="146"/>
      <c r="E187" s="146"/>
      <c r="F187" s="146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47"/>
      <c r="R187" s="133"/>
      <c r="S187" s="133"/>
      <c r="T187" s="133"/>
      <c r="U187" s="133"/>
      <c r="V187" s="147"/>
      <c r="W187" s="133"/>
      <c r="X187" s="133"/>
      <c r="Y187" s="147"/>
      <c r="Z187" s="133"/>
      <c r="AA187" s="133"/>
      <c r="AB187" s="133"/>
      <c r="AC187" s="147"/>
      <c r="AE187" s="133"/>
      <c r="AF187" s="147"/>
      <c r="AH187" s="133"/>
      <c r="AI187" s="147"/>
      <c r="AK187" s="133"/>
      <c r="AL187" s="147"/>
      <c r="AN187" s="133"/>
      <c r="AO187" s="147"/>
      <c r="AQ187" s="133"/>
      <c r="AR187" s="147"/>
    </row>
    <row r="188" spans="3:44" x14ac:dyDescent="0.2">
      <c r="C188" s="146"/>
      <c r="D188" s="146"/>
      <c r="E188" s="146"/>
      <c r="F188" s="146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47"/>
      <c r="R188" s="133"/>
      <c r="S188" s="133"/>
      <c r="T188" s="133"/>
      <c r="U188" s="133"/>
      <c r="V188" s="147"/>
      <c r="W188" s="133"/>
      <c r="X188" s="133"/>
      <c r="Y188" s="147"/>
      <c r="Z188" s="133"/>
      <c r="AA188" s="133"/>
      <c r="AB188" s="133"/>
      <c r="AC188" s="147"/>
      <c r="AE188" s="133"/>
      <c r="AF188" s="147"/>
      <c r="AH188" s="133"/>
      <c r="AI188" s="147"/>
      <c r="AK188" s="133"/>
      <c r="AL188" s="147"/>
      <c r="AN188" s="133"/>
      <c r="AO188" s="147"/>
      <c r="AQ188" s="133"/>
      <c r="AR188" s="147"/>
    </row>
    <row r="189" spans="3:44" x14ac:dyDescent="0.2">
      <c r="C189" s="146"/>
      <c r="D189" s="146"/>
      <c r="E189" s="146"/>
      <c r="F189" s="146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47"/>
      <c r="R189" s="133"/>
      <c r="S189" s="133"/>
      <c r="T189" s="133"/>
      <c r="U189" s="133"/>
      <c r="V189" s="147"/>
      <c r="W189" s="133"/>
      <c r="X189" s="133"/>
      <c r="Y189" s="147"/>
      <c r="Z189" s="133"/>
      <c r="AA189" s="133"/>
      <c r="AB189" s="133"/>
      <c r="AC189" s="147"/>
      <c r="AE189" s="133"/>
      <c r="AF189" s="147"/>
      <c r="AH189" s="133"/>
      <c r="AI189" s="147"/>
      <c r="AK189" s="133"/>
      <c r="AL189" s="147"/>
      <c r="AN189" s="133"/>
      <c r="AO189" s="147"/>
      <c r="AQ189" s="133"/>
      <c r="AR189" s="147"/>
    </row>
    <row r="190" spans="3:44" x14ac:dyDescent="0.2">
      <c r="C190" s="146"/>
      <c r="D190" s="146"/>
      <c r="E190" s="146"/>
      <c r="F190" s="146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47"/>
      <c r="R190" s="133"/>
      <c r="S190" s="133"/>
      <c r="T190" s="133"/>
      <c r="U190" s="133"/>
      <c r="V190" s="147"/>
      <c r="W190" s="133"/>
      <c r="X190" s="133"/>
      <c r="Y190" s="147"/>
      <c r="Z190" s="133"/>
      <c r="AA190" s="133"/>
      <c r="AB190" s="133"/>
      <c r="AC190" s="147"/>
      <c r="AE190" s="133"/>
      <c r="AF190" s="147"/>
      <c r="AH190" s="133"/>
      <c r="AI190" s="147"/>
      <c r="AK190" s="133"/>
      <c r="AL190" s="147"/>
      <c r="AN190" s="133"/>
      <c r="AO190" s="147"/>
      <c r="AQ190" s="133"/>
      <c r="AR190" s="147"/>
    </row>
    <row r="191" spans="3:44" x14ac:dyDescent="0.2">
      <c r="C191" s="146"/>
      <c r="D191" s="146"/>
      <c r="E191" s="146"/>
      <c r="F191" s="146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47"/>
      <c r="R191" s="133"/>
      <c r="S191" s="133"/>
      <c r="T191" s="133"/>
      <c r="U191" s="133"/>
      <c r="V191" s="147"/>
      <c r="W191" s="133"/>
      <c r="X191" s="133"/>
      <c r="Y191" s="147"/>
      <c r="Z191" s="133"/>
      <c r="AA191" s="133"/>
      <c r="AB191" s="133"/>
      <c r="AC191" s="147"/>
      <c r="AE191" s="133"/>
      <c r="AF191" s="147"/>
      <c r="AH191" s="133"/>
      <c r="AI191" s="147"/>
      <c r="AK191" s="133"/>
      <c r="AL191" s="147"/>
      <c r="AN191" s="133"/>
      <c r="AO191" s="147"/>
      <c r="AQ191" s="133"/>
      <c r="AR191" s="147"/>
    </row>
    <row r="192" spans="3:44" x14ac:dyDescent="0.2">
      <c r="C192" s="146"/>
      <c r="D192" s="146"/>
      <c r="E192" s="146"/>
      <c r="F192" s="146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47"/>
      <c r="R192" s="133"/>
      <c r="S192" s="133"/>
      <c r="T192" s="133"/>
      <c r="U192" s="133"/>
      <c r="V192" s="147"/>
      <c r="W192" s="133"/>
      <c r="X192" s="133"/>
      <c r="Y192" s="147"/>
      <c r="Z192" s="133"/>
      <c r="AA192" s="133"/>
      <c r="AB192" s="133"/>
      <c r="AC192" s="147"/>
      <c r="AE192" s="133"/>
      <c r="AF192" s="147"/>
      <c r="AH192" s="133"/>
      <c r="AI192" s="147"/>
      <c r="AK192" s="133"/>
      <c r="AL192" s="147"/>
      <c r="AN192" s="133"/>
      <c r="AO192" s="147"/>
      <c r="AQ192" s="133"/>
      <c r="AR192" s="147"/>
    </row>
    <row r="193" spans="3:44" x14ac:dyDescent="0.2">
      <c r="C193" s="146"/>
      <c r="D193" s="146"/>
      <c r="E193" s="146"/>
      <c r="F193" s="146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47"/>
      <c r="R193" s="133"/>
      <c r="S193" s="133"/>
      <c r="T193" s="133"/>
      <c r="U193" s="133"/>
      <c r="V193" s="147"/>
      <c r="W193" s="133"/>
      <c r="X193" s="133"/>
      <c r="Y193" s="147"/>
      <c r="Z193" s="133"/>
      <c r="AA193" s="133"/>
      <c r="AB193" s="133"/>
      <c r="AC193" s="147"/>
      <c r="AE193" s="133"/>
      <c r="AF193" s="147"/>
      <c r="AH193" s="133"/>
      <c r="AI193" s="147"/>
      <c r="AK193" s="133"/>
      <c r="AL193" s="147"/>
      <c r="AN193" s="133"/>
      <c r="AO193" s="147"/>
      <c r="AQ193" s="133"/>
      <c r="AR193" s="147"/>
    </row>
    <row r="194" spans="3:44" x14ac:dyDescent="0.2">
      <c r="C194" s="146"/>
      <c r="D194" s="146"/>
      <c r="E194" s="146"/>
      <c r="F194" s="146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47"/>
      <c r="R194" s="133"/>
      <c r="S194" s="133"/>
      <c r="T194" s="133"/>
      <c r="U194" s="133"/>
      <c r="V194" s="147"/>
      <c r="W194" s="133"/>
      <c r="X194" s="133"/>
      <c r="Y194" s="147"/>
      <c r="Z194" s="133"/>
      <c r="AA194" s="133"/>
      <c r="AB194" s="133"/>
      <c r="AC194" s="147"/>
      <c r="AE194" s="133"/>
      <c r="AF194" s="147"/>
      <c r="AH194" s="133"/>
      <c r="AI194" s="147"/>
      <c r="AK194" s="133"/>
      <c r="AL194" s="147"/>
      <c r="AN194" s="133"/>
      <c r="AO194" s="147"/>
      <c r="AQ194" s="133"/>
      <c r="AR194" s="147"/>
    </row>
    <row r="195" spans="3:44" x14ac:dyDescent="0.2">
      <c r="C195" s="146"/>
      <c r="D195" s="146"/>
      <c r="E195" s="146"/>
      <c r="F195" s="146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47"/>
      <c r="R195" s="133"/>
      <c r="S195" s="133"/>
      <c r="T195" s="133"/>
      <c r="U195" s="133"/>
      <c r="V195" s="147"/>
      <c r="W195" s="133"/>
      <c r="X195" s="133"/>
      <c r="Y195" s="147"/>
      <c r="Z195" s="133"/>
      <c r="AA195" s="133"/>
      <c r="AB195" s="133"/>
      <c r="AC195" s="147"/>
      <c r="AE195" s="133"/>
      <c r="AF195" s="147"/>
      <c r="AH195" s="133"/>
      <c r="AI195" s="147"/>
      <c r="AK195" s="133"/>
      <c r="AL195" s="147"/>
      <c r="AN195" s="133"/>
      <c r="AO195" s="147"/>
      <c r="AQ195" s="133"/>
      <c r="AR195" s="147"/>
    </row>
    <row r="196" spans="3:44" x14ac:dyDescent="0.2">
      <c r="C196" s="146"/>
      <c r="D196" s="146"/>
      <c r="E196" s="146"/>
      <c r="F196" s="146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47"/>
      <c r="R196" s="133"/>
      <c r="S196" s="133"/>
      <c r="T196" s="133"/>
      <c r="U196" s="133"/>
      <c r="V196" s="147"/>
      <c r="W196" s="133"/>
      <c r="X196" s="133"/>
      <c r="Y196" s="147"/>
      <c r="Z196" s="133"/>
      <c r="AA196" s="133"/>
      <c r="AB196" s="133"/>
      <c r="AC196" s="147"/>
      <c r="AE196" s="133"/>
      <c r="AF196" s="147"/>
      <c r="AH196" s="133"/>
      <c r="AI196" s="147"/>
      <c r="AK196" s="133"/>
      <c r="AL196" s="147"/>
      <c r="AN196" s="133"/>
      <c r="AO196" s="147"/>
      <c r="AQ196" s="133"/>
      <c r="AR196" s="147"/>
    </row>
    <row r="197" spans="3:44" x14ac:dyDescent="0.2">
      <c r="C197" s="146"/>
      <c r="D197" s="146"/>
      <c r="E197" s="146"/>
      <c r="F197" s="146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47"/>
      <c r="R197" s="133"/>
      <c r="S197" s="133"/>
      <c r="T197" s="133"/>
      <c r="U197" s="133"/>
      <c r="V197" s="147"/>
      <c r="W197" s="133"/>
      <c r="X197" s="133"/>
      <c r="Y197" s="147"/>
      <c r="Z197" s="133"/>
      <c r="AA197" s="133"/>
      <c r="AB197" s="133"/>
      <c r="AC197" s="147"/>
      <c r="AE197" s="133"/>
      <c r="AF197" s="147"/>
      <c r="AH197" s="133"/>
      <c r="AI197" s="147"/>
      <c r="AK197" s="133"/>
      <c r="AL197" s="147"/>
      <c r="AN197" s="133"/>
      <c r="AO197" s="147"/>
      <c r="AQ197" s="133"/>
      <c r="AR197" s="147"/>
    </row>
    <row r="198" spans="3:44" x14ac:dyDescent="0.2">
      <c r="C198" s="146"/>
      <c r="D198" s="146"/>
      <c r="E198" s="146"/>
      <c r="F198" s="146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47"/>
      <c r="R198" s="133"/>
      <c r="S198" s="133"/>
      <c r="T198" s="133"/>
      <c r="U198" s="133"/>
      <c r="V198" s="147"/>
      <c r="W198" s="133"/>
      <c r="X198" s="133"/>
      <c r="Y198" s="147"/>
      <c r="Z198" s="133"/>
      <c r="AA198" s="133"/>
      <c r="AB198" s="133"/>
      <c r="AC198" s="147"/>
      <c r="AE198" s="133"/>
      <c r="AF198" s="147"/>
      <c r="AH198" s="133"/>
      <c r="AI198" s="147"/>
      <c r="AK198" s="133"/>
      <c r="AL198" s="147"/>
      <c r="AN198" s="133"/>
      <c r="AO198" s="147"/>
      <c r="AQ198" s="133"/>
      <c r="AR198" s="147"/>
    </row>
    <row r="199" spans="3:44" x14ac:dyDescent="0.2">
      <c r="C199" s="146"/>
      <c r="D199" s="146"/>
      <c r="E199" s="146"/>
      <c r="F199" s="146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47"/>
      <c r="R199" s="133"/>
      <c r="S199" s="133"/>
      <c r="T199" s="133"/>
      <c r="U199" s="133"/>
      <c r="V199" s="147"/>
      <c r="W199" s="133"/>
      <c r="X199" s="133"/>
      <c r="Y199" s="147"/>
      <c r="Z199" s="133"/>
      <c r="AA199" s="133"/>
      <c r="AB199" s="133"/>
      <c r="AC199" s="147"/>
      <c r="AE199" s="133"/>
      <c r="AF199" s="147"/>
      <c r="AH199" s="133"/>
      <c r="AI199" s="147"/>
      <c r="AK199" s="133"/>
      <c r="AL199" s="147"/>
      <c r="AN199" s="133"/>
      <c r="AO199" s="147"/>
      <c r="AQ199" s="133"/>
      <c r="AR199" s="147"/>
    </row>
    <row r="200" spans="3:44" x14ac:dyDescent="0.2">
      <c r="C200" s="146"/>
      <c r="D200" s="146"/>
      <c r="E200" s="146"/>
      <c r="F200" s="146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47"/>
      <c r="R200" s="133"/>
      <c r="S200" s="133"/>
      <c r="T200" s="133"/>
      <c r="U200" s="133"/>
      <c r="V200" s="147"/>
      <c r="W200" s="133"/>
      <c r="X200" s="133"/>
      <c r="Y200" s="147"/>
      <c r="Z200" s="133"/>
      <c r="AA200" s="133"/>
      <c r="AB200" s="133"/>
      <c r="AC200" s="147"/>
      <c r="AE200" s="133"/>
      <c r="AF200" s="147"/>
      <c r="AH200" s="133"/>
      <c r="AI200" s="147"/>
      <c r="AK200" s="133"/>
      <c r="AL200" s="147"/>
      <c r="AN200" s="133"/>
      <c r="AO200" s="147"/>
      <c r="AQ200" s="133"/>
      <c r="AR200" s="147"/>
    </row>
    <row r="201" spans="3:44" x14ac:dyDescent="0.2">
      <c r="C201" s="146"/>
      <c r="D201" s="146"/>
      <c r="E201" s="146"/>
      <c r="F201" s="146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47"/>
      <c r="R201" s="133"/>
      <c r="S201" s="133"/>
      <c r="T201" s="133"/>
      <c r="U201" s="133"/>
      <c r="V201" s="147"/>
      <c r="W201" s="133"/>
      <c r="X201" s="133"/>
      <c r="Y201" s="147"/>
      <c r="Z201" s="133"/>
      <c r="AA201" s="133"/>
      <c r="AB201" s="133"/>
      <c r="AC201" s="147"/>
      <c r="AE201" s="133"/>
      <c r="AF201" s="147"/>
      <c r="AH201" s="133"/>
      <c r="AI201" s="147"/>
      <c r="AK201" s="133"/>
      <c r="AL201" s="147"/>
      <c r="AN201" s="133"/>
      <c r="AO201" s="147"/>
      <c r="AQ201" s="133"/>
      <c r="AR201" s="147"/>
    </row>
    <row r="202" spans="3:44" x14ac:dyDescent="0.2">
      <c r="C202" s="146"/>
      <c r="D202" s="146"/>
      <c r="E202" s="146"/>
      <c r="F202" s="146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47"/>
      <c r="R202" s="133"/>
      <c r="S202" s="133"/>
      <c r="T202" s="133"/>
      <c r="U202" s="133"/>
      <c r="V202" s="147"/>
      <c r="W202" s="133"/>
      <c r="X202" s="133"/>
      <c r="Y202" s="147"/>
      <c r="Z202" s="133"/>
      <c r="AA202" s="133"/>
      <c r="AB202" s="133"/>
      <c r="AC202" s="147"/>
      <c r="AE202" s="133"/>
      <c r="AF202" s="147"/>
      <c r="AH202" s="133"/>
      <c r="AI202" s="147"/>
      <c r="AK202" s="133"/>
      <c r="AL202" s="147"/>
      <c r="AN202" s="133"/>
      <c r="AO202" s="147"/>
      <c r="AQ202" s="133"/>
      <c r="AR202" s="147"/>
    </row>
    <row r="203" spans="3:44" x14ac:dyDescent="0.2">
      <c r="C203" s="146"/>
      <c r="D203" s="146"/>
      <c r="E203" s="146"/>
      <c r="F203" s="146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47"/>
      <c r="R203" s="133"/>
      <c r="S203" s="133"/>
      <c r="T203" s="133"/>
      <c r="U203" s="133"/>
      <c r="V203" s="147"/>
      <c r="W203" s="133"/>
      <c r="X203" s="133"/>
      <c r="Y203" s="147"/>
      <c r="Z203" s="133"/>
      <c r="AA203" s="133"/>
      <c r="AB203" s="133"/>
      <c r="AC203" s="147"/>
      <c r="AE203" s="133"/>
      <c r="AF203" s="147"/>
      <c r="AH203" s="133"/>
      <c r="AI203" s="147"/>
      <c r="AK203" s="133"/>
      <c r="AL203" s="147"/>
      <c r="AN203" s="133"/>
      <c r="AO203" s="147"/>
      <c r="AQ203" s="133"/>
      <c r="AR203" s="147"/>
    </row>
    <row r="204" spans="3:44" x14ac:dyDescent="0.2">
      <c r="C204" s="146"/>
      <c r="D204" s="146"/>
      <c r="E204" s="146"/>
      <c r="F204" s="146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47"/>
      <c r="R204" s="133"/>
      <c r="S204" s="133"/>
      <c r="T204" s="133"/>
      <c r="U204" s="133"/>
      <c r="V204" s="147"/>
      <c r="W204" s="133"/>
      <c r="X204" s="133"/>
      <c r="Y204" s="147"/>
      <c r="Z204" s="133"/>
      <c r="AA204" s="133"/>
      <c r="AB204" s="133"/>
      <c r="AC204" s="147"/>
      <c r="AE204" s="133"/>
      <c r="AF204" s="147"/>
      <c r="AH204" s="133"/>
      <c r="AI204" s="147"/>
      <c r="AK204" s="133"/>
      <c r="AL204" s="147"/>
      <c r="AN204" s="133"/>
      <c r="AO204" s="147"/>
      <c r="AQ204" s="133"/>
      <c r="AR204" s="147"/>
    </row>
    <row r="205" spans="3:44" x14ac:dyDescent="0.2">
      <c r="C205" s="146"/>
      <c r="D205" s="146"/>
      <c r="E205" s="146"/>
      <c r="F205" s="146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47"/>
      <c r="R205" s="133"/>
      <c r="S205" s="133"/>
      <c r="T205" s="133"/>
      <c r="U205" s="133"/>
      <c r="V205" s="147"/>
      <c r="W205" s="133"/>
      <c r="X205" s="133"/>
      <c r="Y205" s="147"/>
      <c r="Z205" s="133"/>
      <c r="AA205" s="133"/>
      <c r="AB205" s="133"/>
      <c r="AC205" s="147"/>
      <c r="AE205" s="133"/>
      <c r="AF205" s="147"/>
      <c r="AH205" s="133"/>
      <c r="AI205" s="147"/>
      <c r="AK205" s="133"/>
      <c r="AL205" s="147"/>
      <c r="AN205" s="133"/>
      <c r="AO205" s="147"/>
      <c r="AQ205" s="133"/>
      <c r="AR205" s="147"/>
    </row>
    <row r="206" spans="3:44" x14ac:dyDescent="0.2">
      <c r="C206" s="146"/>
      <c r="D206" s="146"/>
      <c r="E206" s="146"/>
      <c r="F206" s="146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47"/>
      <c r="R206" s="133"/>
      <c r="S206" s="133"/>
      <c r="T206" s="133"/>
      <c r="U206" s="133"/>
      <c r="V206" s="147"/>
      <c r="W206" s="133"/>
      <c r="X206" s="133"/>
      <c r="Y206" s="147"/>
      <c r="Z206" s="133"/>
      <c r="AA206" s="133"/>
      <c r="AB206" s="133"/>
      <c r="AC206" s="147"/>
      <c r="AE206" s="133"/>
      <c r="AF206" s="147"/>
      <c r="AH206" s="133"/>
      <c r="AI206" s="147"/>
      <c r="AK206" s="133"/>
      <c r="AL206" s="147"/>
      <c r="AN206" s="133"/>
      <c r="AO206" s="147"/>
      <c r="AQ206" s="133"/>
      <c r="AR206" s="147"/>
    </row>
    <row r="207" spans="3:44" x14ac:dyDescent="0.2">
      <c r="C207" s="146"/>
      <c r="D207" s="146"/>
      <c r="E207" s="146"/>
      <c r="F207" s="146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47"/>
      <c r="R207" s="133"/>
      <c r="S207" s="133"/>
      <c r="T207" s="133"/>
      <c r="U207" s="133"/>
      <c r="V207" s="147"/>
      <c r="W207" s="133"/>
      <c r="X207" s="133"/>
      <c r="Y207" s="147"/>
      <c r="Z207" s="133"/>
      <c r="AA207" s="133"/>
      <c r="AB207" s="133"/>
      <c r="AC207" s="147"/>
      <c r="AE207" s="133"/>
      <c r="AF207" s="147"/>
      <c r="AH207" s="133"/>
      <c r="AI207" s="147"/>
      <c r="AK207" s="133"/>
      <c r="AL207" s="147"/>
      <c r="AN207" s="133"/>
      <c r="AO207" s="147"/>
      <c r="AQ207" s="133"/>
      <c r="AR207" s="147"/>
    </row>
    <row r="208" spans="3:44" x14ac:dyDescent="0.2">
      <c r="C208" s="146"/>
      <c r="D208" s="146"/>
      <c r="E208" s="146"/>
      <c r="F208" s="146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47"/>
      <c r="R208" s="133"/>
      <c r="S208" s="133"/>
      <c r="T208" s="133"/>
      <c r="U208" s="133"/>
      <c r="V208" s="147"/>
      <c r="W208" s="133"/>
      <c r="X208" s="133"/>
      <c r="Y208" s="147"/>
      <c r="Z208" s="133"/>
      <c r="AA208" s="133"/>
      <c r="AB208" s="133"/>
      <c r="AC208" s="147"/>
      <c r="AE208" s="133"/>
      <c r="AF208" s="147"/>
      <c r="AH208" s="133"/>
      <c r="AI208" s="147"/>
      <c r="AK208" s="133"/>
      <c r="AL208" s="147"/>
      <c r="AN208" s="133"/>
      <c r="AO208" s="147"/>
      <c r="AQ208" s="133"/>
      <c r="AR208" s="147"/>
    </row>
    <row r="209" spans="3:44" x14ac:dyDescent="0.2">
      <c r="C209" s="146"/>
      <c r="D209" s="146"/>
      <c r="E209" s="146"/>
      <c r="F209" s="146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47"/>
      <c r="R209" s="133"/>
      <c r="S209" s="133"/>
      <c r="T209" s="133"/>
      <c r="U209" s="133"/>
      <c r="V209" s="147"/>
      <c r="W209" s="133"/>
      <c r="X209" s="133"/>
      <c r="Y209" s="147"/>
      <c r="Z209" s="133"/>
      <c r="AA209" s="133"/>
      <c r="AB209" s="133"/>
      <c r="AC209" s="147"/>
      <c r="AE209" s="133"/>
      <c r="AF209" s="147"/>
      <c r="AH209" s="133"/>
      <c r="AI209" s="147"/>
      <c r="AK209" s="133"/>
      <c r="AL209" s="147"/>
      <c r="AN209" s="133"/>
      <c r="AO209" s="147"/>
      <c r="AQ209" s="133"/>
      <c r="AR209" s="147"/>
    </row>
    <row r="210" spans="3:44" x14ac:dyDescent="0.2">
      <c r="C210" s="146"/>
      <c r="D210" s="146"/>
      <c r="E210" s="146"/>
      <c r="F210" s="146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47"/>
      <c r="R210" s="133"/>
      <c r="S210" s="133"/>
      <c r="T210" s="133"/>
      <c r="U210" s="133"/>
      <c r="V210" s="147"/>
      <c r="W210" s="133"/>
      <c r="X210" s="133"/>
      <c r="Y210" s="147"/>
      <c r="Z210" s="133"/>
      <c r="AA210" s="133"/>
      <c r="AB210" s="133"/>
      <c r="AC210" s="147"/>
      <c r="AE210" s="133"/>
      <c r="AF210" s="147"/>
      <c r="AH210" s="133"/>
      <c r="AI210" s="147"/>
      <c r="AK210" s="133"/>
      <c r="AL210" s="147"/>
      <c r="AN210" s="133"/>
      <c r="AO210" s="147"/>
      <c r="AQ210" s="133"/>
      <c r="AR210" s="147"/>
    </row>
    <row r="211" spans="3:44" x14ac:dyDescent="0.2">
      <c r="C211" s="146"/>
      <c r="D211" s="146"/>
      <c r="E211" s="146"/>
      <c r="F211" s="146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47"/>
      <c r="R211" s="133"/>
      <c r="S211" s="133"/>
      <c r="T211" s="133"/>
      <c r="U211" s="133"/>
      <c r="V211" s="147"/>
      <c r="W211" s="133"/>
      <c r="X211" s="133"/>
      <c r="Y211" s="147"/>
      <c r="Z211" s="133"/>
      <c r="AA211" s="133"/>
      <c r="AB211" s="133"/>
      <c r="AC211" s="147"/>
      <c r="AE211" s="133"/>
      <c r="AF211" s="147"/>
      <c r="AH211" s="133"/>
      <c r="AI211" s="147"/>
      <c r="AK211" s="133"/>
      <c r="AL211" s="147"/>
      <c r="AN211" s="133"/>
      <c r="AO211" s="147"/>
      <c r="AQ211" s="133"/>
      <c r="AR211" s="147"/>
    </row>
    <row r="212" spans="3:44" x14ac:dyDescent="0.2">
      <c r="C212" s="146"/>
      <c r="D212" s="146"/>
      <c r="E212" s="146"/>
      <c r="F212" s="146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47"/>
      <c r="R212" s="133"/>
      <c r="S212" s="133"/>
      <c r="T212" s="133"/>
      <c r="U212" s="133"/>
      <c r="V212" s="147"/>
      <c r="W212" s="133"/>
      <c r="X212" s="133"/>
      <c r="Y212" s="147"/>
      <c r="Z212" s="133"/>
      <c r="AA212" s="133"/>
      <c r="AB212" s="133"/>
      <c r="AC212" s="147"/>
      <c r="AE212" s="133"/>
      <c r="AF212" s="147"/>
      <c r="AH212" s="133"/>
      <c r="AI212" s="147"/>
      <c r="AK212" s="133"/>
      <c r="AL212" s="147"/>
      <c r="AN212" s="133"/>
      <c r="AO212" s="147"/>
      <c r="AQ212" s="133"/>
      <c r="AR212" s="147"/>
    </row>
    <row r="213" spans="3:44" x14ac:dyDescent="0.2">
      <c r="C213" s="146"/>
      <c r="D213" s="146"/>
      <c r="E213" s="146"/>
      <c r="F213" s="146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47"/>
      <c r="R213" s="133"/>
      <c r="S213" s="133"/>
      <c r="T213" s="133"/>
      <c r="U213" s="133"/>
      <c r="V213" s="147"/>
      <c r="W213" s="133"/>
      <c r="X213" s="133"/>
      <c r="Y213" s="147"/>
      <c r="Z213" s="133"/>
      <c r="AA213" s="133"/>
      <c r="AB213" s="133"/>
      <c r="AC213" s="147"/>
      <c r="AE213" s="133"/>
      <c r="AF213" s="147"/>
      <c r="AH213" s="133"/>
      <c r="AI213" s="147"/>
      <c r="AK213" s="133"/>
      <c r="AL213" s="147"/>
      <c r="AN213" s="133"/>
      <c r="AO213" s="147"/>
      <c r="AQ213" s="133"/>
      <c r="AR213" s="147"/>
    </row>
    <row r="214" spans="3:44" x14ac:dyDescent="0.2">
      <c r="C214" s="146"/>
      <c r="D214" s="146"/>
      <c r="E214" s="146"/>
      <c r="F214" s="146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47"/>
      <c r="R214" s="133"/>
      <c r="S214" s="133"/>
      <c r="T214" s="133"/>
      <c r="U214" s="133"/>
      <c r="V214" s="147"/>
      <c r="W214" s="133"/>
      <c r="X214" s="133"/>
      <c r="Y214" s="147"/>
      <c r="Z214" s="133"/>
      <c r="AA214" s="133"/>
      <c r="AB214" s="133"/>
      <c r="AC214" s="147"/>
      <c r="AE214" s="133"/>
      <c r="AF214" s="147"/>
      <c r="AH214" s="133"/>
      <c r="AI214" s="147"/>
      <c r="AK214" s="133"/>
      <c r="AL214" s="147"/>
      <c r="AN214" s="133"/>
      <c r="AO214" s="147"/>
      <c r="AQ214" s="133"/>
      <c r="AR214" s="147"/>
    </row>
    <row r="215" spans="3:44" x14ac:dyDescent="0.2">
      <c r="C215" s="146"/>
      <c r="D215" s="146"/>
      <c r="E215" s="146"/>
      <c r="F215" s="146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47"/>
      <c r="R215" s="133"/>
      <c r="S215" s="133"/>
      <c r="T215" s="133"/>
      <c r="U215" s="133"/>
      <c r="V215" s="147"/>
      <c r="W215" s="133"/>
      <c r="X215" s="133"/>
      <c r="Y215" s="147"/>
      <c r="Z215" s="133"/>
      <c r="AA215" s="133"/>
      <c r="AB215" s="133"/>
      <c r="AC215" s="147"/>
      <c r="AE215" s="133"/>
      <c r="AF215" s="147"/>
      <c r="AH215" s="133"/>
      <c r="AI215" s="147"/>
      <c r="AK215" s="133"/>
      <c r="AL215" s="147"/>
      <c r="AN215" s="133"/>
      <c r="AO215" s="147"/>
      <c r="AQ215" s="133"/>
      <c r="AR215" s="147"/>
    </row>
    <row r="216" spans="3:44" x14ac:dyDescent="0.2">
      <c r="C216" s="146"/>
      <c r="D216" s="146"/>
      <c r="E216" s="146"/>
      <c r="F216" s="146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47"/>
      <c r="R216" s="133"/>
      <c r="S216" s="133"/>
      <c r="T216" s="133"/>
      <c r="U216" s="133"/>
      <c r="V216" s="147"/>
      <c r="W216" s="133"/>
      <c r="X216" s="133"/>
      <c r="Y216" s="147"/>
      <c r="Z216" s="133"/>
      <c r="AA216" s="133"/>
      <c r="AB216" s="133"/>
      <c r="AC216" s="147"/>
      <c r="AE216" s="133"/>
      <c r="AF216" s="147"/>
      <c r="AH216" s="133"/>
      <c r="AI216" s="147"/>
      <c r="AK216" s="133"/>
      <c r="AL216" s="147"/>
      <c r="AN216" s="133"/>
      <c r="AO216" s="147"/>
      <c r="AQ216" s="133"/>
      <c r="AR216" s="147"/>
    </row>
    <row r="217" spans="3:44" x14ac:dyDescent="0.2">
      <c r="C217" s="146"/>
      <c r="D217" s="146"/>
      <c r="E217" s="146"/>
      <c r="F217" s="146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47"/>
      <c r="R217" s="133"/>
      <c r="S217" s="133"/>
      <c r="T217" s="133"/>
      <c r="U217" s="133"/>
      <c r="V217" s="147"/>
      <c r="W217" s="133"/>
      <c r="X217" s="133"/>
      <c r="Y217" s="147"/>
      <c r="Z217" s="133"/>
      <c r="AA217" s="133"/>
      <c r="AB217" s="133"/>
      <c r="AC217" s="147"/>
      <c r="AE217" s="133"/>
      <c r="AF217" s="147"/>
      <c r="AH217" s="133"/>
      <c r="AI217" s="147"/>
      <c r="AK217" s="133"/>
      <c r="AL217" s="147"/>
      <c r="AN217" s="133"/>
      <c r="AO217" s="147"/>
      <c r="AQ217" s="133"/>
      <c r="AR217" s="147"/>
    </row>
    <row r="218" spans="3:44" x14ac:dyDescent="0.2">
      <c r="C218" s="146"/>
      <c r="D218" s="146"/>
      <c r="E218" s="146"/>
      <c r="F218" s="146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47"/>
      <c r="R218" s="133"/>
      <c r="S218" s="133"/>
      <c r="T218" s="133"/>
      <c r="U218" s="133"/>
      <c r="V218" s="147"/>
      <c r="W218" s="133"/>
      <c r="X218" s="133"/>
      <c r="Y218" s="147"/>
      <c r="Z218" s="133"/>
      <c r="AA218" s="133"/>
      <c r="AB218" s="133"/>
      <c r="AC218" s="147"/>
      <c r="AE218" s="133"/>
      <c r="AF218" s="147"/>
      <c r="AH218" s="133"/>
      <c r="AI218" s="147"/>
      <c r="AK218" s="133"/>
      <c r="AL218" s="147"/>
      <c r="AN218" s="133"/>
      <c r="AO218" s="147"/>
      <c r="AQ218" s="133"/>
      <c r="AR218" s="147"/>
    </row>
    <row r="219" spans="3:44" x14ac:dyDescent="0.2">
      <c r="C219" s="146"/>
      <c r="D219" s="146"/>
      <c r="E219" s="146"/>
      <c r="F219" s="146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47"/>
      <c r="R219" s="133"/>
      <c r="S219" s="133"/>
      <c r="T219" s="133"/>
      <c r="U219" s="133"/>
      <c r="V219" s="147"/>
      <c r="W219" s="133"/>
      <c r="X219" s="133"/>
      <c r="Y219" s="147"/>
      <c r="Z219" s="133"/>
      <c r="AA219" s="133"/>
      <c r="AB219" s="133"/>
      <c r="AC219" s="147"/>
      <c r="AE219" s="133"/>
      <c r="AF219" s="147"/>
      <c r="AH219" s="133"/>
      <c r="AI219" s="147"/>
      <c r="AK219" s="133"/>
      <c r="AL219" s="147"/>
      <c r="AN219" s="133"/>
      <c r="AO219" s="147"/>
      <c r="AQ219" s="133"/>
      <c r="AR219" s="147"/>
    </row>
    <row r="220" spans="3:44" x14ac:dyDescent="0.2">
      <c r="C220" s="146"/>
      <c r="D220" s="146"/>
      <c r="E220" s="146"/>
      <c r="F220" s="146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47"/>
      <c r="R220" s="133"/>
      <c r="S220" s="133"/>
      <c r="T220" s="133"/>
      <c r="U220" s="133"/>
      <c r="V220" s="147"/>
      <c r="W220" s="133"/>
      <c r="X220" s="133"/>
      <c r="Y220" s="147"/>
      <c r="Z220" s="133"/>
      <c r="AA220" s="133"/>
      <c r="AB220" s="133"/>
      <c r="AC220" s="147"/>
      <c r="AE220" s="133"/>
      <c r="AF220" s="147"/>
      <c r="AH220" s="133"/>
      <c r="AI220" s="147"/>
      <c r="AK220" s="133"/>
      <c r="AL220" s="147"/>
      <c r="AN220" s="133"/>
      <c r="AO220" s="147"/>
      <c r="AQ220" s="133"/>
      <c r="AR220" s="147"/>
    </row>
    <row r="221" spans="3:44" x14ac:dyDescent="0.2">
      <c r="C221" s="146"/>
      <c r="D221" s="146"/>
      <c r="E221" s="146"/>
      <c r="F221" s="146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47"/>
      <c r="R221" s="133"/>
      <c r="S221" s="133"/>
      <c r="T221" s="133"/>
      <c r="U221" s="133"/>
      <c r="V221" s="147"/>
      <c r="W221" s="133"/>
      <c r="X221" s="133"/>
      <c r="Y221" s="147"/>
      <c r="Z221" s="133"/>
      <c r="AA221" s="133"/>
      <c r="AB221" s="133"/>
      <c r="AC221" s="147"/>
      <c r="AE221" s="133"/>
      <c r="AF221" s="147"/>
      <c r="AH221" s="133"/>
      <c r="AI221" s="147"/>
      <c r="AK221" s="133"/>
      <c r="AL221" s="147"/>
      <c r="AN221" s="133"/>
      <c r="AO221" s="147"/>
      <c r="AQ221" s="133"/>
      <c r="AR221" s="147"/>
    </row>
    <row r="222" spans="3:44" x14ac:dyDescent="0.2">
      <c r="C222" s="146"/>
      <c r="D222" s="146"/>
      <c r="E222" s="146"/>
      <c r="F222" s="146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47"/>
      <c r="R222" s="133"/>
      <c r="S222" s="133"/>
      <c r="T222" s="133"/>
      <c r="U222" s="133"/>
      <c r="V222" s="147"/>
      <c r="W222" s="133"/>
      <c r="X222" s="133"/>
      <c r="Y222" s="147"/>
      <c r="Z222" s="133"/>
      <c r="AA222" s="133"/>
      <c r="AB222" s="133"/>
      <c r="AC222" s="147"/>
      <c r="AE222" s="133"/>
      <c r="AF222" s="147"/>
      <c r="AH222" s="133"/>
      <c r="AI222" s="147"/>
      <c r="AK222" s="133"/>
      <c r="AL222" s="147"/>
      <c r="AN222" s="133"/>
      <c r="AO222" s="147"/>
      <c r="AQ222" s="133"/>
      <c r="AR222" s="147"/>
    </row>
    <row r="223" spans="3:44" x14ac:dyDescent="0.2">
      <c r="C223" s="146"/>
      <c r="D223" s="146"/>
      <c r="E223" s="146"/>
      <c r="F223" s="146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47"/>
      <c r="R223" s="133"/>
      <c r="S223" s="133"/>
      <c r="T223" s="133"/>
      <c r="U223" s="133"/>
      <c r="V223" s="147"/>
      <c r="W223" s="133"/>
      <c r="X223" s="133"/>
      <c r="Y223" s="147"/>
      <c r="Z223" s="133"/>
      <c r="AA223" s="133"/>
      <c r="AB223" s="133"/>
      <c r="AC223" s="147"/>
      <c r="AE223" s="133"/>
      <c r="AF223" s="147"/>
      <c r="AH223" s="133"/>
      <c r="AI223" s="147"/>
      <c r="AK223" s="133"/>
      <c r="AL223" s="147"/>
      <c r="AN223" s="133"/>
      <c r="AO223" s="147"/>
      <c r="AQ223" s="133"/>
      <c r="AR223" s="147"/>
    </row>
    <row r="224" spans="3:44" x14ac:dyDescent="0.2">
      <c r="C224" s="146"/>
      <c r="D224" s="146"/>
      <c r="E224" s="146"/>
      <c r="F224" s="146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47"/>
      <c r="R224" s="133"/>
      <c r="S224" s="133"/>
      <c r="T224" s="133"/>
      <c r="U224" s="133"/>
      <c r="V224" s="147"/>
      <c r="W224" s="133"/>
      <c r="X224" s="133"/>
      <c r="Y224" s="147"/>
      <c r="Z224" s="133"/>
      <c r="AA224" s="133"/>
      <c r="AB224" s="133"/>
      <c r="AC224" s="147"/>
      <c r="AE224" s="133"/>
      <c r="AF224" s="147"/>
      <c r="AH224" s="133"/>
      <c r="AI224" s="147"/>
      <c r="AK224" s="133"/>
      <c r="AL224" s="147"/>
      <c r="AN224" s="133"/>
      <c r="AO224" s="147"/>
      <c r="AQ224" s="133"/>
      <c r="AR224" s="147"/>
    </row>
    <row r="225" spans="3:44" x14ac:dyDescent="0.2">
      <c r="C225" s="146"/>
      <c r="D225" s="146"/>
      <c r="E225" s="146"/>
      <c r="F225" s="146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47"/>
      <c r="R225" s="133"/>
      <c r="S225" s="133"/>
      <c r="T225" s="133"/>
      <c r="U225" s="133"/>
      <c r="V225" s="147"/>
      <c r="W225" s="133"/>
      <c r="X225" s="133"/>
      <c r="Y225" s="147"/>
      <c r="Z225" s="133"/>
      <c r="AA225" s="133"/>
      <c r="AB225" s="133"/>
      <c r="AC225" s="147"/>
      <c r="AE225" s="133"/>
      <c r="AF225" s="147"/>
      <c r="AH225" s="133"/>
      <c r="AI225" s="147"/>
      <c r="AK225" s="133"/>
      <c r="AL225" s="147"/>
      <c r="AN225" s="133"/>
      <c r="AO225" s="147"/>
      <c r="AQ225" s="133"/>
      <c r="AR225" s="147"/>
    </row>
    <row r="226" spans="3:44" x14ac:dyDescent="0.2">
      <c r="C226" s="146"/>
      <c r="D226" s="146"/>
      <c r="E226" s="146"/>
      <c r="F226" s="146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47"/>
      <c r="R226" s="133"/>
      <c r="S226" s="133"/>
      <c r="T226" s="133"/>
      <c r="U226" s="133"/>
      <c r="V226" s="147"/>
      <c r="W226" s="133"/>
      <c r="X226" s="133"/>
      <c r="Y226" s="147"/>
      <c r="Z226" s="133"/>
      <c r="AA226" s="133"/>
      <c r="AB226" s="133"/>
      <c r="AC226" s="147"/>
      <c r="AE226" s="133"/>
      <c r="AF226" s="147"/>
      <c r="AH226" s="133"/>
      <c r="AI226" s="147"/>
      <c r="AK226" s="133"/>
      <c r="AL226" s="147"/>
      <c r="AN226" s="133"/>
      <c r="AO226" s="147"/>
      <c r="AQ226" s="133"/>
      <c r="AR226" s="147"/>
    </row>
    <row r="227" spans="3:44" x14ac:dyDescent="0.2">
      <c r="C227" s="146"/>
      <c r="D227" s="146"/>
      <c r="E227" s="146"/>
      <c r="F227" s="146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47"/>
      <c r="R227" s="133"/>
      <c r="S227" s="133"/>
      <c r="T227" s="133"/>
      <c r="U227" s="133"/>
      <c r="V227" s="147"/>
      <c r="W227" s="133"/>
      <c r="X227" s="133"/>
      <c r="Y227" s="147"/>
      <c r="Z227" s="133"/>
      <c r="AA227" s="133"/>
      <c r="AB227" s="133"/>
      <c r="AC227" s="147"/>
      <c r="AE227" s="133"/>
      <c r="AF227" s="147"/>
      <c r="AH227" s="133"/>
      <c r="AI227" s="147"/>
      <c r="AK227" s="133"/>
      <c r="AL227" s="147"/>
      <c r="AN227" s="133"/>
      <c r="AO227" s="147"/>
      <c r="AQ227" s="133"/>
      <c r="AR227" s="147"/>
    </row>
    <row r="228" spans="3:44" x14ac:dyDescent="0.2">
      <c r="C228" s="146"/>
      <c r="D228" s="146"/>
      <c r="E228" s="146"/>
      <c r="F228" s="146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47"/>
      <c r="R228" s="133"/>
      <c r="S228" s="133"/>
      <c r="T228" s="133"/>
      <c r="U228" s="133"/>
      <c r="V228" s="147"/>
      <c r="W228" s="133"/>
      <c r="X228" s="133"/>
      <c r="Y228" s="147"/>
      <c r="Z228" s="133"/>
      <c r="AA228" s="133"/>
      <c r="AB228" s="133"/>
      <c r="AC228" s="147"/>
      <c r="AE228" s="133"/>
      <c r="AF228" s="147"/>
      <c r="AH228" s="133"/>
      <c r="AI228" s="147"/>
      <c r="AK228" s="133"/>
      <c r="AL228" s="147"/>
      <c r="AN228" s="133"/>
      <c r="AO228" s="147"/>
      <c r="AQ228" s="133"/>
      <c r="AR228" s="147"/>
    </row>
    <row r="229" spans="3:44" x14ac:dyDescent="0.2">
      <c r="C229" s="146"/>
      <c r="D229" s="146"/>
      <c r="E229" s="146"/>
      <c r="F229" s="146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47"/>
      <c r="R229" s="133"/>
      <c r="S229" s="133"/>
      <c r="T229" s="133"/>
      <c r="U229" s="133"/>
      <c r="V229" s="147"/>
      <c r="W229" s="133"/>
      <c r="X229" s="133"/>
      <c r="Y229" s="147"/>
      <c r="Z229" s="133"/>
      <c r="AA229" s="133"/>
      <c r="AB229" s="133"/>
      <c r="AC229" s="147"/>
      <c r="AE229" s="133"/>
      <c r="AF229" s="147"/>
      <c r="AH229" s="133"/>
      <c r="AI229" s="147"/>
      <c r="AK229" s="133"/>
      <c r="AL229" s="147"/>
      <c r="AN229" s="133"/>
      <c r="AO229" s="147"/>
      <c r="AQ229" s="133"/>
      <c r="AR229" s="147"/>
    </row>
    <row r="230" spans="3:44" x14ac:dyDescent="0.2">
      <c r="C230" s="146"/>
      <c r="D230" s="146"/>
      <c r="E230" s="146"/>
      <c r="F230" s="146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47"/>
      <c r="R230" s="133"/>
      <c r="S230" s="133"/>
      <c r="T230" s="133"/>
      <c r="U230" s="133"/>
      <c r="V230" s="147"/>
      <c r="W230" s="133"/>
      <c r="X230" s="133"/>
      <c r="Y230" s="147"/>
      <c r="Z230" s="133"/>
      <c r="AA230" s="133"/>
      <c r="AB230" s="133"/>
      <c r="AC230" s="147"/>
      <c r="AE230" s="133"/>
      <c r="AF230" s="147"/>
      <c r="AH230" s="133"/>
      <c r="AI230" s="147"/>
      <c r="AK230" s="133"/>
      <c r="AL230" s="147"/>
      <c r="AN230" s="133"/>
      <c r="AO230" s="147"/>
      <c r="AQ230" s="133"/>
      <c r="AR230" s="147"/>
    </row>
    <row r="231" spans="3:44" x14ac:dyDescent="0.2">
      <c r="C231" s="146"/>
      <c r="D231" s="146"/>
      <c r="E231" s="146"/>
      <c r="F231" s="146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47"/>
      <c r="R231" s="133"/>
      <c r="S231" s="133"/>
      <c r="T231" s="133"/>
      <c r="U231" s="133"/>
      <c r="V231" s="147"/>
      <c r="W231" s="133"/>
      <c r="X231" s="133"/>
      <c r="Y231" s="147"/>
      <c r="Z231" s="133"/>
      <c r="AA231" s="133"/>
      <c r="AB231" s="133"/>
      <c r="AC231" s="147"/>
      <c r="AE231" s="133"/>
      <c r="AF231" s="147"/>
      <c r="AH231" s="133"/>
      <c r="AI231" s="147"/>
      <c r="AK231" s="133"/>
      <c r="AL231" s="147"/>
      <c r="AN231" s="133"/>
      <c r="AO231" s="147"/>
      <c r="AQ231" s="133"/>
      <c r="AR231" s="147"/>
    </row>
    <row r="232" spans="3:44" x14ac:dyDescent="0.2">
      <c r="C232" s="146"/>
      <c r="D232" s="146"/>
      <c r="E232" s="146"/>
      <c r="F232" s="146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47"/>
      <c r="R232" s="133"/>
      <c r="S232" s="133"/>
      <c r="T232" s="133"/>
      <c r="U232" s="133"/>
      <c r="V232" s="147"/>
      <c r="W232" s="133"/>
      <c r="X232" s="133"/>
      <c r="Y232" s="147"/>
      <c r="Z232" s="133"/>
      <c r="AA232" s="133"/>
      <c r="AB232" s="133"/>
      <c r="AC232" s="147"/>
      <c r="AE232" s="133"/>
      <c r="AF232" s="147"/>
      <c r="AH232" s="133"/>
      <c r="AI232" s="147"/>
      <c r="AK232" s="133"/>
      <c r="AL232" s="147"/>
      <c r="AN232" s="133"/>
      <c r="AO232" s="147"/>
      <c r="AQ232" s="133"/>
      <c r="AR232" s="147"/>
    </row>
    <row r="233" spans="3:44" x14ac:dyDescent="0.2">
      <c r="C233" s="146"/>
      <c r="D233" s="146"/>
      <c r="E233" s="146"/>
      <c r="F233" s="146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47"/>
      <c r="R233" s="133"/>
      <c r="S233" s="133"/>
      <c r="T233" s="133"/>
      <c r="U233" s="133"/>
      <c r="V233" s="147"/>
      <c r="W233" s="133"/>
      <c r="X233" s="133"/>
      <c r="Y233" s="147"/>
      <c r="Z233" s="133"/>
      <c r="AA233" s="133"/>
      <c r="AB233" s="133"/>
      <c r="AC233" s="147"/>
      <c r="AE233" s="133"/>
      <c r="AF233" s="147"/>
      <c r="AH233" s="133"/>
      <c r="AI233" s="147"/>
      <c r="AK233" s="133"/>
      <c r="AL233" s="147"/>
      <c r="AN233" s="133"/>
      <c r="AO233" s="147"/>
      <c r="AQ233" s="133"/>
      <c r="AR233" s="147"/>
    </row>
    <row r="234" spans="3:44" x14ac:dyDescent="0.2">
      <c r="C234" s="146"/>
      <c r="D234" s="146"/>
      <c r="E234" s="146"/>
      <c r="F234" s="146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47"/>
      <c r="R234" s="133"/>
      <c r="S234" s="133"/>
      <c r="T234" s="133"/>
      <c r="U234" s="133"/>
      <c r="V234" s="147"/>
      <c r="W234" s="133"/>
      <c r="X234" s="133"/>
      <c r="Y234" s="147"/>
      <c r="Z234" s="133"/>
      <c r="AA234" s="133"/>
      <c r="AB234" s="133"/>
      <c r="AC234" s="147"/>
      <c r="AE234" s="133"/>
      <c r="AF234" s="147"/>
      <c r="AH234" s="133"/>
      <c r="AI234" s="147"/>
      <c r="AK234" s="133"/>
      <c r="AL234" s="147"/>
      <c r="AN234" s="133"/>
      <c r="AO234" s="147"/>
      <c r="AQ234" s="133"/>
      <c r="AR234" s="147"/>
    </row>
    <row r="235" spans="3:44" x14ac:dyDescent="0.2">
      <c r="C235" s="146"/>
      <c r="D235" s="146"/>
      <c r="E235" s="146"/>
      <c r="F235" s="146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47"/>
      <c r="R235" s="133"/>
      <c r="S235" s="133"/>
      <c r="T235" s="133"/>
      <c r="U235" s="133"/>
      <c r="V235" s="147"/>
      <c r="W235" s="133"/>
      <c r="X235" s="133"/>
      <c r="Y235" s="147"/>
      <c r="Z235" s="133"/>
      <c r="AA235" s="133"/>
      <c r="AB235" s="133"/>
      <c r="AC235" s="147"/>
      <c r="AE235" s="133"/>
      <c r="AF235" s="147"/>
      <c r="AH235" s="133"/>
      <c r="AI235" s="147"/>
      <c r="AK235" s="133"/>
      <c r="AL235" s="147"/>
      <c r="AN235" s="133"/>
      <c r="AO235" s="147"/>
      <c r="AQ235" s="133"/>
      <c r="AR235" s="147"/>
    </row>
    <row r="236" spans="3:44" x14ac:dyDescent="0.2">
      <c r="C236" s="146"/>
      <c r="D236" s="146"/>
      <c r="E236" s="146"/>
      <c r="F236" s="146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47"/>
      <c r="R236" s="133"/>
      <c r="S236" s="133"/>
      <c r="T236" s="133"/>
      <c r="U236" s="133"/>
      <c r="V236" s="147"/>
      <c r="W236" s="133"/>
      <c r="X236" s="133"/>
      <c r="Y236" s="147"/>
      <c r="Z236" s="133"/>
      <c r="AA236" s="133"/>
      <c r="AB236" s="133"/>
      <c r="AC236" s="147"/>
      <c r="AE236" s="133"/>
      <c r="AF236" s="147"/>
      <c r="AH236" s="133"/>
      <c r="AI236" s="147"/>
      <c r="AK236" s="133"/>
      <c r="AL236" s="147"/>
      <c r="AN236" s="133"/>
      <c r="AO236" s="147"/>
      <c r="AQ236" s="133"/>
      <c r="AR236" s="147"/>
    </row>
    <row r="237" spans="3:44" x14ac:dyDescent="0.2">
      <c r="C237" s="146"/>
      <c r="D237" s="146"/>
      <c r="E237" s="146"/>
      <c r="F237" s="146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47"/>
      <c r="R237" s="133"/>
      <c r="S237" s="133"/>
      <c r="T237" s="133"/>
      <c r="U237" s="133"/>
      <c r="V237" s="147"/>
      <c r="W237" s="133"/>
      <c r="X237" s="133"/>
      <c r="Y237" s="147"/>
      <c r="Z237" s="133"/>
      <c r="AA237" s="133"/>
      <c r="AB237" s="133"/>
      <c r="AC237" s="147"/>
      <c r="AE237" s="133"/>
      <c r="AF237" s="147"/>
      <c r="AH237" s="133"/>
      <c r="AI237" s="147"/>
      <c r="AK237" s="133"/>
      <c r="AL237" s="147"/>
      <c r="AN237" s="133"/>
      <c r="AO237" s="147"/>
      <c r="AQ237" s="133"/>
      <c r="AR237" s="147"/>
    </row>
    <row r="238" spans="3:44" x14ac:dyDescent="0.2">
      <c r="C238" s="146"/>
      <c r="D238" s="146"/>
      <c r="E238" s="146"/>
      <c r="F238" s="146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47"/>
      <c r="R238" s="133"/>
      <c r="S238" s="133"/>
      <c r="T238" s="133"/>
      <c r="U238" s="133"/>
      <c r="V238" s="147"/>
      <c r="W238" s="133"/>
      <c r="X238" s="133"/>
      <c r="Y238" s="147"/>
      <c r="Z238" s="133"/>
      <c r="AA238" s="133"/>
      <c r="AB238" s="133"/>
      <c r="AC238" s="147"/>
      <c r="AE238" s="133"/>
      <c r="AF238" s="147"/>
      <c r="AH238" s="133"/>
      <c r="AI238" s="147"/>
      <c r="AK238" s="133"/>
      <c r="AL238" s="147"/>
      <c r="AN238" s="133"/>
      <c r="AO238" s="147"/>
      <c r="AQ238" s="133"/>
      <c r="AR238" s="147"/>
    </row>
    <row r="239" spans="3:44" x14ac:dyDescent="0.2">
      <c r="C239" s="146"/>
      <c r="D239" s="146"/>
      <c r="E239" s="146"/>
      <c r="F239" s="146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47"/>
      <c r="R239" s="133"/>
      <c r="S239" s="133"/>
      <c r="T239" s="133"/>
      <c r="U239" s="133"/>
      <c r="V239" s="147"/>
      <c r="W239" s="133"/>
      <c r="X239" s="133"/>
      <c r="Y239" s="147"/>
      <c r="Z239" s="133"/>
      <c r="AA239" s="133"/>
      <c r="AB239" s="133"/>
      <c r="AC239" s="147"/>
      <c r="AE239" s="133"/>
      <c r="AF239" s="147"/>
      <c r="AH239" s="133"/>
      <c r="AI239" s="147"/>
      <c r="AK239" s="133"/>
      <c r="AL239" s="147"/>
      <c r="AN239" s="133"/>
      <c r="AO239" s="147"/>
      <c r="AQ239" s="133"/>
      <c r="AR239" s="147"/>
    </row>
    <row r="240" spans="3:44" x14ac:dyDescent="0.2">
      <c r="C240" s="146"/>
      <c r="D240" s="146"/>
      <c r="E240" s="146"/>
      <c r="F240" s="146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47"/>
      <c r="R240" s="133"/>
      <c r="S240" s="133"/>
      <c r="T240" s="133"/>
      <c r="U240" s="133"/>
      <c r="V240" s="147"/>
      <c r="W240" s="133"/>
      <c r="X240" s="133"/>
      <c r="Y240" s="147"/>
      <c r="Z240" s="133"/>
      <c r="AA240" s="133"/>
      <c r="AB240" s="133"/>
      <c r="AC240" s="147"/>
      <c r="AE240" s="133"/>
      <c r="AF240" s="147"/>
      <c r="AH240" s="133"/>
      <c r="AI240" s="147"/>
      <c r="AK240" s="133"/>
      <c r="AL240" s="147"/>
      <c r="AN240" s="133"/>
      <c r="AO240" s="147"/>
      <c r="AQ240" s="133"/>
      <c r="AR240" s="147"/>
    </row>
    <row r="241" spans="3:44" x14ac:dyDescent="0.2">
      <c r="C241" s="146"/>
      <c r="D241" s="146"/>
      <c r="E241" s="146"/>
      <c r="F241" s="146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47"/>
      <c r="R241" s="133"/>
      <c r="S241" s="133"/>
      <c r="T241" s="133"/>
      <c r="U241" s="133"/>
      <c r="V241" s="147"/>
      <c r="W241" s="133"/>
      <c r="X241" s="133"/>
      <c r="Y241" s="147"/>
      <c r="Z241" s="133"/>
      <c r="AA241" s="133"/>
      <c r="AB241" s="133"/>
      <c r="AC241" s="147"/>
      <c r="AE241" s="133"/>
      <c r="AF241" s="147"/>
      <c r="AH241" s="133"/>
      <c r="AI241" s="147"/>
      <c r="AK241" s="133"/>
      <c r="AL241" s="147"/>
      <c r="AN241" s="133"/>
      <c r="AO241" s="147"/>
      <c r="AQ241" s="133"/>
      <c r="AR241" s="147"/>
    </row>
    <row r="242" spans="3:44" x14ac:dyDescent="0.2">
      <c r="C242" s="146"/>
      <c r="D242" s="146"/>
      <c r="E242" s="146"/>
      <c r="F242" s="146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47"/>
      <c r="R242" s="133"/>
      <c r="S242" s="133"/>
      <c r="T242" s="133"/>
      <c r="U242" s="133"/>
      <c r="V242" s="147"/>
      <c r="W242" s="133"/>
      <c r="X242" s="133"/>
      <c r="Y242" s="147"/>
      <c r="Z242" s="133"/>
      <c r="AA242" s="133"/>
      <c r="AB242" s="133"/>
      <c r="AC242" s="147"/>
      <c r="AE242" s="133"/>
      <c r="AF242" s="147"/>
      <c r="AH242" s="133"/>
      <c r="AI242" s="147"/>
      <c r="AK242" s="133"/>
      <c r="AL242" s="147"/>
      <c r="AN242" s="133"/>
      <c r="AO242" s="147"/>
      <c r="AQ242" s="133"/>
      <c r="AR242" s="147"/>
    </row>
    <row r="243" spans="3:44" x14ac:dyDescent="0.2">
      <c r="C243" s="146"/>
      <c r="D243" s="146"/>
      <c r="E243" s="146"/>
      <c r="F243" s="146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47"/>
      <c r="R243" s="133"/>
      <c r="S243" s="133"/>
      <c r="T243" s="133"/>
      <c r="U243" s="133"/>
      <c r="V243" s="147"/>
      <c r="W243" s="133"/>
      <c r="X243" s="133"/>
      <c r="Y243" s="147"/>
      <c r="Z243" s="133"/>
      <c r="AA243" s="133"/>
      <c r="AB243" s="133"/>
      <c r="AC243" s="147"/>
      <c r="AE243" s="133"/>
      <c r="AF243" s="147"/>
      <c r="AH243" s="133"/>
      <c r="AI243" s="147"/>
      <c r="AK243" s="133"/>
      <c r="AL243" s="147"/>
      <c r="AN243" s="133"/>
      <c r="AO243" s="147"/>
      <c r="AQ243" s="133"/>
      <c r="AR243" s="147"/>
    </row>
    <row r="244" spans="3:44" x14ac:dyDescent="0.2">
      <c r="C244" s="146"/>
      <c r="D244" s="146"/>
      <c r="E244" s="146"/>
      <c r="F244" s="146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47"/>
      <c r="R244" s="133"/>
      <c r="S244" s="133"/>
      <c r="T244" s="133"/>
      <c r="U244" s="133"/>
      <c r="V244" s="147"/>
      <c r="W244" s="133"/>
      <c r="X244" s="133"/>
      <c r="Y244" s="147"/>
      <c r="Z244" s="133"/>
      <c r="AA244" s="133"/>
      <c r="AB244" s="133"/>
      <c r="AC244" s="147"/>
      <c r="AE244" s="133"/>
      <c r="AF244" s="147"/>
      <c r="AH244" s="133"/>
      <c r="AI244" s="147"/>
      <c r="AK244" s="133"/>
      <c r="AL244" s="147"/>
      <c r="AN244" s="133"/>
      <c r="AO244" s="147"/>
      <c r="AQ244" s="133"/>
      <c r="AR244" s="147"/>
    </row>
  </sheetData>
  <mergeCells count="11">
    <mergeCell ref="D38:L38"/>
    <mergeCell ref="T38:AA38"/>
    <mergeCell ref="AM38:AU38"/>
    <mergeCell ref="C2:AV2"/>
    <mergeCell ref="B4:C4"/>
    <mergeCell ref="D35:L35"/>
    <mergeCell ref="T35:AA35"/>
    <mergeCell ref="AM35:AU35"/>
    <mergeCell ref="D37:L37"/>
    <mergeCell ref="T37:AA37"/>
    <mergeCell ref="AM37:AU37"/>
  </mergeCells>
  <printOptions horizontalCentered="1" verticalCentered="1"/>
  <pageMargins left="0" right="7.874015748031496E-2" top="0.78740157480314965" bottom="0.19685039370078741" header="0.39370078740157483" footer="0"/>
  <pageSetup scale="50" orientation="landscape" r:id="rId1"/>
  <headerFooter differentOddEven="1">
    <oddFooter xml:space="preserve"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U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3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hidden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8.1406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4.85546875" style="81" hidden="1" customWidth="1"/>
    <col min="42" max="42" width="5.7109375" style="81" hidden="1" customWidth="1"/>
    <col min="43" max="43" width="11.28515625" style="157" hidden="1" customWidth="1"/>
    <col min="44" max="44" width="15.5703125" style="81" hidden="1" customWidth="1"/>
    <col min="45" max="45" width="18.5703125" style="81" customWidth="1"/>
    <col min="46" max="46" width="19.85546875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1" spans="1:62" ht="15.75" x14ac:dyDescent="0.2">
      <c r="N1" s="138"/>
      <c r="O1" s="138"/>
      <c r="P1" s="158"/>
      <c r="Q1" s="138"/>
      <c r="R1" s="138"/>
    </row>
    <row r="2" spans="1:62" ht="35.25" customHeight="1" x14ac:dyDescent="0.2">
      <c r="C2" s="174" t="s">
        <v>141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 t="s">
        <v>38</v>
      </c>
      <c r="H5" s="101">
        <v>15</v>
      </c>
      <c r="I5" s="101">
        <v>421.49</v>
      </c>
      <c r="J5" s="160" t="s">
        <v>146</v>
      </c>
      <c r="K5" s="101">
        <v>6572.35</v>
      </c>
      <c r="L5" s="101" t="s">
        <v>37</v>
      </c>
      <c r="M5" s="102">
        <v>1311</v>
      </c>
      <c r="N5" s="103">
        <f>134.58+33.65</f>
        <v>168.23000000000002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 t="shared" ref="S5:S32" si="2">(K5*3%)</f>
        <v>197.1705</v>
      </c>
      <c r="T5" s="101" t="s">
        <v>37</v>
      </c>
      <c r="U5" s="102">
        <v>1712</v>
      </c>
      <c r="V5" s="104">
        <f t="shared" ref="V5:V32" si="3">(R5+S5)</f>
        <v>603.4905</v>
      </c>
      <c r="W5" s="101" t="s">
        <v>37</v>
      </c>
      <c r="X5" s="102">
        <v>1345</v>
      </c>
      <c r="Y5" s="104">
        <v>0</v>
      </c>
      <c r="Z5" s="104">
        <f t="shared" ref="Z5:Z32" si="4">K5+N5+Q5+V5+Y5</f>
        <v>7695.5704999999998</v>
      </c>
      <c r="AA5" s="101" t="s">
        <v>39</v>
      </c>
      <c r="AB5" s="102">
        <v>1431</v>
      </c>
      <c r="AC5" s="104">
        <f t="shared" ref="AC5:AC32" si="5">(K5*9.5%)</f>
        <v>624.3732500000001</v>
      </c>
      <c r="AD5" s="101" t="s">
        <v>39</v>
      </c>
      <c r="AE5" s="105" t="s">
        <v>40</v>
      </c>
      <c r="AF5" s="103">
        <v>395.77</v>
      </c>
      <c r="AG5" s="101" t="s">
        <v>39</v>
      </c>
      <c r="AH5" s="105" t="s">
        <v>41</v>
      </c>
      <c r="AI5" s="103">
        <f t="shared" ref="AI5:AI32" si="6">+BE5</f>
        <v>1096.58</v>
      </c>
      <c r="AJ5" s="101" t="s">
        <v>39</v>
      </c>
      <c r="AK5" s="105" t="s">
        <v>42</v>
      </c>
      <c r="AL5" s="103">
        <f t="shared" ref="AL5:AL10" si="7">(K5*1%)</f>
        <v>65.723500000000001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1431</v>
      </c>
      <c r="AR5" s="103">
        <v>0</v>
      </c>
      <c r="AS5" s="104">
        <f t="shared" ref="AS5:AS32" si="8">(AC5+AF5+AI5+AL5+AO5+AR5)</f>
        <v>2182.4467500000001</v>
      </c>
      <c r="AT5" s="106">
        <f t="shared" ref="AT5:AT32" si="9">(Z5-AS5)</f>
        <v>5513.1237499999997</v>
      </c>
      <c r="AU5" s="107"/>
      <c r="AV5" s="108"/>
      <c r="AW5" s="109">
        <f>+H5</f>
        <v>15</v>
      </c>
      <c r="AX5" s="109">
        <f>+K5+S5+N5+Q5+R5+Y5</f>
        <v>7695.5704999999998</v>
      </c>
      <c r="AY5" s="110">
        <f>IFERROR(+AX5/AW5,0)*AW5</f>
        <v>7695.5705000000007</v>
      </c>
      <c r="AZ5" s="110">
        <f>IFERROR(+LOOKUP(AY5,[13]TARIFAS!$A$4:$B$14,[13]TARIFAS!$A$4:$A$14),0)</f>
        <v>5081.41</v>
      </c>
      <c r="BA5" s="110">
        <f>+AY5-AZ5</f>
        <v>2614.1605000000009</v>
      </c>
      <c r="BB5" s="110">
        <f>IFERROR(+LOOKUP(AY5,[13]TARIFAS!$A$4:$B$14,[13]TARIFAS!$D$4:$D$14),0)</f>
        <v>21.36</v>
      </c>
      <c r="BC5" s="110">
        <f>(+BA5*BB5)/100</f>
        <v>558.38468280000018</v>
      </c>
      <c r="BD5" s="110">
        <f>IFERROR(+LOOKUP(AY5,[13]TARIFAS!$A$4:$B$14,[13]TARIFAS!$C$4:$C$14),0)</f>
        <v>538.20000000000005</v>
      </c>
      <c r="BE5" s="110">
        <f>ROUND(+BC5+BD5,2)</f>
        <v>1096.58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6572.35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 t="shared" si="2"/>
        <v>197.1705</v>
      </c>
      <c r="T6" s="101" t="s">
        <v>37</v>
      </c>
      <c r="U6" s="102">
        <v>1712</v>
      </c>
      <c r="V6" s="104">
        <f t="shared" si="3"/>
        <v>603.4905</v>
      </c>
      <c r="W6" s="101"/>
      <c r="X6" s="102"/>
      <c r="Y6" s="104"/>
      <c r="Z6" s="104">
        <f t="shared" si="4"/>
        <v>7695.5655000000006</v>
      </c>
      <c r="AA6" s="101" t="s">
        <v>39</v>
      </c>
      <c r="AB6" s="102">
        <v>1431</v>
      </c>
      <c r="AC6" s="104">
        <f t="shared" si="5"/>
        <v>624.3732500000001</v>
      </c>
      <c r="AD6" s="101" t="s">
        <v>39</v>
      </c>
      <c r="AE6" s="105" t="s">
        <v>40</v>
      </c>
      <c r="AF6" s="103">
        <v>2191</v>
      </c>
      <c r="AG6" s="101" t="s">
        <v>39</v>
      </c>
      <c r="AH6" s="105" t="s">
        <v>41</v>
      </c>
      <c r="AI6" s="103">
        <f t="shared" si="6"/>
        <v>1096.58</v>
      </c>
      <c r="AJ6" s="101" t="s">
        <v>39</v>
      </c>
      <c r="AK6" s="105" t="s">
        <v>42</v>
      </c>
      <c r="AL6" s="103">
        <f t="shared" si="7"/>
        <v>65.723500000000001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1431</v>
      </c>
      <c r="AR6" s="103">
        <v>0</v>
      </c>
      <c r="AS6" s="104">
        <f t="shared" si="8"/>
        <v>3977.6767500000001</v>
      </c>
      <c r="AT6" s="106">
        <f t="shared" si="9"/>
        <v>3717.8887500000005</v>
      </c>
      <c r="AU6" s="113"/>
      <c r="AV6" s="108"/>
      <c r="AW6" s="109">
        <f t="shared" ref="AW6:AW32" si="10">+H6</f>
        <v>15</v>
      </c>
      <c r="AX6" s="109">
        <f t="shared" ref="AX6:AX32" si="11">+K6+S6+N6+Q6+R6+Y6</f>
        <v>7695.5655000000006</v>
      </c>
      <c r="AY6" s="110">
        <f t="shared" ref="AY6:AY32" si="12">IFERROR(+AX6/AW6,0)*AW6</f>
        <v>7695.5655000000015</v>
      </c>
      <c r="AZ6" s="110">
        <f>IFERROR(+LOOKUP(AY6,[13]TARIFAS!$A$4:$B$14,[13]TARIFAS!$A$4:$A$14),0)</f>
        <v>5081.41</v>
      </c>
      <c r="BA6" s="110">
        <f t="shared" ref="BA6:BA32" si="13">+AY6-AZ6</f>
        <v>2614.1555000000017</v>
      </c>
      <c r="BB6" s="110">
        <f>IFERROR(+LOOKUP(AY6,[13]TARIFAS!$A$4:$B$14,[13]TARIFAS!$D$4:$D$14),0)</f>
        <v>21.36</v>
      </c>
      <c r="BC6" s="110">
        <f t="shared" ref="BC6:BC32" si="14">(+BA6*BB6)/100</f>
        <v>558.38361480000037</v>
      </c>
      <c r="BD6" s="110">
        <f>IFERROR(+LOOKUP(AY6,[13]TARIFAS!$A$4:$B$14,[13]TARIFAS!$C$4:$C$14),0)</f>
        <v>538.20000000000005</v>
      </c>
      <c r="BE6" s="110">
        <f t="shared" ref="BE6:BE32" si="15">ROUND(+BC6+BD6,2)</f>
        <v>1096.58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7713.23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f t="shared" si="2"/>
        <v>231.39689999999999</v>
      </c>
      <c r="T7" s="101" t="s">
        <v>37</v>
      </c>
      <c r="U7" s="102">
        <v>1712</v>
      </c>
      <c r="V7" s="104">
        <f t="shared" si="3"/>
        <v>649.83690000000001</v>
      </c>
      <c r="W7" s="101"/>
      <c r="X7" s="102"/>
      <c r="Y7" s="104"/>
      <c r="Z7" s="104">
        <f t="shared" si="4"/>
        <v>8813.3819000000003</v>
      </c>
      <c r="AA7" s="101" t="s">
        <v>39</v>
      </c>
      <c r="AB7" s="102">
        <v>1431</v>
      </c>
      <c r="AC7" s="104">
        <f t="shared" si="5"/>
        <v>732.75684999999999</v>
      </c>
      <c r="AD7" s="101" t="s">
        <v>39</v>
      </c>
      <c r="AE7" s="105" t="s">
        <v>40</v>
      </c>
      <c r="AF7" s="103">
        <v>1158</v>
      </c>
      <c r="AG7" s="101" t="s">
        <v>39</v>
      </c>
      <c r="AH7" s="105" t="s">
        <v>41</v>
      </c>
      <c r="AI7" s="103">
        <f t="shared" si="6"/>
        <v>1335.35</v>
      </c>
      <c r="AJ7" s="101" t="s">
        <v>39</v>
      </c>
      <c r="AK7" s="105" t="s">
        <v>42</v>
      </c>
      <c r="AL7" s="103">
        <f t="shared" si="7"/>
        <v>77.132300000000001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1431</v>
      </c>
      <c r="AR7" s="103">
        <v>0</v>
      </c>
      <c r="AS7" s="104">
        <f t="shared" si="8"/>
        <v>3303.2391500000003</v>
      </c>
      <c r="AT7" s="106">
        <f t="shared" si="9"/>
        <v>5510.14275</v>
      </c>
      <c r="AU7" s="113"/>
      <c r="AV7" s="108"/>
      <c r="AW7" s="109">
        <f t="shared" si="10"/>
        <v>15</v>
      </c>
      <c r="AX7" s="109">
        <f t="shared" si="11"/>
        <v>8813.3819000000003</v>
      </c>
      <c r="AY7" s="110">
        <f t="shared" si="12"/>
        <v>8813.3819000000003</v>
      </c>
      <c r="AZ7" s="110">
        <f>IFERROR(+LOOKUP(AY7,[13]TARIFAS!$A$4:$B$14,[13]TARIFAS!$A$4:$A$14),0)</f>
        <v>5081.41</v>
      </c>
      <c r="BA7" s="110">
        <f t="shared" si="13"/>
        <v>3731.9719000000005</v>
      </c>
      <c r="BB7" s="110">
        <f>IFERROR(+LOOKUP(AY7,[13]TARIFAS!$A$4:$B$14,[13]TARIFAS!$D$4:$D$14),0)</f>
        <v>21.36</v>
      </c>
      <c r="BC7" s="110">
        <f t="shared" si="14"/>
        <v>797.14919784000017</v>
      </c>
      <c r="BD7" s="110">
        <f>IFERROR(+LOOKUP(AY7,[13]TARIFAS!$A$4:$B$14,[13]TARIFAS!$C$4:$C$14),0)</f>
        <v>538.20000000000005</v>
      </c>
      <c r="BE7" s="110">
        <f t="shared" si="15"/>
        <v>1335.35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6572.35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 t="shared" si="2"/>
        <v>197.1705</v>
      </c>
      <c r="T8" s="101" t="s">
        <v>37</v>
      </c>
      <c r="U8" s="102">
        <v>1712</v>
      </c>
      <c r="V8" s="104">
        <f t="shared" si="3"/>
        <v>603.4905</v>
      </c>
      <c r="W8" s="101"/>
      <c r="X8" s="102"/>
      <c r="Y8" s="104"/>
      <c r="Z8" s="104">
        <f t="shared" si="4"/>
        <v>7729.2105000000001</v>
      </c>
      <c r="AA8" s="101" t="s">
        <v>39</v>
      </c>
      <c r="AB8" s="102">
        <v>1431</v>
      </c>
      <c r="AC8" s="104">
        <f t="shared" si="5"/>
        <v>624.3732500000001</v>
      </c>
      <c r="AD8" s="101" t="s">
        <v>39</v>
      </c>
      <c r="AE8" s="105" t="s">
        <v>40</v>
      </c>
      <c r="AF8" s="103">
        <v>1542</v>
      </c>
      <c r="AG8" s="101" t="s">
        <v>39</v>
      </c>
      <c r="AH8" s="105" t="s">
        <v>41</v>
      </c>
      <c r="AI8" s="103">
        <f t="shared" si="6"/>
        <v>1103.77</v>
      </c>
      <c r="AJ8" s="101" t="s">
        <v>39</v>
      </c>
      <c r="AK8" s="105" t="s">
        <v>42</v>
      </c>
      <c r="AL8" s="103">
        <f t="shared" si="7"/>
        <v>65.723500000000001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1431</v>
      </c>
      <c r="AR8" s="103">
        <v>0</v>
      </c>
      <c r="AS8" s="104">
        <f t="shared" si="8"/>
        <v>3335.8667500000001</v>
      </c>
      <c r="AT8" s="106">
        <f t="shared" si="9"/>
        <v>4393.34375</v>
      </c>
      <c r="AU8" s="113"/>
      <c r="AV8" s="108"/>
      <c r="AW8" s="109">
        <f t="shared" si="10"/>
        <v>15</v>
      </c>
      <c r="AX8" s="109">
        <f t="shared" si="11"/>
        <v>7729.2105000000001</v>
      </c>
      <c r="AY8" s="110">
        <f>IFERROR(+AX8/AW8,0)*AW8</f>
        <v>7729.2105000000001</v>
      </c>
      <c r="AZ8" s="110">
        <f>IFERROR(+LOOKUP(AY8,[13]TARIFAS!$A$4:$B$14,[13]TARIFAS!$A$4:$A$14),0)</f>
        <v>5081.41</v>
      </c>
      <c r="BA8" s="110">
        <f t="shared" si="13"/>
        <v>2647.8005000000003</v>
      </c>
      <c r="BB8" s="110">
        <f>IFERROR(+LOOKUP(AY8,[13]TARIFAS!$A$4:$B$14,[13]TARIFAS!$D$4:$D$14),0)</f>
        <v>21.36</v>
      </c>
      <c r="BC8" s="110">
        <f t="shared" si="14"/>
        <v>565.57018679999999</v>
      </c>
      <c r="BD8" s="110">
        <f>IFERROR(+LOOKUP(AY8,[13]TARIFAS!$A$4:$B$14,[13]TARIFAS!$C$4:$C$14),0)</f>
        <v>538.20000000000005</v>
      </c>
      <c r="BE8" s="110">
        <f t="shared" si="15"/>
        <v>1103.77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7713.23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f t="shared" si="2"/>
        <v>231.39689999999999</v>
      </c>
      <c r="T9" s="101" t="s">
        <v>37</v>
      </c>
      <c r="U9" s="102">
        <v>1712</v>
      </c>
      <c r="V9" s="104">
        <f t="shared" si="3"/>
        <v>649.83690000000001</v>
      </c>
      <c r="W9" s="101"/>
      <c r="X9" s="102"/>
      <c r="Y9" s="104"/>
      <c r="Z9" s="104">
        <f t="shared" si="4"/>
        <v>8813.3819000000003</v>
      </c>
      <c r="AA9" s="101" t="s">
        <v>39</v>
      </c>
      <c r="AB9" s="102">
        <v>1431</v>
      </c>
      <c r="AC9" s="104">
        <f t="shared" si="5"/>
        <v>732.75684999999999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 t="shared" si="6"/>
        <v>1335.35</v>
      </c>
      <c r="AJ9" s="101" t="s">
        <v>39</v>
      </c>
      <c r="AK9" s="105" t="s">
        <v>42</v>
      </c>
      <c r="AL9" s="103">
        <f t="shared" si="7"/>
        <v>77.132300000000001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1431</v>
      </c>
      <c r="AR9" s="103">
        <v>0</v>
      </c>
      <c r="AS9" s="104">
        <f t="shared" si="8"/>
        <v>2145.2391500000003</v>
      </c>
      <c r="AT9" s="106">
        <f t="shared" si="9"/>
        <v>6668.14275</v>
      </c>
      <c r="AU9" s="113"/>
      <c r="AV9" s="108"/>
      <c r="AW9" s="109">
        <f t="shared" si="10"/>
        <v>15</v>
      </c>
      <c r="AX9" s="109">
        <f t="shared" si="11"/>
        <v>8813.3819000000003</v>
      </c>
      <c r="AY9" s="110">
        <f>IFERROR(+AX9/AW9,0)*AW9</f>
        <v>8813.3819000000003</v>
      </c>
      <c r="AZ9" s="110">
        <f>IFERROR(+LOOKUP(AY9,[13]TARIFAS!$A$4:$B$14,[13]TARIFAS!$A$4:$A$14),0)</f>
        <v>5081.41</v>
      </c>
      <c r="BA9" s="110">
        <f t="shared" si="13"/>
        <v>3731.9719000000005</v>
      </c>
      <c r="BB9" s="110">
        <f>IFERROR(+LOOKUP(AY9,[13]TARIFAS!$A$4:$B$14,[13]TARIFAS!$D$4:$D$14),0)</f>
        <v>21.36</v>
      </c>
      <c r="BC9" s="110">
        <f t="shared" si="14"/>
        <v>797.14919784000017</v>
      </c>
      <c r="BD9" s="110">
        <f>IFERROR(+LOOKUP(AY9,[13]TARIFAS!$A$4:$B$14,[13]TARIFAS!$C$4:$C$14),0)</f>
        <v>538.20000000000005</v>
      </c>
      <c r="BE9" s="110">
        <f t="shared" si="15"/>
        <v>1335.35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6572.35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 t="shared" si="2"/>
        <v>197.1705</v>
      </c>
      <c r="T10" s="101" t="s">
        <v>37</v>
      </c>
      <c r="U10" s="102">
        <v>1712</v>
      </c>
      <c r="V10" s="104">
        <f t="shared" si="3"/>
        <v>603.4905</v>
      </c>
      <c r="W10" s="101"/>
      <c r="X10" s="102"/>
      <c r="Y10" s="104"/>
      <c r="Z10" s="104">
        <f t="shared" si="4"/>
        <v>7729.2105000000001</v>
      </c>
      <c r="AA10" s="101" t="s">
        <v>39</v>
      </c>
      <c r="AB10" s="102">
        <v>1431</v>
      </c>
      <c r="AC10" s="104">
        <f t="shared" si="5"/>
        <v>624.3732500000001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 t="shared" si="6"/>
        <v>1103.77</v>
      </c>
      <c r="AJ10" s="101" t="s">
        <v>39</v>
      </c>
      <c r="AK10" s="105" t="s">
        <v>42</v>
      </c>
      <c r="AL10" s="103">
        <f t="shared" si="7"/>
        <v>65.723500000000001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1431</v>
      </c>
      <c r="AR10" s="103">
        <v>0</v>
      </c>
      <c r="AS10" s="104">
        <f t="shared" si="8"/>
        <v>3901.8667500000001</v>
      </c>
      <c r="AT10" s="106">
        <f t="shared" si="9"/>
        <v>3827.34375</v>
      </c>
      <c r="AU10" s="113"/>
      <c r="AV10" s="108"/>
      <c r="AW10" s="109">
        <f t="shared" si="10"/>
        <v>15</v>
      </c>
      <c r="AX10" s="109">
        <f t="shared" si="11"/>
        <v>7729.2105000000001</v>
      </c>
      <c r="AY10" s="110">
        <f>IFERROR(+AX10/AW10,0)*AW10</f>
        <v>7729.2105000000001</v>
      </c>
      <c r="AZ10" s="110">
        <f>IFERROR(+LOOKUP(AY10,[13]TARIFAS!$A$4:$B$14,[13]TARIFAS!$A$4:$A$14),0)</f>
        <v>5081.41</v>
      </c>
      <c r="BA10" s="110">
        <f t="shared" si="13"/>
        <v>2647.8005000000003</v>
      </c>
      <c r="BB10" s="110">
        <f>IFERROR(+LOOKUP(AY10,[13]TARIFAS!$A$4:$B$14,[13]TARIFAS!$D$4:$D$14),0)</f>
        <v>21.36</v>
      </c>
      <c r="BC10" s="110">
        <f t="shared" si="14"/>
        <v>565.57018679999999</v>
      </c>
      <c r="BD10" s="110">
        <f>IFERROR(+LOOKUP(AY10,[13]TARIFAS!$A$4:$B$14,[13]TARIFAS!$C$4:$C$14),0)</f>
        <v>538.20000000000005</v>
      </c>
      <c r="BE10" s="110">
        <f t="shared" si="15"/>
        <v>1103.77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5063.04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 t="shared" si="2"/>
        <v>151.8912</v>
      </c>
      <c r="T11" s="101" t="s">
        <v>37</v>
      </c>
      <c r="U11" s="102">
        <v>1712</v>
      </c>
      <c r="V11" s="104">
        <f t="shared" si="3"/>
        <v>522.91120000000001</v>
      </c>
      <c r="W11" s="101"/>
      <c r="X11" s="102"/>
      <c r="Y11" s="104"/>
      <c r="Z11" s="104">
        <f t="shared" si="4"/>
        <v>6029.3762000000006</v>
      </c>
      <c r="AA11" s="101" t="s">
        <v>39</v>
      </c>
      <c r="AB11" s="102">
        <v>1431</v>
      </c>
      <c r="AC11" s="104">
        <f t="shared" si="5"/>
        <v>480.98880000000003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 t="shared" si="6"/>
        <v>740.69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1431</v>
      </c>
      <c r="AR11" s="103">
        <v>0</v>
      </c>
      <c r="AS11" s="104">
        <f t="shared" si="8"/>
        <v>1221.6788000000001</v>
      </c>
      <c r="AT11" s="106">
        <f t="shared" si="9"/>
        <v>4807.6974000000009</v>
      </c>
      <c r="AU11" s="113"/>
      <c r="AV11" s="108"/>
      <c r="AW11" s="109">
        <f t="shared" si="10"/>
        <v>15</v>
      </c>
      <c r="AX11" s="109">
        <f t="shared" si="11"/>
        <v>6029.3762000000006</v>
      </c>
      <c r="AY11" s="110">
        <f t="shared" si="12"/>
        <v>6029.3762000000006</v>
      </c>
      <c r="AZ11" s="110">
        <f>IFERROR(+LOOKUP(AY11,[13]TARIFAS!$A$4:$B$14,[13]TARIFAS!$A$4:$A$14),0)</f>
        <v>5081.41</v>
      </c>
      <c r="BA11" s="110">
        <f t="shared" si="13"/>
        <v>947.96620000000075</v>
      </c>
      <c r="BB11" s="110">
        <f>IFERROR(+LOOKUP(AY11,[13]TARIFAS!$A$4:$B$14,[13]TARIFAS!$D$4:$D$14),0)</f>
        <v>21.36</v>
      </c>
      <c r="BC11" s="110">
        <f t="shared" si="14"/>
        <v>202.48558032000017</v>
      </c>
      <c r="BD11" s="110">
        <f>IFERROR(+LOOKUP(AY11,[13]TARIFAS!$A$4:$B$14,[13]TARIFAS!$C$4:$C$14),0)</f>
        <v>538.20000000000005</v>
      </c>
      <c r="BE11" s="110">
        <f t="shared" si="15"/>
        <v>740.69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5063.04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 t="shared" si="2"/>
        <v>151.8912</v>
      </c>
      <c r="T12" s="101" t="s">
        <v>37</v>
      </c>
      <c r="U12" s="102">
        <v>1712</v>
      </c>
      <c r="V12" s="104">
        <f t="shared" si="3"/>
        <v>522.91120000000001</v>
      </c>
      <c r="W12" s="101"/>
      <c r="X12" s="102"/>
      <c r="Y12" s="104"/>
      <c r="Z12" s="104">
        <f t="shared" si="4"/>
        <v>5995.7312000000002</v>
      </c>
      <c r="AA12" s="101" t="s">
        <v>39</v>
      </c>
      <c r="AB12" s="102">
        <v>1431</v>
      </c>
      <c r="AC12" s="104">
        <f t="shared" si="5"/>
        <v>480.98880000000003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 t="shared" si="6"/>
        <v>733.5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1431</v>
      </c>
      <c r="AR12" s="103">
        <v>0</v>
      </c>
      <c r="AS12" s="104">
        <f t="shared" si="8"/>
        <v>1214.4888000000001</v>
      </c>
      <c r="AT12" s="106">
        <f t="shared" si="9"/>
        <v>4781.2424000000001</v>
      </c>
      <c r="AU12" s="113"/>
      <c r="AV12" s="108"/>
      <c r="AW12" s="109">
        <f t="shared" si="10"/>
        <v>15</v>
      </c>
      <c r="AX12" s="109">
        <f t="shared" si="11"/>
        <v>5995.7312000000002</v>
      </c>
      <c r="AY12" s="110">
        <f t="shared" si="12"/>
        <v>5995.7312000000002</v>
      </c>
      <c r="AZ12" s="110">
        <f>IFERROR(+LOOKUP(AY12,[13]TARIFAS!$A$4:$B$14,[13]TARIFAS!$A$4:$A$14),0)</f>
        <v>5081.41</v>
      </c>
      <c r="BA12" s="110">
        <f t="shared" si="13"/>
        <v>914.32120000000032</v>
      </c>
      <c r="BB12" s="110">
        <f>IFERROR(+LOOKUP(AY12,[13]TARIFAS!$A$4:$B$14,[13]TARIFAS!$D$4:$D$14),0)</f>
        <v>21.36</v>
      </c>
      <c r="BC12" s="110">
        <f t="shared" si="14"/>
        <v>195.29900832000007</v>
      </c>
      <c r="BD12" s="110">
        <f>IFERROR(+LOOKUP(AY12,[13]TARIFAS!$A$4:$B$14,[13]TARIFAS!$C$4:$C$14),0)</f>
        <v>538.20000000000005</v>
      </c>
      <c r="BE12" s="110">
        <f t="shared" si="15"/>
        <v>733.5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6572.35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 t="shared" si="2"/>
        <v>197.1705</v>
      </c>
      <c r="T13" s="101" t="s">
        <v>37</v>
      </c>
      <c r="U13" s="102">
        <v>1712</v>
      </c>
      <c r="V13" s="104">
        <f t="shared" si="3"/>
        <v>603.4905</v>
      </c>
      <c r="W13" s="101"/>
      <c r="X13" s="102"/>
      <c r="Y13" s="104"/>
      <c r="Z13" s="104">
        <f t="shared" si="4"/>
        <v>7762.8555000000006</v>
      </c>
      <c r="AA13" s="101" t="s">
        <v>39</v>
      </c>
      <c r="AB13" s="102">
        <v>1431</v>
      </c>
      <c r="AC13" s="104">
        <f t="shared" si="5"/>
        <v>624.3732500000001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 t="shared" si="6"/>
        <v>1110.96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1431</v>
      </c>
      <c r="AR13" s="103">
        <v>0</v>
      </c>
      <c r="AS13" s="104">
        <f t="shared" si="8"/>
        <v>1735.3332500000001</v>
      </c>
      <c r="AT13" s="106">
        <f t="shared" si="9"/>
        <v>6027.52225</v>
      </c>
      <c r="AU13" s="113"/>
      <c r="AV13" s="108"/>
      <c r="AW13" s="109">
        <f t="shared" si="10"/>
        <v>15</v>
      </c>
      <c r="AX13" s="109">
        <f t="shared" si="11"/>
        <v>7762.8555000000006</v>
      </c>
      <c r="AY13" s="110">
        <f t="shared" si="12"/>
        <v>7762.8555000000015</v>
      </c>
      <c r="AZ13" s="110">
        <f>IFERROR(+LOOKUP(AY13,[13]TARIFAS!$A$4:$B$14,[13]TARIFAS!$A$4:$A$14),0)</f>
        <v>5081.41</v>
      </c>
      <c r="BA13" s="110">
        <f t="shared" si="13"/>
        <v>2681.4455000000016</v>
      </c>
      <c r="BB13" s="110">
        <f>IFERROR(+LOOKUP(AY13,[13]TARIFAS!$A$4:$B$14,[13]TARIFAS!$D$4:$D$14),0)</f>
        <v>21.36</v>
      </c>
      <c r="BC13" s="110">
        <f t="shared" si="14"/>
        <v>572.75675880000028</v>
      </c>
      <c r="BD13" s="110">
        <f>IFERROR(+LOOKUP(AY13,[13]TARIFAS!$A$4:$B$14,[13]TARIFAS!$C$4:$C$14),0)</f>
        <v>538.20000000000005</v>
      </c>
      <c r="BE13" s="110">
        <f t="shared" si="15"/>
        <v>1110.96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f t="shared" si="2"/>
        <v>463.245</v>
      </c>
      <c r="T14" s="101" t="s">
        <v>37</v>
      </c>
      <c r="U14" s="102">
        <v>1712</v>
      </c>
      <c r="V14" s="104">
        <f t="shared" si="3"/>
        <v>1298.7449999999999</v>
      </c>
      <c r="W14" s="101"/>
      <c r="X14" s="102"/>
      <c r="Y14" s="104"/>
      <c r="Z14" s="104">
        <f t="shared" si="4"/>
        <v>17306.744999999999</v>
      </c>
      <c r="AA14" s="101" t="s">
        <v>39</v>
      </c>
      <c r="AB14" s="102">
        <v>1431</v>
      </c>
      <c r="AC14" s="104">
        <f t="shared" si="5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 t="shared" si="6"/>
        <v>3376.71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1431</v>
      </c>
      <c r="AR14" s="103">
        <v>0</v>
      </c>
      <c r="AS14" s="104">
        <f t="shared" si="8"/>
        <v>4843.6525000000001</v>
      </c>
      <c r="AT14" s="106">
        <f t="shared" si="9"/>
        <v>12463.092499999999</v>
      </c>
      <c r="AU14" s="113"/>
      <c r="AV14" s="108"/>
      <c r="AW14" s="109">
        <f t="shared" si="10"/>
        <v>15</v>
      </c>
      <c r="AX14" s="109">
        <f t="shared" si="11"/>
        <v>17306.745000000003</v>
      </c>
      <c r="AY14" s="110">
        <f t="shared" si="12"/>
        <v>17306.745000000003</v>
      </c>
      <c r="AZ14" s="110">
        <f>IFERROR(+LOOKUP(AY14,[13]TARIFAS!$A$4:$B$14,[13]TARIFAS!$A$4:$A$14),0)</f>
        <v>16153.06</v>
      </c>
      <c r="BA14" s="110">
        <f t="shared" si="13"/>
        <v>1153.6850000000031</v>
      </c>
      <c r="BB14" s="110">
        <f>IFERROR(+LOOKUP(AY14,[13]TARIFAS!$A$4:$B$14,[13]TARIFAS!$D$4:$D$14),0)</f>
        <v>30</v>
      </c>
      <c r="BC14" s="110">
        <f t="shared" si="14"/>
        <v>346.10550000000092</v>
      </c>
      <c r="BD14" s="110">
        <f>IFERROR(+LOOKUP(AY14,[13]TARIFAS!$A$4:$B$14,[13]TARIFAS!$C$4:$C$14),0)</f>
        <v>3030.6</v>
      </c>
      <c r="BE14" s="110">
        <f t="shared" si="15"/>
        <v>3376.71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5063.04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 t="shared" si="2"/>
        <v>151.8912</v>
      </c>
      <c r="T15" s="101" t="s">
        <v>37</v>
      </c>
      <c r="U15" s="102">
        <v>1712</v>
      </c>
      <c r="V15" s="104">
        <f t="shared" si="3"/>
        <v>522.91120000000001</v>
      </c>
      <c r="W15" s="101"/>
      <c r="X15" s="102"/>
      <c r="Y15" s="104"/>
      <c r="Z15" s="104">
        <f t="shared" si="4"/>
        <v>5894.7962000000007</v>
      </c>
      <c r="AA15" s="101" t="s">
        <v>39</v>
      </c>
      <c r="AB15" s="102">
        <v>1431</v>
      </c>
      <c r="AC15" s="104">
        <f t="shared" si="5"/>
        <v>480.98880000000003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 t="shared" si="6"/>
        <v>711.94</v>
      </c>
      <c r="AJ15" s="101" t="s">
        <v>39</v>
      </c>
      <c r="AK15" s="105" t="s">
        <v>42</v>
      </c>
      <c r="AL15" s="103">
        <f t="shared" ref="AL15:AL20" si="16">(K15*1%)</f>
        <v>50.630400000000002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1431</v>
      </c>
      <c r="AR15" s="103">
        <v>0</v>
      </c>
      <c r="AS15" s="104">
        <f t="shared" si="8"/>
        <v>1243.5592000000001</v>
      </c>
      <c r="AT15" s="106">
        <f t="shared" si="9"/>
        <v>4651.237000000001</v>
      </c>
      <c r="AU15" s="117"/>
      <c r="AV15" s="108"/>
      <c r="AW15" s="109">
        <f t="shared" si="10"/>
        <v>15</v>
      </c>
      <c r="AX15" s="109">
        <f t="shared" si="11"/>
        <v>5894.7962000000007</v>
      </c>
      <c r="AY15" s="110">
        <f t="shared" si="12"/>
        <v>5894.7962000000007</v>
      </c>
      <c r="AZ15" s="110">
        <f>IFERROR(+LOOKUP(AY15,[13]TARIFAS!$A$4:$B$14,[13]TARIFAS!$A$4:$A$14),0)</f>
        <v>5081.41</v>
      </c>
      <c r="BA15" s="110">
        <f t="shared" si="13"/>
        <v>813.38620000000083</v>
      </c>
      <c r="BB15" s="110">
        <f>IFERROR(+LOOKUP(AY15,[13]TARIFAS!$A$4:$B$14,[13]TARIFAS!$D$4:$D$14),0)</f>
        <v>21.36</v>
      </c>
      <c r="BC15" s="110">
        <f t="shared" si="14"/>
        <v>173.73929232000017</v>
      </c>
      <c r="BD15" s="110">
        <f>IFERROR(+LOOKUP(AY15,[13]TARIFAS!$A$4:$B$14,[13]TARIFAS!$C$4:$C$14),0)</f>
        <v>538.20000000000005</v>
      </c>
      <c r="BE15" s="110">
        <f t="shared" si="15"/>
        <v>711.94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6572.35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 t="shared" si="2"/>
        <v>197.1705</v>
      </c>
      <c r="T16" s="101" t="s">
        <v>37</v>
      </c>
      <c r="U16" s="102">
        <v>1712</v>
      </c>
      <c r="V16" s="104">
        <f t="shared" si="3"/>
        <v>603.4905</v>
      </c>
      <c r="W16" s="101"/>
      <c r="X16" s="102"/>
      <c r="Y16" s="104"/>
      <c r="Z16" s="104">
        <f t="shared" si="4"/>
        <v>7628.2755000000006</v>
      </c>
      <c r="AA16" s="101" t="s">
        <v>39</v>
      </c>
      <c r="AB16" s="102">
        <v>1431</v>
      </c>
      <c r="AC16" s="104">
        <f t="shared" si="5"/>
        <v>624.3732500000001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 t="shared" si="6"/>
        <v>1082.21</v>
      </c>
      <c r="AJ16" s="101" t="s">
        <v>39</v>
      </c>
      <c r="AK16" s="105" t="s">
        <v>42</v>
      </c>
      <c r="AL16" s="103">
        <f t="shared" si="16"/>
        <v>65.723500000000001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1431</v>
      </c>
      <c r="AR16" s="103">
        <v>0</v>
      </c>
      <c r="AS16" s="104">
        <f t="shared" si="8"/>
        <v>2183.3067500000002</v>
      </c>
      <c r="AT16" s="106">
        <f t="shared" si="9"/>
        <v>5444.96875</v>
      </c>
      <c r="AU16" s="113"/>
      <c r="AV16" s="108"/>
      <c r="AW16" s="109">
        <f t="shared" si="10"/>
        <v>15</v>
      </c>
      <c r="AX16" s="109">
        <f t="shared" si="11"/>
        <v>7628.2755000000006</v>
      </c>
      <c r="AY16" s="110">
        <f t="shared" si="12"/>
        <v>7628.2755000000006</v>
      </c>
      <c r="AZ16" s="110">
        <f>IFERROR(+LOOKUP(AY16,[13]TARIFAS!$A$4:$B$14,[13]TARIFAS!$A$4:$A$14),0)</f>
        <v>5081.41</v>
      </c>
      <c r="BA16" s="110">
        <f t="shared" si="13"/>
        <v>2546.8655000000008</v>
      </c>
      <c r="BB16" s="110">
        <f>IFERROR(+LOOKUP(AY16,[13]TARIFAS!$A$4:$B$14,[13]TARIFAS!$D$4:$D$14),0)</f>
        <v>21.36</v>
      </c>
      <c r="BC16" s="110">
        <f t="shared" si="14"/>
        <v>544.01047080000023</v>
      </c>
      <c r="BD16" s="110">
        <f>IFERROR(+LOOKUP(AY16,[13]TARIFAS!$A$4:$B$14,[13]TARIFAS!$C$4:$C$14),0)</f>
        <v>538.20000000000005</v>
      </c>
      <c r="BE16" s="110">
        <f t="shared" si="15"/>
        <v>1082.21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5958.93</v>
      </c>
      <c r="L17" s="101" t="s">
        <v>37</v>
      </c>
      <c r="M17" s="102">
        <v>1311</v>
      </c>
      <c r="N17" s="103">
        <v>91.52</v>
      </c>
      <c r="O17" s="101" t="s">
        <v>37</v>
      </c>
      <c r="P17" s="102">
        <v>1713</v>
      </c>
      <c r="Q17" s="101">
        <v>318.69</v>
      </c>
      <c r="R17" s="103">
        <v>368.4</v>
      </c>
      <c r="S17" s="103">
        <f t="shared" si="2"/>
        <v>178.7679</v>
      </c>
      <c r="T17" s="101" t="s">
        <v>37</v>
      </c>
      <c r="U17" s="102">
        <v>1712</v>
      </c>
      <c r="V17" s="104">
        <f t="shared" si="3"/>
        <v>547.16789999999992</v>
      </c>
      <c r="W17" s="101"/>
      <c r="X17" s="102"/>
      <c r="Y17" s="104"/>
      <c r="Z17" s="104">
        <f t="shared" si="4"/>
        <v>6916.3078999999998</v>
      </c>
      <c r="AA17" s="101" t="s">
        <v>39</v>
      </c>
      <c r="AB17" s="102">
        <v>1431</v>
      </c>
      <c r="AC17" s="104">
        <v>624.37</v>
      </c>
      <c r="AD17" s="101" t="s">
        <v>39</v>
      </c>
      <c r="AE17" s="105" t="s">
        <v>40</v>
      </c>
      <c r="AF17" s="103">
        <v>1537</v>
      </c>
      <c r="AG17" s="101" t="s">
        <v>39</v>
      </c>
      <c r="AH17" s="105" t="s">
        <v>41</v>
      </c>
      <c r="AI17" s="103">
        <f t="shared" si="6"/>
        <v>930.13</v>
      </c>
      <c r="AJ17" s="101" t="s">
        <v>39</v>
      </c>
      <c r="AK17" s="105" t="s">
        <v>42</v>
      </c>
      <c r="AL17" s="103">
        <f t="shared" si="16"/>
        <v>59.589300000000001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1431</v>
      </c>
      <c r="AR17" s="103">
        <v>0</v>
      </c>
      <c r="AS17" s="104">
        <f t="shared" si="8"/>
        <v>3151.0893000000001</v>
      </c>
      <c r="AT17" s="106">
        <f t="shared" si="9"/>
        <v>3765.2185999999997</v>
      </c>
      <c r="AU17" s="113"/>
      <c r="AV17" s="108"/>
      <c r="AW17" s="109">
        <f t="shared" si="10"/>
        <v>15</v>
      </c>
      <c r="AX17" s="109">
        <f t="shared" si="11"/>
        <v>6916.3078999999998</v>
      </c>
      <c r="AY17" s="110">
        <f t="shared" si="12"/>
        <v>6916.3078999999998</v>
      </c>
      <c r="AZ17" s="110">
        <f>IFERROR(+LOOKUP(AY17,[13]TARIFAS!$A$4:$B$14,[13]TARIFAS!$A$4:$A$14),0)</f>
        <v>5081.41</v>
      </c>
      <c r="BA17" s="110">
        <f t="shared" si="13"/>
        <v>1834.8978999999999</v>
      </c>
      <c r="BB17" s="110">
        <f>IFERROR(+LOOKUP(AY17,[13]TARIFAS!$A$4:$B$14,[13]TARIFAS!$D$4:$D$14),0)</f>
        <v>21.36</v>
      </c>
      <c r="BC17" s="110">
        <f t="shared" si="14"/>
        <v>391.93419144000001</v>
      </c>
      <c r="BD17" s="110">
        <f>IFERROR(+LOOKUP(AY17,[13]TARIFAS!$A$4:$B$14,[13]TARIFAS!$C$4:$C$14),0)</f>
        <v>538.20000000000005</v>
      </c>
      <c r="BE17" s="110">
        <f t="shared" si="15"/>
        <v>930.13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7713.23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f t="shared" si="2"/>
        <v>231.39689999999999</v>
      </c>
      <c r="T18" s="101" t="s">
        <v>37</v>
      </c>
      <c r="U18" s="102">
        <v>1712</v>
      </c>
      <c r="V18" s="104">
        <f t="shared" si="3"/>
        <v>649.83690000000001</v>
      </c>
      <c r="W18" s="101"/>
      <c r="X18" s="102"/>
      <c r="Y18" s="104"/>
      <c r="Z18" s="104">
        <f t="shared" si="4"/>
        <v>8746.0918999999994</v>
      </c>
      <c r="AA18" s="101" t="s">
        <v>39</v>
      </c>
      <c r="AB18" s="102">
        <v>1431</v>
      </c>
      <c r="AC18" s="104">
        <f t="shared" si="5"/>
        <v>732.75684999999999</v>
      </c>
      <c r="AD18" s="101" t="s">
        <v>39</v>
      </c>
      <c r="AE18" s="105" t="s">
        <v>40</v>
      </c>
      <c r="AF18" s="104">
        <f>523.61+10.13+3666.74+151.2</f>
        <v>4351.6799999999994</v>
      </c>
      <c r="AG18" s="101" t="s">
        <v>39</v>
      </c>
      <c r="AH18" s="105" t="s">
        <v>41</v>
      </c>
      <c r="AI18" s="103">
        <f t="shared" si="6"/>
        <v>1320.98</v>
      </c>
      <c r="AJ18" s="101" t="s">
        <v>39</v>
      </c>
      <c r="AK18" s="105" t="s">
        <v>42</v>
      </c>
      <c r="AL18" s="103">
        <f t="shared" si="16"/>
        <v>77.132300000000001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1431</v>
      </c>
      <c r="AR18" s="103">
        <v>0</v>
      </c>
      <c r="AS18" s="104">
        <f t="shared" si="8"/>
        <v>6482.5491499999998</v>
      </c>
      <c r="AT18" s="106">
        <f t="shared" si="9"/>
        <v>2263.5427499999996</v>
      </c>
      <c r="AU18" s="113"/>
      <c r="AV18" s="108"/>
      <c r="AW18" s="109">
        <f t="shared" si="10"/>
        <v>15</v>
      </c>
      <c r="AX18" s="109">
        <f t="shared" si="11"/>
        <v>8746.0918999999994</v>
      </c>
      <c r="AY18" s="110">
        <f t="shared" si="12"/>
        <v>8746.0918999999994</v>
      </c>
      <c r="AZ18" s="110">
        <f>IFERROR(+LOOKUP(AY18,[13]TARIFAS!$A$4:$B$14,[13]TARIFAS!$A$4:$A$14),0)</f>
        <v>5081.41</v>
      </c>
      <c r="BA18" s="110">
        <f t="shared" si="13"/>
        <v>3664.6818999999996</v>
      </c>
      <c r="BB18" s="110">
        <f>IFERROR(+LOOKUP(AY18,[13]TARIFAS!$A$4:$B$14,[13]TARIFAS!$D$4:$D$14),0)</f>
        <v>21.36</v>
      </c>
      <c r="BC18" s="110">
        <f t="shared" si="14"/>
        <v>782.77605383999992</v>
      </c>
      <c r="BD18" s="110">
        <f>IFERROR(+LOOKUP(AY18,[13]TARIFAS!$A$4:$B$14,[13]TARIFAS!$C$4:$C$14),0)</f>
        <v>538.20000000000005</v>
      </c>
      <c r="BE18" s="110">
        <f t="shared" si="15"/>
        <v>1320.98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v>6572.35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f t="shared" si="2"/>
        <v>197.1705</v>
      </c>
      <c r="T19" s="101" t="s">
        <v>37</v>
      </c>
      <c r="U19" s="102">
        <v>1712</v>
      </c>
      <c r="V19" s="104">
        <f t="shared" si="3"/>
        <v>603.4905</v>
      </c>
      <c r="W19" s="101"/>
      <c r="X19" s="102"/>
      <c r="Y19" s="104"/>
      <c r="Z19" s="104">
        <f t="shared" si="4"/>
        <v>7594.6305000000002</v>
      </c>
      <c r="AA19" s="101" t="s">
        <v>39</v>
      </c>
      <c r="AB19" s="102">
        <v>1431</v>
      </c>
      <c r="AC19" s="104">
        <f t="shared" si="5"/>
        <v>624.3732500000001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41</v>
      </c>
      <c r="AI19" s="103">
        <f t="shared" si="6"/>
        <v>1075.02</v>
      </c>
      <c r="AJ19" s="101" t="s">
        <v>39</v>
      </c>
      <c r="AK19" s="105" t="s">
        <v>42</v>
      </c>
      <c r="AL19" s="103">
        <f t="shared" si="16"/>
        <v>65.723500000000001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1431</v>
      </c>
      <c r="AR19" s="103">
        <v>0</v>
      </c>
      <c r="AS19" s="104">
        <f t="shared" si="8"/>
        <v>2167.1167500000001</v>
      </c>
      <c r="AT19" s="106">
        <f t="shared" si="9"/>
        <v>5427.5137500000001</v>
      </c>
      <c r="AU19" s="113"/>
      <c r="AV19" s="108"/>
      <c r="AW19" s="109">
        <f t="shared" si="10"/>
        <v>15</v>
      </c>
      <c r="AX19" s="109">
        <f t="shared" si="11"/>
        <v>7594.6305000000002</v>
      </c>
      <c r="AY19" s="110">
        <f t="shared" si="12"/>
        <v>7594.6305000000002</v>
      </c>
      <c r="AZ19" s="110">
        <f>IFERROR(+LOOKUP(AY19,[13]TARIFAS!$A$4:$B$14,[13]TARIFAS!$A$4:$A$14),0)</f>
        <v>5081.41</v>
      </c>
      <c r="BA19" s="110">
        <f t="shared" si="13"/>
        <v>2513.2205000000004</v>
      </c>
      <c r="BB19" s="110">
        <f>IFERROR(+LOOKUP(AY19,[13]TARIFAS!$A$4:$B$14,[13]TARIFAS!$D$4:$D$14),0)</f>
        <v>21.36</v>
      </c>
      <c r="BC19" s="110">
        <f t="shared" si="14"/>
        <v>536.82389880000005</v>
      </c>
      <c r="BD19" s="110">
        <f>IFERROR(+LOOKUP(AY19,[13]TARIFAS!$A$4:$B$14,[13]TARIFAS!$C$4:$C$14),0)</f>
        <v>538.20000000000005</v>
      </c>
      <c r="BE19" s="110">
        <f t="shared" si="15"/>
        <v>1075.02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5414.82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f t="shared" si="2"/>
        <v>162.44459999999998</v>
      </c>
      <c r="T20" s="101" t="s">
        <v>37</v>
      </c>
      <c r="U20" s="102">
        <v>1712</v>
      </c>
      <c r="V20" s="104">
        <f t="shared" si="3"/>
        <v>541.04459999999995</v>
      </c>
      <c r="W20" s="101"/>
      <c r="X20" s="102"/>
      <c r="Y20" s="104"/>
      <c r="Z20" s="104">
        <f t="shared" si="4"/>
        <v>6234.5945999999994</v>
      </c>
      <c r="AA20" s="101" t="s">
        <v>39</v>
      </c>
      <c r="AB20" s="102">
        <v>1431</v>
      </c>
      <c r="AC20" s="104">
        <f t="shared" si="5"/>
        <v>514.40789999999993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41</v>
      </c>
      <c r="AI20" s="103">
        <f t="shared" si="6"/>
        <v>784.52</v>
      </c>
      <c r="AJ20" s="101" t="s">
        <v>39</v>
      </c>
      <c r="AK20" s="105" t="s">
        <v>42</v>
      </c>
      <c r="AL20" s="103">
        <f t="shared" si="16"/>
        <v>54.148199999999996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1431</v>
      </c>
      <c r="AR20" s="103">
        <v>0</v>
      </c>
      <c r="AS20" s="104">
        <f t="shared" si="8"/>
        <v>1353.0761</v>
      </c>
      <c r="AT20" s="106">
        <f t="shared" si="9"/>
        <v>4881.5184999999992</v>
      </c>
      <c r="AU20" s="113"/>
      <c r="AV20" s="108"/>
      <c r="AW20" s="109">
        <f t="shared" si="10"/>
        <v>15</v>
      </c>
      <c r="AX20" s="109">
        <f t="shared" si="11"/>
        <v>6234.5945999999994</v>
      </c>
      <c r="AY20" s="110">
        <f t="shared" si="12"/>
        <v>6234.5945999999994</v>
      </c>
      <c r="AZ20" s="110">
        <f>IFERROR(+LOOKUP(AY20,[13]TARIFAS!$A$4:$B$14,[13]TARIFAS!$A$4:$A$14),0)</f>
        <v>5081.41</v>
      </c>
      <c r="BA20" s="110">
        <f t="shared" si="13"/>
        <v>1153.1845999999996</v>
      </c>
      <c r="BB20" s="110">
        <f>IFERROR(+LOOKUP(AY20,[13]TARIFAS!$A$4:$B$14,[13]TARIFAS!$D$4:$D$14),0)</f>
        <v>21.36</v>
      </c>
      <c r="BC20" s="110">
        <f t="shared" si="14"/>
        <v>246.32023055999991</v>
      </c>
      <c r="BD20" s="110">
        <f>IFERROR(+LOOKUP(AY20,[13]TARIFAS!$A$4:$B$14,[13]TARIFAS!$C$4:$C$14),0)</f>
        <v>538.20000000000005</v>
      </c>
      <c r="BE20" s="110">
        <f t="shared" si="15"/>
        <v>784.52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v>5958.93</v>
      </c>
      <c r="L21" s="101" t="s">
        <v>37</v>
      </c>
      <c r="M21" s="102">
        <v>1311</v>
      </c>
      <c r="N21" s="115">
        <v>91.52</v>
      </c>
      <c r="O21" s="101" t="s">
        <v>37</v>
      </c>
      <c r="P21" s="102">
        <v>1713</v>
      </c>
      <c r="Q21" s="115">
        <v>318.69</v>
      </c>
      <c r="R21" s="115">
        <v>368.4</v>
      </c>
      <c r="S21" s="103">
        <f t="shared" si="2"/>
        <v>178.7679</v>
      </c>
      <c r="T21" s="101" t="s">
        <v>37</v>
      </c>
      <c r="U21" s="102">
        <v>1712</v>
      </c>
      <c r="V21" s="104">
        <f t="shared" si="3"/>
        <v>547.16789999999992</v>
      </c>
      <c r="W21" s="101"/>
      <c r="X21" s="102"/>
      <c r="Y21" s="104"/>
      <c r="Z21" s="104">
        <f t="shared" si="4"/>
        <v>6916.3078999999998</v>
      </c>
      <c r="AA21" s="101" t="s">
        <v>39</v>
      </c>
      <c r="AB21" s="102">
        <v>1431</v>
      </c>
      <c r="AC21" s="104">
        <v>624.37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41</v>
      </c>
      <c r="AI21" s="103">
        <f t="shared" si="6"/>
        <v>930.13</v>
      </c>
      <c r="AJ21" s="101" t="s">
        <v>39</v>
      </c>
      <c r="AK21" s="105" t="s">
        <v>42</v>
      </c>
      <c r="AL21" s="103">
        <v>0</v>
      </c>
      <c r="AM21" s="101" t="s">
        <v>39</v>
      </c>
      <c r="AN21" s="105" t="s">
        <v>43</v>
      </c>
      <c r="AO21" s="115">
        <v>0</v>
      </c>
      <c r="AP21" s="101" t="s">
        <v>39</v>
      </c>
      <c r="AQ21" s="105">
        <v>1431</v>
      </c>
      <c r="AR21" s="103">
        <v>0</v>
      </c>
      <c r="AS21" s="104">
        <f t="shared" si="8"/>
        <v>2959.5</v>
      </c>
      <c r="AT21" s="106">
        <f t="shared" si="9"/>
        <v>3956.8078999999998</v>
      </c>
      <c r="AU21" s="113"/>
      <c r="AV21" s="108"/>
      <c r="AW21" s="109">
        <f t="shared" si="10"/>
        <v>15</v>
      </c>
      <c r="AX21" s="109">
        <f t="shared" si="11"/>
        <v>6916.3078999999998</v>
      </c>
      <c r="AY21" s="110">
        <f t="shared" si="12"/>
        <v>6916.3078999999998</v>
      </c>
      <c r="AZ21" s="110">
        <f>IFERROR(+LOOKUP(AY21,[13]TARIFAS!$A$4:$B$14,[13]TARIFAS!$A$4:$A$14),0)</f>
        <v>5081.41</v>
      </c>
      <c r="BA21" s="110">
        <f t="shared" si="13"/>
        <v>1834.8978999999999</v>
      </c>
      <c r="BB21" s="110">
        <f>IFERROR(+LOOKUP(AY21,[13]TARIFAS!$A$4:$B$14,[13]TARIFAS!$D$4:$D$14),0)</f>
        <v>21.36</v>
      </c>
      <c r="BC21" s="110">
        <f t="shared" si="14"/>
        <v>391.93419144000001</v>
      </c>
      <c r="BD21" s="110">
        <f>IFERROR(+LOOKUP(AY21,[13]TARIFAS!$A$4:$B$14,[13]TARIFAS!$C$4:$C$14),0)</f>
        <v>538.20000000000005</v>
      </c>
      <c r="BE21" s="110">
        <f t="shared" si="15"/>
        <v>930.13</v>
      </c>
      <c r="BF21" s="110"/>
      <c r="BG21" s="110"/>
      <c r="BH21" s="110"/>
      <c r="BI21" s="109"/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v>6572.35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 t="shared" si="2"/>
        <v>197.1705</v>
      </c>
      <c r="T22" s="101" t="s">
        <v>37</v>
      </c>
      <c r="U22" s="102">
        <v>1712</v>
      </c>
      <c r="V22" s="104">
        <f t="shared" si="3"/>
        <v>603.4905</v>
      </c>
      <c r="W22" s="101"/>
      <c r="X22" s="102"/>
      <c r="Y22" s="104"/>
      <c r="Z22" s="104">
        <f t="shared" si="4"/>
        <v>7594.6305000000002</v>
      </c>
      <c r="AA22" s="101" t="s">
        <v>39</v>
      </c>
      <c r="AB22" s="102">
        <v>1431</v>
      </c>
      <c r="AC22" s="104">
        <f t="shared" si="5"/>
        <v>624.3732500000001</v>
      </c>
      <c r="AD22" s="101" t="s">
        <v>39</v>
      </c>
      <c r="AE22" s="105" t="s">
        <v>40</v>
      </c>
      <c r="AF22" s="115">
        <v>2191</v>
      </c>
      <c r="AG22" s="101" t="s">
        <v>39</v>
      </c>
      <c r="AH22" s="105" t="s">
        <v>41</v>
      </c>
      <c r="AI22" s="103">
        <f t="shared" si="6"/>
        <v>1075.02</v>
      </c>
      <c r="AJ22" s="101" t="s">
        <v>39</v>
      </c>
      <c r="AK22" s="105" t="s">
        <v>42</v>
      </c>
      <c r="AL22" s="103">
        <f>(K22*1%)</f>
        <v>65.723500000000001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1431</v>
      </c>
      <c r="AR22" s="103">
        <v>0</v>
      </c>
      <c r="AS22" s="104">
        <f t="shared" si="8"/>
        <v>3956.1167500000001</v>
      </c>
      <c r="AT22" s="106">
        <f t="shared" si="9"/>
        <v>3638.5137500000001</v>
      </c>
      <c r="AU22" s="113"/>
      <c r="AV22" s="108"/>
      <c r="AW22" s="109">
        <f t="shared" si="10"/>
        <v>15</v>
      </c>
      <c r="AX22" s="109">
        <f t="shared" si="11"/>
        <v>7594.6305000000002</v>
      </c>
      <c r="AY22" s="110">
        <f t="shared" si="12"/>
        <v>7594.6305000000002</v>
      </c>
      <c r="AZ22" s="110">
        <f>IFERROR(+LOOKUP(AY22,[13]TARIFAS!$A$4:$B$14,[13]TARIFAS!$A$4:$A$14),0)</f>
        <v>5081.41</v>
      </c>
      <c r="BA22" s="110">
        <f t="shared" si="13"/>
        <v>2513.2205000000004</v>
      </c>
      <c r="BB22" s="110">
        <f>IFERROR(+LOOKUP(AY22,[13]TARIFAS!$A$4:$B$14,[13]TARIFAS!$D$4:$D$14),0)</f>
        <v>21.36</v>
      </c>
      <c r="BC22" s="110">
        <f t="shared" si="14"/>
        <v>536.82389880000005</v>
      </c>
      <c r="BD22" s="110">
        <f>IFERROR(+LOOKUP(AY22,[13]TARIFAS!$A$4:$B$14,[13]TARIFAS!$C$4:$C$14),0)</f>
        <v>538.20000000000005</v>
      </c>
      <c r="BE22" s="110">
        <f t="shared" si="15"/>
        <v>1075.02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v>6572.35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 t="shared" si="2"/>
        <v>197.1705</v>
      </c>
      <c r="T23" s="101" t="s">
        <v>37</v>
      </c>
      <c r="U23" s="102">
        <v>1712</v>
      </c>
      <c r="V23" s="104">
        <f t="shared" si="3"/>
        <v>603.4905</v>
      </c>
      <c r="W23" s="101"/>
      <c r="X23" s="102"/>
      <c r="Y23" s="104"/>
      <c r="Z23" s="104">
        <f t="shared" si="4"/>
        <v>7527.3405000000002</v>
      </c>
      <c r="AA23" s="101" t="s">
        <v>39</v>
      </c>
      <c r="AB23" s="102">
        <v>1431</v>
      </c>
      <c r="AC23" s="104">
        <f t="shared" si="5"/>
        <v>624.3732500000001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41</v>
      </c>
      <c r="AI23" s="103">
        <f t="shared" si="6"/>
        <v>1060.6500000000001</v>
      </c>
      <c r="AJ23" s="101" t="s">
        <v>39</v>
      </c>
      <c r="AK23" s="105" t="s">
        <v>42</v>
      </c>
      <c r="AL23" s="103">
        <f>(K23*1%)</f>
        <v>65.723500000000001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1431</v>
      </c>
      <c r="AR23" s="103">
        <v>0</v>
      </c>
      <c r="AS23" s="104">
        <f t="shared" si="8"/>
        <v>1750.7467500000002</v>
      </c>
      <c r="AT23" s="106">
        <f t="shared" si="9"/>
        <v>5776.59375</v>
      </c>
      <c r="AU23" s="113"/>
      <c r="AV23" s="108"/>
      <c r="AW23" s="109">
        <f t="shared" si="10"/>
        <v>15</v>
      </c>
      <c r="AX23" s="109">
        <f t="shared" si="11"/>
        <v>7527.3405000000002</v>
      </c>
      <c r="AY23" s="110">
        <f t="shared" si="12"/>
        <v>7527.3405000000002</v>
      </c>
      <c r="AZ23" s="110">
        <f>IFERROR(+LOOKUP(AY23,[13]TARIFAS!$A$4:$B$14,[13]TARIFAS!$A$4:$A$14),0)</f>
        <v>5081.41</v>
      </c>
      <c r="BA23" s="110">
        <f t="shared" si="13"/>
        <v>2445.9305000000004</v>
      </c>
      <c r="BB23" s="110">
        <f>IFERROR(+LOOKUP(AY23,[13]TARIFAS!$A$4:$B$14,[13]TARIFAS!$D$4:$D$14),0)</f>
        <v>21.36</v>
      </c>
      <c r="BC23" s="110">
        <f t="shared" si="14"/>
        <v>522.45075480000003</v>
      </c>
      <c r="BD23" s="110">
        <f>IFERROR(+LOOKUP(AY23,[13]TARIFAS!$A$4:$B$14,[13]TARIFAS!$C$4:$C$14),0)</f>
        <v>538.20000000000005</v>
      </c>
      <c r="BE23" s="110">
        <f t="shared" si="15"/>
        <v>1060.6500000000001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v>5063.04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f t="shared" si="2"/>
        <v>151.8912</v>
      </c>
      <c r="T24" s="101" t="s">
        <v>37</v>
      </c>
      <c r="U24" s="102">
        <v>1712</v>
      </c>
      <c r="V24" s="104">
        <f t="shared" si="3"/>
        <v>522.91120000000001</v>
      </c>
      <c r="W24" s="101"/>
      <c r="X24" s="102"/>
      <c r="Y24" s="104"/>
      <c r="Z24" s="104">
        <f t="shared" si="4"/>
        <v>5793.8611999999994</v>
      </c>
      <c r="AA24" s="101" t="s">
        <v>39</v>
      </c>
      <c r="AB24" s="102">
        <v>1431</v>
      </c>
      <c r="AC24" s="104">
        <f t="shared" si="5"/>
        <v>480.98880000000003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 t="shared" si="6"/>
        <v>690.38</v>
      </c>
      <c r="AJ24" s="101" t="s">
        <v>39</v>
      </c>
      <c r="AK24" s="105" t="s">
        <v>42</v>
      </c>
      <c r="AL24" s="103">
        <f>(K24*1%)</f>
        <v>50.630400000000002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1431</v>
      </c>
      <c r="AR24" s="103">
        <v>0</v>
      </c>
      <c r="AS24" s="104">
        <f t="shared" si="8"/>
        <v>1221.9992</v>
      </c>
      <c r="AT24" s="106">
        <f t="shared" si="9"/>
        <v>4571.8619999999992</v>
      </c>
      <c r="AU24" s="113"/>
      <c r="AV24" s="108"/>
      <c r="AW24" s="109">
        <f t="shared" si="10"/>
        <v>15</v>
      </c>
      <c r="AX24" s="109">
        <f t="shared" si="11"/>
        <v>5793.8611999999994</v>
      </c>
      <c r="AY24" s="110">
        <f t="shared" si="12"/>
        <v>5793.8611999999994</v>
      </c>
      <c r="AZ24" s="110">
        <f>IFERROR(+LOOKUP(AY24,[13]TARIFAS!$A$4:$B$14,[13]TARIFAS!$A$4:$A$14),0)</f>
        <v>5081.41</v>
      </c>
      <c r="BA24" s="110">
        <f t="shared" si="13"/>
        <v>712.45119999999952</v>
      </c>
      <c r="BB24" s="110">
        <f>IFERROR(+LOOKUP(AY24,[13]TARIFAS!$A$4:$B$14,[13]TARIFAS!$D$4:$D$14),0)</f>
        <v>21.36</v>
      </c>
      <c r="BC24" s="110">
        <f t="shared" si="14"/>
        <v>152.17957631999988</v>
      </c>
      <c r="BD24" s="110">
        <f>IFERROR(+LOOKUP(AY24,[13]TARIFAS!$A$4:$B$14,[13]TARIFAS!$C$4:$C$14),0)</f>
        <v>538.20000000000005</v>
      </c>
      <c r="BE24" s="110">
        <f t="shared" si="15"/>
        <v>690.38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v>6572.35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f t="shared" si="2"/>
        <v>197.1705</v>
      </c>
      <c r="T25" s="101" t="s">
        <v>37</v>
      </c>
      <c r="U25" s="102">
        <v>1712</v>
      </c>
      <c r="V25" s="104">
        <f t="shared" si="3"/>
        <v>603.4905</v>
      </c>
      <c r="W25" s="101"/>
      <c r="X25" s="102"/>
      <c r="Y25" s="104"/>
      <c r="Z25" s="104">
        <f t="shared" si="4"/>
        <v>7527.3405000000002</v>
      </c>
      <c r="AA25" s="101" t="s">
        <v>39</v>
      </c>
      <c r="AB25" s="102">
        <v>1431</v>
      </c>
      <c r="AC25" s="104">
        <f t="shared" si="5"/>
        <v>624.3732500000001</v>
      </c>
      <c r="AD25" s="101" t="s">
        <v>39</v>
      </c>
      <c r="AE25" s="105" t="s">
        <v>40</v>
      </c>
      <c r="AF25" s="115">
        <v>0</v>
      </c>
      <c r="AG25" s="101" t="s">
        <v>39</v>
      </c>
      <c r="AH25" s="105" t="s">
        <v>41</v>
      </c>
      <c r="AI25" s="103">
        <f t="shared" si="6"/>
        <v>1060.6500000000001</v>
      </c>
      <c r="AJ25" s="101" t="s">
        <v>39</v>
      </c>
      <c r="AK25" s="105" t="s">
        <v>42</v>
      </c>
      <c r="AL25" s="103">
        <f>(K25*1%)</f>
        <v>65.723500000000001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1431</v>
      </c>
      <c r="AR25" s="103">
        <v>0</v>
      </c>
      <c r="AS25" s="104">
        <f t="shared" si="8"/>
        <v>1750.7467500000002</v>
      </c>
      <c r="AT25" s="106">
        <f t="shared" si="9"/>
        <v>5776.59375</v>
      </c>
      <c r="AU25" s="113"/>
      <c r="AV25" s="108"/>
      <c r="AW25" s="109">
        <f t="shared" si="10"/>
        <v>15</v>
      </c>
      <c r="AX25" s="109">
        <f t="shared" si="11"/>
        <v>7527.3405000000002</v>
      </c>
      <c r="AY25" s="110">
        <f t="shared" si="12"/>
        <v>7527.3405000000002</v>
      </c>
      <c r="AZ25" s="110">
        <f>IFERROR(+LOOKUP(AY25,[13]TARIFAS!$A$4:$B$14,[13]TARIFAS!$A$4:$A$14),0)</f>
        <v>5081.41</v>
      </c>
      <c r="BA25" s="110">
        <f t="shared" si="13"/>
        <v>2445.9305000000004</v>
      </c>
      <c r="BB25" s="110">
        <f>IFERROR(+LOOKUP(AY25,[13]TARIFAS!$A$4:$B$14,[13]TARIFAS!$D$4:$D$14),0)</f>
        <v>21.36</v>
      </c>
      <c r="BC25" s="110">
        <f t="shared" si="14"/>
        <v>522.45075480000003</v>
      </c>
      <c r="BD25" s="110">
        <f>IFERROR(+LOOKUP(AY25,[13]TARIFAS!$A$4:$B$14,[13]TARIFAS!$C$4:$C$14),0)</f>
        <v>538.20000000000005</v>
      </c>
      <c r="BE25" s="110">
        <f t="shared" si="15"/>
        <v>1060.6500000000001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v>5063.04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f t="shared" si="2"/>
        <v>151.8912</v>
      </c>
      <c r="T26" s="101" t="s">
        <v>37</v>
      </c>
      <c r="U26" s="102">
        <v>1712</v>
      </c>
      <c r="V26" s="104">
        <f t="shared" si="3"/>
        <v>522.91120000000001</v>
      </c>
      <c r="W26" s="101"/>
      <c r="X26" s="102"/>
      <c r="Y26" s="104"/>
      <c r="Z26" s="104">
        <f t="shared" si="4"/>
        <v>5793.8611999999994</v>
      </c>
      <c r="AA26" s="101" t="s">
        <v>39</v>
      </c>
      <c r="AB26" s="102">
        <v>1431</v>
      </c>
      <c r="AC26" s="104">
        <f t="shared" si="5"/>
        <v>480.98880000000003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41</v>
      </c>
      <c r="AI26" s="103">
        <f t="shared" si="6"/>
        <v>690.38</v>
      </c>
      <c r="AJ26" s="101" t="s">
        <v>39</v>
      </c>
      <c r="AK26" s="105" t="s">
        <v>42</v>
      </c>
      <c r="AL26" s="103">
        <f>(K26*1%)</f>
        <v>50.630400000000002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1431</v>
      </c>
      <c r="AR26" s="103">
        <v>0</v>
      </c>
      <c r="AS26" s="104">
        <f t="shared" si="8"/>
        <v>1221.9992</v>
      </c>
      <c r="AT26" s="106">
        <f t="shared" si="9"/>
        <v>4571.8619999999992</v>
      </c>
      <c r="AU26" s="113"/>
      <c r="AV26" s="108"/>
      <c r="AW26" s="109">
        <f t="shared" si="10"/>
        <v>15</v>
      </c>
      <c r="AX26" s="109">
        <f t="shared" si="11"/>
        <v>5793.8611999999994</v>
      </c>
      <c r="AY26" s="110">
        <f t="shared" si="12"/>
        <v>5793.8611999999994</v>
      </c>
      <c r="AZ26" s="110">
        <f>IFERROR(+LOOKUP(AY26,[13]TARIFAS!$A$4:$B$14,[13]TARIFAS!$A$4:$A$14),0)</f>
        <v>5081.41</v>
      </c>
      <c r="BA26" s="110">
        <f t="shared" si="13"/>
        <v>712.45119999999952</v>
      </c>
      <c r="BB26" s="110">
        <f>IFERROR(+LOOKUP(AY26,[13]TARIFAS!$A$4:$B$14,[13]TARIFAS!$D$4:$D$14),0)</f>
        <v>21.36</v>
      </c>
      <c r="BC26" s="110">
        <f t="shared" si="14"/>
        <v>152.17957631999988</v>
      </c>
      <c r="BD26" s="110">
        <f>IFERROR(+LOOKUP(AY26,[13]TARIFAS!$A$4:$B$14,[13]TARIFAS!$C$4:$C$14),0)</f>
        <v>538.20000000000005</v>
      </c>
      <c r="BE26" s="110">
        <f t="shared" si="15"/>
        <v>690.38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1" t="s">
        <v>37</v>
      </c>
      <c r="G27" s="101" t="s">
        <v>38</v>
      </c>
      <c r="H27" s="101">
        <v>15</v>
      </c>
      <c r="I27" s="101">
        <v>1029.4333333333334</v>
      </c>
      <c r="J27" s="160" t="s">
        <v>146</v>
      </c>
      <c r="K27" s="101">
        <v>15441.5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566.5</v>
      </c>
      <c r="R27" s="115">
        <v>835.5</v>
      </c>
      <c r="S27" s="103">
        <f t="shared" si="2"/>
        <v>463.245</v>
      </c>
      <c r="T27" s="101" t="s">
        <v>37</v>
      </c>
      <c r="U27" s="102">
        <v>1712</v>
      </c>
      <c r="V27" s="104">
        <f t="shared" si="3"/>
        <v>1298.7449999999999</v>
      </c>
      <c r="W27" s="101"/>
      <c r="X27" s="102"/>
      <c r="Y27" s="104"/>
      <c r="Z27" s="104">
        <f t="shared" si="4"/>
        <v>17306.744999999999</v>
      </c>
      <c r="AA27" s="101" t="s">
        <v>39</v>
      </c>
      <c r="AB27" s="102">
        <v>1431</v>
      </c>
      <c r="AC27" s="104">
        <f t="shared" si="5"/>
        <v>1466.9425000000001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41</v>
      </c>
      <c r="AI27" s="103">
        <f t="shared" si="6"/>
        <v>3376.71</v>
      </c>
      <c r="AJ27" s="101" t="s">
        <v>39</v>
      </c>
      <c r="AK27" s="105" t="s">
        <v>42</v>
      </c>
      <c r="AL27" s="103">
        <v>0</v>
      </c>
      <c r="AM27" s="101" t="s">
        <v>39</v>
      </c>
      <c r="AN27" s="105" t="s">
        <v>43</v>
      </c>
      <c r="AO27" s="115">
        <v>0</v>
      </c>
      <c r="AP27" s="101" t="s">
        <v>39</v>
      </c>
      <c r="AQ27" s="105">
        <v>1431</v>
      </c>
      <c r="AR27" s="103">
        <v>0</v>
      </c>
      <c r="AS27" s="104">
        <f t="shared" si="8"/>
        <v>4843.6525000000001</v>
      </c>
      <c r="AT27" s="106">
        <f t="shared" si="9"/>
        <v>12463.092499999999</v>
      </c>
      <c r="AU27" s="113"/>
      <c r="AV27" s="108"/>
      <c r="AW27" s="111">
        <f t="shared" si="10"/>
        <v>15</v>
      </c>
      <c r="AX27" s="109">
        <f t="shared" si="11"/>
        <v>17306.745000000003</v>
      </c>
      <c r="AY27" s="119">
        <f>IFERROR(+AX27/AW27,0)*AW27</f>
        <v>17306.745000000003</v>
      </c>
      <c r="AZ27" s="119">
        <f>IFERROR(+LOOKUP(AY27,[13]TARIFAS!$A$4:$B$14,[13]TARIFAS!$A$4:$A$14),0)</f>
        <v>16153.06</v>
      </c>
      <c r="BA27" s="119">
        <f>+AY27-AZ27</f>
        <v>1153.6850000000031</v>
      </c>
      <c r="BB27" s="119">
        <f>IFERROR(+LOOKUP(AY27,[13]TARIFAS!$A$4:$B$14,[13]TARIFAS!$D$4:$D$14),0)</f>
        <v>30</v>
      </c>
      <c r="BC27" s="119">
        <f>(+BA27*BB27)/100</f>
        <v>346.10550000000092</v>
      </c>
      <c r="BD27" s="119">
        <f>IFERROR(+LOOKUP(AY27,[13]TARIFAS!$A$4:$B$14,[13]TARIFAS!$C$4:$C$14),0)</f>
        <v>3030.6</v>
      </c>
      <c r="BE27" s="119">
        <f>ROUND(+BC27+BD27,2)</f>
        <v>3376.71</v>
      </c>
      <c r="BF27" s="119"/>
      <c r="BG27" s="119"/>
      <c r="BH27" s="119"/>
      <c r="BJ27" s="120"/>
    </row>
    <row r="28" spans="1:62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1" t="s">
        <v>37</v>
      </c>
      <c r="G28" s="101" t="s">
        <v>38</v>
      </c>
      <c r="H28" s="101">
        <v>15</v>
      </c>
      <c r="I28" s="101">
        <v>1958.6333333333334</v>
      </c>
      <c r="J28" s="160" t="s">
        <v>148</v>
      </c>
      <c r="K28" s="101">
        <v>29379.5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6">
        <v>808.5</v>
      </c>
      <c r="R28" s="115">
        <v>1144</v>
      </c>
      <c r="S28" s="103">
        <f t="shared" si="2"/>
        <v>881.38499999999999</v>
      </c>
      <c r="T28" s="101" t="s">
        <v>37</v>
      </c>
      <c r="U28" s="102">
        <v>1712</v>
      </c>
      <c r="V28" s="104">
        <f t="shared" si="3"/>
        <v>2025.385</v>
      </c>
      <c r="W28" s="101"/>
      <c r="X28" s="102"/>
      <c r="Y28" s="104"/>
      <c r="Z28" s="104">
        <f t="shared" si="4"/>
        <v>32213.384999999998</v>
      </c>
      <c r="AA28" s="101" t="s">
        <v>39</v>
      </c>
      <c r="AB28" s="102">
        <v>1431</v>
      </c>
      <c r="AC28" s="104">
        <f t="shared" si="5"/>
        <v>2791.0525000000002</v>
      </c>
      <c r="AD28" s="101" t="s">
        <v>39</v>
      </c>
      <c r="AE28" s="105" t="s">
        <v>40</v>
      </c>
      <c r="AF28" s="115">
        <v>4897</v>
      </c>
      <c r="AG28" s="101" t="s">
        <v>39</v>
      </c>
      <c r="AH28" s="105" t="s">
        <v>41</v>
      </c>
      <c r="AI28" s="103">
        <f t="shared" si="6"/>
        <v>7876.11</v>
      </c>
      <c r="AJ28" s="101" t="s">
        <v>39</v>
      </c>
      <c r="AK28" s="105" t="s">
        <v>42</v>
      </c>
      <c r="AL28" s="103">
        <v>0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1431</v>
      </c>
      <c r="AR28" s="103">
        <v>0</v>
      </c>
      <c r="AS28" s="104">
        <f t="shared" si="8"/>
        <v>15564.162499999999</v>
      </c>
      <c r="AT28" s="106">
        <f t="shared" si="9"/>
        <v>16649.2225</v>
      </c>
      <c r="AU28" s="113"/>
      <c r="AV28" s="108"/>
      <c r="AW28" s="109">
        <f t="shared" si="10"/>
        <v>15</v>
      </c>
      <c r="AX28" s="109">
        <f t="shared" si="11"/>
        <v>32213.384999999998</v>
      </c>
      <c r="AY28" s="110">
        <f t="shared" si="12"/>
        <v>32213.384999999995</v>
      </c>
      <c r="AZ28" s="110">
        <f>IFERROR(+LOOKUP(AY28,[13]TARIFAS!$A$4:$B$14,[13]TARIFAS!$A$4:$A$14),0)</f>
        <v>30838.81</v>
      </c>
      <c r="BA28" s="110">
        <f t="shared" si="13"/>
        <v>1374.5749999999935</v>
      </c>
      <c r="BB28" s="110">
        <f>IFERROR(+LOOKUP(AY28,[13]TARIFAS!$A$4:$B$14,[13]TARIFAS!$D$4:$D$14),0)</f>
        <v>32</v>
      </c>
      <c r="BC28" s="110">
        <f t="shared" si="14"/>
        <v>439.86399999999793</v>
      </c>
      <c r="BD28" s="110">
        <f>IFERROR(+LOOKUP(AY28,[13]TARIFAS!$A$4:$B$14,[13]TARIFAS!$C$4:$C$14),0)</f>
        <v>7436.25</v>
      </c>
      <c r="BE28" s="110">
        <f t="shared" si="15"/>
        <v>7876.11</v>
      </c>
      <c r="BF28" s="110"/>
      <c r="BG28" s="110"/>
      <c r="BH28" s="110"/>
      <c r="BI28" s="109"/>
    </row>
    <row r="29" spans="1:62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1" t="s">
        <v>37</v>
      </c>
      <c r="G29" s="101" t="s">
        <v>38</v>
      </c>
      <c r="H29" s="101">
        <v>15</v>
      </c>
      <c r="I29" s="101">
        <v>421.49</v>
      </c>
      <c r="J29" s="160" t="s">
        <v>151</v>
      </c>
      <c r="K29" s="101">
        <v>6572.35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351.5</v>
      </c>
      <c r="R29" s="115">
        <v>406.32</v>
      </c>
      <c r="S29" s="103">
        <f t="shared" si="2"/>
        <v>197.1705</v>
      </c>
      <c r="T29" s="101" t="s">
        <v>37</v>
      </c>
      <c r="U29" s="102">
        <v>1712</v>
      </c>
      <c r="V29" s="104">
        <f t="shared" si="3"/>
        <v>603.4905</v>
      </c>
      <c r="W29" s="101"/>
      <c r="X29" s="102"/>
      <c r="Y29" s="104"/>
      <c r="Z29" s="104">
        <f t="shared" si="4"/>
        <v>7527.3405000000002</v>
      </c>
      <c r="AA29" s="101" t="s">
        <v>39</v>
      </c>
      <c r="AB29" s="102">
        <v>1431</v>
      </c>
      <c r="AC29" s="104">
        <f t="shared" si="5"/>
        <v>624.3732500000001</v>
      </c>
      <c r="AD29" s="101" t="s">
        <v>39</v>
      </c>
      <c r="AE29" s="105" t="s">
        <v>40</v>
      </c>
      <c r="AF29" s="115">
        <v>96.05</v>
      </c>
      <c r="AG29" s="101" t="s">
        <v>39</v>
      </c>
      <c r="AH29" s="105" t="s">
        <v>41</v>
      </c>
      <c r="AI29" s="103">
        <f t="shared" si="6"/>
        <v>1060.6500000000001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1431</v>
      </c>
      <c r="AR29" s="103">
        <v>0</v>
      </c>
      <c r="AS29" s="104">
        <f t="shared" si="8"/>
        <v>1781.0732500000001</v>
      </c>
      <c r="AT29" s="106">
        <f t="shared" si="9"/>
        <v>5746.2672499999999</v>
      </c>
      <c r="AU29" s="113"/>
      <c r="AV29" s="108"/>
      <c r="AW29" s="109">
        <f t="shared" si="10"/>
        <v>15</v>
      </c>
      <c r="AX29" s="109">
        <f t="shared" si="11"/>
        <v>7527.3405000000002</v>
      </c>
      <c r="AY29" s="110">
        <f t="shared" si="12"/>
        <v>7527.3405000000002</v>
      </c>
      <c r="AZ29" s="110">
        <f>IFERROR(+LOOKUP(AY29,[13]TARIFAS!$A$4:$B$14,[13]TARIFAS!$A$4:$A$14),0)</f>
        <v>5081.41</v>
      </c>
      <c r="BA29" s="110">
        <f t="shared" si="13"/>
        <v>2445.9305000000004</v>
      </c>
      <c r="BB29" s="110">
        <f>IFERROR(+LOOKUP(AY29,[13]TARIFAS!$A$4:$B$14,[13]TARIFAS!$D$4:$D$14),0)</f>
        <v>21.36</v>
      </c>
      <c r="BC29" s="110">
        <f t="shared" si="14"/>
        <v>522.45075480000003</v>
      </c>
      <c r="BD29" s="110">
        <f>IFERROR(+LOOKUP(AY29,[13]TARIFAS!$A$4:$B$14,[13]TARIFAS!$C$4:$C$14),0)</f>
        <v>538.20000000000005</v>
      </c>
      <c r="BE29" s="110">
        <f>ROUND(+BC29+BD29,2)</f>
        <v>1060.6500000000001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1" t="s">
        <v>37</v>
      </c>
      <c r="G30" s="101" t="s">
        <v>38</v>
      </c>
      <c r="H30" s="101">
        <v>15</v>
      </c>
      <c r="I30" s="101">
        <v>1029.4333333333334</v>
      </c>
      <c r="J30" s="160" t="s">
        <v>151</v>
      </c>
      <c r="K30" s="101">
        <v>15441.5</v>
      </c>
      <c r="L30" s="101" t="s">
        <v>37</v>
      </c>
      <c r="M30" s="102">
        <v>1311</v>
      </c>
      <c r="N30" s="103">
        <f>67.29</f>
        <v>67.290000000000006</v>
      </c>
      <c r="O30" s="101" t="s">
        <v>37</v>
      </c>
      <c r="P30" s="102">
        <v>1713</v>
      </c>
      <c r="Q30" s="103">
        <v>566.5</v>
      </c>
      <c r="R30" s="103">
        <v>835.5</v>
      </c>
      <c r="S30" s="103">
        <f t="shared" si="2"/>
        <v>463.245</v>
      </c>
      <c r="T30" s="101" t="s">
        <v>37</v>
      </c>
      <c r="U30" s="102">
        <v>1712</v>
      </c>
      <c r="V30" s="104">
        <f t="shared" si="3"/>
        <v>1298.7449999999999</v>
      </c>
      <c r="W30" s="101"/>
      <c r="X30" s="102"/>
      <c r="Y30" s="104"/>
      <c r="Z30" s="104">
        <f t="shared" si="4"/>
        <v>17374.035</v>
      </c>
      <c r="AA30" s="101" t="s">
        <v>39</v>
      </c>
      <c r="AB30" s="102">
        <v>1431</v>
      </c>
      <c r="AC30" s="104">
        <f t="shared" si="5"/>
        <v>1466.9425000000001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41</v>
      </c>
      <c r="AI30" s="103">
        <f t="shared" si="6"/>
        <v>3396.89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1431</v>
      </c>
      <c r="AR30" s="103">
        <v>0</v>
      </c>
      <c r="AS30" s="104">
        <f t="shared" si="8"/>
        <v>4863.8325000000004</v>
      </c>
      <c r="AT30" s="106">
        <f t="shared" si="9"/>
        <v>12510.202499999999</v>
      </c>
      <c r="AU30" s="113"/>
      <c r="AV30" s="108"/>
      <c r="AW30" s="109">
        <f t="shared" si="10"/>
        <v>15</v>
      </c>
      <c r="AX30" s="109">
        <f t="shared" si="11"/>
        <v>17374.035000000003</v>
      </c>
      <c r="AY30" s="110">
        <f t="shared" si="12"/>
        <v>17374.035000000003</v>
      </c>
      <c r="AZ30" s="110">
        <f>IFERROR(+LOOKUP(AY30,[13]TARIFAS!$A$4:$B$14,[13]TARIFAS!$A$4:$A$14),0)</f>
        <v>16153.06</v>
      </c>
      <c r="BA30" s="110">
        <f t="shared" si="13"/>
        <v>1220.975000000004</v>
      </c>
      <c r="BB30" s="110">
        <f>IFERROR(+LOOKUP(AY30,[13]TARIFAS!$A$4:$B$14,[13]TARIFAS!$D$4:$D$14),0)</f>
        <v>30</v>
      </c>
      <c r="BC30" s="110">
        <f t="shared" si="14"/>
        <v>366.29250000000116</v>
      </c>
      <c r="BD30" s="110">
        <f>IFERROR(+LOOKUP(AY30,[13]TARIFAS!$A$4:$B$14,[13]TARIFAS!$C$4:$C$14),0)</f>
        <v>3030.6</v>
      </c>
      <c r="BE30" s="110">
        <f t="shared" si="15"/>
        <v>3396.89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325.036</v>
      </c>
      <c r="J31" s="163" t="s">
        <v>150</v>
      </c>
      <c r="K31" s="101">
        <v>5063.04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5">
        <v>207.91</v>
      </c>
      <c r="R31" s="115">
        <v>371.02</v>
      </c>
      <c r="S31" s="103">
        <f t="shared" si="2"/>
        <v>151.8912</v>
      </c>
      <c r="T31" s="101" t="s">
        <v>37</v>
      </c>
      <c r="U31" s="102">
        <v>1712</v>
      </c>
      <c r="V31" s="104">
        <f t="shared" si="3"/>
        <v>522.91120000000001</v>
      </c>
      <c r="W31" s="101"/>
      <c r="X31" s="102"/>
      <c r="Y31" s="104"/>
      <c r="Z31" s="104">
        <f t="shared" si="4"/>
        <v>5793.8611999999994</v>
      </c>
      <c r="AA31" s="101" t="s">
        <v>39</v>
      </c>
      <c r="AB31" s="102">
        <v>1431</v>
      </c>
      <c r="AC31" s="104">
        <f t="shared" si="5"/>
        <v>480.98880000000003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 t="shared" si="6"/>
        <v>690.38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1431</v>
      </c>
      <c r="AR31" s="103">
        <v>0</v>
      </c>
      <c r="AS31" s="104">
        <f t="shared" si="8"/>
        <v>1171.3688</v>
      </c>
      <c r="AT31" s="106">
        <f t="shared" si="9"/>
        <v>4622.4923999999992</v>
      </c>
      <c r="AU31" s="113"/>
      <c r="AV31" s="108"/>
      <c r="AW31" s="109">
        <f>+H31</f>
        <v>15</v>
      </c>
      <c r="AX31" s="109">
        <f>+K31+S31+N31+Q31+R31+Y31</f>
        <v>5793.8611999999994</v>
      </c>
      <c r="AY31" s="110">
        <f>IFERROR(+AX31/AW31,0)*AW31</f>
        <v>5793.8611999999994</v>
      </c>
      <c r="AZ31" s="110">
        <f>IFERROR(+LOOKUP(AY31,[13]TARIFAS!$A$4:$B$14,[13]TARIFAS!$A$4:$A$14),0)</f>
        <v>5081.41</v>
      </c>
      <c r="BA31" s="110">
        <f>+AY31-AZ31</f>
        <v>712.45119999999952</v>
      </c>
      <c r="BB31" s="110">
        <f>IFERROR(+LOOKUP(AY31,[13]TARIFAS!$A$4:$B$14,[13]TARIFAS!$D$4:$D$14),0)</f>
        <v>21.36</v>
      </c>
      <c r="BC31" s="110">
        <f>(+BA31*BB31)/100</f>
        <v>152.17957631999988</v>
      </c>
      <c r="BD31" s="110">
        <f>IFERROR(+LOOKUP(AY31,[13]TARIFAS!$A$4:$B$14,[13]TARIFAS!$C$4:$C$14),0)</f>
        <v>538.20000000000005</v>
      </c>
      <c r="BE31" s="110">
        <f>ROUND(+BC31+BD31,2)</f>
        <v>690.38</v>
      </c>
      <c r="BF31" s="110"/>
      <c r="BG31" s="110"/>
      <c r="BH31" s="110"/>
      <c r="BI31" s="109"/>
    </row>
    <row r="32" spans="1:62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1" t="s">
        <v>37</v>
      </c>
      <c r="G32" s="101" t="s">
        <v>38</v>
      </c>
      <c r="H32" s="101">
        <v>11</v>
      </c>
      <c r="I32" s="101">
        <v>421.49</v>
      </c>
      <c r="J32" s="163" t="s">
        <v>147</v>
      </c>
      <c r="K32" s="101">
        <v>6572.35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6">
        <f>23.43*15</f>
        <v>351.45</v>
      </c>
      <c r="R32" s="115">
        <f>27.09*15</f>
        <v>406.35</v>
      </c>
      <c r="S32" s="103">
        <f t="shared" si="2"/>
        <v>197.1705</v>
      </c>
      <c r="T32" s="101" t="s">
        <v>37</v>
      </c>
      <c r="U32" s="102">
        <v>1712</v>
      </c>
      <c r="V32" s="104">
        <f t="shared" si="3"/>
        <v>603.52050000000008</v>
      </c>
      <c r="W32" s="101"/>
      <c r="X32" s="102"/>
      <c r="Y32" s="104"/>
      <c r="Z32" s="104">
        <f t="shared" si="4"/>
        <v>7527.3204999999998</v>
      </c>
      <c r="AA32" s="101" t="s">
        <v>39</v>
      </c>
      <c r="AB32" s="102">
        <v>1431</v>
      </c>
      <c r="AC32" s="104">
        <f t="shared" si="5"/>
        <v>624.3732500000001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 t="shared" si="6"/>
        <v>1060.6500000000001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1431</v>
      </c>
      <c r="AR32" s="103">
        <v>0</v>
      </c>
      <c r="AS32" s="104">
        <f t="shared" si="8"/>
        <v>1685.0232500000002</v>
      </c>
      <c r="AT32" s="106">
        <f t="shared" si="9"/>
        <v>5842.2972499999996</v>
      </c>
      <c r="AU32" s="113"/>
      <c r="AV32" s="108"/>
      <c r="AW32" s="109">
        <f t="shared" si="10"/>
        <v>11</v>
      </c>
      <c r="AX32" s="109">
        <f t="shared" si="11"/>
        <v>7527.3205000000007</v>
      </c>
      <c r="AY32" s="110">
        <f t="shared" si="12"/>
        <v>7527.3205000000007</v>
      </c>
      <c r="AZ32" s="110">
        <f>IFERROR(+LOOKUP(AY32,[13]TARIFAS!$A$4:$B$14,[13]TARIFAS!$A$4:$A$14),0)</f>
        <v>5081.41</v>
      </c>
      <c r="BA32" s="110">
        <f t="shared" si="13"/>
        <v>2445.9105000000009</v>
      </c>
      <c r="BB32" s="110">
        <f>IFERROR(+LOOKUP(AY32,[13]TARIFAS!$A$4:$B$14,[13]TARIFAS!$D$4:$D$14),0)</f>
        <v>21.36</v>
      </c>
      <c r="BC32" s="110">
        <f t="shared" si="14"/>
        <v>522.44648280000013</v>
      </c>
      <c r="BD32" s="110">
        <f>IFERROR(+LOOKUP(AY32,[13]TARIFAS!$A$4:$B$14,[13]TARIFAS!$C$4:$C$14),0)</f>
        <v>538.20000000000005</v>
      </c>
      <c r="BE32" s="110">
        <f t="shared" si="15"/>
        <v>1060.6500000000001</v>
      </c>
      <c r="BF32" s="110"/>
      <c r="BG32" s="110"/>
      <c r="BH32" s="110"/>
      <c r="BI32" s="109"/>
    </row>
    <row r="33" spans="1:47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4"/>
      <c r="G33" s="124"/>
      <c r="H33" s="124"/>
      <c r="I33" s="124"/>
      <c r="J33" s="124"/>
      <c r="K33" s="124">
        <f>SUM(K5:K32)</f>
        <v>225422.81000000003</v>
      </c>
      <c r="L33" s="124"/>
      <c r="M33" s="124"/>
      <c r="N33" s="124">
        <f>SUM(N5:N32)</f>
        <v>2504.5499999999993</v>
      </c>
      <c r="O33" s="124"/>
      <c r="P33" s="124"/>
      <c r="Q33" s="124">
        <f>SUM(Q5:Q32)</f>
        <v>9668.5</v>
      </c>
      <c r="R33" s="124">
        <f>SUM(R5:R32)</f>
        <v>13123.21</v>
      </c>
      <c r="S33" s="124">
        <f>SUM(S5:S32)</f>
        <v>6762.6843000000008</v>
      </c>
      <c r="T33" s="124"/>
      <c r="U33" s="124"/>
      <c r="V33" s="124">
        <f>SUM(V5:V32)</f>
        <v>19885.894299999996</v>
      </c>
      <c r="W33" s="124"/>
      <c r="X33" s="125"/>
      <c r="Y33" s="124">
        <f>SUM(Y5:Y30)</f>
        <v>0</v>
      </c>
      <c r="Z33" s="124">
        <f>SUM(Z5:Z32)</f>
        <v>257481.7543</v>
      </c>
      <c r="AA33" s="124"/>
      <c r="AB33" s="125"/>
      <c r="AC33" s="124">
        <f>SUM(AC5:AC32)</f>
        <v>21531.710250000007</v>
      </c>
      <c r="AD33" s="124"/>
      <c r="AE33" s="125"/>
      <c r="AF33" s="126">
        <f>SUM(AF5:AF32)</f>
        <v>22685.5</v>
      </c>
      <c r="AG33" s="124"/>
      <c r="AH33" s="125"/>
      <c r="AI33" s="124">
        <f>SUM(AI5:AI32)</f>
        <v>41906.660000000003</v>
      </c>
      <c r="AJ33" s="124"/>
      <c r="AK33" s="125"/>
      <c r="AL33" s="126">
        <f>SUM(AL5:AL32)</f>
        <v>1088.5371</v>
      </c>
      <c r="AM33" s="124"/>
      <c r="AN33" s="125"/>
      <c r="AO33" s="124">
        <f>SUM(AO5:AO32)</f>
        <v>0</v>
      </c>
      <c r="AP33" s="124"/>
      <c r="AQ33" s="125"/>
      <c r="AR33" s="124">
        <f>SUM(AR5:AR32)</f>
        <v>0</v>
      </c>
      <c r="AS33" s="124">
        <f>SUM(AS5:AS32)</f>
        <v>87212.407349999994</v>
      </c>
      <c r="AT33" s="124">
        <f>SUM(AT5:AT32)</f>
        <v>170269.34694999998</v>
      </c>
      <c r="AU33" s="127"/>
    </row>
    <row r="34" spans="1:47" s="128" customFormat="1" ht="21" customHeight="1" x14ac:dyDescent="0.2">
      <c r="A34" s="129"/>
      <c r="B34" s="129"/>
      <c r="C34" s="130"/>
      <c r="D34" s="130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1"/>
      <c r="Y34" s="129"/>
      <c r="Z34" s="129"/>
      <c r="AA34" s="129"/>
      <c r="AB34" s="131"/>
      <c r="AC34" s="129"/>
      <c r="AD34" s="129"/>
      <c r="AE34" s="131"/>
      <c r="AF34" s="132"/>
      <c r="AG34" s="129"/>
      <c r="AH34" s="131"/>
      <c r="AI34" s="129"/>
      <c r="AJ34" s="129"/>
      <c r="AK34" s="131"/>
      <c r="AL34" s="132"/>
      <c r="AM34" s="129"/>
      <c r="AN34" s="131"/>
      <c r="AO34" s="129"/>
      <c r="AP34" s="129"/>
      <c r="AQ34" s="131"/>
      <c r="AR34" s="129"/>
      <c r="AS34" s="129"/>
      <c r="AT34" s="129"/>
      <c r="AU34" s="129"/>
    </row>
    <row r="35" spans="1:47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73"/>
      <c r="L35" s="135"/>
      <c r="M35" s="135"/>
      <c r="O35" s="135"/>
      <c r="P35" s="136"/>
      <c r="Q35" s="137"/>
      <c r="R35" s="138"/>
      <c r="S35" s="173"/>
      <c r="T35" s="173"/>
      <c r="U35" s="173"/>
      <c r="V35" s="173"/>
      <c r="W35" s="173"/>
      <c r="X35" s="173"/>
      <c r="Y35" s="173"/>
      <c r="Z35" s="173"/>
      <c r="AA35" s="133"/>
      <c r="AB35" s="133"/>
      <c r="AC35" s="133"/>
      <c r="AD35" s="133"/>
      <c r="AE35" s="133"/>
      <c r="AG35" s="133"/>
      <c r="AH35" s="133"/>
      <c r="AI35" s="133"/>
      <c r="AJ35" s="133"/>
      <c r="AK35" s="133"/>
      <c r="AL35" s="173" t="s">
        <v>113</v>
      </c>
      <c r="AM35" s="173"/>
      <c r="AN35" s="173"/>
      <c r="AO35" s="173"/>
      <c r="AP35" s="173"/>
      <c r="AQ35" s="173"/>
      <c r="AR35" s="173"/>
      <c r="AS35" s="173"/>
      <c r="AT35" s="173"/>
    </row>
    <row r="36" spans="1:47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O36" s="141"/>
      <c r="P36" s="142"/>
      <c r="Q36" s="141"/>
      <c r="R36" s="138"/>
      <c r="S36" s="138"/>
      <c r="T36" s="141"/>
      <c r="U36" s="142"/>
      <c r="W36" s="141"/>
      <c r="X36" s="142"/>
      <c r="Z36" s="138"/>
      <c r="AA36" s="141"/>
      <c r="AB36" s="142"/>
      <c r="AC36" s="143"/>
      <c r="AD36" s="141"/>
      <c r="AE36" s="142"/>
      <c r="AF36" s="144"/>
      <c r="AG36" s="141"/>
      <c r="AH36" s="142"/>
      <c r="AI36" s="133"/>
      <c r="AJ36" s="141"/>
      <c r="AK36" s="142"/>
      <c r="AL36" s="145"/>
      <c r="AM36" s="141"/>
      <c r="AN36" s="142"/>
      <c r="AO36" s="133"/>
      <c r="AP36" s="141"/>
      <c r="AQ36" s="142"/>
      <c r="AR36" s="133"/>
      <c r="AT36" s="133"/>
    </row>
    <row r="37" spans="1:47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73"/>
      <c r="L37" s="135"/>
      <c r="M37" s="135"/>
      <c r="O37" s="135"/>
      <c r="P37" s="136"/>
      <c r="Q37" s="138"/>
      <c r="R37" s="138"/>
      <c r="S37" s="173"/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J37" s="133"/>
      <c r="AK37" s="133"/>
      <c r="AL37" s="173" t="s">
        <v>115</v>
      </c>
      <c r="AM37" s="173"/>
      <c r="AN37" s="173"/>
      <c r="AO37" s="173"/>
      <c r="AP37" s="173"/>
      <c r="AQ37" s="173"/>
      <c r="AR37" s="173"/>
      <c r="AS37" s="173"/>
      <c r="AT37" s="173"/>
      <c r="AU37" s="133"/>
    </row>
    <row r="38" spans="1:47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73"/>
      <c r="L38" s="135"/>
      <c r="M38" s="135"/>
      <c r="O38" s="135"/>
      <c r="P38" s="136"/>
      <c r="Q38" s="138"/>
      <c r="R38" s="138"/>
      <c r="S38" s="173"/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133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47" x14ac:dyDescent="0.2">
      <c r="A39" s="133"/>
      <c r="B39" s="133"/>
      <c r="C39" s="146"/>
      <c r="D39" s="146"/>
      <c r="E39" s="146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47"/>
      <c r="Q39" s="133"/>
      <c r="T39" s="133"/>
      <c r="U39" s="147"/>
      <c r="W39" s="133"/>
      <c r="X39" s="147"/>
      <c r="Z39" s="133"/>
      <c r="AA39" s="133"/>
      <c r="AB39" s="147"/>
      <c r="AC39" s="133"/>
      <c r="AD39" s="133"/>
      <c r="AE39" s="147"/>
      <c r="AF39" s="148"/>
      <c r="AG39" s="133"/>
      <c r="AH39" s="147"/>
      <c r="AJ39" s="133"/>
      <c r="AK39" s="147"/>
      <c r="AM39" s="133"/>
      <c r="AN39" s="147"/>
      <c r="AP39" s="133"/>
      <c r="AQ39" s="147"/>
      <c r="AS39" s="133"/>
      <c r="AT39" s="133"/>
      <c r="AU39" s="133"/>
    </row>
    <row r="40" spans="1:47" x14ac:dyDescent="0.2"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R40" s="133"/>
      <c r="S40" s="133"/>
      <c r="T40" s="133"/>
      <c r="U40" s="147"/>
      <c r="V40" s="149"/>
      <c r="W40" s="133"/>
      <c r="X40" s="147"/>
      <c r="Y40" s="149"/>
      <c r="Z40" s="133"/>
      <c r="AA40" s="133"/>
      <c r="AB40" s="147"/>
      <c r="AC40" s="133"/>
      <c r="AD40" s="133"/>
      <c r="AE40" s="147"/>
      <c r="AF40" s="150"/>
      <c r="AG40" s="133"/>
      <c r="AH40" s="147"/>
      <c r="AI40" s="133"/>
      <c r="AJ40" s="133"/>
      <c r="AK40" s="147"/>
      <c r="AL40" s="150"/>
      <c r="AM40" s="133"/>
      <c r="AN40" s="147"/>
      <c r="AO40" s="133"/>
      <c r="AP40" s="133"/>
      <c r="AQ40" s="147"/>
      <c r="AR40" s="133"/>
      <c r="AS40" s="133"/>
    </row>
    <row r="41" spans="1:47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47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  <c r="AT42" s="133"/>
    </row>
    <row r="43" spans="1:47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47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47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47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</row>
    <row r="47" spans="1:47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47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34"/>
      <c r="D55" s="151"/>
      <c r="E55" s="151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46"/>
      <c r="D59" s="146"/>
      <c r="E59" s="146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D59" s="133"/>
      <c r="AE59" s="147"/>
      <c r="AG59" s="133"/>
      <c r="AH59" s="147"/>
      <c r="AJ59" s="133"/>
      <c r="AK59" s="147"/>
      <c r="AM59" s="133"/>
      <c r="AN59" s="147"/>
      <c r="AP59" s="133"/>
      <c r="AQ59" s="147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0"/>
      <c r="D65" s="140"/>
      <c r="E65" s="140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49"/>
      <c r="R65" s="133"/>
      <c r="S65" s="149"/>
      <c r="T65" s="133"/>
      <c r="U65" s="147"/>
      <c r="V65" s="149"/>
      <c r="W65" s="133"/>
      <c r="X65" s="147"/>
      <c r="Y65" s="149"/>
      <c r="Z65" s="133"/>
      <c r="AA65" s="133"/>
      <c r="AB65" s="147"/>
      <c r="AC65" s="133"/>
      <c r="AD65" s="133"/>
      <c r="AE65" s="147"/>
      <c r="AF65" s="150"/>
      <c r="AG65" s="133"/>
      <c r="AH65" s="147"/>
      <c r="AI65" s="133"/>
      <c r="AJ65" s="133"/>
      <c r="AK65" s="147"/>
      <c r="AL65" s="150"/>
      <c r="AM65" s="133"/>
      <c r="AN65" s="147"/>
      <c r="AO65" s="133"/>
      <c r="AP65" s="133"/>
      <c r="AQ65" s="147"/>
      <c r="AR65" s="133"/>
      <c r="AS65" s="133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33"/>
      <c r="W66" s="133"/>
      <c r="X66" s="147"/>
      <c r="Y66" s="133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34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52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  <c r="AT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D76" s="133"/>
      <c r="AE76" s="147"/>
      <c r="AG76" s="133"/>
      <c r="AH76" s="147"/>
      <c r="AJ76" s="133"/>
      <c r="AK76" s="147"/>
      <c r="AM76" s="133"/>
      <c r="AN76" s="147"/>
      <c r="AP76" s="133"/>
      <c r="AQ76" s="147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53"/>
      <c r="AA79" s="133"/>
      <c r="AB79" s="147"/>
      <c r="AC79" s="153"/>
      <c r="AD79" s="133"/>
      <c r="AE79" s="147"/>
      <c r="AF79" s="154"/>
      <c r="AG79" s="133"/>
      <c r="AH79" s="147"/>
      <c r="AI79" s="153"/>
      <c r="AJ79" s="133"/>
      <c r="AK79" s="147"/>
      <c r="AL79" s="154"/>
      <c r="AM79" s="133"/>
      <c r="AN79" s="147"/>
      <c r="AO79" s="153"/>
      <c r="AP79" s="133"/>
      <c r="AQ79" s="147"/>
      <c r="AR79" s="153"/>
      <c r="AS79" s="153"/>
      <c r="AT79" s="15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C80" s="133"/>
      <c r="AD80" s="133"/>
      <c r="AE80" s="147"/>
      <c r="AF80" s="150"/>
      <c r="AG80" s="133"/>
      <c r="AH80" s="147"/>
      <c r="AI80" s="133"/>
      <c r="AJ80" s="133"/>
      <c r="AK80" s="147"/>
      <c r="AL80" s="150"/>
      <c r="AM80" s="133"/>
      <c r="AN80" s="147"/>
      <c r="AO80" s="133"/>
      <c r="AP80" s="133"/>
      <c r="AQ80" s="147"/>
      <c r="AR80" s="133"/>
      <c r="AS80" s="133"/>
      <c r="AT80" s="133"/>
    </row>
    <row r="81" spans="3:47" x14ac:dyDescent="0.2">
      <c r="C81" s="140"/>
      <c r="D81" s="140"/>
      <c r="E81" s="140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7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7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7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7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7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7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7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7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7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7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7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7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33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7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7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7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  <c r="AU96" s="155"/>
    </row>
    <row r="97" spans="1:48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8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8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8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8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D101" s="133"/>
      <c r="AE101" s="147"/>
      <c r="AG101" s="133"/>
      <c r="AH101" s="147"/>
      <c r="AJ101" s="133"/>
      <c r="AK101" s="147"/>
      <c r="AM101" s="133"/>
      <c r="AN101" s="147"/>
      <c r="AP101" s="133"/>
      <c r="AQ101" s="147"/>
      <c r="AT101" s="133"/>
    </row>
    <row r="102" spans="1:48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8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8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</row>
    <row r="105" spans="1:48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8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8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8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8" x14ac:dyDescent="0.2">
      <c r="A109" s="155"/>
      <c r="B109" s="155"/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8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8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8" s="155" customFormat="1" x14ac:dyDescent="0.2">
      <c r="A112" s="81"/>
      <c r="B112" s="81"/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C112" s="81"/>
      <c r="AD112" s="133"/>
      <c r="AE112" s="147"/>
      <c r="AF112" s="139"/>
      <c r="AG112" s="133"/>
      <c r="AH112" s="147"/>
      <c r="AI112" s="81"/>
      <c r="AJ112" s="133"/>
      <c r="AK112" s="147"/>
      <c r="AL112" s="139"/>
      <c r="AM112" s="133"/>
      <c r="AN112" s="147"/>
      <c r="AO112" s="81"/>
      <c r="AP112" s="133"/>
      <c r="AQ112" s="147"/>
      <c r="AR112" s="81"/>
      <c r="AS112" s="81"/>
      <c r="AT112" s="81"/>
      <c r="AU112" s="81"/>
      <c r="AV112" s="81"/>
    </row>
    <row r="113" spans="3:43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3:43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3:43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3:43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3:43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3:43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3:43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3:43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3:43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3:43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3:43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3:43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3:43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3:43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3:43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3:43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</sheetData>
  <mergeCells count="11">
    <mergeCell ref="D38:K38"/>
    <mergeCell ref="S38:Z38"/>
    <mergeCell ref="AL38:AT38"/>
    <mergeCell ref="C2:AU2"/>
    <mergeCell ref="B4:C4"/>
    <mergeCell ref="D35:K35"/>
    <mergeCell ref="S35:Z35"/>
    <mergeCell ref="AL35:AT35"/>
    <mergeCell ref="D37:K37"/>
    <mergeCell ref="S37:Z37"/>
    <mergeCell ref="AL37:AT37"/>
  </mergeCells>
  <printOptions horizontalCentered="1" verticalCentered="1"/>
  <pageMargins left="0" right="7.874015748031496E-2" top="0.39370078740157483" bottom="0.19685039370078741" header="0.39370078740157483" footer="0"/>
  <pageSetup paperSize="256" scale="70" orientation="landscape" r:id="rId1"/>
  <headerFooter differentOddEven="1">
    <oddFooter xml:space="preserve"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1" sqref="E1:I1048576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3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hidden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8.1406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4.85546875" style="81" hidden="1" customWidth="1"/>
    <col min="42" max="42" width="5.7109375" style="81" hidden="1" customWidth="1"/>
    <col min="43" max="43" width="11.28515625" style="157" hidden="1" customWidth="1"/>
    <col min="44" max="44" width="15.5703125" style="81" hidden="1" customWidth="1"/>
    <col min="45" max="45" width="18.5703125" style="81" customWidth="1"/>
    <col min="46" max="46" width="19.85546875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1" spans="1:62" ht="15.75" x14ac:dyDescent="0.2">
      <c r="N1" s="138"/>
      <c r="O1" s="138"/>
      <c r="P1" s="158"/>
      <c r="Q1" s="138"/>
      <c r="R1" s="138"/>
    </row>
    <row r="2" spans="1:62" ht="35.25" customHeight="1" x14ac:dyDescent="0.2">
      <c r="C2" s="174" t="s">
        <v>155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 t="s">
        <v>38</v>
      </c>
      <c r="H5" s="101">
        <v>15</v>
      </c>
      <c r="I5" s="101">
        <v>421.49</v>
      </c>
      <c r="J5" s="160" t="s">
        <v>146</v>
      </c>
      <c r="K5" s="101">
        <v>6572.35</v>
      </c>
      <c r="L5" s="101" t="s">
        <v>37</v>
      </c>
      <c r="M5" s="102">
        <v>1311</v>
      </c>
      <c r="N5" s="103">
        <f>134.58+33.65</f>
        <v>168.23000000000002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 t="shared" ref="S5:S32" si="2">(K5*3%)</f>
        <v>197.1705</v>
      </c>
      <c r="T5" s="101" t="s">
        <v>37</v>
      </c>
      <c r="U5" s="102">
        <v>1712</v>
      </c>
      <c r="V5" s="104">
        <f t="shared" ref="V5:V32" si="3">(R5+S5)</f>
        <v>603.4905</v>
      </c>
      <c r="W5" s="101" t="s">
        <v>37</v>
      </c>
      <c r="X5" s="102">
        <v>1345</v>
      </c>
      <c r="Y5" s="104">
        <v>0</v>
      </c>
      <c r="Z5" s="104">
        <f t="shared" ref="Z5:Z32" si="4">K5+N5+Q5+V5+Y5</f>
        <v>7695.5704999999998</v>
      </c>
      <c r="AA5" s="101" t="s">
        <v>39</v>
      </c>
      <c r="AB5" s="102">
        <v>1431</v>
      </c>
      <c r="AC5" s="104">
        <f t="shared" ref="AC5:AC32" si="5">(K5*9.5%)</f>
        <v>624.3732500000001</v>
      </c>
      <c r="AD5" s="101" t="s">
        <v>39</v>
      </c>
      <c r="AE5" s="105" t="s">
        <v>40</v>
      </c>
      <c r="AF5" s="103">
        <v>395.77</v>
      </c>
      <c r="AG5" s="101" t="s">
        <v>39</v>
      </c>
      <c r="AH5" s="105" t="s">
        <v>41</v>
      </c>
      <c r="AI5" s="103">
        <f t="shared" ref="AI5:AI32" si="6">+BE5</f>
        <v>1096.58</v>
      </c>
      <c r="AJ5" s="101" t="s">
        <v>39</v>
      </c>
      <c r="AK5" s="105" t="s">
        <v>42</v>
      </c>
      <c r="AL5" s="103">
        <f t="shared" ref="AL5:AL10" si="7">(K5*1%)</f>
        <v>65.723500000000001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1431</v>
      </c>
      <c r="AR5" s="103">
        <v>0</v>
      </c>
      <c r="AS5" s="104">
        <f t="shared" ref="AS5:AS32" si="8">(AC5+AF5+AI5+AL5+AO5+AR5)</f>
        <v>2182.4467500000001</v>
      </c>
      <c r="AT5" s="106">
        <f t="shared" ref="AT5:AT32" si="9">(Z5-AS5)</f>
        <v>5513.1237499999997</v>
      </c>
      <c r="AU5" s="107"/>
      <c r="AV5" s="108"/>
      <c r="AW5" s="109">
        <f>+H5</f>
        <v>15</v>
      </c>
      <c r="AX5" s="109">
        <f>+K5+S5+N5+Q5+R5+Y5</f>
        <v>7695.5704999999998</v>
      </c>
      <c r="AY5" s="110">
        <f>IFERROR(+AX5/AW5,0)*AW5</f>
        <v>7695.5705000000007</v>
      </c>
      <c r="AZ5" s="110">
        <f>IFERROR(+LOOKUP(AY5,[13]TARIFAS!$A$4:$B$14,[13]TARIFAS!$A$4:$A$14),0)</f>
        <v>5081.41</v>
      </c>
      <c r="BA5" s="110">
        <f>+AY5-AZ5</f>
        <v>2614.1605000000009</v>
      </c>
      <c r="BB5" s="110">
        <f>IFERROR(+LOOKUP(AY5,[13]TARIFAS!$A$4:$B$14,[13]TARIFAS!$D$4:$D$14),0)</f>
        <v>21.36</v>
      </c>
      <c r="BC5" s="110">
        <f>(+BA5*BB5)/100</f>
        <v>558.38468280000018</v>
      </c>
      <c r="BD5" s="110">
        <f>IFERROR(+LOOKUP(AY5,[13]TARIFAS!$A$4:$B$14,[13]TARIFAS!$C$4:$C$14),0)</f>
        <v>538.20000000000005</v>
      </c>
      <c r="BE5" s="110">
        <f>ROUND(+BC5+BD5,2)</f>
        <v>1096.58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6572.35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 t="shared" si="2"/>
        <v>197.1705</v>
      </c>
      <c r="T6" s="101" t="s">
        <v>37</v>
      </c>
      <c r="U6" s="102">
        <v>1712</v>
      </c>
      <c r="V6" s="104">
        <f t="shared" si="3"/>
        <v>603.4905</v>
      </c>
      <c r="W6" s="101"/>
      <c r="X6" s="102"/>
      <c r="Y6" s="104"/>
      <c r="Z6" s="104">
        <f t="shared" si="4"/>
        <v>7695.5655000000006</v>
      </c>
      <c r="AA6" s="101" t="s">
        <v>39</v>
      </c>
      <c r="AB6" s="102">
        <v>1431</v>
      </c>
      <c r="AC6" s="104">
        <f t="shared" si="5"/>
        <v>624.3732500000001</v>
      </c>
      <c r="AD6" s="101" t="s">
        <v>39</v>
      </c>
      <c r="AE6" s="105" t="s">
        <v>40</v>
      </c>
      <c r="AF6" s="103">
        <v>2191</v>
      </c>
      <c r="AG6" s="101" t="s">
        <v>39</v>
      </c>
      <c r="AH6" s="105" t="s">
        <v>41</v>
      </c>
      <c r="AI6" s="103">
        <f t="shared" si="6"/>
        <v>1096.58</v>
      </c>
      <c r="AJ6" s="101" t="s">
        <v>39</v>
      </c>
      <c r="AK6" s="105" t="s">
        <v>42</v>
      </c>
      <c r="AL6" s="103">
        <f t="shared" si="7"/>
        <v>65.723500000000001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1431</v>
      </c>
      <c r="AR6" s="103">
        <v>0</v>
      </c>
      <c r="AS6" s="104">
        <f t="shared" si="8"/>
        <v>3977.6767500000001</v>
      </c>
      <c r="AT6" s="106">
        <f t="shared" si="9"/>
        <v>3717.8887500000005</v>
      </c>
      <c r="AU6" s="113"/>
      <c r="AV6" s="108"/>
      <c r="AW6" s="109">
        <f t="shared" ref="AW6:AW32" si="10">+H6</f>
        <v>15</v>
      </c>
      <c r="AX6" s="109">
        <f t="shared" ref="AX6:AX32" si="11">+K6+S6+N6+Q6+R6+Y6</f>
        <v>7695.5655000000006</v>
      </c>
      <c r="AY6" s="110">
        <f t="shared" ref="AY6:AY32" si="12">IFERROR(+AX6/AW6,0)*AW6</f>
        <v>7695.5655000000015</v>
      </c>
      <c r="AZ6" s="110">
        <f>IFERROR(+LOOKUP(AY6,[13]TARIFAS!$A$4:$B$14,[13]TARIFAS!$A$4:$A$14),0)</f>
        <v>5081.41</v>
      </c>
      <c r="BA6" s="110">
        <f t="shared" ref="BA6:BA32" si="13">+AY6-AZ6</f>
        <v>2614.1555000000017</v>
      </c>
      <c r="BB6" s="110">
        <f>IFERROR(+LOOKUP(AY6,[13]TARIFAS!$A$4:$B$14,[13]TARIFAS!$D$4:$D$14),0)</f>
        <v>21.36</v>
      </c>
      <c r="BC6" s="110">
        <f t="shared" ref="BC6:BC32" si="14">(+BA6*BB6)/100</f>
        <v>558.38361480000037</v>
      </c>
      <c r="BD6" s="110">
        <f>IFERROR(+LOOKUP(AY6,[13]TARIFAS!$A$4:$B$14,[13]TARIFAS!$C$4:$C$14),0)</f>
        <v>538.20000000000005</v>
      </c>
      <c r="BE6" s="110">
        <f t="shared" ref="BE6:BE32" si="15">ROUND(+BC6+BD6,2)</f>
        <v>1096.58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7713.23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f t="shared" si="2"/>
        <v>231.39689999999999</v>
      </c>
      <c r="T7" s="101" t="s">
        <v>37</v>
      </c>
      <c r="U7" s="102">
        <v>1712</v>
      </c>
      <c r="V7" s="104">
        <f t="shared" si="3"/>
        <v>649.83690000000001</v>
      </c>
      <c r="W7" s="101"/>
      <c r="X7" s="102"/>
      <c r="Y7" s="104"/>
      <c r="Z7" s="104">
        <f t="shared" si="4"/>
        <v>8813.3819000000003</v>
      </c>
      <c r="AA7" s="101" t="s">
        <v>39</v>
      </c>
      <c r="AB7" s="102">
        <v>1431</v>
      </c>
      <c r="AC7" s="104">
        <f t="shared" si="5"/>
        <v>732.75684999999999</v>
      </c>
      <c r="AD7" s="101" t="s">
        <v>39</v>
      </c>
      <c r="AE7" s="105" t="s">
        <v>40</v>
      </c>
      <c r="AF7" s="103">
        <v>1158</v>
      </c>
      <c r="AG7" s="101" t="s">
        <v>39</v>
      </c>
      <c r="AH7" s="105" t="s">
        <v>41</v>
      </c>
      <c r="AI7" s="103">
        <f t="shared" si="6"/>
        <v>1335.35</v>
      </c>
      <c r="AJ7" s="101" t="s">
        <v>39</v>
      </c>
      <c r="AK7" s="105" t="s">
        <v>42</v>
      </c>
      <c r="AL7" s="103">
        <f t="shared" si="7"/>
        <v>77.132300000000001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1431</v>
      </c>
      <c r="AR7" s="103">
        <v>0</v>
      </c>
      <c r="AS7" s="104">
        <f t="shared" si="8"/>
        <v>3303.2391500000003</v>
      </c>
      <c r="AT7" s="106">
        <f t="shared" si="9"/>
        <v>5510.14275</v>
      </c>
      <c r="AU7" s="113"/>
      <c r="AV7" s="108"/>
      <c r="AW7" s="109">
        <f t="shared" si="10"/>
        <v>15</v>
      </c>
      <c r="AX7" s="109">
        <f t="shared" si="11"/>
        <v>8813.3819000000003</v>
      </c>
      <c r="AY7" s="110">
        <f t="shared" si="12"/>
        <v>8813.3819000000003</v>
      </c>
      <c r="AZ7" s="110">
        <f>IFERROR(+LOOKUP(AY7,[13]TARIFAS!$A$4:$B$14,[13]TARIFAS!$A$4:$A$14),0)</f>
        <v>5081.41</v>
      </c>
      <c r="BA7" s="110">
        <f t="shared" si="13"/>
        <v>3731.9719000000005</v>
      </c>
      <c r="BB7" s="110">
        <f>IFERROR(+LOOKUP(AY7,[13]TARIFAS!$A$4:$B$14,[13]TARIFAS!$D$4:$D$14),0)</f>
        <v>21.36</v>
      </c>
      <c r="BC7" s="110">
        <f t="shared" si="14"/>
        <v>797.14919784000017</v>
      </c>
      <c r="BD7" s="110">
        <f>IFERROR(+LOOKUP(AY7,[13]TARIFAS!$A$4:$B$14,[13]TARIFAS!$C$4:$C$14),0)</f>
        <v>538.20000000000005</v>
      </c>
      <c r="BE7" s="110">
        <f t="shared" si="15"/>
        <v>1335.35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6572.35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 t="shared" si="2"/>
        <v>197.1705</v>
      </c>
      <c r="T8" s="101" t="s">
        <v>37</v>
      </c>
      <c r="U8" s="102">
        <v>1712</v>
      </c>
      <c r="V8" s="104">
        <f t="shared" si="3"/>
        <v>603.4905</v>
      </c>
      <c r="W8" s="101"/>
      <c r="X8" s="102"/>
      <c r="Y8" s="104"/>
      <c r="Z8" s="104">
        <f t="shared" si="4"/>
        <v>7729.2105000000001</v>
      </c>
      <c r="AA8" s="101" t="s">
        <v>39</v>
      </c>
      <c r="AB8" s="102">
        <v>1431</v>
      </c>
      <c r="AC8" s="104">
        <f t="shared" si="5"/>
        <v>624.3732500000001</v>
      </c>
      <c r="AD8" s="101" t="s">
        <v>39</v>
      </c>
      <c r="AE8" s="105" t="s">
        <v>40</v>
      </c>
      <c r="AF8" s="103">
        <v>1542</v>
      </c>
      <c r="AG8" s="101" t="s">
        <v>39</v>
      </c>
      <c r="AH8" s="105" t="s">
        <v>41</v>
      </c>
      <c r="AI8" s="103">
        <f t="shared" si="6"/>
        <v>1103.77</v>
      </c>
      <c r="AJ8" s="101" t="s">
        <v>39</v>
      </c>
      <c r="AK8" s="105" t="s">
        <v>42</v>
      </c>
      <c r="AL8" s="103">
        <f t="shared" si="7"/>
        <v>65.723500000000001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1431</v>
      </c>
      <c r="AR8" s="103">
        <v>0</v>
      </c>
      <c r="AS8" s="104">
        <f t="shared" si="8"/>
        <v>3335.8667500000001</v>
      </c>
      <c r="AT8" s="106">
        <f t="shared" si="9"/>
        <v>4393.34375</v>
      </c>
      <c r="AU8" s="113"/>
      <c r="AV8" s="108"/>
      <c r="AW8" s="109">
        <f t="shared" si="10"/>
        <v>15</v>
      </c>
      <c r="AX8" s="109">
        <f t="shared" si="11"/>
        <v>7729.2105000000001</v>
      </c>
      <c r="AY8" s="110">
        <f>IFERROR(+AX8/AW8,0)*AW8</f>
        <v>7729.2105000000001</v>
      </c>
      <c r="AZ8" s="110">
        <f>IFERROR(+LOOKUP(AY8,[13]TARIFAS!$A$4:$B$14,[13]TARIFAS!$A$4:$A$14),0)</f>
        <v>5081.41</v>
      </c>
      <c r="BA8" s="110">
        <f t="shared" si="13"/>
        <v>2647.8005000000003</v>
      </c>
      <c r="BB8" s="110">
        <f>IFERROR(+LOOKUP(AY8,[13]TARIFAS!$A$4:$B$14,[13]TARIFAS!$D$4:$D$14),0)</f>
        <v>21.36</v>
      </c>
      <c r="BC8" s="110">
        <f t="shared" si="14"/>
        <v>565.57018679999999</v>
      </c>
      <c r="BD8" s="110">
        <f>IFERROR(+LOOKUP(AY8,[13]TARIFAS!$A$4:$B$14,[13]TARIFAS!$C$4:$C$14),0)</f>
        <v>538.20000000000005</v>
      </c>
      <c r="BE8" s="110">
        <f t="shared" si="15"/>
        <v>1103.77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7713.23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f t="shared" si="2"/>
        <v>231.39689999999999</v>
      </c>
      <c r="T9" s="101" t="s">
        <v>37</v>
      </c>
      <c r="U9" s="102">
        <v>1712</v>
      </c>
      <c r="V9" s="104">
        <f t="shared" si="3"/>
        <v>649.83690000000001</v>
      </c>
      <c r="W9" s="101"/>
      <c r="X9" s="102"/>
      <c r="Y9" s="104"/>
      <c r="Z9" s="104">
        <f t="shared" si="4"/>
        <v>8813.3819000000003</v>
      </c>
      <c r="AA9" s="101" t="s">
        <v>39</v>
      </c>
      <c r="AB9" s="102">
        <v>1431</v>
      </c>
      <c r="AC9" s="104">
        <f t="shared" si="5"/>
        <v>732.75684999999999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 t="shared" si="6"/>
        <v>1335.35</v>
      </c>
      <c r="AJ9" s="101" t="s">
        <v>39</v>
      </c>
      <c r="AK9" s="105" t="s">
        <v>42</v>
      </c>
      <c r="AL9" s="103">
        <f t="shared" si="7"/>
        <v>77.132300000000001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1431</v>
      </c>
      <c r="AR9" s="103">
        <v>0</v>
      </c>
      <c r="AS9" s="104">
        <f t="shared" si="8"/>
        <v>2145.2391500000003</v>
      </c>
      <c r="AT9" s="106">
        <f t="shared" si="9"/>
        <v>6668.14275</v>
      </c>
      <c r="AU9" s="113"/>
      <c r="AV9" s="108"/>
      <c r="AW9" s="109">
        <f t="shared" si="10"/>
        <v>15</v>
      </c>
      <c r="AX9" s="109">
        <f t="shared" si="11"/>
        <v>8813.3819000000003</v>
      </c>
      <c r="AY9" s="110">
        <f>IFERROR(+AX9/AW9,0)*AW9</f>
        <v>8813.3819000000003</v>
      </c>
      <c r="AZ9" s="110">
        <f>IFERROR(+LOOKUP(AY9,[13]TARIFAS!$A$4:$B$14,[13]TARIFAS!$A$4:$A$14),0)</f>
        <v>5081.41</v>
      </c>
      <c r="BA9" s="110">
        <f t="shared" si="13"/>
        <v>3731.9719000000005</v>
      </c>
      <c r="BB9" s="110">
        <f>IFERROR(+LOOKUP(AY9,[13]TARIFAS!$A$4:$B$14,[13]TARIFAS!$D$4:$D$14),0)</f>
        <v>21.36</v>
      </c>
      <c r="BC9" s="110">
        <f t="shared" si="14"/>
        <v>797.14919784000017</v>
      </c>
      <c r="BD9" s="110">
        <f>IFERROR(+LOOKUP(AY9,[13]TARIFAS!$A$4:$B$14,[13]TARIFAS!$C$4:$C$14),0)</f>
        <v>538.20000000000005</v>
      </c>
      <c r="BE9" s="110">
        <f t="shared" si="15"/>
        <v>1335.35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6572.35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 t="shared" si="2"/>
        <v>197.1705</v>
      </c>
      <c r="T10" s="101" t="s">
        <v>37</v>
      </c>
      <c r="U10" s="102">
        <v>1712</v>
      </c>
      <c r="V10" s="104">
        <f t="shared" si="3"/>
        <v>603.4905</v>
      </c>
      <c r="W10" s="101"/>
      <c r="X10" s="102"/>
      <c r="Y10" s="104"/>
      <c r="Z10" s="104">
        <f t="shared" si="4"/>
        <v>7729.2105000000001</v>
      </c>
      <c r="AA10" s="101" t="s">
        <v>39</v>
      </c>
      <c r="AB10" s="102">
        <v>1431</v>
      </c>
      <c r="AC10" s="104">
        <f t="shared" si="5"/>
        <v>624.3732500000001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 t="shared" si="6"/>
        <v>1103.77</v>
      </c>
      <c r="AJ10" s="101" t="s">
        <v>39</v>
      </c>
      <c r="AK10" s="105" t="s">
        <v>42</v>
      </c>
      <c r="AL10" s="103">
        <f t="shared" si="7"/>
        <v>65.723500000000001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1431</v>
      </c>
      <c r="AR10" s="103">
        <v>0</v>
      </c>
      <c r="AS10" s="104">
        <f t="shared" si="8"/>
        <v>3901.8667500000001</v>
      </c>
      <c r="AT10" s="106">
        <f t="shared" si="9"/>
        <v>3827.34375</v>
      </c>
      <c r="AU10" s="113"/>
      <c r="AV10" s="108"/>
      <c r="AW10" s="109">
        <f t="shared" si="10"/>
        <v>15</v>
      </c>
      <c r="AX10" s="109">
        <f t="shared" si="11"/>
        <v>7729.2105000000001</v>
      </c>
      <c r="AY10" s="110">
        <f>IFERROR(+AX10/AW10,0)*AW10</f>
        <v>7729.2105000000001</v>
      </c>
      <c r="AZ10" s="110">
        <f>IFERROR(+LOOKUP(AY10,[13]TARIFAS!$A$4:$B$14,[13]TARIFAS!$A$4:$A$14),0)</f>
        <v>5081.41</v>
      </c>
      <c r="BA10" s="110">
        <f t="shared" si="13"/>
        <v>2647.8005000000003</v>
      </c>
      <c r="BB10" s="110">
        <f>IFERROR(+LOOKUP(AY10,[13]TARIFAS!$A$4:$B$14,[13]TARIFAS!$D$4:$D$14),0)</f>
        <v>21.36</v>
      </c>
      <c r="BC10" s="110">
        <f t="shared" si="14"/>
        <v>565.57018679999999</v>
      </c>
      <c r="BD10" s="110">
        <f>IFERROR(+LOOKUP(AY10,[13]TARIFAS!$A$4:$B$14,[13]TARIFAS!$C$4:$C$14),0)</f>
        <v>538.20000000000005</v>
      </c>
      <c r="BE10" s="110">
        <f t="shared" si="15"/>
        <v>1103.77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5063.04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 t="shared" si="2"/>
        <v>151.8912</v>
      </c>
      <c r="T11" s="101" t="s">
        <v>37</v>
      </c>
      <c r="U11" s="102">
        <v>1712</v>
      </c>
      <c r="V11" s="104">
        <f t="shared" si="3"/>
        <v>522.91120000000001</v>
      </c>
      <c r="W11" s="101"/>
      <c r="X11" s="102"/>
      <c r="Y11" s="104"/>
      <c r="Z11" s="104">
        <f t="shared" si="4"/>
        <v>6029.3762000000006</v>
      </c>
      <c r="AA11" s="101" t="s">
        <v>39</v>
      </c>
      <c r="AB11" s="102">
        <v>1431</v>
      </c>
      <c r="AC11" s="104">
        <f t="shared" si="5"/>
        <v>480.98880000000003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 t="shared" si="6"/>
        <v>740.69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1431</v>
      </c>
      <c r="AR11" s="103">
        <v>0</v>
      </c>
      <c r="AS11" s="104">
        <f t="shared" si="8"/>
        <v>1221.6788000000001</v>
      </c>
      <c r="AT11" s="106">
        <f t="shared" si="9"/>
        <v>4807.6974000000009</v>
      </c>
      <c r="AU11" s="113"/>
      <c r="AV11" s="108"/>
      <c r="AW11" s="109">
        <f t="shared" si="10"/>
        <v>15</v>
      </c>
      <c r="AX11" s="109">
        <f t="shared" si="11"/>
        <v>6029.3762000000006</v>
      </c>
      <c r="AY11" s="110">
        <f t="shared" si="12"/>
        <v>6029.3762000000006</v>
      </c>
      <c r="AZ11" s="110">
        <f>IFERROR(+LOOKUP(AY11,[13]TARIFAS!$A$4:$B$14,[13]TARIFAS!$A$4:$A$14),0)</f>
        <v>5081.41</v>
      </c>
      <c r="BA11" s="110">
        <f t="shared" si="13"/>
        <v>947.96620000000075</v>
      </c>
      <c r="BB11" s="110">
        <f>IFERROR(+LOOKUP(AY11,[13]TARIFAS!$A$4:$B$14,[13]TARIFAS!$D$4:$D$14),0)</f>
        <v>21.36</v>
      </c>
      <c r="BC11" s="110">
        <f t="shared" si="14"/>
        <v>202.48558032000017</v>
      </c>
      <c r="BD11" s="110">
        <f>IFERROR(+LOOKUP(AY11,[13]TARIFAS!$A$4:$B$14,[13]TARIFAS!$C$4:$C$14),0)</f>
        <v>538.20000000000005</v>
      </c>
      <c r="BE11" s="110">
        <f t="shared" si="15"/>
        <v>740.69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5063.04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 t="shared" si="2"/>
        <v>151.8912</v>
      </c>
      <c r="T12" s="101" t="s">
        <v>37</v>
      </c>
      <c r="U12" s="102">
        <v>1712</v>
      </c>
      <c r="V12" s="104">
        <f t="shared" si="3"/>
        <v>522.91120000000001</v>
      </c>
      <c r="W12" s="101"/>
      <c r="X12" s="102"/>
      <c r="Y12" s="104"/>
      <c r="Z12" s="104">
        <f t="shared" si="4"/>
        <v>5995.7312000000002</v>
      </c>
      <c r="AA12" s="101" t="s">
        <v>39</v>
      </c>
      <c r="AB12" s="102">
        <v>1431</v>
      </c>
      <c r="AC12" s="104">
        <f t="shared" si="5"/>
        <v>480.98880000000003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 t="shared" si="6"/>
        <v>733.5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1431</v>
      </c>
      <c r="AR12" s="103">
        <v>0</v>
      </c>
      <c r="AS12" s="104">
        <f t="shared" si="8"/>
        <v>1214.4888000000001</v>
      </c>
      <c r="AT12" s="106">
        <f t="shared" si="9"/>
        <v>4781.2424000000001</v>
      </c>
      <c r="AU12" s="113"/>
      <c r="AV12" s="108"/>
      <c r="AW12" s="109">
        <f t="shared" si="10"/>
        <v>15</v>
      </c>
      <c r="AX12" s="109">
        <f t="shared" si="11"/>
        <v>5995.7312000000002</v>
      </c>
      <c r="AY12" s="110">
        <f t="shared" si="12"/>
        <v>5995.7312000000002</v>
      </c>
      <c r="AZ12" s="110">
        <f>IFERROR(+LOOKUP(AY12,[13]TARIFAS!$A$4:$B$14,[13]TARIFAS!$A$4:$A$14),0)</f>
        <v>5081.41</v>
      </c>
      <c r="BA12" s="110">
        <f t="shared" si="13"/>
        <v>914.32120000000032</v>
      </c>
      <c r="BB12" s="110">
        <f>IFERROR(+LOOKUP(AY12,[13]TARIFAS!$A$4:$B$14,[13]TARIFAS!$D$4:$D$14),0)</f>
        <v>21.36</v>
      </c>
      <c r="BC12" s="110">
        <f t="shared" si="14"/>
        <v>195.29900832000007</v>
      </c>
      <c r="BD12" s="110">
        <f>IFERROR(+LOOKUP(AY12,[13]TARIFAS!$A$4:$B$14,[13]TARIFAS!$C$4:$C$14),0)</f>
        <v>538.20000000000005</v>
      </c>
      <c r="BE12" s="110">
        <f t="shared" si="15"/>
        <v>733.5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6572.35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 t="shared" si="2"/>
        <v>197.1705</v>
      </c>
      <c r="T13" s="101" t="s">
        <v>37</v>
      </c>
      <c r="U13" s="102">
        <v>1712</v>
      </c>
      <c r="V13" s="104">
        <f t="shared" si="3"/>
        <v>603.4905</v>
      </c>
      <c r="W13" s="101"/>
      <c r="X13" s="102"/>
      <c r="Y13" s="104"/>
      <c r="Z13" s="104">
        <f t="shared" si="4"/>
        <v>7762.8555000000006</v>
      </c>
      <c r="AA13" s="101" t="s">
        <v>39</v>
      </c>
      <c r="AB13" s="102">
        <v>1431</v>
      </c>
      <c r="AC13" s="104">
        <f t="shared" si="5"/>
        <v>624.3732500000001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 t="shared" si="6"/>
        <v>1110.96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1431</v>
      </c>
      <c r="AR13" s="103">
        <v>0</v>
      </c>
      <c r="AS13" s="104">
        <f t="shared" si="8"/>
        <v>1735.3332500000001</v>
      </c>
      <c r="AT13" s="106">
        <f t="shared" si="9"/>
        <v>6027.52225</v>
      </c>
      <c r="AU13" s="113"/>
      <c r="AV13" s="108"/>
      <c r="AW13" s="109">
        <f t="shared" si="10"/>
        <v>15</v>
      </c>
      <c r="AX13" s="109">
        <f t="shared" si="11"/>
        <v>7762.8555000000006</v>
      </c>
      <c r="AY13" s="110">
        <f t="shared" si="12"/>
        <v>7762.8555000000015</v>
      </c>
      <c r="AZ13" s="110">
        <f>IFERROR(+LOOKUP(AY13,[13]TARIFAS!$A$4:$B$14,[13]TARIFAS!$A$4:$A$14),0)</f>
        <v>5081.41</v>
      </c>
      <c r="BA13" s="110">
        <f t="shared" si="13"/>
        <v>2681.4455000000016</v>
      </c>
      <c r="BB13" s="110">
        <f>IFERROR(+LOOKUP(AY13,[13]TARIFAS!$A$4:$B$14,[13]TARIFAS!$D$4:$D$14),0)</f>
        <v>21.36</v>
      </c>
      <c r="BC13" s="110">
        <f t="shared" si="14"/>
        <v>572.75675880000028</v>
      </c>
      <c r="BD13" s="110">
        <f>IFERROR(+LOOKUP(AY13,[13]TARIFAS!$A$4:$B$14,[13]TARIFAS!$C$4:$C$14),0)</f>
        <v>538.20000000000005</v>
      </c>
      <c r="BE13" s="110">
        <f t="shared" si="15"/>
        <v>1110.96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f t="shared" si="2"/>
        <v>463.245</v>
      </c>
      <c r="T14" s="101" t="s">
        <v>37</v>
      </c>
      <c r="U14" s="102">
        <v>1712</v>
      </c>
      <c r="V14" s="104">
        <f t="shared" si="3"/>
        <v>1298.7449999999999</v>
      </c>
      <c r="W14" s="101"/>
      <c r="X14" s="102"/>
      <c r="Y14" s="104"/>
      <c r="Z14" s="104">
        <f t="shared" si="4"/>
        <v>17306.744999999999</v>
      </c>
      <c r="AA14" s="101" t="s">
        <v>39</v>
      </c>
      <c r="AB14" s="102">
        <v>1431</v>
      </c>
      <c r="AC14" s="104">
        <f t="shared" si="5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 t="shared" si="6"/>
        <v>3376.71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1431</v>
      </c>
      <c r="AR14" s="103">
        <v>0</v>
      </c>
      <c r="AS14" s="104">
        <f t="shared" si="8"/>
        <v>4843.6525000000001</v>
      </c>
      <c r="AT14" s="106">
        <f t="shared" si="9"/>
        <v>12463.092499999999</v>
      </c>
      <c r="AU14" s="113"/>
      <c r="AV14" s="108"/>
      <c r="AW14" s="109">
        <f t="shared" si="10"/>
        <v>15</v>
      </c>
      <c r="AX14" s="109">
        <f t="shared" si="11"/>
        <v>17306.745000000003</v>
      </c>
      <c r="AY14" s="110">
        <f t="shared" si="12"/>
        <v>17306.745000000003</v>
      </c>
      <c r="AZ14" s="110">
        <f>IFERROR(+LOOKUP(AY14,[13]TARIFAS!$A$4:$B$14,[13]TARIFAS!$A$4:$A$14),0)</f>
        <v>16153.06</v>
      </c>
      <c r="BA14" s="110">
        <f t="shared" si="13"/>
        <v>1153.6850000000031</v>
      </c>
      <c r="BB14" s="110">
        <f>IFERROR(+LOOKUP(AY14,[13]TARIFAS!$A$4:$B$14,[13]TARIFAS!$D$4:$D$14),0)</f>
        <v>30</v>
      </c>
      <c r="BC14" s="110">
        <f t="shared" si="14"/>
        <v>346.10550000000092</v>
      </c>
      <c r="BD14" s="110">
        <f>IFERROR(+LOOKUP(AY14,[13]TARIFAS!$A$4:$B$14,[13]TARIFAS!$C$4:$C$14),0)</f>
        <v>3030.6</v>
      </c>
      <c r="BE14" s="110">
        <f t="shared" si="15"/>
        <v>3376.71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5063.04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 t="shared" si="2"/>
        <v>151.8912</v>
      </c>
      <c r="T15" s="101" t="s">
        <v>37</v>
      </c>
      <c r="U15" s="102">
        <v>1712</v>
      </c>
      <c r="V15" s="104">
        <f t="shared" si="3"/>
        <v>522.91120000000001</v>
      </c>
      <c r="W15" s="101"/>
      <c r="X15" s="102"/>
      <c r="Y15" s="104"/>
      <c r="Z15" s="104">
        <f t="shared" si="4"/>
        <v>5894.7962000000007</v>
      </c>
      <c r="AA15" s="101" t="s">
        <v>39</v>
      </c>
      <c r="AB15" s="102">
        <v>1431</v>
      </c>
      <c r="AC15" s="104">
        <f t="shared" si="5"/>
        <v>480.98880000000003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 t="shared" si="6"/>
        <v>711.94</v>
      </c>
      <c r="AJ15" s="101" t="s">
        <v>39</v>
      </c>
      <c r="AK15" s="105" t="s">
        <v>42</v>
      </c>
      <c r="AL15" s="103">
        <f t="shared" ref="AL15:AL20" si="16">(K15*1%)</f>
        <v>50.630400000000002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1431</v>
      </c>
      <c r="AR15" s="103">
        <v>0</v>
      </c>
      <c r="AS15" s="104">
        <f t="shared" si="8"/>
        <v>1243.5592000000001</v>
      </c>
      <c r="AT15" s="106">
        <f t="shared" si="9"/>
        <v>4651.237000000001</v>
      </c>
      <c r="AU15" s="117"/>
      <c r="AV15" s="108"/>
      <c r="AW15" s="109">
        <f t="shared" si="10"/>
        <v>15</v>
      </c>
      <c r="AX15" s="109">
        <f t="shared" si="11"/>
        <v>5894.7962000000007</v>
      </c>
      <c r="AY15" s="110">
        <f t="shared" si="12"/>
        <v>5894.7962000000007</v>
      </c>
      <c r="AZ15" s="110">
        <f>IFERROR(+LOOKUP(AY15,[13]TARIFAS!$A$4:$B$14,[13]TARIFAS!$A$4:$A$14),0)</f>
        <v>5081.41</v>
      </c>
      <c r="BA15" s="110">
        <f t="shared" si="13"/>
        <v>813.38620000000083</v>
      </c>
      <c r="BB15" s="110">
        <f>IFERROR(+LOOKUP(AY15,[13]TARIFAS!$A$4:$B$14,[13]TARIFAS!$D$4:$D$14),0)</f>
        <v>21.36</v>
      </c>
      <c r="BC15" s="110">
        <f t="shared" si="14"/>
        <v>173.73929232000017</v>
      </c>
      <c r="BD15" s="110">
        <f>IFERROR(+LOOKUP(AY15,[13]TARIFAS!$A$4:$B$14,[13]TARIFAS!$C$4:$C$14),0)</f>
        <v>538.20000000000005</v>
      </c>
      <c r="BE15" s="110">
        <f t="shared" si="15"/>
        <v>711.94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6572.35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 t="shared" si="2"/>
        <v>197.1705</v>
      </c>
      <c r="T16" s="101" t="s">
        <v>37</v>
      </c>
      <c r="U16" s="102">
        <v>1712</v>
      </c>
      <c r="V16" s="104">
        <f t="shared" si="3"/>
        <v>603.4905</v>
      </c>
      <c r="W16" s="101"/>
      <c r="X16" s="102"/>
      <c r="Y16" s="104"/>
      <c r="Z16" s="104">
        <f t="shared" si="4"/>
        <v>7628.2755000000006</v>
      </c>
      <c r="AA16" s="101" t="s">
        <v>39</v>
      </c>
      <c r="AB16" s="102">
        <v>1431</v>
      </c>
      <c r="AC16" s="104">
        <f t="shared" si="5"/>
        <v>624.3732500000001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 t="shared" si="6"/>
        <v>1082.21</v>
      </c>
      <c r="AJ16" s="101" t="s">
        <v>39</v>
      </c>
      <c r="AK16" s="105" t="s">
        <v>42</v>
      </c>
      <c r="AL16" s="103">
        <f t="shared" si="16"/>
        <v>65.723500000000001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1431</v>
      </c>
      <c r="AR16" s="103">
        <v>0</v>
      </c>
      <c r="AS16" s="104">
        <f t="shared" si="8"/>
        <v>2183.3067500000002</v>
      </c>
      <c r="AT16" s="106">
        <f t="shared" si="9"/>
        <v>5444.96875</v>
      </c>
      <c r="AU16" s="113"/>
      <c r="AV16" s="108"/>
      <c r="AW16" s="109">
        <f t="shared" si="10"/>
        <v>15</v>
      </c>
      <c r="AX16" s="109">
        <f t="shared" si="11"/>
        <v>7628.2755000000006</v>
      </c>
      <c r="AY16" s="110">
        <f t="shared" si="12"/>
        <v>7628.2755000000006</v>
      </c>
      <c r="AZ16" s="110">
        <f>IFERROR(+LOOKUP(AY16,[13]TARIFAS!$A$4:$B$14,[13]TARIFAS!$A$4:$A$14),0)</f>
        <v>5081.41</v>
      </c>
      <c r="BA16" s="110">
        <f t="shared" si="13"/>
        <v>2546.8655000000008</v>
      </c>
      <c r="BB16" s="110">
        <f>IFERROR(+LOOKUP(AY16,[13]TARIFAS!$A$4:$B$14,[13]TARIFAS!$D$4:$D$14),0)</f>
        <v>21.36</v>
      </c>
      <c r="BC16" s="110">
        <f t="shared" si="14"/>
        <v>544.01047080000023</v>
      </c>
      <c r="BD16" s="110">
        <f>IFERROR(+LOOKUP(AY16,[13]TARIFAS!$A$4:$B$14,[13]TARIFAS!$C$4:$C$14),0)</f>
        <v>538.20000000000005</v>
      </c>
      <c r="BE16" s="110">
        <f t="shared" si="15"/>
        <v>1082.21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6572.35</v>
      </c>
      <c r="L17" s="101" t="s">
        <v>37</v>
      </c>
      <c r="M17" s="102">
        <v>1311</v>
      </c>
      <c r="N17" s="103">
        <v>100.94</v>
      </c>
      <c r="O17" s="101" t="s">
        <v>37</v>
      </c>
      <c r="P17" s="102">
        <v>1713</v>
      </c>
      <c r="Q17" s="101">
        <v>351.5</v>
      </c>
      <c r="R17" s="103">
        <v>406.32</v>
      </c>
      <c r="S17" s="103">
        <f t="shared" si="2"/>
        <v>197.1705</v>
      </c>
      <c r="T17" s="101" t="s">
        <v>37</v>
      </c>
      <c r="U17" s="102">
        <v>1712</v>
      </c>
      <c r="V17" s="104">
        <f t="shared" si="3"/>
        <v>603.4905</v>
      </c>
      <c r="W17" s="101"/>
      <c r="X17" s="102"/>
      <c r="Y17" s="104"/>
      <c r="Z17" s="104">
        <f t="shared" si="4"/>
        <v>7628.2804999999998</v>
      </c>
      <c r="AA17" s="101" t="s">
        <v>39</v>
      </c>
      <c r="AB17" s="102">
        <v>1431</v>
      </c>
      <c r="AC17" s="104">
        <v>624.37</v>
      </c>
      <c r="AD17" s="101" t="s">
        <v>39</v>
      </c>
      <c r="AE17" s="105" t="s">
        <v>40</v>
      </c>
      <c r="AF17" s="103">
        <v>1537</v>
      </c>
      <c r="AG17" s="101" t="s">
        <v>39</v>
      </c>
      <c r="AH17" s="105" t="s">
        <v>41</v>
      </c>
      <c r="AI17" s="103">
        <f t="shared" si="6"/>
        <v>1082.21</v>
      </c>
      <c r="AJ17" s="101" t="s">
        <v>39</v>
      </c>
      <c r="AK17" s="105" t="s">
        <v>42</v>
      </c>
      <c r="AL17" s="103">
        <f t="shared" si="16"/>
        <v>65.723500000000001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1431</v>
      </c>
      <c r="AR17" s="103">
        <v>0</v>
      </c>
      <c r="AS17" s="104">
        <f t="shared" si="8"/>
        <v>3309.3035</v>
      </c>
      <c r="AT17" s="106">
        <f t="shared" si="9"/>
        <v>4318.9769999999999</v>
      </c>
      <c r="AU17" s="113"/>
      <c r="AV17" s="108"/>
      <c r="AW17" s="109">
        <f t="shared" si="10"/>
        <v>15</v>
      </c>
      <c r="AX17" s="109">
        <f t="shared" si="11"/>
        <v>7628.2804999999998</v>
      </c>
      <c r="AY17" s="110">
        <f t="shared" si="12"/>
        <v>7628.2804999999998</v>
      </c>
      <c r="AZ17" s="110">
        <f>IFERROR(+LOOKUP(AY17,[13]TARIFAS!$A$4:$B$14,[13]TARIFAS!$A$4:$A$14),0)</f>
        <v>5081.41</v>
      </c>
      <c r="BA17" s="110">
        <f t="shared" si="13"/>
        <v>2546.8705</v>
      </c>
      <c r="BB17" s="110">
        <f>IFERROR(+LOOKUP(AY17,[13]TARIFAS!$A$4:$B$14,[13]TARIFAS!$D$4:$D$14),0)</f>
        <v>21.36</v>
      </c>
      <c r="BC17" s="110">
        <f t="shared" si="14"/>
        <v>544.01153879999993</v>
      </c>
      <c r="BD17" s="110">
        <f>IFERROR(+LOOKUP(AY17,[13]TARIFAS!$A$4:$B$14,[13]TARIFAS!$C$4:$C$14),0)</f>
        <v>538.20000000000005</v>
      </c>
      <c r="BE17" s="110">
        <f t="shared" si="15"/>
        <v>1082.21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7713.23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f t="shared" si="2"/>
        <v>231.39689999999999</v>
      </c>
      <c r="T18" s="101" t="s">
        <v>37</v>
      </c>
      <c r="U18" s="102">
        <v>1712</v>
      </c>
      <c r="V18" s="104">
        <f t="shared" si="3"/>
        <v>649.83690000000001</v>
      </c>
      <c r="W18" s="101"/>
      <c r="X18" s="102"/>
      <c r="Y18" s="104"/>
      <c r="Z18" s="104">
        <f t="shared" si="4"/>
        <v>8746.0918999999994</v>
      </c>
      <c r="AA18" s="101" t="s">
        <v>39</v>
      </c>
      <c r="AB18" s="102">
        <v>1431</v>
      </c>
      <c r="AC18" s="104">
        <f t="shared" si="5"/>
        <v>732.75684999999999</v>
      </c>
      <c r="AD18" s="101" t="s">
        <v>39</v>
      </c>
      <c r="AE18" s="105" t="s">
        <v>40</v>
      </c>
      <c r="AF18" s="104">
        <f>523.61+10.13+3666.74+151.2</f>
        <v>4351.6799999999994</v>
      </c>
      <c r="AG18" s="101" t="s">
        <v>39</v>
      </c>
      <c r="AH18" s="105" t="s">
        <v>41</v>
      </c>
      <c r="AI18" s="103">
        <f t="shared" si="6"/>
        <v>1320.98</v>
      </c>
      <c r="AJ18" s="101" t="s">
        <v>39</v>
      </c>
      <c r="AK18" s="105" t="s">
        <v>42</v>
      </c>
      <c r="AL18" s="103">
        <f t="shared" si="16"/>
        <v>77.132300000000001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1431</v>
      </c>
      <c r="AR18" s="103">
        <v>0</v>
      </c>
      <c r="AS18" s="104">
        <f t="shared" si="8"/>
        <v>6482.5491499999998</v>
      </c>
      <c r="AT18" s="106">
        <f t="shared" si="9"/>
        <v>2263.5427499999996</v>
      </c>
      <c r="AU18" s="113"/>
      <c r="AV18" s="108"/>
      <c r="AW18" s="109">
        <f t="shared" si="10"/>
        <v>15</v>
      </c>
      <c r="AX18" s="109">
        <f t="shared" si="11"/>
        <v>8746.0918999999994</v>
      </c>
      <c r="AY18" s="110">
        <f t="shared" si="12"/>
        <v>8746.0918999999994</v>
      </c>
      <c r="AZ18" s="110">
        <f>IFERROR(+LOOKUP(AY18,[13]TARIFAS!$A$4:$B$14,[13]TARIFAS!$A$4:$A$14),0)</f>
        <v>5081.41</v>
      </c>
      <c r="BA18" s="110">
        <f t="shared" si="13"/>
        <v>3664.6818999999996</v>
      </c>
      <c r="BB18" s="110">
        <f>IFERROR(+LOOKUP(AY18,[13]TARIFAS!$A$4:$B$14,[13]TARIFAS!$D$4:$D$14),0)</f>
        <v>21.36</v>
      </c>
      <c r="BC18" s="110">
        <f t="shared" si="14"/>
        <v>782.77605383999992</v>
      </c>
      <c r="BD18" s="110">
        <f>IFERROR(+LOOKUP(AY18,[13]TARIFAS!$A$4:$B$14,[13]TARIFAS!$C$4:$C$14),0)</f>
        <v>538.20000000000005</v>
      </c>
      <c r="BE18" s="110">
        <f t="shared" si="15"/>
        <v>1320.98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v>6572.35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f t="shared" si="2"/>
        <v>197.1705</v>
      </c>
      <c r="T19" s="101" t="s">
        <v>37</v>
      </c>
      <c r="U19" s="102">
        <v>1712</v>
      </c>
      <c r="V19" s="104">
        <f t="shared" si="3"/>
        <v>603.4905</v>
      </c>
      <c r="W19" s="101"/>
      <c r="X19" s="102"/>
      <c r="Y19" s="104"/>
      <c r="Z19" s="104">
        <f t="shared" si="4"/>
        <v>7594.6305000000002</v>
      </c>
      <c r="AA19" s="101" t="s">
        <v>39</v>
      </c>
      <c r="AB19" s="102">
        <v>1431</v>
      </c>
      <c r="AC19" s="104">
        <f t="shared" si="5"/>
        <v>624.3732500000001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41</v>
      </c>
      <c r="AI19" s="103">
        <f t="shared" si="6"/>
        <v>1075.02</v>
      </c>
      <c r="AJ19" s="101" t="s">
        <v>39</v>
      </c>
      <c r="AK19" s="105" t="s">
        <v>42</v>
      </c>
      <c r="AL19" s="103">
        <f t="shared" si="16"/>
        <v>65.723500000000001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1431</v>
      </c>
      <c r="AR19" s="103">
        <v>0</v>
      </c>
      <c r="AS19" s="104">
        <f t="shared" si="8"/>
        <v>2167.1167500000001</v>
      </c>
      <c r="AT19" s="106">
        <f t="shared" si="9"/>
        <v>5427.5137500000001</v>
      </c>
      <c r="AU19" s="113"/>
      <c r="AV19" s="108"/>
      <c r="AW19" s="109">
        <f t="shared" si="10"/>
        <v>15</v>
      </c>
      <c r="AX19" s="109">
        <f t="shared" si="11"/>
        <v>7594.6305000000002</v>
      </c>
      <c r="AY19" s="110">
        <f t="shared" si="12"/>
        <v>7594.6305000000002</v>
      </c>
      <c r="AZ19" s="110">
        <f>IFERROR(+LOOKUP(AY19,[13]TARIFAS!$A$4:$B$14,[13]TARIFAS!$A$4:$A$14),0)</f>
        <v>5081.41</v>
      </c>
      <c r="BA19" s="110">
        <f t="shared" si="13"/>
        <v>2513.2205000000004</v>
      </c>
      <c r="BB19" s="110">
        <f>IFERROR(+LOOKUP(AY19,[13]TARIFAS!$A$4:$B$14,[13]TARIFAS!$D$4:$D$14),0)</f>
        <v>21.36</v>
      </c>
      <c r="BC19" s="110">
        <f t="shared" si="14"/>
        <v>536.82389880000005</v>
      </c>
      <c r="BD19" s="110">
        <f>IFERROR(+LOOKUP(AY19,[13]TARIFAS!$A$4:$B$14,[13]TARIFAS!$C$4:$C$14),0)</f>
        <v>538.20000000000005</v>
      </c>
      <c r="BE19" s="110">
        <f t="shared" si="15"/>
        <v>1075.02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5414.82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f t="shared" si="2"/>
        <v>162.44459999999998</v>
      </c>
      <c r="T20" s="101" t="s">
        <v>37</v>
      </c>
      <c r="U20" s="102">
        <v>1712</v>
      </c>
      <c r="V20" s="104">
        <f t="shared" si="3"/>
        <v>541.04459999999995</v>
      </c>
      <c r="W20" s="101"/>
      <c r="X20" s="102"/>
      <c r="Y20" s="104"/>
      <c r="Z20" s="104">
        <f t="shared" si="4"/>
        <v>6234.5945999999994</v>
      </c>
      <c r="AA20" s="101" t="s">
        <v>39</v>
      </c>
      <c r="AB20" s="102">
        <v>1431</v>
      </c>
      <c r="AC20" s="104">
        <f t="shared" si="5"/>
        <v>514.40789999999993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41</v>
      </c>
      <c r="AI20" s="103">
        <f t="shared" si="6"/>
        <v>784.52</v>
      </c>
      <c r="AJ20" s="101" t="s">
        <v>39</v>
      </c>
      <c r="AK20" s="105" t="s">
        <v>42</v>
      </c>
      <c r="AL20" s="103">
        <f t="shared" si="16"/>
        <v>54.148199999999996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1431</v>
      </c>
      <c r="AR20" s="103">
        <v>0</v>
      </c>
      <c r="AS20" s="104">
        <f t="shared" si="8"/>
        <v>1353.0761</v>
      </c>
      <c r="AT20" s="106">
        <f t="shared" si="9"/>
        <v>4881.5184999999992</v>
      </c>
      <c r="AU20" s="113"/>
      <c r="AV20" s="108"/>
      <c r="AW20" s="109">
        <f t="shared" si="10"/>
        <v>15</v>
      </c>
      <c r="AX20" s="109">
        <f t="shared" si="11"/>
        <v>6234.5945999999994</v>
      </c>
      <c r="AY20" s="110">
        <f t="shared" si="12"/>
        <v>6234.5945999999994</v>
      </c>
      <c r="AZ20" s="110">
        <f>IFERROR(+LOOKUP(AY20,[13]TARIFAS!$A$4:$B$14,[13]TARIFAS!$A$4:$A$14),0)</f>
        <v>5081.41</v>
      </c>
      <c r="BA20" s="110">
        <f t="shared" si="13"/>
        <v>1153.1845999999996</v>
      </c>
      <c r="BB20" s="110">
        <f>IFERROR(+LOOKUP(AY20,[13]TARIFAS!$A$4:$B$14,[13]TARIFAS!$D$4:$D$14),0)</f>
        <v>21.36</v>
      </c>
      <c r="BC20" s="110">
        <f t="shared" si="14"/>
        <v>246.32023055999991</v>
      </c>
      <c r="BD20" s="110">
        <f>IFERROR(+LOOKUP(AY20,[13]TARIFAS!$A$4:$B$14,[13]TARIFAS!$C$4:$C$14),0)</f>
        <v>538.20000000000005</v>
      </c>
      <c r="BE20" s="110">
        <f t="shared" si="15"/>
        <v>784.52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v>6572.35</v>
      </c>
      <c r="L21" s="101" t="s">
        <v>37</v>
      </c>
      <c r="M21" s="102">
        <v>1311</v>
      </c>
      <c r="N21" s="115">
        <v>100.94</v>
      </c>
      <c r="O21" s="101" t="s">
        <v>37</v>
      </c>
      <c r="P21" s="102">
        <v>1713</v>
      </c>
      <c r="Q21" s="115">
        <v>351.5</v>
      </c>
      <c r="R21" s="115">
        <v>406.32</v>
      </c>
      <c r="S21" s="103">
        <f t="shared" si="2"/>
        <v>197.1705</v>
      </c>
      <c r="T21" s="101" t="s">
        <v>37</v>
      </c>
      <c r="U21" s="102">
        <v>1712</v>
      </c>
      <c r="V21" s="104">
        <f t="shared" si="3"/>
        <v>603.4905</v>
      </c>
      <c r="W21" s="101"/>
      <c r="X21" s="102"/>
      <c r="Y21" s="104"/>
      <c r="Z21" s="104">
        <f t="shared" si="4"/>
        <v>7628.2804999999998</v>
      </c>
      <c r="AA21" s="101" t="s">
        <v>39</v>
      </c>
      <c r="AB21" s="102">
        <v>1431</v>
      </c>
      <c r="AC21" s="104">
        <v>624.37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41</v>
      </c>
      <c r="AI21" s="103">
        <f t="shared" si="6"/>
        <v>1082.21</v>
      </c>
      <c r="AJ21" s="101" t="s">
        <v>39</v>
      </c>
      <c r="AK21" s="105" t="s">
        <v>42</v>
      </c>
      <c r="AL21" s="103">
        <v>0</v>
      </c>
      <c r="AM21" s="101" t="s">
        <v>39</v>
      </c>
      <c r="AN21" s="105" t="s">
        <v>43</v>
      </c>
      <c r="AO21" s="115">
        <v>0</v>
      </c>
      <c r="AP21" s="101" t="s">
        <v>39</v>
      </c>
      <c r="AQ21" s="105">
        <v>1431</v>
      </c>
      <c r="AR21" s="103">
        <v>0</v>
      </c>
      <c r="AS21" s="104">
        <f t="shared" si="8"/>
        <v>3111.58</v>
      </c>
      <c r="AT21" s="106">
        <f t="shared" si="9"/>
        <v>4516.7004999999999</v>
      </c>
      <c r="AU21" s="113"/>
      <c r="AV21" s="108"/>
      <c r="AW21" s="109">
        <f t="shared" si="10"/>
        <v>15</v>
      </c>
      <c r="AX21" s="109">
        <f t="shared" si="11"/>
        <v>7628.2804999999998</v>
      </c>
      <c r="AY21" s="110">
        <f t="shared" si="12"/>
        <v>7628.2804999999998</v>
      </c>
      <c r="AZ21" s="110">
        <f>IFERROR(+LOOKUP(AY21,[13]TARIFAS!$A$4:$B$14,[13]TARIFAS!$A$4:$A$14),0)</f>
        <v>5081.41</v>
      </c>
      <c r="BA21" s="110">
        <f t="shared" si="13"/>
        <v>2546.8705</v>
      </c>
      <c r="BB21" s="110">
        <f>IFERROR(+LOOKUP(AY21,[13]TARIFAS!$A$4:$B$14,[13]TARIFAS!$D$4:$D$14),0)</f>
        <v>21.36</v>
      </c>
      <c r="BC21" s="110">
        <f t="shared" si="14"/>
        <v>544.01153879999993</v>
      </c>
      <c r="BD21" s="110">
        <f>IFERROR(+LOOKUP(AY21,[13]TARIFAS!$A$4:$B$14,[13]TARIFAS!$C$4:$C$14),0)</f>
        <v>538.20000000000005</v>
      </c>
      <c r="BE21" s="110">
        <f t="shared" si="15"/>
        <v>1082.21</v>
      </c>
      <c r="BF21" s="110"/>
      <c r="BG21" s="110"/>
      <c r="BH21" s="110"/>
      <c r="BI21" s="109"/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v>6572.35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 t="shared" si="2"/>
        <v>197.1705</v>
      </c>
      <c r="T22" s="101" t="s">
        <v>37</v>
      </c>
      <c r="U22" s="102">
        <v>1712</v>
      </c>
      <c r="V22" s="104">
        <f t="shared" si="3"/>
        <v>603.4905</v>
      </c>
      <c r="W22" s="101"/>
      <c r="X22" s="102"/>
      <c r="Y22" s="104"/>
      <c r="Z22" s="104">
        <f t="shared" si="4"/>
        <v>7594.6305000000002</v>
      </c>
      <c r="AA22" s="101" t="s">
        <v>39</v>
      </c>
      <c r="AB22" s="102">
        <v>1431</v>
      </c>
      <c r="AC22" s="104">
        <f t="shared" si="5"/>
        <v>624.3732500000001</v>
      </c>
      <c r="AD22" s="101" t="s">
        <v>39</v>
      </c>
      <c r="AE22" s="105" t="s">
        <v>40</v>
      </c>
      <c r="AF22" s="115">
        <v>2191</v>
      </c>
      <c r="AG22" s="101" t="s">
        <v>39</v>
      </c>
      <c r="AH22" s="105" t="s">
        <v>41</v>
      </c>
      <c r="AI22" s="103">
        <f t="shared" si="6"/>
        <v>1075.02</v>
      </c>
      <c r="AJ22" s="101" t="s">
        <v>39</v>
      </c>
      <c r="AK22" s="105" t="s">
        <v>42</v>
      </c>
      <c r="AL22" s="103">
        <f>(K22*1%)</f>
        <v>65.723500000000001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1431</v>
      </c>
      <c r="AR22" s="103">
        <v>0</v>
      </c>
      <c r="AS22" s="104">
        <f t="shared" si="8"/>
        <v>3956.1167500000001</v>
      </c>
      <c r="AT22" s="106">
        <f t="shared" si="9"/>
        <v>3638.5137500000001</v>
      </c>
      <c r="AU22" s="113"/>
      <c r="AV22" s="108"/>
      <c r="AW22" s="109">
        <f t="shared" si="10"/>
        <v>15</v>
      </c>
      <c r="AX22" s="109">
        <f t="shared" si="11"/>
        <v>7594.6305000000002</v>
      </c>
      <c r="AY22" s="110">
        <f t="shared" si="12"/>
        <v>7594.6305000000002</v>
      </c>
      <c r="AZ22" s="110">
        <f>IFERROR(+LOOKUP(AY22,[13]TARIFAS!$A$4:$B$14,[13]TARIFAS!$A$4:$A$14),0)</f>
        <v>5081.41</v>
      </c>
      <c r="BA22" s="110">
        <f t="shared" si="13"/>
        <v>2513.2205000000004</v>
      </c>
      <c r="BB22" s="110">
        <f>IFERROR(+LOOKUP(AY22,[13]TARIFAS!$A$4:$B$14,[13]TARIFAS!$D$4:$D$14),0)</f>
        <v>21.36</v>
      </c>
      <c r="BC22" s="110">
        <f t="shared" si="14"/>
        <v>536.82389880000005</v>
      </c>
      <c r="BD22" s="110">
        <f>IFERROR(+LOOKUP(AY22,[13]TARIFAS!$A$4:$B$14,[13]TARIFAS!$C$4:$C$14),0)</f>
        <v>538.20000000000005</v>
      </c>
      <c r="BE22" s="110">
        <f t="shared" si="15"/>
        <v>1075.02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v>6572.35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 t="shared" si="2"/>
        <v>197.1705</v>
      </c>
      <c r="T23" s="101" t="s">
        <v>37</v>
      </c>
      <c r="U23" s="102">
        <v>1712</v>
      </c>
      <c r="V23" s="104">
        <f t="shared" si="3"/>
        <v>603.4905</v>
      </c>
      <c r="W23" s="101"/>
      <c r="X23" s="102"/>
      <c r="Y23" s="104"/>
      <c r="Z23" s="104">
        <f t="shared" si="4"/>
        <v>7527.3405000000002</v>
      </c>
      <c r="AA23" s="101" t="s">
        <v>39</v>
      </c>
      <c r="AB23" s="102">
        <v>1431</v>
      </c>
      <c r="AC23" s="104">
        <f t="shared" si="5"/>
        <v>624.3732500000001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41</v>
      </c>
      <c r="AI23" s="103">
        <f t="shared" si="6"/>
        <v>1060.6500000000001</v>
      </c>
      <c r="AJ23" s="101" t="s">
        <v>39</v>
      </c>
      <c r="AK23" s="105" t="s">
        <v>42</v>
      </c>
      <c r="AL23" s="103">
        <f>(K23*1%)</f>
        <v>65.723500000000001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1431</v>
      </c>
      <c r="AR23" s="103">
        <v>0</v>
      </c>
      <c r="AS23" s="104">
        <f t="shared" si="8"/>
        <v>1750.7467500000002</v>
      </c>
      <c r="AT23" s="106">
        <f t="shared" si="9"/>
        <v>5776.59375</v>
      </c>
      <c r="AU23" s="113"/>
      <c r="AV23" s="108"/>
      <c r="AW23" s="109">
        <f t="shared" si="10"/>
        <v>15</v>
      </c>
      <c r="AX23" s="109">
        <f t="shared" si="11"/>
        <v>7527.3405000000002</v>
      </c>
      <c r="AY23" s="110">
        <f t="shared" si="12"/>
        <v>7527.3405000000002</v>
      </c>
      <c r="AZ23" s="110">
        <f>IFERROR(+LOOKUP(AY23,[13]TARIFAS!$A$4:$B$14,[13]TARIFAS!$A$4:$A$14),0)</f>
        <v>5081.41</v>
      </c>
      <c r="BA23" s="110">
        <f t="shared" si="13"/>
        <v>2445.9305000000004</v>
      </c>
      <c r="BB23" s="110">
        <f>IFERROR(+LOOKUP(AY23,[13]TARIFAS!$A$4:$B$14,[13]TARIFAS!$D$4:$D$14),0)</f>
        <v>21.36</v>
      </c>
      <c r="BC23" s="110">
        <f t="shared" si="14"/>
        <v>522.45075480000003</v>
      </c>
      <c r="BD23" s="110">
        <f>IFERROR(+LOOKUP(AY23,[13]TARIFAS!$A$4:$B$14,[13]TARIFAS!$C$4:$C$14),0)</f>
        <v>538.20000000000005</v>
      </c>
      <c r="BE23" s="110">
        <f t="shared" si="15"/>
        <v>1060.6500000000001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v>5063.04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f t="shared" si="2"/>
        <v>151.8912</v>
      </c>
      <c r="T24" s="101" t="s">
        <v>37</v>
      </c>
      <c r="U24" s="102">
        <v>1712</v>
      </c>
      <c r="V24" s="104">
        <f t="shared" si="3"/>
        <v>522.91120000000001</v>
      </c>
      <c r="W24" s="101"/>
      <c r="X24" s="102"/>
      <c r="Y24" s="104"/>
      <c r="Z24" s="104">
        <f t="shared" si="4"/>
        <v>5793.8611999999994</v>
      </c>
      <c r="AA24" s="101" t="s">
        <v>39</v>
      </c>
      <c r="AB24" s="102">
        <v>1431</v>
      </c>
      <c r="AC24" s="104">
        <f t="shared" si="5"/>
        <v>480.98880000000003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 t="shared" si="6"/>
        <v>690.38</v>
      </c>
      <c r="AJ24" s="101" t="s">
        <v>39</v>
      </c>
      <c r="AK24" s="105" t="s">
        <v>42</v>
      </c>
      <c r="AL24" s="103">
        <f>(K24*1%)</f>
        <v>50.630400000000002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1431</v>
      </c>
      <c r="AR24" s="103">
        <v>0</v>
      </c>
      <c r="AS24" s="104">
        <f t="shared" si="8"/>
        <v>1221.9992</v>
      </c>
      <c r="AT24" s="106">
        <f t="shared" si="9"/>
        <v>4571.8619999999992</v>
      </c>
      <c r="AU24" s="113"/>
      <c r="AV24" s="108"/>
      <c r="AW24" s="109">
        <f t="shared" si="10"/>
        <v>15</v>
      </c>
      <c r="AX24" s="109">
        <f t="shared" si="11"/>
        <v>5793.8611999999994</v>
      </c>
      <c r="AY24" s="110">
        <f t="shared" si="12"/>
        <v>5793.8611999999994</v>
      </c>
      <c r="AZ24" s="110">
        <f>IFERROR(+LOOKUP(AY24,[13]TARIFAS!$A$4:$B$14,[13]TARIFAS!$A$4:$A$14),0)</f>
        <v>5081.41</v>
      </c>
      <c r="BA24" s="110">
        <f t="shared" si="13"/>
        <v>712.45119999999952</v>
      </c>
      <c r="BB24" s="110">
        <f>IFERROR(+LOOKUP(AY24,[13]TARIFAS!$A$4:$B$14,[13]TARIFAS!$D$4:$D$14),0)</f>
        <v>21.36</v>
      </c>
      <c r="BC24" s="110">
        <f t="shared" si="14"/>
        <v>152.17957631999988</v>
      </c>
      <c r="BD24" s="110">
        <f>IFERROR(+LOOKUP(AY24,[13]TARIFAS!$A$4:$B$14,[13]TARIFAS!$C$4:$C$14),0)</f>
        <v>538.20000000000005</v>
      </c>
      <c r="BE24" s="110">
        <f t="shared" si="15"/>
        <v>690.38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v>6572.35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f t="shared" si="2"/>
        <v>197.1705</v>
      </c>
      <c r="T25" s="101" t="s">
        <v>37</v>
      </c>
      <c r="U25" s="102">
        <v>1712</v>
      </c>
      <c r="V25" s="104">
        <f t="shared" si="3"/>
        <v>603.4905</v>
      </c>
      <c r="W25" s="101"/>
      <c r="X25" s="102"/>
      <c r="Y25" s="104"/>
      <c r="Z25" s="104">
        <f t="shared" si="4"/>
        <v>7527.3405000000002</v>
      </c>
      <c r="AA25" s="101" t="s">
        <v>39</v>
      </c>
      <c r="AB25" s="102">
        <v>1431</v>
      </c>
      <c r="AC25" s="104">
        <f t="shared" si="5"/>
        <v>624.3732500000001</v>
      </c>
      <c r="AD25" s="101" t="s">
        <v>39</v>
      </c>
      <c r="AE25" s="105" t="s">
        <v>40</v>
      </c>
      <c r="AF25" s="115">
        <v>0</v>
      </c>
      <c r="AG25" s="101" t="s">
        <v>39</v>
      </c>
      <c r="AH25" s="105" t="s">
        <v>41</v>
      </c>
      <c r="AI25" s="103">
        <f t="shared" si="6"/>
        <v>1060.6500000000001</v>
      </c>
      <c r="AJ25" s="101" t="s">
        <v>39</v>
      </c>
      <c r="AK25" s="105" t="s">
        <v>42</v>
      </c>
      <c r="AL25" s="103">
        <f>(K25*1%)</f>
        <v>65.723500000000001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1431</v>
      </c>
      <c r="AR25" s="103">
        <v>0</v>
      </c>
      <c r="AS25" s="104">
        <f t="shared" si="8"/>
        <v>1750.7467500000002</v>
      </c>
      <c r="AT25" s="106">
        <f t="shared" si="9"/>
        <v>5776.59375</v>
      </c>
      <c r="AU25" s="113"/>
      <c r="AV25" s="108"/>
      <c r="AW25" s="109">
        <f t="shared" si="10"/>
        <v>15</v>
      </c>
      <c r="AX25" s="109">
        <f t="shared" si="11"/>
        <v>7527.3405000000002</v>
      </c>
      <c r="AY25" s="110">
        <f t="shared" si="12"/>
        <v>7527.3405000000002</v>
      </c>
      <c r="AZ25" s="110">
        <f>IFERROR(+LOOKUP(AY25,[13]TARIFAS!$A$4:$B$14,[13]TARIFAS!$A$4:$A$14),0)</f>
        <v>5081.41</v>
      </c>
      <c r="BA25" s="110">
        <f t="shared" si="13"/>
        <v>2445.9305000000004</v>
      </c>
      <c r="BB25" s="110">
        <f>IFERROR(+LOOKUP(AY25,[13]TARIFAS!$A$4:$B$14,[13]TARIFAS!$D$4:$D$14),0)</f>
        <v>21.36</v>
      </c>
      <c r="BC25" s="110">
        <f t="shared" si="14"/>
        <v>522.45075480000003</v>
      </c>
      <c r="BD25" s="110">
        <f>IFERROR(+LOOKUP(AY25,[13]TARIFAS!$A$4:$B$14,[13]TARIFAS!$C$4:$C$14),0)</f>
        <v>538.20000000000005</v>
      </c>
      <c r="BE25" s="110">
        <f t="shared" si="15"/>
        <v>1060.6500000000001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v>5063.04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f t="shared" si="2"/>
        <v>151.8912</v>
      </c>
      <c r="T26" s="101" t="s">
        <v>37</v>
      </c>
      <c r="U26" s="102">
        <v>1712</v>
      </c>
      <c r="V26" s="104">
        <f t="shared" si="3"/>
        <v>522.91120000000001</v>
      </c>
      <c r="W26" s="101"/>
      <c r="X26" s="102"/>
      <c r="Y26" s="104"/>
      <c r="Z26" s="104">
        <f t="shared" si="4"/>
        <v>5793.8611999999994</v>
      </c>
      <c r="AA26" s="101" t="s">
        <v>39</v>
      </c>
      <c r="AB26" s="102">
        <v>1431</v>
      </c>
      <c r="AC26" s="104">
        <f t="shared" si="5"/>
        <v>480.98880000000003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41</v>
      </c>
      <c r="AI26" s="103">
        <f t="shared" si="6"/>
        <v>690.38</v>
      </c>
      <c r="AJ26" s="101" t="s">
        <v>39</v>
      </c>
      <c r="AK26" s="105" t="s">
        <v>42</v>
      </c>
      <c r="AL26" s="103">
        <f>(K26*1%)</f>
        <v>50.630400000000002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1431</v>
      </c>
      <c r="AR26" s="103">
        <v>0</v>
      </c>
      <c r="AS26" s="104">
        <f t="shared" si="8"/>
        <v>1221.9992</v>
      </c>
      <c r="AT26" s="106">
        <f t="shared" si="9"/>
        <v>4571.8619999999992</v>
      </c>
      <c r="AU26" s="113"/>
      <c r="AV26" s="108"/>
      <c r="AW26" s="109">
        <f t="shared" si="10"/>
        <v>15</v>
      </c>
      <c r="AX26" s="109">
        <f t="shared" si="11"/>
        <v>5793.8611999999994</v>
      </c>
      <c r="AY26" s="110">
        <f t="shared" si="12"/>
        <v>5793.8611999999994</v>
      </c>
      <c r="AZ26" s="110">
        <f>IFERROR(+LOOKUP(AY26,[13]TARIFAS!$A$4:$B$14,[13]TARIFAS!$A$4:$A$14),0)</f>
        <v>5081.41</v>
      </c>
      <c r="BA26" s="110">
        <f t="shared" si="13"/>
        <v>712.45119999999952</v>
      </c>
      <c r="BB26" s="110">
        <f>IFERROR(+LOOKUP(AY26,[13]TARIFAS!$A$4:$B$14,[13]TARIFAS!$D$4:$D$14),0)</f>
        <v>21.36</v>
      </c>
      <c r="BC26" s="110">
        <f t="shared" si="14"/>
        <v>152.17957631999988</v>
      </c>
      <c r="BD26" s="110">
        <f>IFERROR(+LOOKUP(AY26,[13]TARIFAS!$A$4:$B$14,[13]TARIFAS!$C$4:$C$14),0)</f>
        <v>538.20000000000005</v>
      </c>
      <c r="BE26" s="110">
        <f t="shared" si="15"/>
        <v>690.38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1" t="s">
        <v>37</v>
      </c>
      <c r="G27" s="101" t="s">
        <v>38</v>
      </c>
      <c r="H27" s="101">
        <v>15</v>
      </c>
      <c r="I27" s="101">
        <v>1029.4333333333334</v>
      </c>
      <c r="J27" s="160" t="s">
        <v>146</v>
      </c>
      <c r="K27" s="101">
        <v>15441.5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566.5</v>
      </c>
      <c r="R27" s="115">
        <v>835.5</v>
      </c>
      <c r="S27" s="103">
        <f t="shared" si="2"/>
        <v>463.245</v>
      </c>
      <c r="T27" s="101" t="s">
        <v>37</v>
      </c>
      <c r="U27" s="102">
        <v>1712</v>
      </c>
      <c r="V27" s="104">
        <f t="shared" si="3"/>
        <v>1298.7449999999999</v>
      </c>
      <c r="W27" s="101"/>
      <c r="X27" s="102"/>
      <c r="Y27" s="104"/>
      <c r="Z27" s="104">
        <f t="shared" si="4"/>
        <v>17306.744999999999</v>
      </c>
      <c r="AA27" s="101" t="s">
        <v>39</v>
      </c>
      <c r="AB27" s="102">
        <v>1431</v>
      </c>
      <c r="AC27" s="104">
        <f t="shared" si="5"/>
        <v>1466.9425000000001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41</v>
      </c>
      <c r="AI27" s="103">
        <f t="shared" si="6"/>
        <v>3376.71</v>
      </c>
      <c r="AJ27" s="101" t="s">
        <v>39</v>
      </c>
      <c r="AK27" s="105" t="s">
        <v>42</v>
      </c>
      <c r="AL27" s="103">
        <v>0</v>
      </c>
      <c r="AM27" s="101" t="s">
        <v>39</v>
      </c>
      <c r="AN27" s="105" t="s">
        <v>43</v>
      </c>
      <c r="AO27" s="115">
        <v>0</v>
      </c>
      <c r="AP27" s="101" t="s">
        <v>39</v>
      </c>
      <c r="AQ27" s="105">
        <v>1431</v>
      </c>
      <c r="AR27" s="103">
        <v>0</v>
      </c>
      <c r="AS27" s="104">
        <f t="shared" si="8"/>
        <v>4843.6525000000001</v>
      </c>
      <c r="AT27" s="106">
        <f t="shared" si="9"/>
        <v>12463.092499999999</v>
      </c>
      <c r="AU27" s="113"/>
      <c r="AV27" s="108"/>
      <c r="AW27" s="111">
        <f t="shared" si="10"/>
        <v>15</v>
      </c>
      <c r="AX27" s="109">
        <f t="shared" si="11"/>
        <v>17306.745000000003</v>
      </c>
      <c r="AY27" s="119">
        <f>IFERROR(+AX27/AW27,0)*AW27</f>
        <v>17306.745000000003</v>
      </c>
      <c r="AZ27" s="119">
        <f>IFERROR(+LOOKUP(AY27,[13]TARIFAS!$A$4:$B$14,[13]TARIFAS!$A$4:$A$14),0)</f>
        <v>16153.06</v>
      </c>
      <c r="BA27" s="119">
        <f>+AY27-AZ27</f>
        <v>1153.6850000000031</v>
      </c>
      <c r="BB27" s="119">
        <f>IFERROR(+LOOKUP(AY27,[13]TARIFAS!$A$4:$B$14,[13]TARIFAS!$D$4:$D$14),0)</f>
        <v>30</v>
      </c>
      <c r="BC27" s="119">
        <f>(+BA27*BB27)/100</f>
        <v>346.10550000000092</v>
      </c>
      <c r="BD27" s="119">
        <f>IFERROR(+LOOKUP(AY27,[13]TARIFAS!$A$4:$B$14,[13]TARIFAS!$C$4:$C$14),0)</f>
        <v>3030.6</v>
      </c>
      <c r="BE27" s="119">
        <f>ROUND(+BC27+BD27,2)</f>
        <v>3376.71</v>
      </c>
      <c r="BF27" s="119"/>
      <c r="BG27" s="119"/>
      <c r="BH27" s="119"/>
      <c r="BJ27" s="120"/>
    </row>
    <row r="28" spans="1:62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1" t="s">
        <v>37</v>
      </c>
      <c r="G28" s="101" t="s">
        <v>38</v>
      </c>
      <c r="H28" s="101">
        <v>15</v>
      </c>
      <c r="I28" s="101">
        <v>1958.6333333333334</v>
      </c>
      <c r="J28" s="160" t="s">
        <v>148</v>
      </c>
      <c r="K28" s="101">
        <v>29379.5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6">
        <v>808.5</v>
      </c>
      <c r="R28" s="115">
        <v>1144</v>
      </c>
      <c r="S28" s="103">
        <f t="shared" si="2"/>
        <v>881.38499999999999</v>
      </c>
      <c r="T28" s="101" t="s">
        <v>37</v>
      </c>
      <c r="U28" s="102">
        <v>1712</v>
      </c>
      <c r="V28" s="104">
        <f t="shared" si="3"/>
        <v>2025.385</v>
      </c>
      <c r="W28" s="101"/>
      <c r="X28" s="102"/>
      <c r="Y28" s="104"/>
      <c r="Z28" s="104">
        <f t="shared" si="4"/>
        <v>32213.384999999998</v>
      </c>
      <c r="AA28" s="101" t="s">
        <v>39</v>
      </c>
      <c r="AB28" s="102">
        <v>1431</v>
      </c>
      <c r="AC28" s="104">
        <f t="shared" si="5"/>
        <v>2791.0525000000002</v>
      </c>
      <c r="AD28" s="101" t="s">
        <v>39</v>
      </c>
      <c r="AE28" s="105" t="s">
        <v>40</v>
      </c>
      <c r="AF28" s="115">
        <v>4897</v>
      </c>
      <c r="AG28" s="101" t="s">
        <v>39</v>
      </c>
      <c r="AH28" s="105" t="s">
        <v>41</v>
      </c>
      <c r="AI28" s="103">
        <f t="shared" si="6"/>
        <v>7876.11</v>
      </c>
      <c r="AJ28" s="101" t="s">
        <v>39</v>
      </c>
      <c r="AK28" s="105" t="s">
        <v>42</v>
      </c>
      <c r="AL28" s="103">
        <v>0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1431</v>
      </c>
      <c r="AR28" s="103">
        <v>0</v>
      </c>
      <c r="AS28" s="104">
        <f t="shared" si="8"/>
        <v>15564.162499999999</v>
      </c>
      <c r="AT28" s="106">
        <f t="shared" si="9"/>
        <v>16649.2225</v>
      </c>
      <c r="AU28" s="113"/>
      <c r="AV28" s="108"/>
      <c r="AW28" s="109">
        <f t="shared" si="10"/>
        <v>15</v>
      </c>
      <c r="AX28" s="109">
        <f t="shared" si="11"/>
        <v>32213.384999999998</v>
      </c>
      <c r="AY28" s="110">
        <f t="shared" si="12"/>
        <v>32213.384999999995</v>
      </c>
      <c r="AZ28" s="110">
        <f>IFERROR(+LOOKUP(AY28,[13]TARIFAS!$A$4:$B$14,[13]TARIFAS!$A$4:$A$14),0)</f>
        <v>30838.81</v>
      </c>
      <c r="BA28" s="110">
        <f t="shared" si="13"/>
        <v>1374.5749999999935</v>
      </c>
      <c r="BB28" s="110">
        <f>IFERROR(+LOOKUP(AY28,[13]TARIFAS!$A$4:$B$14,[13]TARIFAS!$D$4:$D$14),0)</f>
        <v>32</v>
      </c>
      <c r="BC28" s="110">
        <f t="shared" si="14"/>
        <v>439.86399999999793</v>
      </c>
      <c r="BD28" s="110">
        <f>IFERROR(+LOOKUP(AY28,[13]TARIFAS!$A$4:$B$14,[13]TARIFAS!$C$4:$C$14),0)</f>
        <v>7436.25</v>
      </c>
      <c r="BE28" s="110">
        <f t="shared" si="15"/>
        <v>7876.11</v>
      </c>
      <c r="BF28" s="110"/>
      <c r="BG28" s="110"/>
      <c r="BH28" s="110"/>
      <c r="BI28" s="109"/>
    </row>
    <row r="29" spans="1:62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1" t="s">
        <v>37</v>
      </c>
      <c r="G29" s="101" t="s">
        <v>38</v>
      </c>
      <c r="H29" s="101">
        <v>15</v>
      </c>
      <c r="I29" s="101">
        <v>421.49</v>
      </c>
      <c r="J29" s="160" t="s">
        <v>151</v>
      </c>
      <c r="K29" s="101">
        <v>6572.35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351.5</v>
      </c>
      <c r="R29" s="115">
        <v>406.32</v>
      </c>
      <c r="S29" s="103">
        <f t="shared" si="2"/>
        <v>197.1705</v>
      </c>
      <c r="T29" s="101" t="s">
        <v>37</v>
      </c>
      <c r="U29" s="102">
        <v>1712</v>
      </c>
      <c r="V29" s="104">
        <f t="shared" si="3"/>
        <v>603.4905</v>
      </c>
      <c r="W29" s="101"/>
      <c r="X29" s="102"/>
      <c r="Y29" s="104"/>
      <c r="Z29" s="104">
        <f t="shared" si="4"/>
        <v>7527.3405000000002</v>
      </c>
      <c r="AA29" s="101" t="s">
        <v>39</v>
      </c>
      <c r="AB29" s="102">
        <v>1431</v>
      </c>
      <c r="AC29" s="104">
        <f t="shared" si="5"/>
        <v>624.3732500000001</v>
      </c>
      <c r="AD29" s="101" t="s">
        <v>39</v>
      </c>
      <c r="AE29" s="105" t="s">
        <v>40</v>
      </c>
      <c r="AF29" s="115">
        <v>96.05</v>
      </c>
      <c r="AG29" s="101" t="s">
        <v>39</v>
      </c>
      <c r="AH29" s="105" t="s">
        <v>41</v>
      </c>
      <c r="AI29" s="103">
        <f t="shared" si="6"/>
        <v>1060.6500000000001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1431</v>
      </c>
      <c r="AR29" s="103">
        <v>0</v>
      </c>
      <c r="AS29" s="104">
        <f t="shared" si="8"/>
        <v>1781.0732500000001</v>
      </c>
      <c r="AT29" s="106">
        <f t="shared" si="9"/>
        <v>5746.2672499999999</v>
      </c>
      <c r="AU29" s="113"/>
      <c r="AV29" s="108"/>
      <c r="AW29" s="109">
        <f t="shared" si="10"/>
        <v>15</v>
      </c>
      <c r="AX29" s="109">
        <f t="shared" si="11"/>
        <v>7527.3405000000002</v>
      </c>
      <c r="AY29" s="110">
        <f t="shared" si="12"/>
        <v>7527.3405000000002</v>
      </c>
      <c r="AZ29" s="110">
        <f>IFERROR(+LOOKUP(AY29,[13]TARIFAS!$A$4:$B$14,[13]TARIFAS!$A$4:$A$14),0)</f>
        <v>5081.41</v>
      </c>
      <c r="BA29" s="110">
        <f t="shared" si="13"/>
        <v>2445.9305000000004</v>
      </c>
      <c r="BB29" s="110">
        <f>IFERROR(+LOOKUP(AY29,[13]TARIFAS!$A$4:$B$14,[13]TARIFAS!$D$4:$D$14),0)</f>
        <v>21.36</v>
      </c>
      <c r="BC29" s="110">
        <f t="shared" si="14"/>
        <v>522.45075480000003</v>
      </c>
      <c r="BD29" s="110">
        <f>IFERROR(+LOOKUP(AY29,[13]TARIFAS!$A$4:$B$14,[13]TARIFAS!$C$4:$C$14),0)</f>
        <v>538.20000000000005</v>
      </c>
      <c r="BE29" s="110">
        <f>ROUND(+BC29+BD29,2)</f>
        <v>1060.6500000000001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1" t="s">
        <v>37</v>
      </c>
      <c r="G30" s="101" t="s">
        <v>38</v>
      </c>
      <c r="H30" s="101">
        <v>15</v>
      </c>
      <c r="I30" s="101">
        <v>1029.4333333333334</v>
      </c>
      <c r="J30" s="160" t="s">
        <v>151</v>
      </c>
      <c r="K30" s="101">
        <v>15441.5</v>
      </c>
      <c r="L30" s="101" t="s">
        <v>37</v>
      </c>
      <c r="M30" s="102">
        <v>1311</v>
      </c>
      <c r="N30" s="103">
        <f>67.29</f>
        <v>67.290000000000006</v>
      </c>
      <c r="O30" s="101" t="s">
        <v>37</v>
      </c>
      <c r="P30" s="102">
        <v>1713</v>
      </c>
      <c r="Q30" s="103">
        <v>566.5</v>
      </c>
      <c r="R30" s="103">
        <v>835.5</v>
      </c>
      <c r="S30" s="103">
        <f t="shared" si="2"/>
        <v>463.245</v>
      </c>
      <c r="T30" s="101" t="s">
        <v>37</v>
      </c>
      <c r="U30" s="102">
        <v>1712</v>
      </c>
      <c r="V30" s="104">
        <f t="shared" si="3"/>
        <v>1298.7449999999999</v>
      </c>
      <c r="W30" s="101"/>
      <c r="X30" s="102"/>
      <c r="Y30" s="104"/>
      <c r="Z30" s="104">
        <f t="shared" si="4"/>
        <v>17374.035</v>
      </c>
      <c r="AA30" s="101" t="s">
        <v>39</v>
      </c>
      <c r="AB30" s="102">
        <v>1431</v>
      </c>
      <c r="AC30" s="104">
        <f t="shared" si="5"/>
        <v>1466.9425000000001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41</v>
      </c>
      <c r="AI30" s="103">
        <f t="shared" si="6"/>
        <v>3396.89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1431</v>
      </c>
      <c r="AR30" s="103">
        <v>0</v>
      </c>
      <c r="AS30" s="104">
        <f t="shared" si="8"/>
        <v>4863.8325000000004</v>
      </c>
      <c r="AT30" s="106">
        <f t="shared" si="9"/>
        <v>12510.202499999999</v>
      </c>
      <c r="AU30" s="113"/>
      <c r="AV30" s="108"/>
      <c r="AW30" s="109">
        <f t="shared" si="10"/>
        <v>15</v>
      </c>
      <c r="AX30" s="109">
        <f t="shared" si="11"/>
        <v>17374.035000000003</v>
      </c>
      <c r="AY30" s="110">
        <f t="shared" si="12"/>
        <v>17374.035000000003</v>
      </c>
      <c r="AZ30" s="110">
        <f>IFERROR(+LOOKUP(AY30,[13]TARIFAS!$A$4:$B$14,[13]TARIFAS!$A$4:$A$14),0)</f>
        <v>16153.06</v>
      </c>
      <c r="BA30" s="110">
        <f t="shared" si="13"/>
        <v>1220.975000000004</v>
      </c>
      <c r="BB30" s="110">
        <f>IFERROR(+LOOKUP(AY30,[13]TARIFAS!$A$4:$B$14,[13]TARIFAS!$D$4:$D$14),0)</f>
        <v>30</v>
      </c>
      <c r="BC30" s="110">
        <f t="shared" si="14"/>
        <v>366.29250000000116</v>
      </c>
      <c r="BD30" s="110">
        <f>IFERROR(+LOOKUP(AY30,[13]TARIFAS!$A$4:$B$14,[13]TARIFAS!$C$4:$C$14),0)</f>
        <v>3030.6</v>
      </c>
      <c r="BE30" s="110">
        <f t="shared" si="15"/>
        <v>3396.89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325.036</v>
      </c>
      <c r="J31" s="163" t="s">
        <v>150</v>
      </c>
      <c r="K31" s="101">
        <v>5063.04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5">
        <v>207.91</v>
      </c>
      <c r="R31" s="115">
        <v>371.02</v>
      </c>
      <c r="S31" s="103">
        <f t="shared" si="2"/>
        <v>151.8912</v>
      </c>
      <c r="T31" s="101" t="s">
        <v>37</v>
      </c>
      <c r="U31" s="102">
        <v>1712</v>
      </c>
      <c r="V31" s="104">
        <f t="shared" si="3"/>
        <v>522.91120000000001</v>
      </c>
      <c r="W31" s="101"/>
      <c r="X31" s="102"/>
      <c r="Y31" s="104"/>
      <c r="Z31" s="104">
        <f t="shared" si="4"/>
        <v>5793.8611999999994</v>
      </c>
      <c r="AA31" s="101" t="s">
        <v>39</v>
      </c>
      <c r="AB31" s="102">
        <v>1431</v>
      </c>
      <c r="AC31" s="104">
        <f t="shared" si="5"/>
        <v>480.98880000000003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 t="shared" si="6"/>
        <v>690.38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1431</v>
      </c>
      <c r="AR31" s="103">
        <v>0</v>
      </c>
      <c r="AS31" s="104">
        <f t="shared" si="8"/>
        <v>1171.3688</v>
      </c>
      <c r="AT31" s="106">
        <f t="shared" si="9"/>
        <v>4622.4923999999992</v>
      </c>
      <c r="AU31" s="113"/>
      <c r="AV31" s="108"/>
      <c r="AW31" s="109">
        <f>+H31</f>
        <v>15</v>
      </c>
      <c r="AX31" s="109">
        <f>+K31+S31+N31+Q31+R31+Y31</f>
        <v>5793.8611999999994</v>
      </c>
      <c r="AY31" s="110">
        <f>IFERROR(+AX31/AW31,0)*AW31</f>
        <v>5793.8611999999994</v>
      </c>
      <c r="AZ31" s="110">
        <f>IFERROR(+LOOKUP(AY31,[13]TARIFAS!$A$4:$B$14,[13]TARIFAS!$A$4:$A$14),0)</f>
        <v>5081.41</v>
      </c>
      <c r="BA31" s="110">
        <f>+AY31-AZ31</f>
        <v>712.45119999999952</v>
      </c>
      <c r="BB31" s="110">
        <f>IFERROR(+LOOKUP(AY31,[13]TARIFAS!$A$4:$B$14,[13]TARIFAS!$D$4:$D$14),0)</f>
        <v>21.36</v>
      </c>
      <c r="BC31" s="110">
        <f>(+BA31*BB31)/100</f>
        <v>152.17957631999988</v>
      </c>
      <c r="BD31" s="110">
        <f>IFERROR(+LOOKUP(AY31,[13]TARIFAS!$A$4:$B$14,[13]TARIFAS!$C$4:$C$14),0)</f>
        <v>538.20000000000005</v>
      </c>
      <c r="BE31" s="110">
        <f>ROUND(+BC31+BD31,2)</f>
        <v>690.38</v>
      </c>
      <c r="BF31" s="110"/>
      <c r="BG31" s="110"/>
      <c r="BH31" s="110"/>
      <c r="BI31" s="109"/>
    </row>
    <row r="32" spans="1:62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1" t="s">
        <v>37</v>
      </c>
      <c r="G32" s="101" t="s">
        <v>38</v>
      </c>
      <c r="H32" s="101">
        <v>11</v>
      </c>
      <c r="I32" s="101">
        <v>421.49</v>
      </c>
      <c r="J32" s="163" t="s">
        <v>147</v>
      </c>
      <c r="K32" s="101">
        <v>6572.35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6">
        <f>23.43*15</f>
        <v>351.45</v>
      </c>
      <c r="R32" s="115">
        <f>27.09*15</f>
        <v>406.35</v>
      </c>
      <c r="S32" s="103">
        <f t="shared" si="2"/>
        <v>197.1705</v>
      </c>
      <c r="T32" s="101" t="s">
        <v>37</v>
      </c>
      <c r="U32" s="102">
        <v>1712</v>
      </c>
      <c r="V32" s="104">
        <f t="shared" si="3"/>
        <v>603.52050000000008</v>
      </c>
      <c r="W32" s="101"/>
      <c r="X32" s="102"/>
      <c r="Y32" s="104"/>
      <c r="Z32" s="104">
        <f t="shared" si="4"/>
        <v>7527.3204999999998</v>
      </c>
      <c r="AA32" s="101" t="s">
        <v>39</v>
      </c>
      <c r="AB32" s="102">
        <v>1431</v>
      </c>
      <c r="AC32" s="104">
        <f t="shared" si="5"/>
        <v>624.3732500000001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 t="shared" si="6"/>
        <v>1060.6500000000001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1431</v>
      </c>
      <c r="AR32" s="103">
        <v>0</v>
      </c>
      <c r="AS32" s="104">
        <f t="shared" si="8"/>
        <v>1685.0232500000002</v>
      </c>
      <c r="AT32" s="106">
        <f t="shared" si="9"/>
        <v>5842.2972499999996</v>
      </c>
      <c r="AU32" s="113"/>
      <c r="AV32" s="108"/>
      <c r="AW32" s="109">
        <f t="shared" si="10"/>
        <v>11</v>
      </c>
      <c r="AX32" s="109">
        <f t="shared" si="11"/>
        <v>7527.3205000000007</v>
      </c>
      <c r="AY32" s="110">
        <f t="shared" si="12"/>
        <v>7527.3205000000007</v>
      </c>
      <c r="AZ32" s="110">
        <f>IFERROR(+LOOKUP(AY32,[13]TARIFAS!$A$4:$B$14,[13]TARIFAS!$A$4:$A$14),0)</f>
        <v>5081.41</v>
      </c>
      <c r="BA32" s="110">
        <f t="shared" si="13"/>
        <v>2445.9105000000009</v>
      </c>
      <c r="BB32" s="110">
        <f>IFERROR(+LOOKUP(AY32,[13]TARIFAS!$A$4:$B$14,[13]TARIFAS!$D$4:$D$14),0)</f>
        <v>21.36</v>
      </c>
      <c r="BC32" s="110">
        <f t="shared" si="14"/>
        <v>522.44648280000013</v>
      </c>
      <c r="BD32" s="110">
        <f>IFERROR(+LOOKUP(AY32,[13]TARIFAS!$A$4:$B$14,[13]TARIFAS!$C$4:$C$14),0)</f>
        <v>538.20000000000005</v>
      </c>
      <c r="BE32" s="110">
        <f t="shared" si="15"/>
        <v>1060.6500000000001</v>
      </c>
      <c r="BF32" s="110"/>
      <c r="BG32" s="110"/>
      <c r="BH32" s="110"/>
      <c r="BI32" s="109"/>
    </row>
    <row r="33" spans="1:47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4"/>
      <c r="G33" s="124"/>
      <c r="H33" s="124"/>
      <c r="I33" s="124"/>
      <c r="J33" s="124"/>
      <c r="K33" s="124">
        <f>SUM(K5:K32)</f>
        <v>226649.65000000005</v>
      </c>
      <c r="L33" s="124"/>
      <c r="M33" s="124"/>
      <c r="N33" s="124">
        <f>SUM(N5:N32)</f>
        <v>2523.3899999999994</v>
      </c>
      <c r="O33" s="124"/>
      <c r="P33" s="124"/>
      <c r="Q33" s="124">
        <f>SUM(Q5:Q32)</f>
        <v>9734.119999999999</v>
      </c>
      <c r="R33" s="124">
        <f>SUM(R5:R32)</f>
        <v>13199.05</v>
      </c>
      <c r="S33" s="124">
        <f>SUM(S5:S32)</f>
        <v>6799.4895000000015</v>
      </c>
      <c r="T33" s="124"/>
      <c r="U33" s="124"/>
      <c r="V33" s="124">
        <f>SUM(V5:V32)</f>
        <v>19998.539499999995</v>
      </c>
      <c r="W33" s="124"/>
      <c r="X33" s="125"/>
      <c r="Y33" s="124">
        <f>SUM(Y5:Y30)</f>
        <v>0</v>
      </c>
      <c r="Z33" s="124">
        <f>SUM(Z5:Z32)</f>
        <v>258905.69949999996</v>
      </c>
      <c r="AA33" s="124"/>
      <c r="AB33" s="125"/>
      <c r="AC33" s="124">
        <f>SUM(AC5:AC32)</f>
        <v>21531.710250000007</v>
      </c>
      <c r="AD33" s="124"/>
      <c r="AE33" s="125"/>
      <c r="AF33" s="126">
        <f>SUM(AF5:AF32)</f>
        <v>22685.5</v>
      </c>
      <c r="AG33" s="124"/>
      <c r="AH33" s="125"/>
      <c r="AI33" s="124">
        <f>SUM(AI5:AI32)</f>
        <v>42210.82</v>
      </c>
      <c r="AJ33" s="124"/>
      <c r="AK33" s="125"/>
      <c r="AL33" s="126">
        <f>SUM(AL5:AL32)</f>
        <v>1094.6713000000002</v>
      </c>
      <c r="AM33" s="124"/>
      <c r="AN33" s="125"/>
      <c r="AO33" s="124">
        <f>SUM(AO5:AO32)</f>
        <v>0</v>
      </c>
      <c r="AP33" s="124"/>
      <c r="AQ33" s="125"/>
      <c r="AR33" s="124">
        <f>SUM(AR5:AR32)</f>
        <v>0</v>
      </c>
      <c r="AS33" s="124">
        <f>SUM(AS5:AS32)</f>
        <v>87522.701549999998</v>
      </c>
      <c r="AT33" s="124">
        <f>SUM(AT5:AT32)</f>
        <v>171382.99794999999</v>
      </c>
      <c r="AU33" s="127"/>
    </row>
    <row r="34" spans="1:47" s="128" customFormat="1" ht="21" customHeight="1" x14ac:dyDescent="0.2">
      <c r="A34" s="129"/>
      <c r="B34" s="129"/>
      <c r="C34" s="130"/>
      <c r="D34" s="130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1"/>
      <c r="Y34" s="129"/>
      <c r="Z34" s="129"/>
      <c r="AA34" s="129"/>
      <c r="AB34" s="131"/>
      <c r="AC34" s="129"/>
      <c r="AD34" s="129"/>
      <c r="AE34" s="131"/>
      <c r="AF34" s="132"/>
      <c r="AG34" s="129"/>
      <c r="AH34" s="131"/>
      <c r="AI34" s="129"/>
      <c r="AJ34" s="129"/>
      <c r="AK34" s="131"/>
      <c r="AL34" s="132"/>
      <c r="AM34" s="129"/>
      <c r="AN34" s="131"/>
      <c r="AO34" s="129"/>
      <c r="AP34" s="129"/>
      <c r="AQ34" s="131"/>
      <c r="AR34" s="129"/>
      <c r="AS34" s="129"/>
      <c r="AT34" s="129"/>
      <c r="AU34" s="129"/>
    </row>
    <row r="35" spans="1:47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73"/>
      <c r="L35" s="159"/>
      <c r="M35" s="159"/>
      <c r="O35" s="159"/>
      <c r="P35" s="136"/>
      <c r="Q35" s="137"/>
      <c r="R35" s="138"/>
      <c r="S35" s="173"/>
      <c r="T35" s="173"/>
      <c r="U35" s="173"/>
      <c r="V35" s="173"/>
      <c r="W35" s="173"/>
      <c r="X35" s="173"/>
      <c r="Y35" s="173"/>
      <c r="Z35" s="173"/>
      <c r="AA35" s="133"/>
      <c r="AB35" s="133"/>
      <c r="AC35" s="133"/>
      <c r="AD35" s="133"/>
      <c r="AE35" s="133"/>
      <c r="AG35" s="133"/>
      <c r="AH35" s="133"/>
      <c r="AI35" s="133"/>
      <c r="AJ35" s="133"/>
      <c r="AK35" s="133"/>
      <c r="AL35" s="173" t="s">
        <v>113</v>
      </c>
      <c r="AM35" s="173"/>
      <c r="AN35" s="173"/>
      <c r="AO35" s="173"/>
      <c r="AP35" s="173"/>
      <c r="AQ35" s="173"/>
      <c r="AR35" s="173"/>
      <c r="AS35" s="173"/>
      <c r="AT35" s="173"/>
    </row>
    <row r="36" spans="1:47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O36" s="141"/>
      <c r="P36" s="142"/>
      <c r="Q36" s="141"/>
      <c r="R36" s="138"/>
      <c r="S36" s="138"/>
      <c r="T36" s="141"/>
      <c r="U36" s="142"/>
      <c r="W36" s="141"/>
      <c r="X36" s="142"/>
      <c r="Z36" s="138"/>
      <c r="AA36" s="141"/>
      <c r="AB36" s="142"/>
      <c r="AC36" s="143"/>
      <c r="AD36" s="141"/>
      <c r="AE36" s="142"/>
      <c r="AF36" s="144"/>
      <c r="AG36" s="141"/>
      <c r="AH36" s="142"/>
      <c r="AI36" s="133"/>
      <c r="AJ36" s="141"/>
      <c r="AK36" s="142"/>
      <c r="AL36" s="145"/>
      <c r="AM36" s="141"/>
      <c r="AN36" s="142"/>
      <c r="AO36" s="133"/>
      <c r="AP36" s="141"/>
      <c r="AQ36" s="142"/>
      <c r="AR36" s="133"/>
      <c r="AT36" s="133"/>
    </row>
    <row r="37" spans="1:47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73"/>
      <c r="L37" s="159"/>
      <c r="M37" s="159"/>
      <c r="O37" s="159"/>
      <c r="P37" s="136"/>
      <c r="Q37" s="138"/>
      <c r="R37" s="138"/>
      <c r="S37" s="173"/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J37" s="133"/>
      <c r="AK37" s="133"/>
      <c r="AL37" s="173" t="s">
        <v>115</v>
      </c>
      <c r="AM37" s="173"/>
      <c r="AN37" s="173"/>
      <c r="AO37" s="173"/>
      <c r="AP37" s="173"/>
      <c r="AQ37" s="173"/>
      <c r="AR37" s="173"/>
      <c r="AS37" s="173"/>
      <c r="AT37" s="173"/>
      <c r="AU37" s="133"/>
    </row>
    <row r="38" spans="1:47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73"/>
      <c r="L38" s="159"/>
      <c r="M38" s="159"/>
      <c r="O38" s="159"/>
      <c r="P38" s="136"/>
      <c r="Q38" s="138"/>
      <c r="R38" s="138"/>
      <c r="S38" s="173"/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133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47" x14ac:dyDescent="0.2">
      <c r="A39" s="133"/>
      <c r="B39" s="133"/>
      <c r="C39" s="146"/>
      <c r="D39" s="146"/>
      <c r="E39" s="146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47"/>
      <c r="Q39" s="133"/>
      <c r="T39" s="133"/>
      <c r="U39" s="147"/>
      <c r="W39" s="133"/>
      <c r="X39" s="147"/>
      <c r="Z39" s="133"/>
      <c r="AA39" s="133"/>
      <c r="AB39" s="147"/>
      <c r="AC39" s="133"/>
      <c r="AD39" s="133"/>
      <c r="AE39" s="147"/>
      <c r="AF39" s="148"/>
      <c r="AG39" s="133"/>
      <c r="AH39" s="147"/>
      <c r="AJ39" s="133"/>
      <c r="AK39" s="147"/>
      <c r="AM39" s="133"/>
      <c r="AN39" s="147"/>
      <c r="AP39" s="133"/>
      <c r="AQ39" s="147"/>
      <c r="AS39" s="133"/>
      <c r="AT39" s="133"/>
      <c r="AU39" s="133"/>
    </row>
    <row r="40" spans="1:47" x14ac:dyDescent="0.2"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R40" s="133"/>
      <c r="S40" s="133"/>
      <c r="T40" s="133"/>
      <c r="U40" s="147"/>
      <c r="V40" s="149"/>
      <c r="W40" s="133"/>
      <c r="X40" s="147"/>
      <c r="Y40" s="149"/>
      <c r="Z40" s="133"/>
      <c r="AA40" s="133"/>
      <c r="AB40" s="147"/>
      <c r="AC40" s="133"/>
      <c r="AD40" s="133"/>
      <c r="AE40" s="147"/>
      <c r="AF40" s="150"/>
      <c r="AG40" s="133"/>
      <c r="AH40" s="147"/>
      <c r="AI40" s="133"/>
      <c r="AJ40" s="133"/>
      <c r="AK40" s="147"/>
      <c r="AL40" s="150"/>
      <c r="AM40" s="133"/>
      <c r="AN40" s="147"/>
      <c r="AO40" s="133"/>
      <c r="AP40" s="133"/>
      <c r="AQ40" s="147"/>
      <c r="AR40" s="133"/>
      <c r="AS40" s="133"/>
    </row>
    <row r="41" spans="1:47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47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  <c r="AT42" s="133"/>
    </row>
    <row r="43" spans="1:47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47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47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47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</row>
    <row r="47" spans="1:47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47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34"/>
      <c r="D55" s="151"/>
      <c r="E55" s="151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46"/>
      <c r="D59" s="146"/>
      <c r="E59" s="146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D59" s="133"/>
      <c r="AE59" s="147"/>
      <c r="AG59" s="133"/>
      <c r="AH59" s="147"/>
      <c r="AJ59" s="133"/>
      <c r="AK59" s="147"/>
      <c r="AM59" s="133"/>
      <c r="AN59" s="147"/>
      <c r="AP59" s="133"/>
      <c r="AQ59" s="147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0"/>
      <c r="D65" s="140"/>
      <c r="E65" s="140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49"/>
      <c r="R65" s="133"/>
      <c r="S65" s="149"/>
      <c r="T65" s="133"/>
      <c r="U65" s="147"/>
      <c r="V65" s="149"/>
      <c r="W65" s="133"/>
      <c r="X65" s="147"/>
      <c r="Y65" s="149"/>
      <c r="Z65" s="133"/>
      <c r="AA65" s="133"/>
      <c r="AB65" s="147"/>
      <c r="AC65" s="133"/>
      <c r="AD65" s="133"/>
      <c r="AE65" s="147"/>
      <c r="AF65" s="150"/>
      <c r="AG65" s="133"/>
      <c r="AH65" s="147"/>
      <c r="AI65" s="133"/>
      <c r="AJ65" s="133"/>
      <c r="AK65" s="147"/>
      <c r="AL65" s="150"/>
      <c r="AM65" s="133"/>
      <c r="AN65" s="147"/>
      <c r="AO65" s="133"/>
      <c r="AP65" s="133"/>
      <c r="AQ65" s="147"/>
      <c r="AR65" s="133"/>
      <c r="AS65" s="133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33"/>
      <c r="W66" s="133"/>
      <c r="X66" s="147"/>
      <c r="Y66" s="133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34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52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  <c r="AT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D76" s="133"/>
      <c r="AE76" s="147"/>
      <c r="AG76" s="133"/>
      <c r="AH76" s="147"/>
      <c r="AJ76" s="133"/>
      <c r="AK76" s="147"/>
      <c r="AM76" s="133"/>
      <c r="AN76" s="147"/>
      <c r="AP76" s="133"/>
      <c r="AQ76" s="147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53"/>
      <c r="AA79" s="133"/>
      <c r="AB79" s="147"/>
      <c r="AC79" s="153"/>
      <c r="AD79" s="133"/>
      <c r="AE79" s="147"/>
      <c r="AF79" s="154"/>
      <c r="AG79" s="133"/>
      <c r="AH79" s="147"/>
      <c r="AI79" s="153"/>
      <c r="AJ79" s="133"/>
      <c r="AK79" s="147"/>
      <c r="AL79" s="154"/>
      <c r="AM79" s="133"/>
      <c r="AN79" s="147"/>
      <c r="AO79" s="153"/>
      <c r="AP79" s="133"/>
      <c r="AQ79" s="147"/>
      <c r="AR79" s="153"/>
      <c r="AS79" s="153"/>
      <c r="AT79" s="15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C80" s="133"/>
      <c r="AD80" s="133"/>
      <c r="AE80" s="147"/>
      <c r="AF80" s="150"/>
      <c r="AG80" s="133"/>
      <c r="AH80" s="147"/>
      <c r="AI80" s="133"/>
      <c r="AJ80" s="133"/>
      <c r="AK80" s="147"/>
      <c r="AL80" s="150"/>
      <c r="AM80" s="133"/>
      <c r="AN80" s="147"/>
      <c r="AO80" s="133"/>
      <c r="AP80" s="133"/>
      <c r="AQ80" s="147"/>
      <c r="AR80" s="133"/>
      <c r="AS80" s="133"/>
      <c r="AT80" s="133"/>
    </row>
    <row r="81" spans="3:47" x14ac:dyDescent="0.2">
      <c r="C81" s="140"/>
      <c r="D81" s="140"/>
      <c r="E81" s="140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7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7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7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7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7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7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7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7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7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7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7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7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33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7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7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7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  <c r="AU96" s="155"/>
    </row>
    <row r="97" spans="1:48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8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8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8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8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D101" s="133"/>
      <c r="AE101" s="147"/>
      <c r="AG101" s="133"/>
      <c r="AH101" s="147"/>
      <c r="AJ101" s="133"/>
      <c r="AK101" s="147"/>
      <c r="AM101" s="133"/>
      <c r="AN101" s="147"/>
      <c r="AP101" s="133"/>
      <c r="AQ101" s="147"/>
      <c r="AT101" s="133"/>
    </row>
    <row r="102" spans="1:48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8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8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</row>
    <row r="105" spans="1:48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8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8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8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8" x14ac:dyDescent="0.2">
      <c r="A109" s="155"/>
      <c r="B109" s="155"/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8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8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8" s="155" customFormat="1" x14ac:dyDescent="0.2">
      <c r="A112" s="81"/>
      <c r="B112" s="81"/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C112" s="81"/>
      <c r="AD112" s="133"/>
      <c r="AE112" s="147"/>
      <c r="AF112" s="139"/>
      <c r="AG112" s="133"/>
      <c r="AH112" s="147"/>
      <c r="AI112" s="81"/>
      <c r="AJ112" s="133"/>
      <c r="AK112" s="147"/>
      <c r="AL112" s="139"/>
      <c r="AM112" s="133"/>
      <c r="AN112" s="147"/>
      <c r="AO112" s="81"/>
      <c r="AP112" s="133"/>
      <c r="AQ112" s="147"/>
      <c r="AR112" s="81"/>
      <c r="AS112" s="81"/>
      <c r="AT112" s="81"/>
      <c r="AU112" s="81"/>
      <c r="AV112" s="81"/>
    </row>
    <row r="113" spans="3:43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3:43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3:43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3:43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3:43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3:43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3:43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3:43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3:43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3:43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3:43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3:43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3:43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3:43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3:43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3:43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</sheetData>
  <mergeCells count="11">
    <mergeCell ref="D38:K38"/>
    <mergeCell ref="S38:Z38"/>
    <mergeCell ref="AL38:AT38"/>
    <mergeCell ref="C2:AU2"/>
    <mergeCell ref="B4:C4"/>
    <mergeCell ref="D35:K35"/>
    <mergeCell ref="S35:Z35"/>
    <mergeCell ref="AL35:AT35"/>
    <mergeCell ref="D37:K37"/>
    <mergeCell ref="S37:Z37"/>
    <mergeCell ref="AL37:AT37"/>
  </mergeCells>
  <printOptions horizontalCentered="1" verticalCentered="1"/>
  <pageMargins left="0" right="7.874015748031496E-2" top="0.39370078740157483" bottom="0.19685039370078741" header="0.39370078740157483" footer="0"/>
  <pageSetup paperSize="256" scale="70" orientation="landscape" r:id="rId1"/>
  <headerFooter differentOddEven="1">
    <oddFooter xml:space="preserve"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U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3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hidden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8.1406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4.85546875" style="81" hidden="1" customWidth="1"/>
    <col min="42" max="42" width="5.7109375" style="81" hidden="1" customWidth="1"/>
    <col min="43" max="43" width="11.28515625" style="157" hidden="1" customWidth="1"/>
    <col min="44" max="44" width="15.5703125" style="81" hidden="1" customWidth="1"/>
    <col min="45" max="45" width="18.5703125" style="81" customWidth="1"/>
    <col min="46" max="46" width="19.85546875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1" spans="1:62" ht="15.75" x14ac:dyDescent="0.2">
      <c r="N1" s="138"/>
      <c r="O1" s="138"/>
      <c r="P1" s="158"/>
      <c r="Q1" s="138"/>
      <c r="R1" s="138"/>
    </row>
    <row r="2" spans="1:62" ht="35.25" customHeight="1" x14ac:dyDescent="0.2">
      <c r="C2" s="174" t="s">
        <v>157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 t="s">
        <v>38</v>
      </c>
      <c r="H5" s="101">
        <v>15</v>
      </c>
      <c r="I5" s="101">
        <v>421.49</v>
      </c>
      <c r="J5" s="160" t="s">
        <v>146</v>
      </c>
      <c r="K5" s="101">
        <v>6572.35</v>
      </c>
      <c r="L5" s="101" t="s">
        <v>37</v>
      </c>
      <c r="M5" s="102">
        <v>1311</v>
      </c>
      <c r="N5" s="103">
        <f>134.58+33.65</f>
        <v>168.23000000000002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>K5*3%</f>
        <v>197.1705</v>
      </c>
      <c r="T5" s="101" t="s">
        <v>37</v>
      </c>
      <c r="U5" s="102">
        <v>1712</v>
      </c>
      <c r="V5" s="104">
        <f t="shared" ref="V5:V32" si="2">(R5+S5)</f>
        <v>603.4905</v>
      </c>
      <c r="W5" s="101" t="s">
        <v>37</v>
      </c>
      <c r="X5" s="102">
        <v>1345</v>
      </c>
      <c r="Y5" s="104">
        <v>0</v>
      </c>
      <c r="Z5" s="104">
        <f t="shared" ref="Z5:Z32" si="3">K5+N5+Q5+V5+Y5</f>
        <v>7695.5704999999998</v>
      </c>
      <c r="AA5" s="101" t="s">
        <v>39</v>
      </c>
      <c r="AB5" s="102">
        <v>1431</v>
      </c>
      <c r="AC5" s="104">
        <f t="shared" ref="AC5:AC32" si="4">(K5*9.5%)</f>
        <v>624.3732500000001</v>
      </c>
      <c r="AD5" s="101" t="s">
        <v>39</v>
      </c>
      <c r="AE5" s="105" t="s">
        <v>40</v>
      </c>
      <c r="AF5" s="103">
        <v>395.77</v>
      </c>
      <c r="AG5" s="101" t="s">
        <v>39</v>
      </c>
      <c r="AH5" s="105" t="s">
        <v>41</v>
      </c>
      <c r="AI5" s="103">
        <f t="shared" ref="AI5:AI32" si="5">+BE5</f>
        <v>1096.58</v>
      </c>
      <c r="AJ5" s="101" t="s">
        <v>39</v>
      </c>
      <c r="AK5" s="105" t="s">
        <v>42</v>
      </c>
      <c r="AL5" s="103">
        <f t="shared" ref="AL5:AL10" si="6">(K5*1%)</f>
        <v>65.723500000000001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1431</v>
      </c>
      <c r="AR5" s="103">
        <v>0</v>
      </c>
      <c r="AS5" s="104">
        <f t="shared" ref="AS5:AS32" si="7">(AC5+AF5+AI5+AL5+AO5+AR5)</f>
        <v>2182.4467500000001</v>
      </c>
      <c r="AT5" s="106">
        <f t="shared" ref="AT5:AT32" si="8">(Z5-AS5)</f>
        <v>5513.1237499999997</v>
      </c>
      <c r="AU5" s="107"/>
      <c r="AV5" s="108"/>
      <c r="AW5" s="109">
        <f>+H5</f>
        <v>15</v>
      </c>
      <c r="AX5" s="109">
        <f>+K5+S5+N5+Q5+R5+Y5</f>
        <v>7695.5704999999998</v>
      </c>
      <c r="AY5" s="110">
        <f>IFERROR(+AX5/AW5,0)*AW5</f>
        <v>7695.5705000000007</v>
      </c>
      <c r="AZ5" s="110">
        <f>IFERROR(+LOOKUP(AY5,[13]TARIFAS!$A$4:$B$14,[13]TARIFAS!$A$4:$A$14),0)</f>
        <v>5081.41</v>
      </c>
      <c r="BA5" s="110">
        <f>+AY5-AZ5</f>
        <v>2614.1605000000009</v>
      </c>
      <c r="BB5" s="110">
        <f>IFERROR(+LOOKUP(AY5,[13]TARIFAS!$A$4:$B$14,[13]TARIFAS!$D$4:$D$14),0)</f>
        <v>21.36</v>
      </c>
      <c r="BC5" s="110">
        <f>(+BA5*BB5)/100</f>
        <v>558.38468280000018</v>
      </c>
      <c r="BD5" s="110">
        <f>IFERROR(+LOOKUP(AY5,[13]TARIFAS!$A$4:$B$14,[13]TARIFAS!$C$4:$C$14),0)</f>
        <v>538.20000000000005</v>
      </c>
      <c r="BE5" s="110">
        <f>ROUND(+BC5+BD5,2)</f>
        <v>1096.58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6572.35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 t="shared" ref="S6:S32" si="9">K6*3%</f>
        <v>197.1705</v>
      </c>
      <c r="T6" s="101" t="s">
        <v>37</v>
      </c>
      <c r="U6" s="102">
        <v>1712</v>
      </c>
      <c r="V6" s="104">
        <f t="shared" si="2"/>
        <v>603.4905</v>
      </c>
      <c r="W6" s="101"/>
      <c r="X6" s="102"/>
      <c r="Y6" s="104"/>
      <c r="Z6" s="104">
        <f t="shared" si="3"/>
        <v>7695.5655000000006</v>
      </c>
      <c r="AA6" s="101" t="s">
        <v>39</v>
      </c>
      <c r="AB6" s="102">
        <v>1431</v>
      </c>
      <c r="AC6" s="104">
        <f t="shared" si="4"/>
        <v>624.3732500000001</v>
      </c>
      <c r="AD6" s="101" t="s">
        <v>39</v>
      </c>
      <c r="AE6" s="105" t="s">
        <v>40</v>
      </c>
      <c r="AF6" s="103">
        <v>2191</v>
      </c>
      <c r="AG6" s="101" t="s">
        <v>39</v>
      </c>
      <c r="AH6" s="105" t="s">
        <v>41</v>
      </c>
      <c r="AI6" s="103">
        <f t="shared" si="5"/>
        <v>1096.58</v>
      </c>
      <c r="AJ6" s="101" t="s">
        <v>39</v>
      </c>
      <c r="AK6" s="105" t="s">
        <v>42</v>
      </c>
      <c r="AL6" s="103">
        <f t="shared" si="6"/>
        <v>65.723500000000001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1431</v>
      </c>
      <c r="AR6" s="103">
        <v>0</v>
      </c>
      <c r="AS6" s="104">
        <f t="shared" si="7"/>
        <v>3977.6767500000001</v>
      </c>
      <c r="AT6" s="106">
        <f t="shared" si="8"/>
        <v>3717.8887500000005</v>
      </c>
      <c r="AU6" s="113"/>
      <c r="AV6" s="108"/>
      <c r="AW6" s="109">
        <f t="shared" ref="AW6:AW32" si="10">+H6</f>
        <v>15</v>
      </c>
      <c r="AX6" s="109">
        <f t="shared" ref="AX6:AX32" si="11">+K6+S6+N6+Q6+R6+Y6</f>
        <v>7695.5655000000006</v>
      </c>
      <c r="AY6" s="110">
        <f t="shared" ref="AY6:AY32" si="12">IFERROR(+AX6/AW6,0)*AW6</f>
        <v>7695.5655000000015</v>
      </c>
      <c r="AZ6" s="110">
        <f>IFERROR(+LOOKUP(AY6,[13]TARIFAS!$A$4:$B$14,[13]TARIFAS!$A$4:$A$14),0)</f>
        <v>5081.41</v>
      </c>
      <c r="BA6" s="110">
        <f t="shared" ref="BA6:BA32" si="13">+AY6-AZ6</f>
        <v>2614.1555000000017</v>
      </c>
      <c r="BB6" s="110">
        <f>IFERROR(+LOOKUP(AY6,[13]TARIFAS!$A$4:$B$14,[13]TARIFAS!$D$4:$D$14),0)</f>
        <v>21.36</v>
      </c>
      <c r="BC6" s="110">
        <f t="shared" ref="BC6:BC32" si="14">(+BA6*BB6)/100</f>
        <v>558.38361480000037</v>
      </c>
      <c r="BD6" s="110">
        <f>IFERROR(+LOOKUP(AY6,[13]TARIFAS!$A$4:$B$14,[13]TARIFAS!$C$4:$C$14),0)</f>
        <v>538.20000000000005</v>
      </c>
      <c r="BE6" s="110">
        <f t="shared" ref="BE6:BE32" si="15">ROUND(+BC6+BD6,2)</f>
        <v>1096.58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7713.23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f t="shared" si="9"/>
        <v>231.39689999999999</v>
      </c>
      <c r="T7" s="101" t="s">
        <v>37</v>
      </c>
      <c r="U7" s="102">
        <v>1712</v>
      </c>
      <c r="V7" s="104">
        <f t="shared" si="2"/>
        <v>649.83690000000001</v>
      </c>
      <c r="W7" s="101"/>
      <c r="X7" s="102"/>
      <c r="Y7" s="104"/>
      <c r="Z7" s="104">
        <f t="shared" si="3"/>
        <v>8813.3819000000003</v>
      </c>
      <c r="AA7" s="101" t="s">
        <v>39</v>
      </c>
      <c r="AB7" s="102">
        <v>1431</v>
      </c>
      <c r="AC7" s="104">
        <f t="shared" si="4"/>
        <v>732.75684999999999</v>
      </c>
      <c r="AD7" s="101" t="s">
        <v>39</v>
      </c>
      <c r="AE7" s="105" t="s">
        <v>40</v>
      </c>
      <c r="AF7" s="103">
        <v>1158</v>
      </c>
      <c r="AG7" s="101" t="s">
        <v>39</v>
      </c>
      <c r="AH7" s="105" t="s">
        <v>41</v>
      </c>
      <c r="AI7" s="103">
        <f t="shared" si="5"/>
        <v>1335.35</v>
      </c>
      <c r="AJ7" s="101" t="s">
        <v>39</v>
      </c>
      <c r="AK7" s="105" t="s">
        <v>42</v>
      </c>
      <c r="AL7" s="103">
        <f t="shared" si="6"/>
        <v>77.132300000000001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1431</v>
      </c>
      <c r="AR7" s="103">
        <v>0</v>
      </c>
      <c r="AS7" s="104">
        <f t="shared" si="7"/>
        <v>3303.2391500000003</v>
      </c>
      <c r="AT7" s="106">
        <f t="shared" si="8"/>
        <v>5510.14275</v>
      </c>
      <c r="AU7" s="113"/>
      <c r="AV7" s="108"/>
      <c r="AW7" s="109">
        <f t="shared" si="10"/>
        <v>15</v>
      </c>
      <c r="AX7" s="109">
        <f t="shared" si="11"/>
        <v>8813.3819000000003</v>
      </c>
      <c r="AY7" s="110">
        <f t="shared" si="12"/>
        <v>8813.3819000000003</v>
      </c>
      <c r="AZ7" s="110">
        <f>IFERROR(+LOOKUP(AY7,[13]TARIFAS!$A$4:$B$14,[13]TARIFAS!$A$4:$A$14),0)</f>
        <v>5081.41</v>
      </c>
      <c r="BA7" s="110">
        <f t="shared" si="13"/>
        <v>3731.9719000000005</v>
      </c>
      <c r="BB7" s="110">
        <f>IFERROR(+LOOKUP(AY7,[13]TARIFAS!$A$4:$B$14,[13]TARIFAS!$D$4:$D$14),0)</f>
        <v>21.36</v>
      </c>
      <c r="BC7" s="110">
        <f t="shared" si="14"/>
        <v>797.14919784000017</v>
      </c>
      <c r="BD7" s="110">
        <f>IFERROR(+LOOKUP(AY7,[13]TARIFAS!$A$4:$B$14,[13]TARIFAS!$C$4:$C$14),0)</f>
        <v>538.20000000000005</v>
      </c>
      <c r="BE7" s="110">
        <f t="shared" si="15"/>
        <v>1335.35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6572.35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 t="shared" si="9"/>
        <v>197.1705</v>
      </c>
      <c r="T8" s="101" t="s">
        <v>37</v>
      </c>
      <c r="U8" s="102">
        <v>1712</v>
      </c>
      <c r="V8" s="104">
        <f t="shared" si="2"/>
        <v>603.4905</v>
      </c>
      <c r="W8" s="101"/>
      <c r="X8" s="102"/>
      <c r="Y8" s="104"/>
      <c r="Z8" s="104">
        <f t="shared" si="3"/>
        <v>7729.2105000000001</v>
      </c>
      <c r="AA8" s="101" t="s">
        <v>39</v>
      </c>
      <c r="AB8" s="102">
        <v>1431</v>
      </c>
      <c r="AC8" s="104">
        <f t="shared" si="4"/>
        <v>624.3732500000001</v>
      </c>
      <c r="AD8" s="101" t="s">
        <v>39</v>
      </c>
      <c r="AE8" s="105" t="s">
        <v>40</v>
      </c>
      <c r="AF8" s="103">
        <v>1600</v>
      </c>
      <c r="AG8" s="101" t="s">
        <v>39</v>
      </c>
      <c r="AH8" s="105" t="s">
        <v>41</v>
      </c>
      <c r="AI8" s="103">
        <f t="shared" si="5"/>
        <v>1103.77</v>
      </c>
      <c r="AJ8" s="101" t="s">
        <v>39</v>
      </c>
      <c r="AK8" s="105" t="s">
        <v>42</v>
      </c>
      <c r="AL8" s="103">
        <f t="shared" si="6"/>
        <v>65.723500000000001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1431</v>
      </c>
      <c r="AR8" s="103">
        <v>0</v>
      </c>
      <c r="AS8" s="104">
        <f t="shared" si="7"/>
        <v>3393.8667500000001</v>
      </c>
      <c r="AT8" s="106">
        <f t="shared" si="8"/>
        <v>4335.34375</v>
      </c>
      <c r="AU8" s="113"/>
      <c r="AV8" s="108"/>
      <c r="AW8" s="109">
        <f t="shared" si="10"/>
        <v>15</v>
      </c>
      <c r="AX8" s="109">
        <f t="shared" si="11"/>
        <v>7729.2105000000001</v>
      </c>
      <c r="AY8" s="110">
        <f>IFERROR(+AX8/AW8,0)*AW8</f>
        <v>7729.2105000000001</v>
      </c>
      <c r="AZ8" s="110">
        <f>IFERROR(+LOOKUP(AY8,[13]TARIFAS!$A$4:$B$14,[13]TARIFAS!$A$4:$A$14),0)</f>
        <v>5081.41</v>
      </c>
      <c r="BA8" s="110">
        <f t="shared" si="13"/>
        <v>2647.8005000000003</v>
      </c>
      <c r="BB8" s="110">
        <f>IFERROR(+LOOKUP(AY8,[13]TARIFAS!$A$4:$B$14,[13]TARIFAS!$D$4:$D$14),0)</f>
        <v>21.36</v>
      </c>
      <c r="BC8" s="110">
        <f t="shared" si="14"/>
        <v>565.57018679999999</v>
      </c>
      <c r="BD8" s="110">
        <f>IFERROR(+LOOKUP(AY8,[13]TARIFAS!$A$4:$B$14,[13]TARIFAS!$C$4:$C$14),0)</f>
        <v>538.20000000000005</v>
      </c>
      <c r="BE8" s="110">
        <f t="shared" si="15"/>
        <v>1103.77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7713.23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f t="shared" si="9"/>
        <v>231.39689999999999</v>
      </c>
      <c r="T9" s="101" t="s">
        <v>37</v>
      </c>
      <c r="U9" s="102">
        <v>1712</v>
      </c>
      <c r="V9" s="104">
        <f t="shared" si="2"/>
        <v>649.83690000000001</v>
      </c>
      <c r="W9" s="101"/>
      <c r="X9" s="102"/>
      <c r="Y9" s="104"/>
      <c r="Z9" s="104">
        <f t="shared" si="3"/>
        <v>8813.3819000000003</v>
      </c>
      <c r="AA9" s="101" t="s">
        <v>39</v>
      </c>
      <c r="AB9" s="102">
        <v>1431</v>
      </c>
      <c r="AC9" s="104">
        <f t="shared" si="4"/>
        <v>732.75684999999999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 t="shared" si="5"/>
        <v>1335.35</v>
      </c>
      <c r="AJ9" s="101" t="s">
        <v>39</v>
      </c>
      <c r="AK9" s="105" t="s">
        <v>42</v>
      </c>
      <c r="AL9" s="103">
        <f t="shared" si="6"/>
        <v>77.132300000000001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1431</v>
      </c>
      <c r="AR9" s="103">
        <v>0</v>
      </c>
      <c r="AS9" s="104">
        <f t="shared" si="7"/>
        <v>2145.2391500000003</v>
      </c>
      <c r="AT9" s="106">
        <f t="shared" si="8"/>
        <v>6668.14275</v>
      </c>
      <c r="AU9" s="113"/>
      <c r="AV9" s="108"/>
      <c r="AW9" s="109">
        <f t="shared" si="10"/>
        <v>15</v>
      </c>
      <c r="AX9" s="109">
        <f t="shared" si="11"/>
        <v>8813.3819000000003</v>
      </c>
      <c r="AY9" s="110">
        <f>IFERROR(+AX9/AW9,0)*AW9</f>
        <v>8813.3819000000003</v>
      </c>
      <c r="AZ9" s="110">
        <f>IFERROR(+LOOKUP(AY9,[13]TARIFAS!$A$4:$B$14,[13]TARIFAS!$A$4:$A$14),0)</f>
        <v>5081.41</v>
      </c>
      <c r="BA9" s="110">
        <f t="shared" si="13"/>
        <v>3731.9719000000005</v>
      </c>
      <c r="BB9" s="110">
        <f>IFERROR(+LOOKUP(AY9,[13]TARIFAS!$A$4:$B$14,[13]TARIFAS!$D$4:$D$14),0)</f>
        <v>21.36</v>
      </c>
      <c r="BC9" s="110">
        <f t="shared" si="14"/>
        <v>797.14919784000017</v>
      </c>
      <c r="BD9" s="110">
        <f>IFERROR(+LOOKUP(AY9,[13]TARIFAS!$A$4:$B$14,[13]TARIFAS!$C$4:$C$14),0)</f>
        <v>538.20000000000005</v>
      </c>
      <c r="BE9" s="110">
        <f t="shared" si="15"/>
        <v>1335.35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6572.35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 t="shared" si="9"/>
        <v>197.1705</v>
      </c>
      <c r="T10" s="101" t="s">
        <v>37</v>
      </c>
      <c r="U10" s="102">
        <v>1712</v>
      </c>
      <c r="V10" s="104">
        <f t="shared" si="2"/>
        <v>603.4905</v>
      </c>
      <c r="W10" s="101"/>
      <c r="X10" s="102"/>
      <c r="Y10" s="104"/>
      <c r="Z10" s="104">
        <f t="shared" si="3"/>
        <v>7729.2105000000001</v>
      </c>
      <c r="AA10" s="101" t="s">
        <v>39</v>
      </c>
      <c r="AB10" s="102">
        <v>1431</v>
      </c>
      <c r="AC10" s="104">
        <f t="shared" si="4"/>
        <v>624.3732500000001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 t="shared" si="5"/>
        <v>1103.77</v>
      </c>
      <c r="AJ10" s="101" t="s">
        <v>39</v>
      </c>
      <c r="AK10" s="105" t="s">
        <v>42</v>
      </c>
      <c r="AL10" s="103">
        <f t="shared" si="6"/>
        <v>65.723500000000001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1431</v>
      </c>
      <c r="AR10" s="103">
        <v>0</v>
      </c>
      <c r="AS10" s="104">
        <f t="shared" si="7"/>
        <v>3901.8667500000001</v>
      </c>
      <c r="AT10" s="106">
        <f t="shared" si="8"/>
        <v>3827.34375</v>
      </c>
      <c r="AU10" s="113"/>
      <c r="AV10" s="108"/>
      <c r="AW10" s="109">
        <f t="shared" si="10"/>
        <v>15</v>
      </c>
      <c r="AX10" s="109">
        <f t="shared" si="11"/>
        <v>7729.2105000000001</v>
      </c>
      <c r="AY10" s="110">
        <f>IFERROR(+AX10/AW10,0)*AW10</f>
        <v>7729.2105000000001</v>
      </c>
      <c r="AZ10" s="110">
        <f>IFERROR(+LOOKUP(AY10,[13]TARIFAS!$A$4:$B$14,[13]TARIFAS!$A$4:$A$14),0)</f>
        <v>5081.41</v>
      </c>
      <c r="BA10" s="110">
        <f t="shared" si="13"/>
        <v>2647.8005000000003</v>
      </c>
      <c r="BB10" s="110">
        <f>IFERROR(+LOOKUP(AY10,[13]TARIFAS!$A$4:$B$14,[13]TARIFAS!$D$4:$D$14),0)</f>
        <v>21.36</v>
      </c>
      <c r="BC10" s="110">
        <f t="shared" si="14"/>
        <v>565.57018679999999</v>
      </c>
      <c r="BD10" s="110">
        <f>IFERROR(+LOOKUP(AY10,[13]TARIFAS!$A$4:$B$14,[13]TARIFAS!$C$4:$C$14),0)</f>
        <v>538.20000000000005</v>
      </c>
      <c r="BE10" s="110">
        <f t="shared" si="15"/>
        <v>1103.77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5063.04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 t="shared" si="9"/>
        <v>151.8912</v>
      </c>
      <c r="T11" s="101" t="s">
        <v>37</v>
      </c>
      <c r="U11" s="102">
        <v>1712</v>
      </c>
      <c r="V11" s="104">
        <f t="shared" si="2"/>
        <v>522.91120000000001</v>
      </c>
      <c r="W11" s="101"/>
      <c r="X11" s="102"/>
      <c r="Y11" s="104"/>
      <c r="Z11" s="104">
        <f t="shared" si="3"/>
        <v>6029.3762000000006</v>
      </c>
      <c r="AA11" s="101" t="s">
        <v>39</v>
      </c>
      <c r="AB11" s="102">
        <v>1431</v>
      </c>
      <c r="AC11" s="104">
        <f t="shared" si="4"/>
        <v>480.98880000000003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 t="shared" si="5"/>
        <v>740.69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1431</v>
      </c>
      <c r="AR11" s="103">
        <v>0</v>
      </c>
      <c r="AS11" s="104">
        <f t="shared" si="7"/>
        <v>1221.6788000000001</v>
      </c>
      <c r="AT11" s="106">
        <f t="shared" si="8"/>
        <v>4807.6974000000009</v>
      </c>
      <c r="AU11" s="113"/>
      <c r="AV11" s="108"/>
      <c r="AW11" s="109">
        <f t="shared" si="10"/>
        <v>15</v>
      </c>
      <c r="AX11" s="109">
        <f t="shared" si="11"/>
        <v>6029.3762000000006</v>
      </c>
      <c r="AY11" s="110">
        <f t="shared" si="12"/>
        <v>6029.3762000000006</v>
      </c>
      <c r="AZ11" s="110">
        <f>IFERROR(+LOOKUP(AY11,[13]TARIFAS!$A$4:$B$14,[13]TARIFAS!$A$4:$A$14),0)</f>
        <v>5081.41</v>
      </c>
      <c r="BA11" s="110">
        <f t="shared" si="13"/>
        <v>947.96620000000075</v>
      </c>
      <c r="BB11" s="110">
        <f>IFERROR(+LOOKUP(AY11,[13]TARIFAS!$A$4:$B$14,[13]TARIFAS!$D$4:$D$14),0)</f>
        <v>21.36</v>
      </c>
      <c r="BC11" s="110">
        <f t="shared" si="14"/>
        <v>202.48558032000017</v>
      </c>
      <c r="BD11" s="110">
        <f>IFERROR(+LOOKUP(AY11,[13]TARIFAS!$A$4:$B$14,[13]TARIFAS!$C$4:$C$14),0)</f>
        <v>538.20000000000005</v>
      </c>
      <c r="BE11" s="110">
        <f t="shared" si="15"/>
        <v>740.69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5063.04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 t="shared" si="9"/>
        <v>151.8912</v>
      </c>
      <c r="T12" s="101" t="s">
        <v>37</v>
      </c>
      <c r="U12" s="102">
        <v>1712</v>
      </c>
      <c r="V12" s="104">
        <f t="shared" si="2"/>
        <v>522.91120000000001</v>
      </c>
      <c r="W12" s="101"/>
      <c r="X12" s="102"/>
      <c r="Y12" s="104"/>
      <c r="Z12" s="104">
        <f t="shared" si="3"/>
        <v>5995.7312000000002</v>
      </c>
      <c r="AA12" s="101" t="s">
        <v>39</v>
      </c>
      <c r="AB12" s="102">
        <v>1431</v>
      </c>
      <c r="AC12" s="104">
        <f t="shared" si="4"/>
        <v>480.98880000000003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 t="shared" si="5"/>
        <v>733.5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1431</v>
      </c>
      <c r="AR12" s="103">
        <v>0</v>
      </c>
      <c r="AS12" s="104">
        <f t="shared" si="7"/>
        <v>1214.4888000000001</v>
      </c>
      <c r="AT12" s="106">
        <f t="shared" si="8"/>
        <v>4781.2424000000001</v>
      </c>
      <c r="AU12" s="113"/>
      <c r="AV12" s="108"/>
      <c r="AW12" s="109">
        <f t="shared" si="10"/>
        <v>15</v>
      </c>
      <c r="AX12" s="109">
        <f t="shared" si="11"/>
        <v>5995.7312000000002</v>
      </c>
      <c r="AY12" s="110">
        <f t="shared" si="12"/>
        <v>5995.7312000000002</v>
      </c>
      <c r="AZ12" s="110">
        <f>IFERROR(+LOOKUP(AY12,[13]TARIFAS!$A$4:$B$14,[13]TARIFAS!$A$4:$A$14),0)</f>
        <v>5081.41</v>
      </c>
      <c r="BA12" s="110">
        <f t="shared" si="13"/>
        <v>914.32120000000032</v>
      </c>
      <c r="BB12" s="110">
        <f>IFERROR(+LOOKUP(AY12,[13]TARIFAS!$A$4:$B$14,[13]TARIFAS!$D$4:$D$14),0)</f>
        <v>21.36</v>
      </c>
      <c r="BC12" s="110">
        <f t="shared" si="14"/>
        <v>195.29900832000007</v>
      </c>
      <c r="BD12" s="110">
        <f>IFERROR(+LOOKUP(AY12,[13]TARIFAS!$A$4:$B$14,[13]TARIFAS!$C$4:$C$14),0)</f>
        <v>538.20000000000005</v>
      </c>
      <c r="BE12" s="110">
        <f t="shared" si="15"/>
        <v>733.5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6572.35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 t="shared" si="9"/>
        <v>197.1705</v>
      </c>
      <c r="T13" s="101" t="s">
        <v>37</v>
      </c>
      <c r="U13" s="102">
        <v>1712</v>
      </c>
      <c r="V13" s="104">
        <f t="shared" si="2"/>
        <v>603.4905</v>
      </c>
      <c r="W13" s="101"/>
      <c r="X13" s="102"/>
      <c r="Y13" s="104"/>
      <c r="Z13" s="104">
        <f t="shared" si="3"/>
        <v>7762.8555000000006</v>
      </c>
      <c r="AA13" s="101" t="s">
        <v>39</v>
      </c>
      <c r="AB13" s="102">
        <v>1431</v>
      </c>
      <c r="AC13" s="104">
        <f t="shared" si="4"/>
        <v>624.3732500000001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 t="shared" si="5"/>
        <v>1110.96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1431</v>
      </c>
      <c r="AR13" s="103">
        <v>0</v>
      </c>
      <c r="AS13" s="104">
        <f t="shared" si="7"/>
        <v>1735.3332500000001</v>
      </c>
      <c r="AT13" s="106">
        <f t="shared" si="8"/>
        <v>6027.52225</v>
      </c>
      <c r="AU13" s="113"/>
      <c r="AV13" s="108"/>
      <c r="AW13" s="109">
        <f t="shared" si="10"/>
        <v>15</v>
      </c>
      <c r="AX13" s="109">
        <f t="shared" si="11"/>
        <v>7762.8555000000006</v>
      </c>
      <c r="AY13" s="110">
        <f t="shared" si="12"/>
        <v>7762.8555000000015</v>
      </c>
      <c r="AZ13" s="110">
        <f>IFERROR(+LOOKUP(AY13,[13]TARIFAS!$A$4:$B$14,[13]TARIFAS!$A$4:$A$14),0)</f>
        <v>5081.41</v>
      </c>
      <c r="BA13" s="110">
        <f t="shared" si="13"/>
        <v>2681.4455000000016</v>
      </c>
      <c r="BB13" s="110">
        <f>IFERROR(+LOOKUP(AY13,[13]TARIFAS!$A$4:$B$14,[13]TARIFAS!$D$4:$D$14),0)</f>
        <v>21.36</v>
      </c>
      <c r="BC13" s="110">
        <f t="shared" si="14"/>
        <v>572.75675880000028</v>
      </c>
      <c r="BD13" s="110">
        <f>IFERROR(+LOOKUP(AY13,[13]TARIFAS!$A$4:$B$14,[13]TARIFAS!$C$4:$C$14),0)</f>
        <v>538.20000000000005</v>
      </c>
      <c r="BE13" s="110">
        <f t="shared" si="15"/>
        <v>1110.96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f t="shared" si="9"/>
        <v>463.245</v>
      </c>
      <c r="T14" s="101" t="s">
        <v>37</v>
      </c>
      <c r="U14" s="102">
        <v>1712</v>
      </c>
      <c r="V14" s="104">
        <f t="shared" si="2"/>
        <v>1298.7449999999999</v>
      </c>
      <c r="W14" s="101"/>
      <c r="X14" s="102"/>
      <c r="Y14" s="104"/>
      <c r="Z14" s="104">
        <f t="shared" si="3"/>
        <v>17306.744999999999</v>
      </c>
      <c r="AA14" s="101" t="s">
        <v>39</v>
      </c>
      <c r="AB14" s="102">
        <v>1431</v>
      </c>
      <c r="AC14" s="104">
        <f t="shared" si="4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 t="shared" si="5"/>
        <v>3376.71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1431</v>
      </c>
      <c r="AR14" s="103">
        <v>0</v>
      </c>
      <c r="AS14" s="104">
        <f t="shared" si="7"/>
        <v>4843.6525000000001</v>
      </c>
      <c r="AT14" s="106">
        <f t="shared" si="8"/>
        <v>12463.092499999999</v>
      </c>
      <c r="AU14" s="113"/>
      <c r="AV14" s="108"/>
      <c r="AW14" s="109">
        <f t="shared" si="10"/>
        <v>15</v>
      </c>
      <c r="AX14" s="109">
        <f t="shared" si="11"/>
        <v>17306.745000000003</v>
      </c>
      <c r="AY14" s="110">
        <f t="shared" si="12"/>
        <v>17306.745000000003</v>
      </c>
      <c r="AZ14" s="110">
        <f>IFERROR(+LOOKUP(AY14,[13]TARIFAS!$A$4:$B$14,[13]TARIFAS!$A$4:$A$14),0)</f>
        <v>16153.06</v>
      </c>
      <c r="BA14" s="110">
        <f t="shared" si="13"/>
        <v>1153.6850000000031</v>
      </c>
      <c r="BB14" s="110">
        <f>IFERROR(+LOOKUP(AY14,[13]TARIFAS!$A$4:$B$14,[13]TARIFAS!$D$4:$D$14),0)</f>
        <v>30</v>
      </c>
      <c r="BC14" s="110">
        <f t="shared" si="14"/>
        <v>346.10550000000092</v>
      </c>
      <c r="BD14" s="110">
        <f>IFERROR(+LOOKUP(AY14,[13]TARIFAS!$A$4:$B$14,[13]TARIFAS!$C$4:$C$14),0)</f>
        <v>3030.6</v>
      </c>
      <c r="BE14" s="110">
        <f t="shared" si="15"/>
        <v>3376.71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5063.04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 t="shared" si="9"/>
        <v>151.8912</v>
      </c>
      <c r="T15" s="101" t="s">
        <v>37</v>
      </c>
      <c r="U15" s="102">
        <v>1712</v>
      </c>
      <c r="V15" s="104">
        <f t="shared" si="2"/>
        <v>522.91120000000001</v>
      </c>
      <c r="W15" s="101"/>
      <c r="X15" s="102"/>
      <c r="Y15" s="104"/>
      <c r="Z15" s="104">
        <f t="shared" si="3"/>
        <v>5894.7962000000007</v>
      </c>
      <c r="AA15" s="101" t="s">
        <v>39</v>
      </c>
      <c r="AB15" s="102">
        <v>1431</v>
      </c>
      <c r="AC15" s="104">
        <f t="shared" si="4"/>
        <v>480.98880000000003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 t="shared" si="5"/>
        <v>711.94</v>
      </c>
      <c r="AJ15" s="101" t="s">
        <v>39</v>
      </c>
      <c r="AK15" s="105" t="s">
        <v>42</v>
      </c>
      <c r="AL15" s="103">
        <f t="shared" ref="AL15:AL20" si="16">(K15*1%)</f>
        <v>50.630400000000002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1431</v>
      </c>
      <c r="AR15" s="103">
        <v>0</v>
      </c>
      <c r="AS15" s="104">
        <f t="shared" si="7"/>
        <v>1243.5592000000001</v>
      </c>
      <c r="AT15" s="106">
        <f t="shared" si="8"/>
        <v>4651.237000000001</v>
      </c>
      <c r="AU15" s="117"/>
      <c r="AV15" s="108"/>
      <c r="AW15" s="109">
        <f t="shared" si="10"/>
        <v>15</v>
      </c>
      <c r="AX15" s="109">
        <f t="shared" si="11"/>
        <v>5894.7962000000007</v>
      </c>
      <c r="AY15" s="110">
        <f t="shared" si="12"/>
        <v>5894.7962000000007</v>
      </c>
      <c r="AZ15" s="110">
        <f>IFERROR(+LOOKUP(AY15,[13]TARIFAS!$A$4:$B$14,[13]TARIFAS!$A$4:$A$14),0)</f>
        <v>5081.41</v>
      </c>
      <c r="BA15" s="110">
        <f t="shared" si="13"/>
        <v>813.38620000000083</v>
      </c>
      <c r="BB15" s="110">
        <f>IFERROR(+LOOKUP(AY15,[13]TARIFAS!$A$4:$B$14,[13]TARIFAS!$D$4:$D$14),0)</f>
        <v>21.36</v>
      </c>
      <c r="BC15" s="110">
        <f t="shared" si="14"/>
        <v>173.73929232000017</v>
      </c>
      <c r="BD15" s="110">
        <f>IFERROR(+LOOKUP(AY15,[13]TARIFAS!$A$4:$B$14,[13]TARIFAS!$C$4:$C$14),0)</f>
        <v>538.20000000000005</v>
      </c>
      <c r="BE15" s="110">
        <f t="shared" si="15"/>
        <v>711.94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6572.35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 t="shared" si="9"/>
        <v>197.1705</v>
      </c>
      <c r="T16" s="101" t="s">
        <v>37</v>
      </c>
      <c r="U16" s="102">
        <v>1712</v>
      </c>
      <c r="V16" s="104">
        <f t="shared" si="2"/>
        <v>603.4905</v>
      </c>
      <c r="W16" s="101"/>
      <c r="X16" s="102"/>
      <c r="Y16" s="104"/>
      <c r="Z16" s="104">
        <f t="shared" si="3"/>
        <v>7628.2755000000006</v>
      </c>
      <c r="AA16" s="101" t="s">
        <v>39</v>
      </c>
      <c r="AB16" s="102">
        <v>1431</v>
      </c>
      <c r="AC16" s="104">
        <f t="shared" si="4"/>
        <v>624.3732500000001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 t="shared" si="5"/>
        <v>1082.21</v>
      </c>
      <c r="AJ16" s="101" t="s">
        <v>39</v>
      </c>
      <c r="AK16" s="105" t="s">
        <v>42</v>
      </c>
      <c r="AL16" s="103">
        <f t="shared" si="16"/>
        <v>65.723500000000001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1431</v>
      </c>
      <c r="AR16" s="103">
        <v>0</v>
      </c>
      <c r="AS16" s="104">
        <f t="shared" si="7"/>
        <v>2183.3067500000002</v>
      </c>
      <c r="AT16" s="106">
        <f t="shared" si="8"/>
        <v>5444.96875</v>
      </c>
      <c r="AU16" s="113"/>
      <c r="AV16" s="108"/>
      <c r="AW16" s="109">
        <f t="shared" si="10"/>
        <v>15</v>
      </c>
      <c r="AX16" s="109">
        <f t="shared" si="11"/>
        <v>7628.2755000000006</v>
      </c>
      <c r="AY16" s="110">
        <f t="shared" si="12"/>
        <v>7628.2755000000006</v>
      </c>
      <c r="AZ16" s="110">
        <f>IFERROR(+LOOKUP(AY16,[13]TARIFAS!$A$4:$B$14,[13]TARIFAS!$A$4:$A$14),0)</f>
        <v>5081.41</v>
      </c>
      <c r="BA16" s="110">
        <f t="shared" si="13"/>
        <v>2546.8655000000008</v>
      </c>
      <c r="BB16" s="110">
        <f>IFERROR(+LOOKUP(AY16,[13]TARIFAS!$A$4:$B$14,[13]TARIFAS!$D$4:$D$14),0)</f>
        <v>21.36</v>
      </c>
      <c r="BC16" s="110">
        <f t="shared" si="14"/>
        <v>544.01047080000023</v>
      </c>
      <c r="BD16" s="110">
        <f>IFERROR(+LOOKUP(AY16,[13]TARIFAS!$A$4:$B$14,[13]TARIFAS!$C$4:$C$14),0)</f>
        <v>538.20000000000005</v>
      </c>
      <c r="BE16" s="110">
        <f t="shared" si="15"/>
        <v>1082.21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6572.35</v>
      </c>
      <c r="L17" s="101" t="s">
        <v>37</v>
      </c>
      <c r="M17" s="102">
        <v>1311</v>
      </c>
      <c r="N17" s="103">
        <v>100.94</v>
      </c>
      <c r="O17" s="101" t="s">
        <v>37</v>
      </c>
      <c r="P17" s="102">
        <v>1713</v>
      </c>
      <c r="Q17" s="101">
        <v>351.5</v>
      </c>
      <c r="R17" s="103">
        <v>406.32</v>
      </c>
      <c r="S17" s="103">
        <f t="shared" si="9"/>
        <v>197.1705</v>
      </c>
      <c r="T17" s="101" t="s">
        <v>37</v>
      </c>
      <c r="U17" s="102">
        <v>1712</v>
      </c>
      <c r="V17" s="104">
        <f t="shared" si="2"/>
        <v>603.4905</v>
      </c>
      <c r="W17" s="101"/>
      <c r="X17" s="102"/>
      <c r="Y17" s="104"/>
      <c r="Z17" s="104">
        <f t="shared" si="3"/>
        <v>7628.2804999999998</v>
      </c>
      <c r="AA17" s="101" t="s">
        <v>39</v>
      </c>
      <c r="AB17" s="102">
        <v>1431</v>
      </c>
      <c r="AC17" s="104">
        <v>624.37</v>
      </c>
      <c r="AD17" s="101" t="s">
        <v>39</v>
      </c>
      <c r="AE17" s="105" t="s">
        <v>40</v>
      </c>
      <c r="AF17" s="103">
        <v>1537</v>
      </c>
      <c r="AG17" s="101" t="s">
        <v>39</v>
      </c>
      <c r="AH17" s="105" t="s">
        <v>41</v>
      </c>
      <c r="AI17" s="103">
        <f t="shared" si="5"/>
        <v>1082.21</v>
      </c>
      <c r="AJ17" s="101" t="s">
        <v>39</v>
      </c>
      <c r="AK17" s="105" t="s">
        <v>42</v>
      </c>
      <c r="AL17" s="103">
        <f t="shared" si="16"/>
        <v>65.723500000000001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1431</v>
      </c>
      <c r="AR17" s="103">
        <v>0</v>
      </c>
      <c r="AS17" s="104">
        <f t="shared" si="7"/>
        <v>3309.3035</v>
      </c>
      <c r="AT17" s="106">
        <f t="shared" si="8"/>
        <v>4318.9769999999999</v>
      </c>
      <c r="AU17" s="113"/>
      <c r="AV17" s="108"/>
      <c r="AW17" s="109">
        <f t="shared" si="10"/>
        <v>15</v>
      </c>
      <c r="AX17" s="109">
        <f t="shared" si="11"/>
        <v>7628.2804999999998</v>
      </c>
      <c r="AY17" s="110">
        <f t="shared" si="12"/>
        <v>7628.2804999999998</v>
      </c>
      <c r="AZ17" s="110">
        <f>IFERROR(+LOOKUP(AY17,[13]TARIFAS!$A$4:$B$14,[13]TARIFAS!$A$4:$A$14),0)</f>
        <v>5081.41</v>
      </c>
      <c r="BA17" s="110">
        <f t="shared" si="13"/>
        <v>2546.8705</v>
      </c>
      <c r="BB17" s="110">
        <f>IFERROR(+LOOKUP(AY17,[13]TARIFAS!$A$4:$B$14,[13]TARIFAS!$D$4:$D$14),0)</f>
        <v>21.36</v>
      </c>
      <c r="BC17" s="110">
        <f t="shared" si="14"/>
        <v>544.01153879999993</v>
      </c>
      <c r="BD17" s="110">
        <f>IFERROR(+LOOKUP(AY17,[13]TARIFAS!$A$4:$B$14,[13]TARIFAS!$C$4:$C$14),0)</f>
        <v>538.20000000000005</v>
      </c>
      <c r="BE17" s="110">
        <f t="shared" si="15"/>
        <v>1082.21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7713.23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f t="shared" si="9"/>
        <v>231.39689999999999</v>
      </c>
      <c r="T18" s="101" t="s">
        <v>37</v>
      </c>
      <c r="U18" s="102">
        <v>1712</v>
      </c>
      <c r="V18" s="104">
        <f t="shared" si="2"/>
        <v>649.83690000000001</v>
      </c>
      <c r="W18" s="101"/>
      <c r="X18" s="102"/>
      <c r="Y18" s="104"/>
      <c r="Z18" s="104">
        <f t="shared" si="3"/>
        <v>8746.0918999999994</v>
      </c>
      <c r="AA18" s="101" t="s">
        <v>39</v>
      </c>
      <c r="AB18" s="102">
        <v>1431</v>
      </c>
      <c r="AC18" s="104">
        <f t="shared" si="4"/>
        <v>732.75684999999999</v>
      </c>
      <c r="AD18" s="101" t="s">
        <v>39</v>
      </c>
      <c r="AE18" s="105" t="s">
        <v>40</v>
      </c>
      <c r="AF18" s="104">
        <f>523.61+10.13+3666.74+151.2</f>
        <v>4351.6799999999994</v>
      </c>
      <c r="AG18" s="101" t="s">
        <v>39</v>
      </c>
      <c r="AH18" s="105" t="s">
        <v>41</v>
      </c>
      <c r="AI18" s="103">
        <f t="shared" si="5"/>
        <v>1320.98</v>
      </c>
      <c r="AJ18" s="101" t="s">
        <v>39</v>
      </c>
      <c r="AK18" s="105" t="s">
        <v>42</v>
      </c>
      <c r="AL18" s="103">
        <f t="shared" si="16"/>
        <v>77.132300000000001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1431</v>
      </c>
      <c r="AR18" s="103">
        <v>0</v>
      </c>
      <c r="AS18" s="104">
        <f t="shared" si="7"/>
        <v>6482.5491499999998</v>
      </c>
      <c r="AT18" s="106">
        <f t="shared" si="8"/>
        <v>2263.5427499999996</v>
      </c>
      <c r="AU18" s="113"/>
      <c r="AV18" s="108"/>
      <c r="AW18" s="109">
        <f t="shared" si="10"/>
        <v>15</v>
      </c>
      <c r="AX18" s="109">
        <f t="shared" si="11"/>
        <v>8746.0918999999994</v>
      </c>
      <c r="AY18" s="110">
        <f t="shared" si="12"/>
        <v>8746.0918999999994</v>
      </c>
      <c r="AZ18" s="110">
        <f>IFERROR(+LOOKUP(AY18,[13]TARIFAS!$A$4:$B$14,[13]TARIFAS!$A$4:$A$14),0)</f>
        <v>5081.41</v>
      </c>
      <c r="BA18" s="110">
        <f t="shared" si="13"/>
        <v>3664.6818999999996</v>
      </c>
      <c r="BB18" s="110">
        <f>IFERROR(+LOOKUP(AY18,[13]TARIFAS!$A$4:$B$14,[13]TARIFAS!$D$4:$D$14),0)</f>
        <v>21.36</v>
      </c>
      <c r="BC18" s="110">
        <f t="shared" si="14"/>
        <v>782.77605383999992</v>
      </c>
      <c r="BD18" s="110">
        <f>IFERROR(+LOOKUP(AY18,[13]TARIFAS!$A$4:$B$14,[13]TARIFAS!$C$4:$C$14),0)</f>
        <v>538.20000000000005</v>
      </c>
      <c r="BE18" s="110">
        <f t="shared" si="15"/>
        <v>1320.98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v>6572.35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f t="shared" si="9"/>
        <v>197.1705</v>
      </c>
      <c r="T19" s="101" t="s">
        <v>37</v>
      </c>
      <c r="U19" s="102">
        <v>1712</v>
      </c>
      <c r="V19" s="104">
        <f t="shared" si="2"/>
        <v>603.4905</v>
      </c>
      <c r="W19" s="101"/>
      <c r="X19" s="102"/>
      <c r="Y19" s="104"/>
      <c r="Z19" s="104">
        <f t="shared" si="3"/>
        <v>7594.6305000000002</v>
      </c>
      <c r="AA19" s="101" t="s">
        <v>39</v>
      </c>
      <c r="AB19" s="102">
        <v>1431</v>
      </c>
      <c r="AC19" s="104">
        <f t="shared" si="4"/>
        <v>624.3732500000001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41</v>
      </c>
      <c r="AI19" s="103">
        <f t="shared" si="5"/>
        <v>1075.02</v>
      </c>
      <c r="AJ19" s="101" t="s">
        <v>39</v>
      </c>
      <c r="AK19" s="105" t="s">
        <v>42</v>
      </c>
      <c r="AL19" s="103">
        <f t="shared" si="16"/>
        <v>65.723500000000001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1431</v>
      </c>
      <c r="AR19" s="103">
        <v>0</v>
      </c>
      <c r="AS19" s="104">
        <f t="shared" si="7"/>
        <v>2167.1167500000001</v>
      </c>
      <c r="AT19" s="106">
        <f t="shared" si="8"/>
        <v>5427.5137500000001</v>
      </c>
      <c r="AU19" s="113"/>
      <c r="AV19" s="108"/>
      <c r="AW19" s="109">
        <f t="shared" si="10"/>
        <v>15</v>
      </c>
      <c r="AX19" s="109">
        <f t="shared" si="11"/>
        <v>7594.6305000000002</v>
      </c>
      <c r="AY19" s="110">
        <f t="shared" si="12"/>
        <v>7594.6305000000002</v>
      </c>
      <c r="AZ19" s="110">
        <f>IFERROR(+LOOKUP(AY19,[13]TARIFAS!$A$4:$B$14,[13]TARIFAS!$A$4:$A$14),0)</f>
        <v>5081.41</v>
      </c>
      <c r="BA19" s="110">
        <f t="shared" si="13"/>
        <v>2513.2205000000004</v>
      </c>
      <c r="BB19" s="110">
        <f>IFERROR(+LOOKUP(AY19,[13]TARIFAS!$A$4:$B$14,[13]TARIFAS!$D$4:$D$14),0)</f>
        <v>21.36</v>
      </c>
      <c r="BC19" s="110">
        <f t="shared" si="14"/>
        <v>536.82389880000005</v>
      </c>
      <c r="BD19" s="110">
        <f>IFERROR(+LOOKUP(AY19,[13]TARIFAS!$A$4:$B$14,[13]TARIFAS!$C$4:$C$14),0)</f>
        <v>538.20000000000005</v>
      </c>
      <c r="BE19" s="110">
        <f t="shared" si="15"/>
        <v>1075.02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5414.82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f t="shared" si="9"/>
        <v>162.44459999999998</v>
      </c>
      <c r="T20" s="101" t="s">
        <v>37</v>
      </c>
      <c r="U20" s="102">
        <v>1712</v>
      </c>
      <c r="V20" s="104">
        <f t="shared" si="2"/>
        <v>541.04459999999995</v>
      </c>
      <c r="W20" s="101"/>
      <c r="X20" s="102"/>
      <c r="Y20" s="104"/>
      <c r="Z20" s="104">
        <f t="shared" si="3"/>
        <v>6234.5945999999994</v>
      </c>
      <c r="AA20" s="101" t="s">
        <v>39</v>
      </c>
      <c r="AB20" s="102">
        <v>1431</v>
      </c>
      <c r="AC20" s="104">
        <f t="shared" si="4"/>
        <v>514.40789999999993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41</v>
      </c>
      <c r="AI20" s="103">
        <f t="shared" si="5"/>
        <v>784.52</v>
      </c>
      <c r="AJ20" s="101" t="s">
        <v>39</v>
      </c>
      <c r="AK20" s="105" t="s">
        <v>42</v>
      </c>
      <c r="AL20" s="103">
        <f t="shared" si="16"/>
        <v>54.148199999999996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1431</v>
      </c>
      <c r="AR20" s="103">
        <v>0</v>
      </c>
      <c r="AS20" s="104">
        <f t="shared" si="7"/>
        <v>1353.0761</v>
      </c>
      <c r="AT20" s="106">
        <f t="shared" si="8"/>
        <v>4881.5184999999992</v>
      </c>
      <c r="AU20" s="113"/>
      <c r="AV20" s="108"/>
      <c r="AW20" s="109">
        <f t="shared" si="10"/>
        <v>15</v>
      </c>
      <c r="AX20" s="109">
        <f t="shared" si="11"/>
        <v>6234.5945999999994</v>
      </c>
      <c r="AY20" s="110">
        <f t="shared" si="12"/>
        <v>6234.5945999999994</v>
      </c>
      <c r="AZ20" s="110">
        <f>IFERROR(+LOOKUP(AY20,[13]TARIFAS!$A$4:$B$14,[13]TARIFAS!$A$4:$A$14),0)</f>
        <v>5081.41</v>
      </c>
      <c r="BA20" s="110">
        <f t="shared" si="13"/>
        <v>1153.1845999999996</v>
      </c>
      <c r="BB20" s="110">
        <f>IFERROR(+LOOKUP(AY20,[13]TARIFAS!$A$4:$B$14,[13]TARIFAS!$D$4:$D$14),0)</f>
        <v>21.36</v>
      </c>
      <c r="BC20" s="110">
        <f t="shared" si="14"/>
        <v>246.32023055999991</v>
      </c>
      <c r="BD20" s="110">
        <f>IFERROR(+LOOKUP(AY20,[13]TARIFAS!$A$4:$B$14,[13]TARIFAS!$C$4:$C$14),0)</f>
        <v>538.20000000000005</v>
      </c>
      <c r="BE20" s="110">
        <f t="shared" si="15"/>
        <v>784.52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v>5958.93</v>
      </c>
      <c r="L21" s="101" t="s">
        <v>37</v>
      </c>
      <c r="M21" s="102">
        <v>1311</v>
      </c>
      <c r="N21" s="115">
        <v>91.52</v>
      </c>
      <c r="O21" s="101" t="s">
        <v>37</v>
      </c>
      <c r="P21" s="102">
        <v>1713</v>
      </c>
      <c r="Q21" s="115">
        <v>318.69</v>
      </c>
      <c r="R21" s="115">
        <v>368.4</v>
      </c>
      <c r="S21" s="103">
        <f t="shared" si="9"/>
        <v>178.7679</v>
      </c>
      <c r="T21" s="101" t="s">
        <v>37</v>
      </c>
      <c r="U21" s="102">
        <v>1712</v>
      </c>
      <c r="V21" s="104">
        <f t="shared" si="2"/>
        <v>547.16789999999992</v>
      </c>
      <c r="W21" s="101"/>
      <c r="X21" s="102"/>
      <c r="Y21" s="104"/>
      <c r="Z21" s="104">
        <f t="shared" si="3"/>
        <v>6916.3078999999998</v>
      </c>
      <c r="AA21" s="101" t="s">
        <v>39</v>
      </c>
      <c r="AB21" s="102">
        <v>1431</v>
      </c>
      <c r="AC21" s="104">
        <v>624.37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41</v>
      </c>
      <c r="AI21" s="103">
        <f t="shared" si="5"/>
        <v>930.13</v>
      </c>
      <c r="AJ21" s="101" t="s">
        <v>39</v>
      </c>
      <c r="AK21" s="105" t="s">
        <v>42</v>
      </c>
      <c r="AL21" s="103">
        <v>0</v>
      </c>
      <c r="AM21" s="101" t="s">
        <v>39</v>
      </c>
      <c r="AN21" s="105" t="s">
        <v>43</v>
      </c>
      <c r="AO21" s="115">
        <v>0</v>
      </c>
      <c r="AP21" s="101" t="s">
        <v>39</v>
      </c>
      <c r="AQ21" s="105">
        <v>1431</v>
      </c>
      <c r="AR21" s="103">
        <v>0</v>
      </c>
      <c r="AS21" s="104">
        <f t="shared" si="7"/>
        <v>2959.5</v>
      </c>
      <c r="AT21" s="106">
        <f t="shared" si="8"/>
        <v>3956.8078999999998</v>
      </c>
      <c r="AU21" s="113"/>
      <c r="AV21" s="108"/>
      <c r="AW21" s="109">
        <f t="shared" si="10"/>
        <v>15</v>
      </c>
      <c r="AX21" s="109">
        <f t="shared" si="11"/>
        <v>6916.3078999999998</v>
      </c>
      <c r="AY21" s="110">
        <f t="shared" si="12"/>
        <v>6916.3078999999998</v>
      </c>
      <c r="AZ21" s="110">
        <f>IFERROR(+LOOKUP(AY21,[13]TARIFAS!$A$4:$B$14,[13]TARIFAS!$A$4:$A$14),0)</f>
        <v>5081.41</v>
      </c>
      <c r="BA21" s="110">
        <f t="shared" si="13"/>
        <v>1834.8978999999999</v>
      </c>
      <c r="BB21" s="110">
        <f>IFERROR(+LOOKUP(AY21,[13]TARIFAS!$A$4:$B$14,[13]TARIFAS!$D$4:$D$14),0)</f>
        <v>21.36</v>
      </c>
      <c r="BC21" s="110">
        <f t="shared" si="14"/>
        <v>391.93419144000001</v>
      </c>
      <c r="BD21" s="110">
        <f>IFERROR(+LOOKUP(AY21,[13]TARIFAS!$A$4:$B$14,[13]TARIFAS!$C$4:$C$14),0)</f>
        <v>538.20000000000005</v>
      </c>
      <c r="BE21" s="110">
        <f t="shared" si="15"/>
        <v>930.13</v>
      </c>
      <c r="BF21" s="110"/>
      <c r="BG21" s="110"/>
      <c r="BH21" s="110"/>
      <c r="BI21" s="109"/>
      <c r="BJ21" s="111" t="s">
        <v>156</v>
      </c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v>6572.35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 t="shared" si="9"/>
        <v>197.1705</v>
      </c>
      <c r="T22" s="101" t="s">
        <v>37</v>
      </c>
      <c r="U22" s="102">
        <v>1712</v>
      </c>
      <c r="V22" s="104">
        <f t="shared" si="2"/>
        <v>603.4905</v>
      </c>
      <c r="W22" s="101"/>
      <c r="X22" s="102"/>
      <c r="Y22" s="104"/>
      <c r="Z22" s="104">
        <f t="shared" si="3"/>
        <v>7594.6305000000002</v>
      </c>
      <c r="AA22" s="101" t="s">
        <v>39</v>
      </c>
      <c r="AB22" s="102">
        <v>1431</v>
      </c>
      <c r="AC22" s="104">
        <f t="shared" si="4"/>
        <v>624.3732500000001</v>
      </c>
      <c r="AD22" s="101" t="s">
        <v>39</v>
      </c>
      <c r="AE22" s="105" t="s">
        <v>40</v>
      </c>
      <c r="AF22" s="115">
        <v>2191</v>
      </c>
      <c r="AG22" s="101" t="s">
        <v>39</v>
      </c>
      <c r="AH22" s="105" t="s">
        <v>41</v>
      </c>
      <c r="AI22" s="103">
        <f t="shared" si="5"/>
        <v>1075.02</v>
      </c>
      <c r="AJ22" s="101" t="s">
        <v>39</v>
      </c>
      <c r="AK22" s="105" t="s">
        <v>42</v>
      </c>
      <c r="AL22" s="103">
        <f>(K22*1%)</f>
        <v>65.723500000000001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1431</v>
      </c>
      <c r="AR22" s="103">
        <v>0</v>
      </c>
      <c r="AS22" s="104">
        <f t="shared" si="7"/>
        <v>3956.1167500000001</v>
      </c>
      <c r="AT22" s="106">
        <f t="shared" si="8"/>
        <v>3638.5137500000001</v>
      </c>
      <c r="AU22" s="113"/>
      <c r="AV22" s="108"/>
      <c r="AW22" s="109">
        <f t="shared" si="10"/>
        <v>15</v>
      </c>
      <c r="AX22" s="109">
        <f t="shared" si="11"/>
        <v>7594.6305000000002</v>
      </c>
      <c r="AY22" s="110">
        <f t="shared" si="12"/>
        <v>7594.6305000000002</v>
      </c>
      <c r="AZ22" s="110">
        <f>IFERROR(+LOOKUP(AY22,[13]TARIFAS!$A$4:$B$14,[13]TARIFAS!$A$4:$A$14),0)</f>
        <v>5081.41</v>
      </c>
      <c r="BA22" s="110">
        <f t="shared" si="13"/>
        <v>2513.2205000000004</v>
      </c>
      <c r="BB22" s="110">
        <f>IFERROR(+LOOKUP(AY22,[13]TARIFAS!$A$4:$B$14,[13]TARIFAS!$D$4:$D$14),0)</f>
        <v>21.36</v>
      </c>
      <c r="BC22" s="110">
        <f t="shared" si="14"/>
        <v>536.82389880000005</v>
      </c>
      <c r="BD22" s="110">
        <f>IFERROR(+LOOKUP(AY22,[13]TARIFAS!$A$4:$B$14,[13]TARIFAS!$C$4:$C$14),0)</f>
        <v>538.20000000000005</v>
      </c>
      <c r="BE22" s="110">
        <f t="shared" si="15"/>
        <v>1075.02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v>6572.35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 t="shared" si="9"/>
        <v>197.1705</v>
      </c>
      <c r="T23" s="101" t="s">
        <v>37</v>
      </c>
      <c r="U23" s="102">
        <v>1712</v>
      </c>
      <c r="V23" s="104">
        <f t="shared" si="2"/>
        <v>603.4905</v>
      </c>
      <c r="W23" s="101"/>
      <c r="X23" s="102"/>
      <c r="Y23" s="104"/>
      <c r="Z23" s="104">
        <f t="shared" si="3"/>
        <v>7527.3405000000002</v>
      </c>
      <c r="AA23" s="101" t="s">
        <v>39</v>
      </c>
      <c r="AB23" s="102">
        <v>1431</v>
      </c>
      <c r="AC23" s="104">
        <f t="shared" si="4"/>
        <v>624.3732500000001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41</v>
      </c>
      <c r="AI23" s="103">
        <f t="shared" si="5"/>
        <v>1060.6500000000001</v>
      </c>
      <c r="AJ23" s="101" t="s">
        <v>39</v>
      </c>
      <c r="AK23" s="105" t="s">
        <v>42</v>
      </c>
      <c r="AL23" s="103">
        <f>(K23*1%)</f>
        <v>65.723500000000001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1431</v>
      </c>
      <c r="AR23" s="103">
        <v>0</v>
      </c>
      <c r="AS23" s="104">
        <f t="shared" si="7"/>
        <v>1750.7467500000002</v>
      </c>
      <c r="AT23" s="106">
        <f t="shared" si="8"/>
        <v>5776.59375</v>
      </c>
      <c r="AU23" s="113"/>
      <c r="AV23" s="108"/>
      <c r="AW23" s="109">
        <f t="shared" si="10"/>
        <v>15</v>
      </c>
      <c r="AX23" s="109">
        <f t="shared" si="11"/>
        <v>7527.3405000000002</v>
      </c>
      <c r="AY23" s="110">
        <f t="shared" si="12"/>
        <v>7527.3405000000002</v>
      </c>
      <c r="AZ23" s="110">
        <f>IFERROR(+LOOKUP(AY23,[13]TARIFAS!$A$4:$B$14,[13]TARIFAS!$A$4:$A$14),0)</f>
        <v>5081.41</v>
      </c>
      <c r="BA23" s="110">
        <f t="shared" si="13"/>
        <v>2445.9305000000004</v>
      </c>
      <c r="BB23" s="110">
        <f>IFERROR(+LOOKUP(AY23,[13]TARIFAS!$A$4:$B$14,[13]TARIFAS!$D$4:$D$14),0)</f>
        <v>21.36</v>
      </c>
      <c r="BC23" s="110">
        <f t="shared" si="14"/>
        <v>522.45075480000003</v>
      </c>
      <c r="BD23" s="110">
        <f>IFERROR(+LOOKUP(AY23,[13]TARIFAS!$A$4:$B$14,[13]TARIFAS!$C$4:$C$14),0)</f>
        <v>538.20000000000005</v>
      </c>
      <c r="BE23" s="110">
        <f t="shared" si="15"/>
        <v>1060.6500000000001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v>5063.04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f t="shared" si="9"/>
        <v>151.8912</v>
      </c>
      <c r="T24" s="101" t="s">
        <v>37</v>
      </c>
      <c r="U24" s="102">
        <v>1712</v>
      </c>
      <c r="V24" s="104">
        <f t="shared" si="2"/>
        <v>522.91120000000001</v>
      </c>
      <c r="W24" s="101"/>
      <c r="X24" s="102"/>
      <c r="Y24" s="104"/>
      <c r="Z24" s="104">
        <f t="shared" si="3"/>
        <v>5793.8611999999994</v>
      </c>
      <c r="AA24" s="101" t="s">
        <v>39</v>
      </c>
      <c r="AB24" s="102">
        <v>1431</v>
      </c>
      <c r="AC24" s="104">
        <f t="shared" si="4"/>
        <v>480.98880000000003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 t="shared" si="5"/>
        <v>690.38</v>
      </c>
      <c r="AJ24" s="101" t="s">
        <v>39</v>
      </c>
      <c r="AK24" s="105" t="s">
        <v>42</v>
      </c>
      <c r="AL24" s="103">
        <f>(K24*1%)</f>
        <v>50.630400000000002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1431</v>
      </c>
      <c r="AR24" s="103">
        <v>0</v>
      </c>
      <c r="AS24" s="104">
        <f t="shared" si="7"/>
        <v>1221.9992</v>
      </c>
      <c r="AT24" s="106">
        <f t="shared" si="8"/>
        <v>4571.8619999999992</v>
      </c>
      <c r="AU24" s="113"/>
      <c r="AV24" s="108"/>
      <c r="AW24" s="109">
        <f t="shared" si="10"/>
        <v>15</v>
      </c>
      <c r="AX24" s="109">
        <f t="shared" si="11"/>
        <v>5793.8611999999994</v>
      </c>
      <c r="AY24" s="110">
        <f t="shared" si="12"/>
        <v>5793.8611999999994</v>
      </c>
      <c r="AZ24" s="110">
        <f>IFERROR(+LOOKUP(AY24,[13]TARIFAS!$A$4:$B$14,[13]TARIFAS!$A$4:$A$14),0)</f>
        <v>5081.41</v>
      </c>
      <c r="BA24" s="110">
        <f t="shared" si="13"/>
        <v>712.45119999999952</v>
      </c>
      <c r="BB24" s="110">
        <f>IFERROR(+LOOKUP(AY24,[13]TARIFAS!$A$4:$B$14,[13]TARIFAS!$D$4:$D$14),0)</f>
        <v>21.36</v>
      </c>
      <c r="BC24" s="110">
        <f t="shared" si="14"/>
        <v>152.17957631999988</v>
      </c>
      <c r="BD24" s="110">
        <f>IFERROR(+LOOKUP(AY24,[13]TARIFAS!$A$4:$B$14,[13]TARIFAS!$C$4:$C$14),0)</f>
        <v>538.20000000000005</v>
      </c>
      <c r="BE24" s="110">
        <f t="shared" si="15"/>
        <v>690.38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v>6572.35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f t="shared" si="9"/>
        <v>197.1705</v>
      </c>
      <c r="T25" s="101" t="s">
        <v>37</v>
      </c>
      <c r="U25" s="102">
        <v>1712</v>
      </c>
      <c r="V25" s="104">
        <f t="shared" si="2"/>
        <v>603.4905</v>
      </c>
      <c r="W25" s="101"/>
      <c r="X25" s="102"/>
      <c r="Y25" s="104"/>
      <c r="Z25" s="104">
        <f t="shared" si="3"/>
        <v>7527.3405000000002</v>
      </c>
      <c r="AA25" s="101" t="s">
        <v>39</v>
      </c>
      <c r="AB25" s="102">
        <v>1431</v>
      </c>
      <c r="AC25" s="104">
        <f t="shared" si="4"/>
        <v>624.3732500000001</v>
      </c>
      <c r="AD25" s="101" t="s">
        <v>39</v>
      </c>
      <c r="AE25" s="105" t="s">
        <v>40</v>
      </c>
      <c r="AF25" s="115">
        <v>0</v>
      </c>
      <c r="AG25" s="101" t="s">
        <v>39</v>
      </c>
      <c r="AH25" s="105" t="s">
        <v>41</v>
      </c>
      <c r="AI25" s="103">
        <f t="shared" si="5"/>
        <v>1060.6500000000001</v>
      </c>
      <c r="AJ25" s="101" t="s">
        <v>39</v>
      </c>
      <c r="AK25" s="105" t="s">
        <v>42</v>
      </c>
      <c r="AL25" s="103">
        <f>(K25*1%)</f>
        <v>65.723500000000001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1431</v>
      </c>
      <c r="AR25" s="103">
        <v>0</v>
      </c>
      <c r="AS25" s="104">
        <f t="shared" si="7"/>
        <v>1750.7467500000002</v>
      </c>
      <c r="AT25" s="106">
        <f t="shared" si="8"/>
        <v>5776.59375</v>
      </c>
      <c r="AU25" s="113"/>
      <c r="AV25" s="108"/>
      <c r="AW25" s="109">
        <f t="shared" si="10"/>
        <v>15</v>
      </c>
      <c r="AX25" s="109">
        <f t="shared" si="11"/>
        <v>7527.3405000000002</v>
      </c>
      <c r="AY25" s="110">
        <f t="shared" si="12"/>
        <v>7527.3405000000002</v>
      </c>
      <c r="AZ25" s="110">
        <f>IFERROR(+LOOKUP(AY25,[13]TARIFAS!$A$4:$B$14,[13]TARIFAS!$A$4:$A$14),0)</f>
        <v>5081.41</v>
      </c>
      <c r="BA25" s="110">
        <f t="shared" si="13"/>
        <v>2445.9305000000004</v>
      </c>
      <c r="BB25" s="110">
        <f>IFERROR(+LOOKUP(AY25,[13]TARIFAS!$A$4:$B$14,[13]TARIFAS!$D$4:$D$14),0)</f>
        <v>21.36</v>
      </c>
      <c r="BC25" s="110">
        <f t="shared" si="14"/>
        <v>522.45075480000003</v>
      </c>
      <c r="BD25" s="110">
        <f>IFERROR(+LOOKUP(AY25,[13]TARIFAS!$A$4:$B$14,[13]TARIFAS!$C$4:$C$14),0)</f>
        <v>538.20000000000005</v>
      </c>
      <c r="BE25" s="110">
        <f t="shared" si="15"/>
        <v>1060.6500000000001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v>5063.04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f t="shared" si="9"/>
        <v>151.8912</v>
      </c>
      <c r="T26" s="101" t="s">
        <v>37</v>
      </c>
      <c r="U26" s="102">
        <v>1712</v>
      </c>
      <c r="V26" s="104">
        <f t="shared" si="2"/>
        <v>522.91120000000001</v>
      </c>
      <c r="W26" s="101"/>
      <c r="X26" s="102"/>
      <c r="Y26" s="104"/>
      <c r="Z26" s="104">
        <f t="shared" si="3"/>
        <v>5793.8611999999994</v>
      </c>
      <c r="AA26" s="101" t="s">
        <v>39</v>
      </c>
      <c r="AB26" s="102">
        <v>1431</v>
      </c>
      <c r="AC26" s="104">
        <f t="shared" si="4"/>
        <v>480.98880000000003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41</v>
      </c>
      <c r="AI26" s="103">
        <f t="shared" si="5"/>
        <v>690.38</v>
      </c>
      <c r="AJ26" s="101" t="s">
        <v>39</v>
      </c>
      <c r="AK26" s="105" t="s">
        <v>42</v>
      </c>
      <c r="AL26" s="103">
        <f>(K26*1%)</f>
        <v>50.630400000000002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1431</v>
      </c>
      <c r="AR26" s="103">
        <v>0</v>
      </c>
      <c r="AS26" s="104">
        <f t="shared" si="7"/>
        <v>1221.9992</v>
      </c>
      <c r="AT26" s="106">
        <f t="shared" si="8"/>
        <v>4571.8619999999992</v>
      </c>
      <c r="AU26" s="113"/>
      <c r="AV26" s="108"/>
      <c r="AW26" s="109">
        <f t="shared" si="10"/>
        <v>15</v>
      </c>
      <c r="AX26" s="109">
        <f t="shared" si="11"/>
        <v>5793.8611999999994</v>
      </c>
      <c r="AY26" s="110">
        <f t="shared" si="12"/>
        <v>5793.8611999999994</v>
      </c>
      <c r="AZ26" s="110">
        <f>IFERROR(+LOOKUP(AY26,[13]TARIFAS!$A$4:$B$14,[13]TARIFAS!$A$4:$A$14),0)</f>
        <v>5081.41</v>
      </c>
      <c r="BA26" s="110">
        <f t="shared" si="13"/>
        <v>712.45119999999952</v>
      </c>
      <c r="BB26" s="110">
        <f>IFERROR(+LOOKUP(AY26,[13]TARIFAS!$A$4:$B$14,[13]TARIFAS!$D$4:$D$14),0)</f>
        <v>21.36</v>
      </c>
      <c r="BC26" s="110">
        <f t="shared" si="14"/>
        <v>152.17957631999988</v>
      </c>
      <c r="BD26" s="110">
        <f>IFERROR(+LOOKUP(AY26,[13]TARIFAS!$A$4:$B$14,[13]TARIFAS!$C$4:$C$14),0)</f>
        <v>538.20000000000005</v>
      </c>
      <c r="BE26" s="110">
        <f t="shared" si="15"/>
        <v>690.38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1" t="s">
        <v>37</v>
      </c>
      <c r="G27" s="101" t="s">
        <v>38</v>
      </c>
      <c r="H27" s="101">
        <v>15</v>
      </c>
      <c r="I27" s="101">
        <v>1029.4333333333334</v>
      </c>
      <c r="J27" s="160" t="s">
        <v>146</v>
      </c>
      <c r="K27" s="101">
        <v>15441.5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566.5</v>
      </c>
      <c r="R27" s="115">
        <v>835.5</v>
      </c>
      <c r="S27" s="103">
        <f t="shared" si="9"/>
        <v>463.245</v>
      </c>
      <c r="T27" s="101" t="s">
        <v>37</v>
      </c>
      <c r="U27" s="102">
        <v>1712</v>
      </c>
      <c r="V27" s="104">
        <f t="shared" si="2"/>
        <v>1298.7449999999999</v>
      </c>
      <c r="W27" s="101"/>
      <c r="X27" s="102"/>
      <c r="Y27" s="104"/>
      <c r="Z27" s="104">
        <f t="shared" si="3"/>
        <v>17306.744999999999</v>
      </c>
      <c r="AA27" s="101" t="s">
        <v>39</v>
      </c>
      <c r="AB27" s="102">
        <v>1431</v>
      </c>
      <c r="AC27" s="104">
        <f t="shared" si="4"/>
        <v>1466.9425000000001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41</v>
      </c>
      <c r="AI27" s="103">
        <f t="shared" si="5"/>
        <v>3376.71</v>
      </c>
      <c r="AJ27" s="101" t="s">
        <v>39</v>
      </c>
      <c r="AK27" s="105" t="s">
        <v>42</v>
      </c>
      <c r="AL27" s="103">
        <v>0</v>
      </c>
      <c r="AM27" s="101" t="s">
        <v>39</v>
      </c>
      <c r="AN27" s="105" t="s">
        <v>43</v>
      </c>
      <c r="AO27" s="115">
        <v>0</v>
      </c>
      <c r="AP27" s="101" t="s">
        <v>39</v>
      </c>
      <c r="AQ27" s="105">
        <v>1431</v>
      </c>
      <c r="AR27" s="103">
        <v>0</v>
      </c>
      <c r="AS27" s="104">
        <f t="shared" si="7"/>
        <v>4843.6525000000001</v>
      </c>
      <c r="AT27" s="106">
        <f t="shared" si="8"/>
        <v>12463.092499999999</v>
      </c>
      <c r="AU27" s="113"/>
      <c r="AV27" s="108"/>
      <c r="AW27" s="111">
        <f t="shared" si="10"/>
        <v>15</v>
      </c>
      <c r="AX27" s="109">
        <f t="shared" si="11"/>
        <v>17306.745000000003</v>
      </c>
      <c r="AY27" s="119">
        <f>IFERROR(+AX27/AW27,0)*AW27</f>
        <v>17306.745000000003</v>
      </c>
      <c r="AZ27" s="119">
        <f>IFERROR(+LOOKUP(AY27,[13]TARIFAS!$A$4:$B$14,[13]TARIFAS!$A$4:$A$14),0)</f>
        <v>16153.06</v>
      </c>
      <c r="BA27" s="119">
        <f>+AY27-AZ27</f>
        <v>1153.6850000000031</v>
      </c>
      <c r="BB27" s="119">
        <f>IFERROR(+LOOKUP(AY27,[13]TARIFAS!$A$4:$B$14,[13]TARIFAS!$D$4:$D$14),0)</f>
        <v>30</v>
      </c>
      <c r="BC27" s="119">
        <f>(+BA27*BB27)/100</f>
        <v>346.10550000000092</v>
      </c>
      <c r="BD27" s="119">
        <f>IFERROR(+LOOKUP(AY27,[13]TARIFAS!$A$4:$B$14,[13]TARIFAS!$C$4:$C$14),0)</f>
        <v>3030.6</v>
      </c>
      <c r="BE27" s="119">
        <f>ROUND(+BC27+BD27,2)</f>
        <v>3376.71</v>
      </c>
      <c r="BF27" s="119"/>
      <c r="BG27" s="119"/>
      <c r="BH27" s="119"/>
      <c r="BJ27" s="120"/>
    </row>
    <row r="28" spans="1:62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1" t="s">
        <v>37</v>
      </c>
      <c r="G28" s="101" t="s">
        <v>38</v>
      </c>
      <c r="H28" s="101">
        <v>15</v>
      </c>
      <c r="I28" s="101">
        <v>1958.6333333333334</v>
      </c>
      <c r="J28" s="160" t="s">
        <v>148</v>
      </c>
      <c r="K28" s="101">
        <v>29379.5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6">
        <v>808.5</v>
      </c>
      <c r="R28" s="115">
        <v>1144</v>
      </c>
      <c r="S28" s="103">
        <f t="shared" si="9"/>
        <v>881.38499999999999</v>
      </c>
      <c r="T28" s="101" t="s">
        <v>37</v>
      </c>
      <c r="U28" s="102">
        <v>1712</v>
      </c>
      <c r="V28" s="104">
        <f t="shared" si="2"/>
        <v>2025.385</v>
      </c>
      <c r="W28" s="101"/>
      <c r="X28" s="102"/>
      <c r="Y28" s="104"/>
      <c r="Z28" s="104">
        <f t="shared" si="3"/>
        <v>32213.384999999998</v>
      </c>
      <c r="AA28" s="101" t="s">
        <v>39</v>
      </c>
      <c r="AB28" s="102">
        <v>1431</v>
      </c>
      <c r="AC28" s="104">
        <f t="shared" si="4"/>
        <v>2791.0525000000002</v>
      </c>
      <c r="AD28" s="101" t="s">
        <v>39</v>
      </c>
      <c r="AE28" s="105" t="s">
        <v>40</v>
      </c>
      <c r="AF28" s="115">
        <v>4897</v>
      </c>
      <c r="AG28" s="101" t="s">
        <v>39</v>
      </c>
      <c r="AH28" s="105" t="s">
        <v>41</v>
      </c>
      <c r="AI28" s="103">
        <f t="shared" si="5"/>
        <v>7876.11</v>
      </c>
      <c r="AJ28" s="101" t="s">
        <v>39</v>
      </c>
      <c r="AK28" s="105" t="s">
        <v>42</v>
      </c>
      <c r="AL28" s="103">
        <v>0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1431</v>
      </c>
      <c r="AR28" s="103">
        <v>0</v>
      </c>
      <c r="AS28" s="104">
        <f t="shared" si="7"/>
        <v>15564.162499999999</v>
      </c>
      <c r="AT28" s="106">
        <f t="shared" si="8"/>
        <v>16649.2225</v>
      </c>
      <c r="AU28" s="113"/>
      <c r="AV28" s="108"/>
      <c r="AW28" s="109">
        <f t="shared" si="10"/>
        <v>15</v>
      </c>
      <c r="AX28" s="109">
        <f t="shared" si="11"/>
        <v>32213.384999999998</v>
      </c>
      <c r="AY28" s="110">
        <f t="shared" si="12"/>
        <v>32213.384999999995</v>
      </c>
      <c r="AZ28" s="110">
        <f>IFERROR(+LOOKUP(AY28,[13]TARIFAS!$A$4:$B$14,[13]TARIFAS!$A$4:$A$14),0)</f>
        <v>30838.81</v>
      </c>
      <c r="BA28" s="110">
        <f t="shared" si="13"/>
        <v>1374.5749999999935</v>
      </c>
      <c r="BB28" s="110">
        <f>IFERROR(+LOOKUP(AY28,[13]TARIFAS!$A$4:$B$14,[13]TARIFAS!$D$4:$D$14),0)</f>
        <v>32</v>
      </c>
      <c r="BC28" s="110">
        <f t="shared" si="14"/>
        <v>439.86399999999793</v>
      </c>
      <c r="BD28" s="110">
        <f>IFERROR(+LOOKUP(AY28,[13]TARIFAS!$A$4:$B$14,[13]TARIFAS!$C$4:$C$14),0)</f>
        <v>7436.25</v>
      </c>
      <c r="BE28" s="110">
        <f t="shared" si="15"/>
        <v>7876.11</v>
      </c>
      <c r="BF28" s="110"/>
      <c r="BG28" s="110"/>
      <c r="BH28" s="110"/>
      <c r="BI28" s="109"/>
    </row>
    <row r="29" spans="1:62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1" t="s">
        <v>37</v>
      </c>
      <c r="G29" s="101" t="s">
        <v>38</v>
      </c>
      <c r="H29" s="101">
        <v>15</v>
      </c>
      <c r="I29" s="101">
        <v>421.49</v>
      </c>
      <c r="J29" s="160" t="s">
        <v>151</v>
      </c>
      <c r="K29" s="101">
        <v>6572.35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351.5</v>
      </c>
      <c r="R29" s="115">
        <v>406.32</v>
      </c>
      <c r="S29" s="103">
        <f t="shared" si="9"/>
        <v>197.1705</v>
      </c>
      <c r="T29" s="101" t="s">
        <v>37</v>
      </c>
      <c r="U29" s="102">
        <v>1712</v>
      </c>
      <c r="V29" s="104">
        <f t="shared" si="2"/>
        <v>603.4905</v>
      </c>
      <c r="W29" s="101"/>
      <c r="X29" s="102"/>
      <c r="Y29" s="104"/>
      <c r="Z29" s="104">
        <f t="shared" si="3"/>
        <v>7527.3405000000002</v>
      </c>
      <c r="AA29" s="101" t="s">
        <v>39</v>
      </c>
      <c r="AB29" s="102">
        <v>1431</v>
      </c>
      <c r="AC29" s="104">
        <f t="shared" si="4"/>
        <v>624.3732500000001</v>
      </c>
      <c r="AD29" s="101" t="s">
        <v>39</v>
      </c>
      <c r="AE29" s="105" t="s">
        <v>40</v>
      </c>
      <c r="AF29" s="115">
        <v>96.05</v>
      </c>
      <c r="AG29" s="101" t="s">
        <v>39</v>
      </c>
      <c r="AH29" s="105" t="s">
        <v>41</v>
      </c>
      <c r="AI29" s="103">
        <f t="shared" si="5"/>
        <v>1060.6500000000001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1431</v>
      </c>
      <c r="AR29" s="103">
        <v>0</v>
      </c>
      <c r="AS29" s="104">
        <f t="shared" si="7"/>
        <v>1781.0732500000001</v>
      </c>
      <c r="AT29" s="106">
        <f t="shared" si="8"/>
        <v>5746.2672499999999</v>
      </c>
      <c r="AU29" s="113"/>
      <c r="AV29" s="108"/>
      <c r="AW29" s="109">
        <f t="shared" si="10"/>
        <v>15</v>
      </c>
      <c r="AX29" s="109">
        <f t="shared" si="11"/>
        <v>7527.3405000000002</v>
      </c>
      <c r="AY29" s="110">
        <f t="shared" si="12"/>
        <v>7527.3405000000002</v>
      </c>
      <c r="AZ29" s="110">
        <f>IFERROR(+LOOKUP(AY29,[13]TARIFAS!$A$4:$B$14,[13]TARIFAS!$A$4:$A$14),0)</f>
        <v>5081.41</v>
      </c>
      <c r="BA29" s="110">
        <f t="shared" si="13"/>
        <v>2445.9305000000004</v>
      </c>
      <c r="BB29" s="110">
        <f>IFERROR(+LOOKUP(AY29,[13]TARIFAS!$A$4:$B$14,[13]TARIFAS!$D$4:$D$14),0)</f>
        <v>21.36</v>
      </c>
      <c r="BC29" s="110">
        <f t="shared" si="14"/>
        <v>522.45075480000003</v>
      </c>
      <c r="BD29" s="110">
        <f>IFERROR(+LOOKUP(AY29,[13]TARIFAS!$A$4:$B$14,[13]TARIFAS!$C$4:$C$14),0)</f>
        <v>538.20000000000005</v>
      </c>
      <c r="BE29" s="110">
        <f>ROUND(+BC29+BD29,2)</f>
        <v>1060.6500000000001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1" t="s">
        <v>37</v>
      </c>
      <c r="G30" s="101" t="s">
        <v>38</v>
      </c>
      <c r="H30" s="101">
        <v>15</v>
      </c>
      <c r="I30" s="101">
        <v>1029.4333333333334</v>
      </c>
      <c r="J30" s="160" t="s">
        <v>151</v>
      </c>
      <c r="K30" s="101">
        <v>15441.5</v>
      </c>
      <c r="L30" s="101" t="s">
        <v>37</v>
      </c>
      <c r="M30" s="102">
        <v>1311</v>
      </c>
      <c r="N30" s="103">
        <f>67.29</f>
        <v>67.290000000000006</v>
      </c>
      <c r="O30" s="101" t="s">
        <v>37</v>
      </c>
      <c r="P30" s="102">
        <v>1713</v>
      </c>
      <c r="Q30" s="103">
        <v>566.5</v>
      </c>
      <c r="R30" s="103">
        <v>835.5</v>
      </c>
      <c r="S30" s="103">
        <f t="shared" si="9"/>
        <v>463.245</v>
      </c>
      <c r="T30" s="101" t="s">
        <v>37</v>
      </c>
      <c r="U30" s="102">
        <v>1712</v>
      </c>
      <c r="V30" s="104">
        <f t="shared" si="2"/>
        <v>1298.7449999999999</v>
      </c>
      <c r="W30" s="101"/>
      <c r="X30" s="102"/>
      <c r="Y30" s="104"/>
      <c r="Z30" s="104">
        <f t="shared" si="3"/>
        <v>17374.035</v>
      </c>
      <c r="AA30" s="101" t="s">
        <v>39</v>
      </c>
      <c r="AB30" s="102">
        <v>1431</v>
      </c>
      <c r="AC30" s="104">
        <f t="shared" si="4"/>
        <v>1466.9425000000001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41</v>
      </c>
      <c r="AI30" s="103">
        <f t="shared" si="5"/>
        <v>3396.89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1431</v>
      </c>
      <c r="AR30" s="103">
        <v>0</v>
      </c>
      <c r="AS30" s="104">
        <f t="shared" si="7"/>
        <v>4863.8325000000004</v>
      </c>
      <c r="AT30" s="106">
        <f t="shared" si="8"/>
        <v>12510.202499999999</v>
      </c>
      <c r="AU30" s="113"/>
      <c r="AV30" s="108"/>
      <c r="AW30" s="109">
        <f t="shared" si="10"/>
        <v>15</v>
      </c>
      <c r="AX30" s="109">
        <f t="shared" si="11"/>
        <v>17374.035000000003</v>
      </c>
      <c r="AY30" s="110">
        <f t="shared" si="12"/>
        <v>17374.035000000003</v>
      </c>
      <c r="AZ30" s="110">
        <f>IFERROR(+LOOKUP(AY30,[13]TARIFAS!$A$4:$B$14,[13]TARIFAS!$A$4:$A$14),0)</f>
        <v>16153.06</v>
      </c>
      <c r="BA30" s="110">
        <f t="shared" si="13"/>
        <v>1220.975000000004</v>
      </c>
      <c r="BB30" s="110">
        <f>IFERROR(+LOOKUP(AY30,[13]TARIFAS!$A$4:$B$14,[13]TARIFAS!$D$4:$D$14),0)</f>
        <v>30</v>
      </c>
      <c r="BC30" s="110">
        <f t="shared" si="14"/>
        <v>366.29250000000116</v>
      </c>
      <c r="BD30" s="110">
        <f>IFERROR(+LOOKUP(AY30,[13]TARIFAS!$A$4:$B$14,[13]TARIFAS!$C$4:$C$14),0)</f>
        <v>3030.6</v>
      </c>
      <c r="BE30" s="110">
        <f t="shared" si="15"/>
        <v>3396.89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325.036</v>
      </c>
      <c r="J31" s="163" t="s">
        <v>150</v>
      </c>
      <c r="K31" s="101">
        <v>5063.04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5">
        <v>207.91</v>
      </c>
      <c r="R31" s="115">
        <v>371.02</v>
      </c>
      <c r="S31" s="103">
        <f t="shared" si="9"/>
        <v>151.8912</v>
      </c>
      <c r="T31" s="101" t="s">
        <v>37</v>
      </c>
      <c r="U31" s="102">
        <v>1712</v>
      </c>
      <c r="V31" s="104">
        <f t="shared" si="2"/>
        <v>522.91120000000001</v>
      </c>
      <c r="W31" s="101"/>
      <c r="X31" s="102"/>
      <c r="Y31" s="104"/>
      <c r="Z31" s="104">
        <f t="shared" si="3"/>
        <v>5793.8611999999994</v>
      </c>
      <c r="AA31" s="101" t="s">
        <v>39</v>
      </c>
      <c r="AB31" s="102">
        <v>1431</v>
      </c>
      <c r="AC31" s="104">
        <f t="shared" si="4"/>
        <v>480.98880000000003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 t="shared" si="5"/>
        <v>690.38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1431</v>
      </c>
      <c r="AR31" s="103">
        <v>0</v>
      </c>
      <c r="AS31" s="104">
        <f t="shared" si="7"/>
        <v>1171.3688</v>
      </c>
      <c r="AT31" s="106">
        <f t="shared" si="8"/>
        <v>4622.4923999999992</v>
      </c>
      <c r="AU31" s="113"/>
      <c r="AV31" s="108"/>
      <c r="AW31" s="109">
        <f>+H31</f>
        <v>15</v>
      </c>
      <c r="AX31" s="109">
        <f>+K31+S31+N31+Q31+R31+Y31</f>
        <v>5793.8611999999994</v>
      </c>
      <c r="AY31" s="110">
        <f>IFERROR(+AX31/AW31,0)*AW31</f>
        <v>5793.8611999999994</v>
      </c>
      <c r="AZ31" s="110">
        <f>IFERROR(+LOOKUP(AY31,[13]TARIFAS!$A$4:$B$14,[13]TARIFAS!$A$4:$A$14),0)</f>
        <v>5081.41</v>
      </c>
      <c r="BA31" s="110">
        <f>+AY31-AZ31</f>
        <v>712.45119999999952</v>
      </c>
      <c r="BB31" s="110">
        <f>IFERROR(+LOOKUP(AY31,[13]TARIFAS!$A$4:$B$14,[13]TARIFAS!$D$4:$D$14),0)</f>
        <v>21.36</v>
      </c>
      <c r="BC31" s="110">
        <f>(+BA31*BB31)/100</f>
        <v>152.17957631999988</v>
      </c>
      <c r="BD31" s="110">
        <f>IFERROR(+LOOKUP(AY31,[13]TARIFAS!$A$4:$B$14,[13]TARIFAS!$C$4:$C$14),0)</f>
        <v>538.20000000000005</v>
      </c>
      <c r="BE31" s="110">
        <f>ROUND(+BC31+BD31,2)</f>
        <v>690.38</v>
      </c>
      <c r="BF31" s="110"/>
      <c r="BG31" s="110"/>
      <c r="BH31" s="110"/>
      <c r="BI31" s="109"/>
    </row>
    <row r="32" spans="1:62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1" t="s">
        <v>37</v>
      </c>
      <c r="G32" s="101" t="s">
        <v>38</v>
      </c>
      <c r="H32" s="101">
        <v>11</v>
      </c>
      <c r="I32" s="101">
        <v>421.49</v>
      </c>
      <c r="J32" s="163" t="s">
        <v>147</v>
      </c>
      <c r="K32" s="101">
        <v>6572.35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6">
        <v>351.5</v>
      </c>
      <c r="R32" s="115">
        <v>406.32</v>
      </c>
      <c r="S32" s="103">
        <f t="shared" si="9"/>
        <v>197.1705</v>
      </c>
      <c r="T32" s="101" t="s">
        <v>37</v>
      </c>
      <c r="U32" s="102">
        <v>1712</v>
      </c>
      <c r="V32" s="104">
        <f t="shared" si="2"/>
        <v>603.4905</v>
      </c>
      <c r="W32" s="101"/>
      <c r="X32" s="102"/>
      <c r="Y32" s="104"/>
      <c r="Z32" s="104">
        <f t="shared" si="3"/>
        <v>7527.3405000000002</v>
      </c>
      <c r="AA32" s="101" t="s">
        <v>39</v>
      </c>
      <c r="AB32" s="102">
        <v>1431</v>
      </c>
      <c r="AC32" s="104">
        <f t="shared" si="4"/>
        <v>624.3732500000001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 t="shared" si="5"/>
        <v>1060.6500000000001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1431</v>
      </c>
      <c r="AR32" s="103">
        <v>0</v>
      </c>
      <c r="AS32" s="104">
        <f t="shared" si="7"/>
        <v>1685.0232500000002</v>
      </c>
      <c r="AT32" s="106">
        <f t="shared" si="8"/>
        <v>5842.3172500000001</v>
      </c>
      <c r="AU32" s="113"/>
      <c r="AV32" s="108"/>
      <c r="AW32" s="109">
        <f t="shared" si="10"/>
        <v>11</v>
      </c>
      <c r="AX32" s="109">
        <f t="shared" si="11"/>
        <v>7527.3405000000002</v>
      </c>
      <c r="AY32" s="110">
        <f t="shared" si="12"/>
        <v>7527.3405000000002</v>
      </c>
      <c r="AZ32" s="110">
        <f>IFERROR(+LOOKUP(AY32,[13]TARIFAS!$A$4:$B$14,[13]TARIFAS!$A$4:$A$14),0)</f>
        <v>5081.41</v>
      </c>
      <c r="BA32" s="110">
        <f t="shared" si="13"/>
        <v>2445.9305000000004</v>
      </c>
      <c r="BB32" s="110">
        <f>IFERROR(+LOOKUP(AY32,[13]TARIFAS!$A$4:$B$14,[13]TARIFAS!$D$4:$D$14),0)</f>
        <v>21.36</v>
      </c>
      <c r="BC32" s="110">
        <f t="shared" si="14"/>
        <v>522.45075480000003</v>
      </c>
      <c r="BD32" s="110">
        <f>IFERROR(+LOOKUP(AY32,[13]TARIFAS!$A$4:$B$14,[13]TARIFAS!$C$4:$C$14),0)</f>
        <v>538.20000000000005</v>
      </c>
      <c r="BE32" s="110">
        <f t="shared" si="15"/>
        <v>1060.6500000000001</v>
      </c>
      <c r="BF32" s="110"/>
      <c r="BG32" s="110"/>
      <c r="BH32" s="110"/>
      <c r="BI32" s="109"/>
    </row>
    <row r="33" spans="1:47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4"/>
      <c r="G33" s="124"/>
      <c r="H33" s="124"/>
      <c r="I33" s="124"/>
      <c r="J33" s="124"/>
      <c r="K33" s="124">
        <f>SUM(K5:K32)</f>
        <v>226036.23000000004</v>
      </c>
      <c r="L33" s="124"/>
      <c r="M33" s="124"/>
      <c r="N33" s="124">
        <f>SUM(N5:N32)</f>
        <v>2513.9699999999993</v>
      </c>
      <c r="O33" s="124"/>
      <c r="P33" s="124"/>
      <c r="Q33" s="124">
        <f>SUM(Q5:Q32)</f>
        <v>9701.3599999999988</v>
      </c>
      <c r="R33" s="124">
        <f>SUM(R5:R32)</f>
        <v>13161.099999999999</v>
      </c>
      <c r="S33" s="124">
        <f>SUM(S5:S32)</f>
        <v>6781.0869000000012</v>
      </c>
      <c r="T33" s="124"/>
      <c r="U33" s="124"/>
      <c r="V33" s="124">
        <f>SUM(V5:V32)</f>
        <v>19942.186899999997</v>
      </c>
      <c r="W33" s="124"/>
      <c r="X33" s="125"/>
      <c r="Y33" s="124">
        <f>SUM(Y5:Y30)</f>
        <v>0</v>
      </c>
      <c r="Z33" s="124">
        <f>SUM(Z5:Z32)</f>
        <v>258193.74689999997</v>
      </c>
      <c r="AA33" s="124"/>
      <c r="AB33" s="125"/>
      <c r="AC33" s="124">
        <f>SUM(AC5:AC32)</f>
        <v>21531.710250000007</v>
      </c>
      <c r="AD33" s="124"/>
      <c r="AE33" s="125"/>
      <c r="AF33" s="126">
        <f>SUM(AF5:AF32)</f>
        <v>22743.5</v>
      </c>
      <c r="AG33" s="124"/>
      <c r="AH33" s="125"/>
      <c r="AI33" s="124">
        <f>SUM(AI5:AI32)</f>
        <v>42058.740000000005</v>
      </c>
      <c r="AJ33" s="124"/>
      <c r="AK33" s="125"/>
      <c r="AL33" s="126">
        <f>SUM(AL5:AL32)</f>
        <v>1094.6713000000002</v>
      </c>
      <c r="AM33" s="124"/>
      <c r="AN33" s="125"/>
      <c r="AO33" s="124">
        <f>SUM(AO5:AO32)</f>
        <v>0</v>
      </c>
      <c r="AP33" s="124"/>
      <c r="AQ33" s="125"/>
      <c r="AR33" s="124">
        <f>SUM(AR5:AR32)</f>
        <v>0</v>
      </c>
      <c r="AS33" s="124">
        <f>SUM(AS5:AS32)</f>
        <v>87428.621549999982</v>
      </c>
      <c r="AT33" s="124">
        <f>SUM(AT5:AT32)</f>
        <v>170765.12534999996</v>
      </c>
      <c r="AU33" s="127"/>
    </row>
    <row r="34" spans="1:47" s="128" customFormat="1" ht="21" customHeight="1" x14ac:dyDescent="0.2">
      <c r="A34" s="129"/>
      <c r="B34" s="129"/>
      <c r="C34" s="130"/>
      <c r="D34" s="130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1"/>
      <c r="Y34" s="129"/>
      <c r="Z34" s="129"/>
      <c r="AA34" s="129"/>
      <c r="AB34" s="131"/>
      <c r="AC34" s="129"/>
      <c r="AD34" s="129"/>
      <c r="AE34" s="131"/>
      <c r="AF34" s="132"/>
      <c r="AG34" s="129"/>
      <c r="AH34" s="131"/>
      <c r="AI34" s="129"/>
      <c r="AJ34" s="129"/>
      <c r="AK34" s="131"/>
      <c r="AL34" s="132"/>
      <c r="AM34" s="129"/>
      <c r="AN34" s="131"/>
      <c r="AO34" s="129"/>
      <c r="AP34" s="129"/>
      <c r="AQ34" s="131"/>
      <c r="AR34" s="129"/>
      <c r="AS34" s="129"/>
      <c r="AT34" s="129"/>
      <c r="AU34" s="129"/>
    </row>
    <row r="35" spans="1:47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73"/>
      <c r="L35" s="166"/>
      <c r="M35" s="166"/>
      <c r="O35" s="166"/>
      <c r="P35" s="136"/>
      <c r="Q35" s="137"/>
      <c r="R35" s="138"/>
      <c r="S35" s="173"/>
      <c r="T35" s="173"/>
      <c r="U35" s="173"/>
      <c r="V35" s="173"/>
      <c r="W35" s="173"/>
      <c r="X35" s="173"/>
      <c r="Y35" s="173"/>
      <c r="Z35" s="173"/>
      <c r="AA35" s="133"/>
      <c r="AB35" s="133"/>
      <c r="AC35" s="133"/>
      <c r="AD35" s="133"/>
      <c r="AE35" s="133"/>
      <c r="AG35" s="133"/>
      <c r="AH35" s="133"/>
      <c r="AI35" s="133"/>
      <c r="AJ35" s="133"/>
      <c r="AK35" s="133"/>
      <c r="AL35" s="173" t="s">
        <v>113</v>
      </c>
      <c r="AM35" s="173"/>
      <c r="AN35" s="173"/>
      <c r="AO35" s="173"/>
      <c r="AP35" s="173"/>
      <c r="AQ35" s="173"/>
      <c r="AR35" s="173"/>
      <c r="AS35" s="173"/>
      <c r="AT35" s="173"/>
    </row>
    <row r="36" spans="1:47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O36" s="141"/>
      <c r="P36" s="142"/>
      <c r="Q36" s="141"/>
      <c r="R36" s="138"/>
      <c r="S36" s="138"/>
      <c r="T36" s="141"/>
      <c r="U36" s="142"/>
      <c r="W36" s="141"/>
      <c r="X36" s="142"/>
      <c r="Z36" s="138"/>
      <c r="AA36" s="141"/>
      <c r="AB36" s="142"/>
      <c r="AC36" s="143"/>
      <c r="AD36" s="141"/>
      <c r="AE36" s="142"/>
      <c r="AF36" s="144"/>
      <c r="AG36" s="141"/>
      <c r="AH36" s="142"/>
      <c r="AI36" s="133"/>
      <c r="AJ36" s="141"/>
      <c r="AK36" s="142"/>
      <c r="AL36" s="145"/>
      <c r="AM36" s="141"/>
      <c r="AN36" s="142"/>
      <c r="AO36" s="133"/>
      <c r="AP36" s="141"/>
      <c r="AQ36" s="142"/>
      <c r="AR36" s="133"/>
      <c r="AT36" s="133"/>
    </row>
    <row r="37" spans="1:47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73"/>
      <c r="L37" s="166"/>
      <c r="M37" s="166"/>
      <c r="O37" s="166"/>
      <c r="P37" s="136"/>
      <c r="Q37" s="138"/>
      <c r="R37" s="138"/>
      <c r="S37" s="173"/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J37" s="133"/>
      <c r="AK37" s="133"/>
      <c r="AL37" s="173" t="s">
        <v>115</v>
      </c>
      <c r="AM37" s="173"/>
      <c r="AN37" s="173"/>
      <c r="AO37" s="173"/>
      <c r="AP37" s="173"/>
      <c r="AQ37" s="173"/>
      <c r="AR37" s="173"/>
      <c r="AS37" s="173"/>
      <c r="AT37" s="173"/>
      <c r="AU37" s="133"/>
    </row>
    <row r="38" spans="1:47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73"/>
      <c r="L38" s="166"/>
      <c r="M38" s="166"/>
      <c r="O38" s="166"/>
      <c r="P38" s="136"/>
      <c r="Q38" s="138"/>
      <c r="R38" s="138"/>
      <c r="S38" s="173"/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133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47" x14ac:dyDescent="0.2">
      <c r="A39" s="133"/>
      <c r="B39" s="133"/>
      <c r="C39" s="146"/>
      <c r="D39" s="146"/>
      <c r="E39" s="146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47"/>
      <c r="Q39" s="133"/>
      <c r="T39" s="133"/>
      <c r="U39" s="147"/>
      <c r="W39" s="133"/>
      <c r="X39" s="147"/>
      <c r="Z39" s="133"/>
      <c r="AA39" s="133"/>
      <c r="AB39" s="147"/>
      <c r="AC39" s="133"/>
      <c r="AD39" s="133"/>
      <c r="AE39" s="147"/>
      <c r="AF39" s="148"/>
      <c r="AG39" s="133"/>
      <c r="AH39" s="147"/>
      <c r="AJ39" s="133"/>
      <c r="AK39" s="147"/>
      <c r="AM39" s="133"/>
      <c r="AN39" s="147"/>
      <c r="AP39" s="133"/>
      <c r="AQ39" s="147"/>
      <c r="AS39" s="133"/>
      <c r="AT39" s="133"/>
      <c r="AU39" s="133"/>
    </row>
    <row r="40" spans="1:47" x14ac:dyDescent="0.2"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R40" s="133"/>
      <c r="S40" s="133"/>
      <c r="T40" s="133"/>
      <c r="U40" s="147"/>
      <c r="V40" s="149"/>
      <c r="W40" s="133"/>
      <c r="X40" s="147"/>
      <c r="Y40" s="149"/>
      <c r="Z40" s="133"/>
      <c r="AA40" s="133"/>
      <c r="AB40" s="147"/>
      <c r="AC40" s="133"/>
      <c r="AD40" s="133"/>
      <c r="AE40" s="147"/>
      <c r="AF40" s="150"/>
      <c r="AG40" s="133"/>
      <c r="AH40" s="147"/>
      <c r="AI40" s="133"/>
      <c r="AJ40" s="133"/>
      <c r="AK40" s="147"/>
      <c r="AL40" s="150"/>
      <c r="AM40" s="133"/>
      <c r="AN40" s="147"/>
      <c r="AO40" s="133"/>
      <c r="AP40" s="133"/>
      <c r="AQ40" s="147"/>
      <c r="AR40" s="133"/>
      <c r="AS40" s="133"/>
    </row>
    <row r="41" spans="1:47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47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  <c r="AT42" s="133"/>
    </row>
    <row r="43" spans="1:47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47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47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47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</row>
    <row r="47" spans="1:47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47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34"/>
      <c r="D55" s="151"/>
      <c r="E55" s="151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46"/>
      <c r="D59" s="146"/>
      <c r="E59" s="146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D59" s="133"/>
      <c r="AE59" s="147"/>
      <c r="AG59" s="133"/>
      <c r="AH59" s="147"/>
      <c r="AJ59" s="133"/>
      <c r="AK59" s="147"/>
      <c r="AM59" s="133"/>
      <c r="AN59" s="147"/>
      <c r="AP59" s="133"/>
      <c r="AQ59" s="147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0"/>
      <c r="D65" s="140"/>
      <c r="E65" s="140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49"/>
      <c r="R65" s="133"/>
      <c r="S65" s="149"/>
      <c r="T65" s="133"/>
      <c r="U65" s="147"/>
      <c r="V65" s="149"/>
      <c r="W65" s="133"/>
      <c r="X65" s="147"/>
      <c r="Y65" s="149"/>
      <c r="Z65" s="133"/>
      <c r="AA65" s="133"/>
      <c r="AB65" s="147"/>
      <c r="AC65" s="133"/>
      <c r="AD65" s="133"/>
      <c r="AE65" s="147"/>
      <c r="AF65" s="150"/>
      <c r="AG65" s="133"/>
      <c r="AH65" s="147"/>
      <c r="AI65" s="133"/>
      <c r="AJ65" s="133"/>
      <c r="AK65" s="147"/>
      <c r="AL65" s="150"/>
      <c r="AM65" s="133"/>
      <c r="AN65" s="147"/>
      <c r="AO65" s="133"/>
      <c r="AP65" s="133"/>
      <c r="AQ65" s="147"/>
      <c r="AR65" s="133"/>
      <c r="AS65" s="133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33"/>
      <c r="W66" s="133"/>
      <c r="X66" s="147"/>
      <c r="Y66" s="133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34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52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  <c r="AT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D76" s="133"/>
      <c r="AE76" s="147"/>
      <c r="AG76" s="133"/>
      <c r="AH76" s="147"/>
      <c r="AJ76" s="133"/>
      <c r="AK76" s="147"/>
      <c r="AM76" s="133"/>
      <c r="AN76" s="147"/>
      <c r="AP76" s="133"/>
      <c r="AQ76" s="147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53"/>
      <c r="AA79" s="133"/>
      <c r="AB79" s="147"/>
      <c r="AC79" s="153"/>
      <c r="AD79" s="133"/>
      <c r="AE79" s="147"/>
      <c r="AF79" s="154"/>
      <c r="AG79" s="133"/>
      <c r="AH79" s="147"/>
      <c r="AI79" s="153"/>
      <c r="AJ79" s="133"/>
      <c r="AK79" s="147"/>
      <c r="AL79" s="154"/>
      <c r="AM79" s="133"/>
      <c r="AN79" s="147"/>
      <c r="AO79" s="153"/>
      <c r="AP79" s="133"/>
      <c r="AQ79" s="147"/>
      <c r="AR79" s="153"/>
      <c r="AS79" s="153"/>
      <c r="AT79" s="15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C80" s="133"/>
      <c r="AD80" s="133"/>
      <c r="AE80" s="147"/>
      <c r="AF80" s="150"/>
      <c r="AG80" s="133"/>
      <c r="AH80" s="147"/>
      <c r="AI80" s="133"/>
      <c r="AJ80" s="133"/>
      <c r="AK80" s="147"/>
      <c r="AL80" s="150"/>
      <c r="AM80" s="133"/>
      <c r="AN80" s="147"/>
      <c r="AO80" s="133"/>
      <c r="AP80" s="133"/>
      <c r="AQ80" s="147"/>
      <c r="AR80" s="133"/>
      <c r="AS80" s="133"/>
      <c r="AT80" s="133"/>
    </row>
    <row r="81" spans="3:47" x14ac:dyDescent="0.2">
      <c r="C81" s="140"/>
      <c r="D81" s="140"/>
      <c r="E81" s="140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7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7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7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7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7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7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7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7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7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7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7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7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33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7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7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7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  <c r="AU96" s="155"/>
    </row>
    <row r="97" spans="1:48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8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8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8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8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D101" s="133"/>
      <c r="AE101" s="147"/>
      <c r="AG101" s="133"/>
      <c r="AH101" s="147"/>
      <c r="AJ101" s="133"/>
      <c r="AK101" s="147"/>
      <c r="AM101" s="133"/>
      <c r="AN101" s="147"/>
      <c r="AP101" s="133"/>
      <c r="AQ101" s="147"/>
      <c r="AT101" s="133"/>
    </row>
    <row r="102" spans="1:48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8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8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</row>
    <row r="105" spans="1:48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8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8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8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8" x14ac:dyDescent="0.2">
      <c r="A109" s="155"/>
      <c r="B109" s="155"/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8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8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8" s="155" customFormat="1" x14ac:dyDescent="0.2">
      <c r="A112" s="81"/>
      <c r="B112" s="81"/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C112" s="81"/>
      <c r="AD112" s="133"/>
      <c r="AE112" s="147"/>
      <c r="AF112" s="139"/>
      <c r="AG112" s="133"/>
      <c r="AH112" s="147"/>
      <c r="AI112" s="81"/>
      <c r="AJ112" s="133"/>
      <c r="AK112" s="147"/>
      <c r="AL112" s="139"/>
      <c r="AM112" s="133"/>
      <c r="AN112" s="147"/>
      <c r="AO112" s="81"/>
      <c r="AP112" s="133"/>
      <c r="AQ112" s="147"/>
      <c r="AR112" s="81"/>
      <c r="AS112" s="81"/>
      <c r="AT112" s="81"/>
      <c r="AU112" s="81"/>
      <c r="AV112" s="81"/>
    </row>
    <row r="113" spans="3:43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3:43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3:43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3:43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3:43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3:43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3:43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3:43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3:43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3:43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3:43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3:43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3:43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3:43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3:43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3:43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</sheetData>
  <mergeCells count="11">
    <mergeCell ref="D38:K38"/>
    <mergeCell ref="S38:Z38"/>
    <mergeCell ref="AL38:AT38"/>
    <mergeCell ref="C2:AU2"/>
    <mergeCell ref="B4:C4"/>
    <mergeCell ref="D35:K35"/>
    <mergeCell ref="S35:Z35"/>
    <mergeCell ref="AL35:AT35"/>
    <mergeCell ref="D37:K37"/>
    <mergeCell ref="S37:Z37"/>
    <mergeCell ref="AL37:AT37"/>
  </mergeCells>
  <printOptions horizontalCentered="1" verticalCentered="1"/>
  <pageMargins left="0" right="7.874015748031496E-2" top="0.39370078740157483" bottom="0.19685039370078741" header="0.39370078740157483" footer="0"/>
  <pageSetup paperSize="256" scale="70" orientation="landscape" r:id="rId1"/>
  <headerFooter differentOddEven="1">
    <oddFooter xml:space="preserve"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4"/>
  <sheetViews>
    <sheetView zoomScale="70" zoomScaleNormal="70" workbookViewId="0">
      <pane xSplit="4" ySplit="4" topLeftCell="E11" activePane="bottomRight" state="frozen"/>
      <selection pane="topRight" activeCell="D1" sqref="D1"/>
      <selection pane="bottomLeft" activeCell="A5" sqref="A5"/>
      <selection pane="bottomRight" activeCell="C2" sqref="C2:AU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3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hidden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8.1406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4.85546875" style="81" hidden="1" customWidth="1"/>
    <col min="42" max="42" width="5.7109375" style="81" hidden="1" customWidth="1"/>
    <col min="43" max="43" width="11.28515625" style="157" hidden="1" customWidth="1"/>
    <col min="44" max="44" width="15.5703125" style="81" hidden="1" customWidth="1"/>
    <col min="45" max="45" width="18.5703125" style="81" customWidth="1"/>
    <col min="46" max="46" width="19.85546875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1" spans="1:62" ht="15.75" x14ac:dyDescent="0.2">
      <c r="N1" s="138"/>
      <c r="O1" s="138"/>
      <c r="P1" s="158"/>
      <c r="Q1" s="138"/>
      <c r="R1" s="138"/>
    </row>
    <row r="2" spans="1:62" ht="35.25" customHeight="1" x14ac:dyDescent="0.2">
      <c r="C2" s="174" t="s">
        <v>158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 t="s">
        <v>38</v>
      </c>
      <c r="H5" s="101">
        <v>15</v>
      </c>
      <c r="I5" s="101">
        <v>421.49</v>
      </c>
      <c r="J5" s="160" t="s">
        <v>146</v>
      </c>
      <c r="K5" s="101">
        <v>6572.35</v>
      </c>
      <c r="L5" s="101" t="s">
        <v>37</v>
      </c>
      <c r="M5" s="102">
        <v>1311</v>
      </c>
      <c r="N5" s="103">
        <v>168.23000000000002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>K5*3%</f>
        <v>197.1705</v>
      </c>
      <c r="T5" s="101" t="s">
        <v>37</v>
      </c>
      <c r="U5" s="102">
        <v>1712</v>
      </c>
      <c r="V5" s="104">
        <f t="shared" ref="V5:V32" si="2">(R5+S5)</f>
        <v>603.4905</v>
      </c>
      <c r="W5" s="101" t="s">
        <v>37</v>
      </c>
      <c r="X5" s="102">
        <v>1345</v>
      </c>
      <c r="Y5" s="104">
        <v>0</v>
      </c>
      <c r="Z5" s="104">
        <f t="shared" ref="Z5:Z32" si="3">K5+N5+Q5+V5+Y5</f>
        <v>7695.5704999999998</v>
      </c>
      <c r="AA5" s="101" t="s">
        <v>39</v>
      </c>
      <c r="AB5" s="102">
        <v>1431</v>
      </c>
      <c r="AC5" s="104">
        <f t="shared" ref="AC5:AC32" si="4">(K5*9.5%)</f>
        <v>624.3732500000001</v>
      </c>
      <c r="AD5" s="101" t="s">
        <v>39</v>
      </c>
      <c r="AE5" s="105" t="s">
        <v>40</v>
      </c>
      <c r="AF5" s="103">
        <v>395.77</v>
      </c>
      <c r="AG5" s="101" t="s">
        <v>39</v>
      </c>
      <c r="AH5" s="105" t="s">
        <v>41</v>
      </c>
      <c r="AI5" s="103">
        <f t="shared" ref="AI5:AI32" si="5">+BE5</f>
        <v>1096.58</v>
      </c>
      <c r="AJ5" s="101" t="s">
        <v>39</v>
      </c>
      <c r="AK5" s="105" t="s">
        <v>42</v>
      </c>
      <c r="AL5" s="103">
        <f t="shared" ref="AL5:AL10" si="6">(K5*1%)</f>
        <v>65.723500000000001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1431</v>
      </c>
      <c r="AR5" s="103">
        <v>0</v>
      </c>
      <c r="AS5" s="104">
        <f t="shared" ref="AS5:AS32" si="7">(AC5+AF5+AI5+AL5+AO5+AR5)</f>
        <v>2182.4467500000001</v>
      </c>
      <c r="AT5" s="106">
        <f t="shared" ref="AT5:AT32" si="8">(Z5-AS5)</f>
        <v>5513.1237499999997</v>
      </c>
      <c r="AU5" s="107"/>
      <c r="AV5" s="108"/>
      <c r="AW5" s="109">
        <f>+H5</f>
        <v>15</v>
      </c>
      <c r="AX5" s="109">
        <f>+K5+S5+N5+Q5+R5+Y5</f>
        <v>7695.5704999999998</v>
      </c>
      <c r="AY5" s="110">
        <f>IFERROR(+AX5/AW5,0)*AW5</f>
        <v>7695.5705000000007</v>
      </c>
      <c r="AZ5" s="110">
        <f>IFERROR(+LOOKUP(AY5,[13]TARIFAS!$A$4:$B$14,[13]TARIFAS!$A$4:$A$14),0)</f>
        <v>5081.41</v>
      </c>
      <c r="BA5" s="110">
        <f>+AY5-AZ5</f>
        <v>2614.1605000000009</v>
      </c>
      <c r="BB5" s="110">
        <f>IFERROR(+LOOKUP(AY5,[13]TARIFAS!$A$4:$B$14,[13]TARIFAS!$D$4:$D$14),0)</f>
        <v>21.36</v>
      </c>
      <c r="BC5" s="110">
        <f>(+BA5*BB5)/100</f>
        <v>558.38468280000018</v>
      </c>
      <c r="BD5" s="110">
        <f>IFERROR(+LOOKUP(AY5,[13]TARIFAS!$A$4:$B$14,[13]TARIFAS!$C$4:$C$14),0)</f>
        <v>538.20000000000005</v>
      </c>
      <c r="BE5" s="110">
        <f>ROUND(+BC5+BD5,2)</f>
        <v>1096.58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6572.35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 t="shared" ref="S6:S32" si="9">K6*3%</f>
        <v>197.1705</v>
      </c>
      <c r="T6" s="101" t="s">
        <v>37</v>
      </c>
      <c r="U6" s="102">
        <v>1712</v>
      </c>
      <c r="V6" s="104">
        <f t="shared" si="2"/>
        <v>603.4905</v>
      </c>
      <c r="W6" s="101"/>
      <c r="X6" s="102"/>
      <c r="Y6" s="104"/>
      <c r="Z6" s="104">
        <f t="shared" si="3"/>
        <v>7695.5655000000006</v>
      </c>
      <c r="AA6" s="101" t="s">
        <v>39</v>
      </c>
      <c r="AB6" s="102">
        <v>1431</v>
      </c>
      <c r="AC6" s="104">
        <f t="shared" si="4"/>
        <v>624.3732500000001</v>
      </c>
      <c r="AD6" s="101" t="s">
        <v>39</v>
      </c>
      <c r="AE6" s="105" t="s">
        <v>40</v>
      </c>
      <c r="AF6" s="103">
        <v>2191</v>
      </c>
      <c r="AG6" s="101" t="s">
        <v>39</v>
      </c>
      <c r="AH6" s="105" t="s">
        <v>41</v>
      </c>
      <c r="AI6" s="103">
        <f t="shared" si="5"/>
        <v>1096.58</v>
      </c>
      <c r="AJ6" s="101" t="s">
        <v>39</v>
      </c>
      <c r="AK6" s="105" t="s">
        <v>42</v>
      </c>
      <c r="AL6" s="103">
        <f t="shared" si="6"/>
        <v>65.723500000000001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1431</v>
      </c>
      <c r="AR6" s="103">
        <v>0</v>
      </c>
      <c r="AS6" s="104">
        <f t="shared" si="7"/>
        <v>3977.6767500000001</v>
      </c>
      <c r="AT6" s="106">
        <f t="shared" si="8"/>
        <v>3717.8887500000005</v>
      </c>
      <c r="AU6" s="113"/>
      <c r="AV6" s="108"/>
      <c r="AW6" s="109">
        <f t="shared" ref="AW6:AW32" si="10">+H6</f>
        <v>15</v>
      </c>
      <c r="AX6" s="109">
        <f t="shared" ref="AX6:AX32" si="11">+K6+S6+N6+Q6+R6+Y6</f>
        <v>7695.5655000000006</v>
      </c>
      <c r="AY6" s="110">
        <f t="shared" ref="AY6:AY32" si="12">IFERROR(+AX6/AW6,0)*AW6</f>
        <v>7695.5655000000015</v>
      </c>
      <c r="AZ6" s="110">
        <f>IFERROR(+LOOKUP(AY6,[13]TARIFAS!$A$4:$B$14,[13]TARIFAS!$A$4:$A$14),0)</f>
        <v>5081.41</v>
      </c>
      <c r="BA6" s="110">
        <f t="shared" ref="BA6:BA32" si="13">+AY6-AZ6</f>
        <v>2614.1555000000017</v>
      </c>
      <c r="BB6" s="110">
        <f>IFERROR(+LOOKUP(AY6,[13]TARIFAS!$A$4:$B$14,[13]TARIFAS!$D$4:$D$14),0)</f>
        <v>21.36</v>
      </c>
      <c r="BC6" s="110">
        <f t="shared" ref="BC6:BC32" si="14">(+BA6*BB6)/100</f>
        <v>558.38361480000037</v>
      </c>
      <c r="BD6" s="110">
        <f>IFERROR(+LOOKUP(AY6,[13]TARIFAS!$A$4:$B$14,[13]TARIFAS!$C$4:$C$14),0)</f>
        <v>538.20000000000005</v>
      </c>
      <c r="BE6" s="110">
        <f t="shared" ref="BE6:BE32" si="15">ROUND(+BC6+BD6,2)</f>
        <v>1096.58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7713.23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f t="shared" si="9"/>
        <v>231.39689999999999</v>
      </c>
      <c r="T7" s="101" t="s">
        <v>37</v>
      </c>
      <c r="U7" s="102">
        <v>1712</v>
      </c>
      <c r="V7" s="104">
        <f t="shared" si="2"/>
        <v>649.83690000000001</v>
      </c>
      <c r="W7" s="101"/>
      <c r="X7" s="102"/>
      <c r="Y7" s="104"/>
      <c r="Z7" s="104">
        <f t="shared" si="3"/>
        <v>8813.3819000000003</v>
      </c>
      <c r="AA7" s="101" t="s">
        <v>39</v>
      </c>
      <c r="AB7" s="102">
        <v>1431</v>
      </c>
      <c r="AC7" s="104">
        <f t="shared" si="4"/>
        <v>732.75684999999999</v>
      </c>
      <c r="AD7" s="101" t="s">
        <v>39</v>
      </c>
      <c r="AE7" s="105" t="s">
        <v>40</v>
      </c>
      <c r="AF7" s="103">
        <v>1158</v>
      </c>
      <c r="AG7" s="101" t="s">
        <v>39</v>
      </c>
      <c r="AH7" s="105" t="s">
        <v>41</v>
      </c>
      <c r="AI7" s="103">
        <f t="shared" si="5"/>
        <v>1335.35</v>
      </c>
      <c r="AJ7" s="101" t="s">
        <v>39</v>
      </c>
      <c r="AK7" s="105" t="s">
        <v>42</v>
      </c>
      <c r="AL7" s="103">
        <f t="shared" si="6"/>
        <v>77.132300000000001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1431</v>
      </c>
      <c r="AR7" s="103">
        <v>0</v>
      </c>
      <c r="AS7" s="104">
        <f t="shared" si="7"/>
        <v>3303.2391500000003</v>
      </c>
      <c r="AT7" s="106">
        <f t="shared" si="8"/>
        <v>5510.14275</v>
      </c>
      <c r="AU7" s="113"/>
      <c r="AV7" s="108"/>
      <c r="AW7" s="109">
        <f t="shared" si="10"/>
        <v>15</v>
      </c>
      <c r="AX7" s="109">
        <f t="shared" si="11"/>
        <v>8813.3819000000003</v>
      </c>
      <c r="AY7" s="110">
        <f t="shared" si="12"/>
        <v>8813.3819000000003</v>
      </c>
      <c r="AZ7" s="110">
        <f>IFERROR(+LOOKUP(AY7,[13]TARIFAS!$A$4:$B$14,[13]TARIFAS!$A$4:$A$14),0)</f>
        <v>5081.41</v>
      </c>
      <c r="BA7" s="110">
        <f t="shared" si="13"/>
        <v>3731.9719000000005</v>
      </c>
      <c r="BB7" s="110">
        <f>IFERROR(+LOOKUP(AY7,[13]TARIFAS!$A$4:$B$14,[13]TARIFAS!$D$4:$D$14),0)</f>
        <v>21.36</v>
      </c>
      <c r="BC7" s="110">
        <f t="shared" si="14"/>
        <v>797.14919784000017</v>
      </c>
      <c r="BD7" s="110">
        <f>IFERROR(+LOOKUP(AY7,[13]TARIFAS!$A$4:$B$14,[13]TARIFAS!$C$4:$C$14),0)</f>
        <v>538.20000000000005</v>
      </c>
      <c r="BE7" s="110">
        <f t="shared" si="15"/>
        <v>1335.35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6572.35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 t="shared" si="9"/>
        <v>197.1705</v>
      </c>
      <c r="T8" s="101" t="s">
        <v>37</v>
      </c>
      <c r="U8" s="102">
        <v>1712</v>
      </c>
      <c r="V8" s="104">
        <f t="shared" si="2"/>
        <v>603.4905</v>
      </c>
      <c r="W8" s="101"/>
      <c r="X8" s="102"/>
      <c r="Y8" s="104"/>
      <c r="Z8" s="104">
        <f t="shared" si="3"/>
        <v>7729.2105000000001</v>
      </c>
      <c r="AA8" s="101" t="s">
        <v>39</v>
      </c>
      <c r="AB8" s="102">
        <v>1431</v>
      </c>
      <c r="AC8" s="104">
        <f t="shared" si="4"/>
        <v>624.3732500000001</v>
      </c>
      <c r="AD8" s="101" t="s">
        <v>39</v>
      </c>
      <c r="AE8" s="105" t="s">
        <v>40</v>
      </c>
      <c r="AF8" s="103">
        <v>1600</v>
      </c>
      <c r="AG8" s="101" t="s">
        <v>39</v>
      </c>
      <c r="AH8" s="105" t="s">
        <v>41</v>
      </c>
      <c r="AI8" s="103">
        <f t="shared" si="5"/>
        <v>1103.77</v>
      </c>
      <c r="AJ8" s="101" t="s">
        <v>39</v>
      </c>
      <c r="AK8" s="105" t="s">
        <v>42</v>
      </c>
      <c r="AL8" s="103">
        <f t="shared" si="6"/>
        <v>65.723500000000001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1431</v>
      </c>
      <c r="AR8" s="103">
        <v>0</v>
      </c>
      <c r="AS8" s="104">
        <f t="shared" si="7"/>
        <v>3393.8667500000001</v>
      </c>
      <c r="AT8" s="106">
        <f t="shared" si="8"/>
        <v>4335.34375</v>
      </c>
      <c r="AU8" s="113"/>
      <c r="AV8" s="108"/>
      <c r="AW8" s="109">
        <f t="shared" si="10"/>
        <v>15</v>
      </c>
      <c r="AX8" s="109">
        <f t="shared" si="11"/>
        <v>7729.2105000000001</v>
      </c>
      <c r="AY8" s="110">
        <f>IFERROR(+AX8/AW8,0)*AW8</f>
        <v>7729.2105000000001</v>
      </c>
      <c r="AZ8" s="110">
        <f>IFERROR(+LOOKUP(AY8,[13]TARIFAS!$A$4:$B$14,[13]TARIFAS!$A$4:$A$14),0)</f>
        <v>5081.41</v>
      </c>
      <c r="BA8" s="110">
        <f t="shared" si="13"/>
        <v>2647.8005000000003</v>
      </c>
      <c r="BB8" s="110">
        <f>IFERROR(+LOOKUP(AY8,[13]TARIFAS!$A$4:$B$14,[13]TARIFAS!$D$4:$D$14),0)</f>
        <v>21.36</v>
      </c>
      <c r="BC8" s="110">
        <f t="shared" si="14"/>
        <v>565.57018679999999</v>
      </c>
      <c r="BD8" s="110">
        <f>IFERROR(+LOOKUP(AY8,[13]TARIFAS!$A$4:$B$14,[13]TARIFAS!$C$4:$C$14),0)</f>
        <v>538.20000000000005</v>
      </c>
      <c r="BE8" s="110">
        <f t="shared" si="15"/>
        <v>1103.77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7713.23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f t="shared" si="9"/>
        <v>231.39689999999999</v>
      </c>
      <c r="T9" s="101" t="s">
        <v>37</v>
      </c>
      <c r="U9" s="102">
        <v>1712</v>
      </c>
      <c r="V9" s="104">
        <f t="shared" si="2"/>
        <v>649.83690000000001</v>
      </c>
      <c r="W9" s="101"/>
      <c r="X9" s="102"/>
      <c r="Y9" s="104"/>
      <c r="Z9" s="104">
        <f t="shared" si="3"/>
        <v>8813.3819000000003</v>
      </c>
      <c r="AA9" s="101" t="s">
        <v>39</v>
      </c>
      <c r="AB9" s="102">
        <v>1431</v>
      </c>
      <c r="AC9" s="104">
        <f t="shared" si="4"/>
        <v>732.75684999999999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 t="shared" si="5"/>
        <v>1335.35</v>
      </c>
      <c r="AJ9" s="101" t="s">
        <v>39</v>
      </c>
      <c r="AK9" s="105" t="s">
        <v>42</v>
      </c>
      <c r="AL9" s="103">
        <f t="shared" si="6"/>
        <v>77.132300000000001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1431</v>
      </c>
      <c r="AR9" s="103">
        <v>0</v>
      </c>
      <c r="AS9" s="104">
        <f t="shared" si="7"/>
        <v>2145.2391500000003</v>
      </c>
      <c r="AT9" s="106">
        <f t="shared" si="8"/>
        <v>6668.14275</v>
      </c>
      <c r="AU9" s="113"/>
      <c r="AV9" s="108"/>
      <c r="AW9" s="109">
        <f t="shared" si="10"/>
        <v>15</v>
      </c>
      <c r="AX9" s="109">
        <f t="shared" si="11"/>
        <v>8813.3819000000003</v>
      </c>
      <c r="AY9" s="110">
        <f>IFERROR(+AX9/AW9,0)*AW9</f>
        <v>8813.3819000000003</v>
      </c>
      <c r="AZ9" s="110">
        <f>IFERROR(+LOOKUP(AY9,[13]TARIFAS!$A$4:$B$14,[13]TARIFAS!$A$4:$A$14),0)</f>
        <v>5081.41</v>
      </c>
      <c r="BA9" s="110">
        <f t="shared" si="13"/>
        <v>3731.9719000000005</v>
      </c>
      <c r="BB9" s="110">
        <f>IFERROR(+LOOKUP(AY9,[13]TARIFAS!$A$4:$B$14,[13]TARIFAS!$D$4:$D$14),0)</f>
        <v>21.36</v>
      </c>
      <c r="BC9" s="110">
        <f t="shared" si="14"/>
        <v>797.14919784000017</v>
      </c>
      <c r="BD9" s="110">
        <f>IFERROR(+LOOKUP(AY9,[13]TARIFAS!$A$4:$B$14,[13]TARIFAS!$C$4:$C$14),0)</f>
        <v>538.20000000000005</v>
      </c>
      <c r="BE9" s="110">
        <f t="shared" si="15"/>
        <v>1335.35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6572.35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 t="shared" si="9"/>
        <v>197.1705</v>
      </c>
      <c r="T10" s="101" t="s">
        <v>37</v>
      </c>
      <c r="U10" s="102">
        <v>1712</v>
      </c>
      <c r="V10" s="104">
        <f t="shared" si="2"/>
        <v>603.4905</v>
      </c>
      <c r="W10" s="101"/>
      <c r="X10" s="102"/>
      <c r="Y10" s="104"/>
      <c r="Z10" s="104">
        <f t="shared" si="3"/>
        <v>7729.2105000000001</v>
      </c>
      <c r="AA10" s="101" t="s">
        <v>39</v>
      </c>
      <c r="AB10" s="102">
        <v>1431</v>
      </c>
      <c r="AC10" s="104">
        <f t="shared" si="4"/>
        <v>624.3732500000001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 t="shared" si="5"/>
        <v>1103.77</v>
      </c>
      <c r="AJ10" s="101" t="s">
        <v>39</v>
      </c>
      <c r="AK10" s="105" t="s">
        <v>42</v>
      </c>
      <c r="AL10" s="103">
        <f t="shared" si="6"/>
        <v>65.723500000000001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1431</v>
      </c>
      <c r="AR10" s="103">
        <v>0</v>
      </c>
      <c r="AS10" s="104">
        <f t="shared" si="7"/>
        <v>3901.8667500000001</v>
      </c>
      <c r="AT10" s="106">
        <f t="shared" si="8"/>
        <v>3827.34375</v>
      </c>
      <c r="AU10" s="113"/>
      <c r="AV10" s="108"/>
      <c r="AW10" s="109">
        <f t="shared" si="10"/>
        <v>15</v>
      </c>
      <c r="AX10" s="109">
        <f t="shared" si="11"/>
        <v>7729.2105000000001</v>
      </c>
      <c r="AY10" s="110">
        <f>IFERROR(+AX10/AW10,0)*AW10</f>
        <v>7729.2105000000001</v>
      </c>
      <c r="AZ10" s="110">
        <f>IFERROR(+LOOKUP(AY10,[13]TARIFAS!$A$4:$B$14,[13]TARIFAS!$A$4:$A$14),0)</f>
        <v>5081.41</v>
      </c>
      <c r="BA10" s="110">
        <f t="shared" si="13"/>
        <v>2647.8005000000003</v>
      </c>
      <c r="BB10" s="110">
        <f>IFERROR(+LOOKUP(AY10,[13]TARIFAS!$A$4:$B$14,[13]TARIFAS!$D$4:$D$14),0)</f>
        <v>21.36</v>
      </c>
      <c r="BC10" s="110">
        <f t="shared" si="14"/>
        <v>565.57018679999999</v>
      </c>
      <c r="BD10" s="110">
        <f>IFERROR(+LOOKUP(AY10,[13]TARIFAS!$A$4:$B$14,[13]TARIFAS!$C$4:$C$14),0)</f>
        <v>538.20000000000005</v>
      </c>
      <c r="BE10" s="110">
        <f t="shared" si="15"/>
        <v>1103.77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5063.04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 t="shared" si="9"/>
        <v>151.8912</v>
      </c>
      <c r="T11" s="101" t="s">
        <v>37</v>
      </c>
      <c r="U11" s="102">
        <v>1712</v>
      </c>
      <c r="V11" s="104">
        <f t="shared" si="2"/>
        <v>522.91120000000001</v>
      </c>
      <c r="W11" s="101"/>
      <c r="X11" s="102"/>
      <c r="Y11" s="104"/>
      <c r="Z11" s="104">
        <f t="shared" si="3"/>
        <v>6029.3762000000006</v>
      </c>
      <c r="AA11" s="101" t="s">
        <v>39</v>
      </c>
      <c r="AB11" s="102">
        <v>1431</v>
      </c>
      <c r="AC11" s="104">
        <f t="shared" si="4"/>
        <v>480.98880000000003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 t="shared" si="5"/>
        <v>740.69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1431</v>
      </c>
      <c r="AR11" s="103">
        <v>0</v>
      </c>
      <c r="AS11" s="104">
        <f t="shared" si="7"/>
        <v>1221.6788000000001</v>
      </c>
      <c r="AT11" s="106">
        <f t="shared" si="8"/>
        <v>4807.6974000000009</v>
      </c>
      <c r="AU11" s="113"/>
      <c r="AV11" s="108"/>
      <c r="AW11" s="109">
        <f t="shared" si="10"/>
        <v>15</v>
      </c>
      <c r="AX11" s="109">
        <f t="shared" si="11"/>
        <v>6029.3762000000006</v>
      </c>
      <c r="AY11" s="110">
        <f t="shared" si="12"/>
        <v>6029.3762000000006</v>
      </c>
      <c r="AZ11" s="110">
        <f>IFERROR(+LOOKUP(AY11,[13]TARIFAS!$A$4:$B$14,[13]TARIFAS!$A$4:$A$14),0)</f>
        <v>5081.41</v>
      </c>
      <c r="BA11" s="110">
        <f t="shared" si="13"/>
        <v>947.96620000000075</v>
      </c>
      <c r="BB11" s="110">
        <f>IFERROR(+LOOKUP(AY11,[13]TARIFAS!$A$4:$B$14,[13]TARIFAS!$D$4:$D$14),0)</f>
        <v>21.36</v>
      </c>
      <c r="BC11" s="110">
        <f t="shared" si="14"/>
        <v>202.48558032000017</v>
      </c>
      <c r="BD11" s="110">
        <f>IFERROR(+LOOKUP(AY11,[13]TARIFAS!$A$4:$B$14,[13]TARIFAS!$C$4:$C$14),0)</f>
        <v>538.20000000000005</v>
      </c>
      <c r="BE11" s="110">
        <f t="shared" si="15"/>
        <v>740.69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5063.04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 t="shared" si="9"/>
        <v>151.8912</v>
      </c>
      <c r="T12" s="101" t="s">
        <v>37</v>
      </c>
      <c r="U12" s="102">
        <v>1712</v>
      </c>
      <c r="V12" s="104">
        <f t="shared" si="2"/>
        <v>522.91120000000001</v>
      </c>
      <c r="W12" s="101"/>
      <c r="X12" s="102"/>
      <c r="Y12" s="104"/>
      <c r="Z12" s="104">
        <f t="shared" si="3"/>
        <v>5995.7312000000002</v>
      </c>
      <c r="AA12" s="101" t="s">
        <v>39</v>
      </c>
      <c r="AB12" s="102">
        <v>1431</v>
      </c>
      <c r="AC12" s="104">
        <f t="shared" si="4"/>
        <v>480.98880000000003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 t="shared" si="5"/>
        <v>733.5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1431</v>
      </c>
      <c r="AR12" s="103">
        <v>0</v>
      </c>
      <c r="AS12" s="104">
        <f t="shared" si="7"/>
        <v>1214.4888000000001</v>
      </c>
      <c r="AT12" s="106">
        <f t="shared" si="8"/>
        <v>4781.2424000000001</v>
      </c>
      <c r="AU12" s="113"/>
      <c r="AV12" s="108"/>
      <c r="AW12" s="109">
        <f t="shared" si="10"/>
        <v>15</v>
      </c>
      <c r="AX12" s="109">
        <f t="shared" si="11"/>
        <v>5995.7312000000002</v>
      </c>
      <c r="AY12" s="110">
        <f t="shared" si="12"/>
        <v>5995.7312000000002</v>
      </c>
      <c r="AZ12" s="110">
        <f>IFERROR(+LOOKUP(AY12,[13]TARIFAS!$A$4:$B$14,[13]TARIFAS!$A$4:$A$14),0)</f>
        <v>5081.41</v>
      </c>
      <c r="BA12" s="110">
        <f t="shared" si="13"/>
        <v>914.32120000000032</v>
      </c>
      <c r="BB12" s="110">
        <f>IFERROR(+LOOKUP(AY12,[13]TARIFAS!$A$4:$B$14,[13]TARIFAS!$D$4:$D$14),0)</f>
        <v>21.36</v>
      </c>
      <c r="BC12" s="110">
        <f t="shared" si="14"/>
        <v>195.29900832000007</v>
      </c>
      <c r="BD12" s="110">
        <f>IFERROR(+LOOKUP(AY12,[13]TARIFAS!$A$4:$B$14,[13]TARIFAS!$C$4:$C$14),0)</f>
        <v>538.20000000000005</v>
      </c>
      <c r="BE12" s="110">
        <f t="shared" si="15"/>
        <v>733.5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6572.35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 t="shared" si="9"/>
        <v>197.1705</v>
      </c>
      <c r="T13" s="101" t="s">
        <v>37</v>
      </c>
      <c r="U13" s="102">
        <v>1712</v>
      </c>
      <c r="V13" s="104">
        <f t="shared" si="2"/>
        <v>603.4905</v>
      </c>
      <c r="W13" s="101"/>
      <c r="X13" s="102"/>
      <c r="Y13" s="104"/>
      <c r="Z13" s="104">
        <f t="shared" si="3"/>
        <v>7762.8555000000006</v>
      </c>
      <c r="AA13" s="101" t="s">
        <v>39</v>
      </c>
      <c r="AB13" s="102">
        <v>1431</v>
      </c>
      <c r="AC13" s="104">
        <f t="shared" si="4"/>
        <v>624.3732500000001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 t="shared" si="5"/>
        <v>1110.96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1431</v>
      </c>
      <c r="AR13" s="103">
        <v>0</v>
      </c>
      <c r="AS13" s="104">
        <f t="shared" si="7"/>
        <v>1735.3332500000001</v>
      </c>
      <c r="AT13" s="106">
        <f t="shared" si="8"/>
        <v>6027.52225</v>
      </c>
      <c r="AU13" s="113"/>
      <c r="AV13" s="108"/>
      <c r="AW13" s="109">
        <f t="shared" si="10"/>
        <v>15</v>
      </c>
      <c r="AX13" s="109">
        <f t="shared" si="11"/>
        <v>7762.8555000000006</v>
      </c>
      <c r="AY13" s="110">
        <f t="shared" si="12"/>
        <v>7762.8555000000015</v>
      </c>
      <c r="AZ13" s="110">
        <f>IFERROR(+LOOKUP(AY13,[13]TARIFAS!$A$4:$B$14,[13]TARIFAS!$A$4:$A$14),0)</f>
        <v>5081.41</v>
      </c>
      <c r="BA13" s="110">
        <f t="shared" si="13"/>
        <v>2681.4455000000016</v>
      </c>
      <c r="BB13" s="110">
        <f>IFERROR(+LOOKUP(AY13,[13]TARIFAS!$A$4:$B$14,[13]TARIFAS!$D$4:$D$14),0)</f>
        <v>21.36</v>
      </c>
      <c r="BC13" s="110">
        <f t="shared" si="14"/>
        <v>572.75675880000028</v>
      </c>
      <c r="BD13" s="110">
        <f>IFERROR(+LOOKUP(AY13,[13]TARIFAS!$A$4:$B$14,[13]TARIFAS!$C$4:$C$14),0)</f>
        <v>538.20000000000005</v>
      </c>
      <c r="BE13" s="110">
        <f t="shared" si="15"/>
        <v>1110.96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f t="shared" si="9"/>
        <v>463.245</v>
      </c>
      <c r="T14" s="101" t="s">
        <v>37</v>
      </c>
      <c r="U14" s="102">
        <v>1712</v>
      </c>
      <c r="V14" s="104">
        <f t="shared" si="2"/>
        <v>1298.7449999999999</v>
      </c>
      <c r="W14" s="101"/>
      <c r="X14" s="102"/>
      <c r="Y14" s="104"/>
      <c r="Z14" s="104">
        <f t="shared" si="3"/>
        <v>17306.744999999999</v>
      </c>
      <c r="AA14" s="101" t="s">
        <v>39</v>
      </c>
      <c r="AB14" s="102">
        <v>1431</v>
      </c>
      <c r="AC14" s="104">
        <f t="shared" si="4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 t="shared" si="5"/>
        <v>3376.71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1431</v>
      </c>
      <c r="AR14" s="103">
        <v>0</v>
      </c>
      <c r="AS14" s="104">
        <f t="shared" si="7"/>
        <v>4843.6525000000001</v>
      </c>
      <c r="AT14" s="106">
        <f t="shared" si="8"/>
        <v>12463.092499999999</v>
      </c>
      <c r="AU14" s="113"/>
      <c r="AV14" s="108"/>
      <c r="AW14" s="109">
        <f t="shared" si="10"/>
        <v>15</v>
      </c>
      <c r="AX14" s="109">
        <f t="shared" si="11"/>
        <v>17306.745000000003</v>
      </c>
      <c r="AY14" s="110">
        <f t="shared" si="12"/>
        <v>17306.745000000003</v>
      </c>
      <c r="AZ14" s="110">
        <f>IFERROR(+LOOKUP(AY14,[13]TARIFAS!$A$4:$B$14,[13]TARIFAS!$A$4:$A$14),0)</f>
        <v>16153.06</v>
      </c>
      <c r="BA14" s="110">
        <f t="shared" si="13"/>
        <v>1153.6850000000031</v>
      </c>
      <c r="BB14" s="110">
        <f>IFERROR(+LOOKUP(AY14,[13]TARIFAS!$A$4:$B$14,[13]TARIFAS!$D$4:$D$14),0)</f>
        <v>30</v>
      </c>
      <c r="BC14" s="110">
        <f t="shared" si="14"/>
        <v>346.10550000000092</v>
      </c>
      <c r="BD14" s="110">
        <f>IFERROR(+LOOKUP(AY14,[13]TARIFAS!$A$4:$B$14,[13]TARIFAS!$C$4:$C$14),0)</f>
        <v>3030.6</v>
      </c>
      <c r="BE14" s="110">
        <f t="shared" si="15"/>
        <v>3376.71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5063.04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 t="shared" si="9"/>
        <v>151.8912</v>
      </c>
      <c r="T15" s="101" t="s">
        <v>37</v>
      </c>
      <c r="U15" s="102">
        <v>1712</v>
      </c>
      <c r="V15" s="104">
        <f t="shared" si="2"/>
        <v>522.91120000000001</v>
      </c>
      <c r="W15" s="101"/>
      <c r="X15" s="102"/>
      <c r="Y15" s="104"/>
      <c r="Z15" s="104">
        <f t="shared" si="3"/>
        <v>5894.7962000000007</v>
      </c>
      <c r="AA15" s="101" t="s">
        <v>39</v>
      </c>
      <c r="AB15" s="102">
        <v>1431</v>
      </c>
      <c r="AC15" s="104">
        <f t="shared" si="4"/>
        <v>480.98880000000003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 t="shared" si="5"/>
        <v>711.94</v>
      </c>
      <c r="AJ15" s="101" t="s">
        <v>39</v>
      </c>
      <c r="AK15" s="105" t="s">
        <v>42</v>
      </c>
      <c r="AL15" s="103">
        <f t="shared" ref="AL15:AL20" si="16">(K15*1%)</f>
        <v>50.630400000000002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1431</v>
      </c>
      <c r="AR15" s="103">
        <v>0</v>
      </c>
      <c r="AS15" s="104">
        <f t="shared" si="7"/>
        <v>1243.5592000000001</v>
      </c>
      <c r="AT15" s="106">
        <f t="shared" si="8"/>
        <v>4651.237000000001</v>
      </c>
      <c r="AU15" s="117"/>
      <c r="AV15" s="108"/>
      <c r="AW15" s="109">
        <f t="shared" si="10"/>
        <v>15</v>
      </c>
      <c r="AX15" s="109">
        <f t="shared" si="11"/>
        <v>5894.7962000000007</v>
      </c>
      <c r="AY15" s="110">
        <f t="shared" si="12"/>
        <v>5894.7962000000007</v>
      </c>
      <c r="AZ15" s="110">
        <f>IFERROR(+LOOKUP(AY15,[13]TARIFAS!$A$4:$B$14,[13]TARIFAS!$A$4:$A$14),0)</f>
        <v>5081.41</v>
      </c>
      <c r="BA15" s="110">
        <f t="shared" si="13"/>
        <v>813.38620000000083</v>
      </c>
      <c r="BB15" s="110">
        <f>IFERROR(+LOOKUP(AY15,[13]TARIFAS!$A$4:$B$14,[13]TARIFAS!$D$4:$D$14),0)</f>
        <v>21.36</v>
      </c>
      <c r="BC15" s="110">
        <f t="shared" si="14"/>
        <v>173.73929232000017</v>
      </c>
      <c r="BD15" s="110">
        <f>IFERROR(+LOOKUP(AY15,[13]TARIFAS!$A$4:$B$14,[13]TARIFAS!$C$4:$C$14),0)</f>
        <v>538.20000000000005</v>
      </c>
      <c r="BE15" s="110">
        <f t="shared" si="15"/>
        <v>711.94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6572.35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 t="shared" si="9"/>
        <v>197.1705</v>
      </c>
      <c r="T16" s="101" t="s">
        <v>37</v>
      </c>
      <c r="U16" s="102">
        <v>1712</v>
      </c>
      <c r="V16" s="104">
        <f t="shared" si="2"/>
        <v>603.4905</v>
      </c>
      <c r="W16" s="101"/>
      <c r="X16" s="102"/>
      <c r="Y16" s="104"/>
      <c r="Z16" s="104">
        <f t="shared" si="3"/>
        <v>7628.2755000000006</v>
      </c>
      <c r="AA16" s="101" t="s">
        <v>39</v>
      </c>
      <c r="AB16" s="102">
        <v>1431</v>
      </c>
      <c r="AC16" s="104">
        <f t="shared" si="4"/>
        <v>624.3732500000001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 t="shared" si="5"/>
        <v>1082.21</v>
      </c>
      <c r="AJ16" s="101" t="s">
        <v>39</v>
      </c>
      <c r="AK16" s="105" t="s">
        <v>42</v>
      </c>
      <c r="AL16" s="103">
        <f t="shared" si="16"/>
        <v>65.723500000000001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1431</v>
      </c>
      <c r="AR16" s="103">
        <v>0</v>
      </c>
      <c r="AS16" s="104">
        <f t="shared" si="7"/>
        <v>2183.3067500000002</v>
      </c>
      <c r="AT16" s="106">
        <f t="shared" si="8"/>
        <v>5444.96875</v>
      </c>
      <c r="AU16" s="113"/>
      <c r="AV16" s="108"/>
      <c r="AW16" s="109">
        <f t="shared" si="10"/>
        <v>15</v>
      </c>
      <c r="AX16" s="109">
        <f t="shared" si="11"/>
        <v>7628.2755000000006</v>
      </c>
      <c r="AY16" s="110">
        <f t="shared" si="12"/>
        <v>7628.2755000000006</v>
      </c>
      <c r="AZ16" s="110">
        <f>IFERROR(+LOOKUP(AY16,[13]TARIFAS!$A$4:$B$14,[13]TARIFAS!$A$4:$A$14),0)</f>
        <v>5081.41</v>
      </c>
      <c r="BA16" s="110">
        <f t="shared" si="13"/>
        <v>2546.8655000000008</v>
      </c>
      <c r="BB16" s="110">
        <f>IFERROR(+LOOKUP(AY16,[13]TARIFAS!$A$4:$B$14,[13]TARIFAS!$D$4:$D$14),0)</f>
        <v>21.36</v>
      </c>
      <c r="BC16" s="110">
        <f t="shared" si="14"/>
        <v>544.01047080000023</v>
      </c>
      <c r="BD16" s="110">
        <f>IFERROR(+LOOKUP(AY16,[13]TARIFAS!$A$4:$B$14,[13]TARIFAS!$C$4:$C$14),0)</f>
        <v>538.20000000000005</v>
      </c>
      <c r="BE16" s="110">
        <f t="shared" si="15"/>
        <v>1082.21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6572.35</v>
      </c>
      <c r="L17" s="101" t="s">
        <v>37</v>
      </c>
      <c r="M17" s="102">
        <v>1311</v>
      </c>
      <c r="N17" s="103">
        <v>100.94</v>
      </c>
      <c r="O17" s="101" t="s">
        <v>37</v>
      </c>
      <c r="P17" s="102">
        <v>1713</v>
      </c>
      <c r="Q17" s="101">
        <v>351.5</v>
      </c>
      <c r="R17" s="103">
        <v>406.32</v>
      </c>
      <c r="S17" s="103">
        <f t="shared" si="9"/>
        <v>197.1705</v>
      </c>
      <c r="T17" s="101" t="s">
        <v>37</v>
      </c>
      <c r="U17" s="102">
        <v>1712</v>
      </c>
      <c r="V17" s="104">
        <f t="shared" si="2"/>
        <v>603.4905</v>
      </c>
      <c r="W17" s="101"/>
      <c r="X17" s="102"/>
      <c r="Y17" s="104"/>
      <c r="Z17" s="104">
        <f t="shared" si="3"/>
        <v>7628.2804999999998</v>
      </c>
      <c r="AA17" s="101" t="s">
        <v>39</v>
      </c>
      <c r="AB17" s="102">
        <v>1431</v>
      </c>
      <c r="AC17" s="104">
        <v>624.37</v>
      </c>
      <c r="AD17" s="101" t="s">
        <v>39</v>
      </c>
      <c r="AE17" s="105" t="s">
        <v>40</v>
      </c>
      <c r="AF17" s="103">
        <v>1537</v>
      </c>
      <c r="AG17" s="101" t="s">
        <v>39</v>
      </c>
      <c r="AH17" s="105" t="s">
        <v>41</v>
      </c>
      <c r="AI17" s="103">
        <f t="shared" si="5"/>
        <v>1082.21</v>
      </c>
      <c r="AJ17" s="101" t="s">
        <v>39</v>
      </c>
      <c r="AK17" s="105" t="s">
        <v>42</v>
      </c>
      <c r="AL17" s="103">
        <f t="shared" si="16"/>
        <v>65.723500000000001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1431</v>
      </c>
      <c r="AR17" s="103">
        <v>0</v>
      </c>
      <c r="AS17" s="104">
        <f t="shared" si="7"/>
        <v>3309.3035</v>
      </c>
      <c r="AT17" s="106">
        <f t="shared" si="8"/>
        <v>4318.9769999999999</v>
      </c>
      <c r="AU17" s="113"/>
      <c r="AV17" s="108"/>
      <c r="AW17" s="109">
        <f t="shared" si="10"/>
        <v>15</v>
      </c>
      <c r="AX17" s="109">
        <f t="shared" si="11"/>
        <v>7628.2804999999998</v>
      </c>
      <c r="AY17" s="110">
        <f t="shared" si="12"/>
        <v>7628.2804999999998</v>
      </c>
      <c r="AZ17" s="110">
        <f>IFERROR(+LOOKUP(AY17,[13]TARIFAS!$A$4:$B$14,[13]TARIFAS!$A$4:$A$14),0)</f>
        <v>5081.41</v>
      </c>
      <c r="BA17" s="110">
        <f t="shared" si="13"/>
        <v>2546.8705</v>
      </c>
      <c r="BB17" s="110">
        <f>IFERROR(+LOOKUP(AY17,[13]TARIFAS!$A$4:$B$14,[13]TARIFAS!$D$4:$D$14),0)</f>
        <v>21.36</v>
      </c>
      <c r="BC17" s="110">
        <f t="shared" si="14"/>
        <v>544.01153879999993</v>
      </c>
      <c r="BD17" s="110">
        <f>IFERROR(+LOOKUP(AY17,[13]TARIFAS!$A$4:$B$14,[13]TARIFAS!$C$4:$C$14),0)</f>
        <v>538.20000000000005</v>
      </c>
      <c r="BE17" s="110">
        <f t="shared" si="15"/>
        <v>1082.21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7713.23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f t="shared" si="9"/>
        <v>231.39689999999999</v>
      </c>
      <c r="T18" s="101" t="s">
        <v>37</v>
      </c>
      <c r="U18" s="102">
        <v>1712</v>
      </c>
      <c r="V18" s="104">
        <f t="shared" si="2"/>
        <v>649.83690000000001</v>
      </c>
      <c r="W18" s="101"/>
      <c r="X18" s="102"/>
      <c r="Y18" s="104"/>
      <c r="Z18" s="104">
        <f t="shared" si="3"/>
        <v>8746.0918999999994</v>
      </c>
      <c r="AA18" s="101" t="s">
        <v>39</v>
      </c>
      <c r="AB18" s="102">
        <v>1431</v>
      </c>
      <c r="AC18" s="104">
        <f t="shared" si="4"/>
        <v>732.75684999999999</v>
      </c>
      <c r="AD18" s="101" t="s">
        <v>39</v>
      </c>
      <c r="AE18" s="105" t="s">
        <v>40</v>
      </c>
      <c r="AF18" s="104">
        <f>523.61+10.13+3666.74+151.2</f>
        <v>4351.6799999999994</v>
      </c>
      <c r="AG18" s="101" t="s">
        <v>39</v>
      </c>
      <c r="AH18" s="105" t="s">
        <v>41</v>
      </c>
      <c r="AI18" s="103">
        <f t="shared" si="5"/>
        <v>1320.98</v>
      </c>
      <c r="AJ18" s="101" t="s">
        <v>39</v>
      </c>
      <c r="AK18" s="105" t="s">
        <v>42</v>
      </c>
      <c r="AL18" s="103">
        <f t="shared" si="16"/>
        <v>77.132300000000001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1431</v>
      </c>
      <c r="AR18" s="103">
        <v>0</v>
      </c>
      <c r="AS18" s="104">
        <f t="shared" si="7"/>
        <v>6482.5491499999998</v>
      </c>
      <c r="AT18" s="106">
        <f t="shared" si="8"/>
        <v>2263.5427499999996</v>
      </c>
      <c r="AU18" s="113"/>
      <c r="AV18" s="108"/>
      <c r="AW18" s="109">
        <f t="shared" si="10"/>
        <v>15</v>
      </c>
      <c r="AX18" s="109">
        <f t="shared" si="11"/>
        <v>8746.0918999999994</v>
      </c>
      <c r="AY18" s="110">
        <f t="shared" si="12"/>
        <v>8746.0918999999994</v>
      </c>
      <c r="AZ18" s="110">
        <f>IFERROR(+LOOKUP(AY18,[13]TARIFAS!$A$4:$B$14,[13]TARIFAS!$A$4:$A$14),0)</f>
        <v>5081.41</v>
      </c>
      <c r="BA18" s="110">
        <f t="shared" si="13"/>
        <v>3664.6818999999996</v>
      </c>
      <c r="BB18" s="110">
        <f>IFERROR(+LOOKUP(AY18,[13]TARIFAS!$A$4:$B$14,[13]TARIFAS!$D$4:$D$14),0)</f>
        <v>21.36</v>
      </c>
      <c r="BC18" s="110">
        <f t="shared" si="14"/>
        <v>782.77605383999992</v>
      </c>
      <c r="BD18" s="110">
        <f>IFERROR(+LOOKUP(AY18,[13]TARIFAS!$A$4:$B$14,[13]TARIFAS!$C$4:$C$14),0)</f>
        <v>538.20000000000005</v>
      </c>
      <c r="BE18" s="110">
        <f t="shared" si="15"/>
        <v>1320.98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v>6572.35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f t="shared" si="9"/>
        <v>197.1705</v>
      </c>
      <c r="T19" s="101" t="s">
        <v>37</v>
      </c>
      <c r="U19" s="102">
        <v>1712</v>
      </c>
      <c r="V19" s="104">
        <f t="shared" si="2"/>
        <v>603.4905</v>
      </c>
      <c r="W19" s="101"/>
      <c r="X19" s="102"/>
      <c r="Y19" s="104"/>
      <c r="Z19" s="104">
        <f t="shared" si="3"/>
        <v>7594.6305000000002</v>
      </c>
      <c r="AA19" s="101" t="s">
        <v>39</v>
      </c>
      <c r="AB19" s="102">
        <v>1431</v>
      </c>
      <c r="AC19" s="104">
        <f t="shared" si="4"/>
        <v>624.3732500000001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41</v>
      </c>
      <c r="AI19" s="103">
        <f t="shared" si="5"/>
        <v>1075.02</v>
      </c>
      <c r="AJ19" s="101" t="s">
        <v>39</v>
      </c>
      <c r="AK19" s="105" t="s">
        <v>42</v>
      </c>
      <c r="AL19" s="103">
        <f t="shared" si="16"/>
        <v>65.723500000000001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1431</v>
      </c>
      <c r="AR19" s="103">
        <v>0</v>
      </c>
      <c r="AS19" s="104">
        <f t="shared" si="7"/>
        <v>2167.1167500000001</v>
      </c>
      <c r="AT19" s="106">
        <f t="shared" si="8"/>
        <v>5427.5137500000001</v>
      </c>
      <c r="AU19" s="113"/>
      <c r="AV19" s="108"/>
      <c r="AW19" s="109">
        <f t="shared" si="10"/>
        <v>15</v>
      </c>
      <c r="AX19" s="109">
        <f t="shared" si="11"/>
        <v>7594.6305000000002</v>
      </c>
      <c r="AY19" s="110">
        <f t="shared" si="12"/>
        <v>7594.6305000000002</v>
      </c>
      <c r="AZ19" s="110">
        <f>IFERROR(+LOOKUP(AY19,[13]TARIFAS!$A$4:$B$14,[13]TARIFAS!$A$4:$A$14),0)</f>
        <v>5081.41</v>
      </c>
      <c r="BA19" s="110">
        <f t="shared" si="13"/>
        <v>2513.2205000000004</v>
      </c>
      <c r="BB19" s="110">
        <f>IFERROR(+LOOKUP(AY19,[13]TARIFAS!$A$4:$B$14,[13]TARIFAS!$D$4:$D$14),0)</f>
        <v>21.36</v>
      </c>
      <c r="BC19" s="110">
        <f t="shared" si="14"/>
        <v>536.82389880000005</v>
      </c>
      <c r="BD19" s="110">
        <f>IFERROR(+LOOKUP(AY19,[13]TARIFAS!$A$4:$B$14,[13]TARIFAS!$C$4:$C$14),0)</f>
        <v>538.20000000000005</v>
      </c>
      <c r="BE19" s="110">
        <f t="shared" si="15"/>
        <v>1075.02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5414.82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f t="shared" si="9"/>
        <v>162.44459999999998</v>
      </c>
      <c r="T20" s="101" t="s">
        <v>37</v>
      </c>
      <c r="U20" s="102">
        <v>1712</v>
      </c>
      <c r="V20" s="104">
        <f t="shared" si="2"/>
        <v>541.04459999999995</v>
      </c>
      <c r="W20" s="101"/>
      <c r="X20" s="102"/>
      <c r="Y20" s="104"/>
      <c r="Z20" s="104">
        <f t="shared" si="3"/>
        <v>6234.5945999999994</v>
      </c>
      <c r="AA20" s="101" t="s">
        <v>39</v>
      </c>
      <c r="AB20" s="102">
        <v>1431</v>
      </c>
      <c r="AC20" s="104">
        <f t="shared" si="4"/>
        <v>514.40789999999993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41</v>
      </c>
      <c r="AI20" s="103">
        <f t="shared" si="5"/>
        <v>784.52</v>
      </c>
      <c r="AJ20" s="101" t="s">
        <v>39</v>
      </c>
      <c r="AK20" s="105" t="s">
        <v>42</v>
      </c>
      <c r="AL20" s="103">
        <f t="shared" si="16"/>
        <v>54.148199999999996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1431</v>
      </c>
      <c r="AR20" s="103">
        <v>0</v>
      </c>
      <c r="AS20" s="104">
        <f t="shared" si="7"/>
        <v>1353.0761</v>
      </c>
      <c r="AT20" s="106">
        <f t="shared" si="8"/>
        <v>4881.5184999999992</v>
      </c>
      <c r="AU20" s="113"/>
      <c r="AV20" s="108"/>
      <c r="AW20" s="109">
        <f t="shared" si="10"/>
        <v>15</v>
      </c>
      <c r="AX20" s="109">
        <f t="shared" si="11"/>
        <v>6234.5945999999994</v>
      </c>
      <c r="AY20" s="110">
        <f t="shared" si="12"/>
        <v>6234.5945999999994</v>
      </c>
      <c r="AZ20" s="110">
        <f>IFERROR(+LOOKUP(AY20,[13]TARIFAS!$A$4:$B$14,[13]TARIFAS!$A$4:$A$14),0)</f>
        <v>5081.41</v>
      </c>
      <c r="BA20" s="110">
        <f t="shared" si="13"/>
        <v>1153.1845999999996</v>
      </c>
      <c r="BB20" s="110">
        <f>IFERROR(+LOOKUP(AY20,[13]TARIFAS!$A$4:$B$14,[13]TARIFAS!$D$4:$D$14),0)</f>
        <v>21.36</v>
      </c>
      <c r="BC20" s="110">
        <f t="shared" si="14"/>
        <v>246.32023055999991</v>
      </c>
      <c r="BD20" s="110">
        <f>IFERROR(+LOOKUP(AY20,[13]TARIFAS!$A$4:$B$14,[13]TARIFAS!$C$4:$C$14),0)</f>
        <v>538.20000000000005</v>
      </c>
      <c r="BE20" s="110">
        <f t="shared" si="15"/>
        <v>784.52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v>6572.35</v>
      </c>
      <c r="L21" s="101" t="s">
        <v>37</v>
      </c>
      <c r="M21" s="102">
        <v>1311</v>
      </c>
      <c r="N21" s="115">
        <v>100.94</v>
      </c>
      <c r="O21" s="101" t="s">
        <v>37</v>
      </c>
      <c r="P21" s="102">
        <v>1713</v>
      </c>
      <c r="Q21" s="115">
        <v>351.5</v>
      </c>
      <c r="R21" s="115">
        <v>406.32</v>
      </c>
      <c r="S21" s="103">
        <f t="shared" si="9"/>
        <v>197.1705</v>
      </c>
      <c r="T21" s="101" t="s">
        <v>37</v>
      </c>
      <c r="U21" s="102">
        <v>1712</v>
      </c>
      <c r="V21" s="104">
        <f t="shared" si="2"/>
        <v>603.4905</v>
      </c>
      <c r="W21" s="101"/>
      <c r="X21" s="102"/>
      <c r="Y21" s="104"/>
      <c r="Z21" s="104">
        <f t="shared" si="3"/>
        <v>7628.2804999999998</v>
      </c>
      <c r="AA21" s="101" t="s">
        <v>39</v>
      </c>
      <c r="AB21" s="102">
        <v>1431</v>
      </c>
      <c r="AC21" s="104">
        <v>624.37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41</v>
      </c>
      <c r="AI21" s="103">
        <f t="shared" si="5"/>
        <v>1082.21</v>
      </c>
      <c r="AJ21" s="101" t="s">
        <v>39</v>
      </c>
      <c r="AK21" s="105" t="s">
        <v>42</v>
      </c>
      <c r="AL21" s="103">
        <v>0</v>
      </c>
      <c r="AM21" s="101" t="s">
        <v>39</v>
      </c>
      <c r="AN21" s="105" t="s">
        <v>43</v>
      </c>
      <c r="AO21" s="115">
        <v>0</v>
      </c>
      <c r="AP21" s="101" t="s">
        <v>39</v>
      </c>
      <c r="AQ21" s="105">
        <v>1431</v>
      </c>
      <c r="AR21" s="103">
        <v>0</v>
      </c>
      <c r="AS21" s="104">
        <f t="shared" si="7"/>
        <v>3111.58</v>
      </c>
      <c r="AT21" s="106">
        <f t="shared" si="8"/>
        <v>4516.7004999999999</v>
      </c>
      <c r="AU21" s="113"/>
      <c r="AV21" s="108"/>
      <c r="AW21" s="109">
        <f t="shared" si="10"/>
        <v>15</v>
      </c>
      <c r="AX21" s="109">
        <f t="shared" si="11"/>
        <v>7628.2804999999998</v>
      </c>
      <c r="AY21" s="110">
        <f t="shared" si="12"/>
        <v>7628.2804999999998</v>
      </c>
      <c r="AZ21" s="110">
        <f>IFERROR(+LOOKUP(AY21,[13]TARIFAS!$A$4:$B$14,[13]TARIFAS!$A$4:$A$14),0)</f>
        <v>5081.41</v>
      </c>
      <c r="BA21" s="110">
        <f t="shared" si="13"/>
        <v>2546.8705</v>
      </c>
      <c r="BB21" s="110">
        <f>IFERROR(+LOOKUP(AY21,[13]TARIFAS!$A$4:$B$14,[13]TARIFAS!$D$4:$D$14),0)</f>
        <v>21.36</v>
      </c>
      <c r="BC21" s="110">
        <f t="shared" si="14"/>
        <v>544.01153879999993</v>
      </c>
      <c r="BD21" s="110">
        <f>IFERROR(+LOOKUP(AY21,[13]TARIFAS!$A$4:$B$14,[13]TARIFAS!$C$4:$C$14),0)</f>
        <v>538.20000000000005</v>
      </c>
      <c r="BE21" s="110">
        <f t="shared" si="15"/>
        <v>1082.21</v>
      </c>
      <c r="BF21" s="110"/>
      <c r="BG21" s="110"/>
      <c r="BH21" s="110"/>
      <c r="BI21" s="109"/>
      <c r="BJ21" s="111" t="s">
        <v>156</v>
      </c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v>6572.35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 t="shared" si="9"/>
        <v>197.1705</v>
      </c>
      <c r="T22" s="101" t="s">
        <v>37</v>
      </c>
      <c r="U22" s="102">
        <v>1712</v>
      </c>
      <c r="V22" s="104">
        <f t="shared" si="2"/>
        <v>603.4905</v>
      </c>
      <c r="W22" s="101"/>
      <c r="X22" s="102"/>
      <c r="Y22" s="104"/>
      <c r="Z22" s="104">
        <f t="shared" si="3"/>
        <v>7594.6305000000002</v>
      </c>
      <c r="AA22" s="101" t="s">
        <v>39</v>
      </c>
      <c r="AB22" s="102">
        <v>1431</v>
      </c>
      <c r="AC22" s="104">
        <f t="shared" si="4"/>
        <v>624.3732500000001</v>
      </c>
      <c r="AD22" s="101" t="s">
        <v>39</v>
      </c>
      <c r="AE22" s="105" t="s">
        <v>40</v>
      </c>
      <c r="AF22" s="115">
        <v>2191</v>
      </c>
      <c r="AG22" s="101" t="s">
        <v>39</v>
      </c>
      <c r="AH22" s="105" t="s">
        <v>41</v>
      </c>
      <c r="AI22" s="103">
        <f t="shared" si="5"/>
        <v>1075.02</v>
      </c>
      <c r="AJ22" s="101" t="s">
        <v>39</v>
      </c>
      <c r="AK22" s="105" t="s">
        <v>42</v>
      </c>
      <c r="AL22" s="103">
        <f>(K22*1%)</f>
        <v>65.723500000000001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1431</v>
      </c>
      <c r="AR22" s="103">
        <v>0</v>
      </c>
      <c r="AS22" s="104">
        <f t="shared" si="7"/>
        <v>3956.1167500000001</v>
      </c>
      <c r="AT22" s="106">
        <f t="shared" si="8"/>
        <v>3638.5137500000001</v>
      </c>
      <c r="AU22" s="113"/>
      <c r="AV22" s="108"/>
      <c r="AW22" s="109">
        <f t="shared" si="10"/>
        <v>15</v>
      </c>
      <c r="AX22" s="109">
        <f t="shared" si="11"/>
        <v>7594.6305000000002</v>
      </c>
      <c r="AY22" s="110">
        <f t="shared" si="12"/>
        <v>7594.6305000000002</v>
      </c>
      <c r="AZ22" s="110">
        <f>IFERROR(+LOOKUP(AY22,[13]TARIFAS!$A$4:$B$14,[13]TARIFAS!$A$4:$A$14),0)</f>
        <v>5081.41</v>
      </c>
      <c r="BA22" s="110">
        <f t="shared" si="13"/>
        <v>2513.2205000000004</v>
      </c>
      <c r="BB22" s="110">
        <f>IFERROR(+LOOKUP(AY22,[13]TARIFAS!$A$4:$B$14,[13]TARIFAS!$D$4:$D$14),0)</f>
        <v>21.36</v>
      </c>
      <c r="BC22" s="110">
        <f t="shared" si="14"/>
        <v>536.82389880000005</v>
      </c>
      <c r="BD22" s="110">
        <f>IFERROR(+LOOKUP(AY22,[13]TARIFAS!$A$4:$B$14,[13]TARIFAS!$C$4:$C$14),0)</f>
        <v>538.20000000000005</v>
      </c>
      <c r="BE22" s="110">
        <f t="shared" si="15"/>
        <v>1075.02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v>6572.35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 t="shared" si="9"/>
        <v>197.1705</v>
      </c>
      <c r="T23" s="101" t="s">
        <v>37</v>
      </c>
      <c r="U23" s="102">
        <v>1712</v>
      </c>
      <c r="V23" s="104">
        <f t="shared" si="2"/>
        <v>603.4905</v>
      </c>
      <c r="W23" s="101"/>
      <c r="X23" s="102"/>
      <c r="Y23" s="104"/>
      <c r="Z23" s="104">
        <f t="shared" si="3"/>
        <v>7527.3405000000002</v>
      </c>
      <c r="AA23" s="101" t="s">
        <v>39</v>
      </c>
      <c r="AB23" s="102">
        <v>1431</v>
      </c>
      <c r="AC23" s="104">
        <f t="shared" si="4"/>
        <v>624.3732500000001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41</v>
      </c>
      <c r="AI23" s="103">
        <f t="shared" si="5"/>
        <v>1060.6500000000001</v>
      </c>
      <c r="AJ23" s="101" t="s">
        <v>39</v>
      </c>
      <c r="AK23" s="105" t="s">
        <v>42</v>
      </c>
      <c r="AL23" s="103">
        <f>(K23*1%)</f>
        <v>65.723500000000001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1431</v>
      </c>
      <c r="AR23" s="103">
        <v>0</v>
      </c>
      <c r="AS23" s="104">
        <f t="shared" si="7"/>
        <v>1750.7467500000002</v>
      </c>
      <c r="AT23" s="106">
        <f t="shared" si="8"/>
        <v>5776.59375</v>
      </c>
      <c r="AU23" s="113"/>
      <c r="AV23" s="108"/>
      <c r="AW23" s="109">
        <f t="shared" si="10"/>
        <v>15</v>
      </c>
      <c r="AX23" s="109">
        <f t="shared" si="11"/>
        <v>7527.3405000000002</v>
      </c>
      <c r="AY23" s="110">
        <f t="shared" si="12"/>
        <v>7527.3405000000002</v>
      </c>
      <c r="AZ23" s="110">
        <f>IFERROR(+LOOKUP(AY23,[13]TARIFAS!$A$4:$B$14,[13]TARIFAS!$A$4:$A$14),0)</f>
        <v>5081.41</v>
      </c>
      <c r="BA23" s="110">
        <f t="shared" si="13"/>
        <v>2445.9305000000004</v>
      </c>
      <c r="BB23" s="110">
        <f>IFERROR(+LOOKUP(AY23,[13]TARIFAS!$A$4:$B$14,[13]TARIFAS!$D$4:$D$14),0)</f>
        <v>21.36</v>
      </c>
      <c r="BC23" s="110">
        <f t="shared" si="14"/>
        <v>522.45075480000003</v>
      </c>
      <c r="BD23" s="110">
        <f>IFERROR(+LOOKUP(AY23,[13]TARIFAS!$A$4:$B$14,[13]TARIFAS!$C$4:$C$14),0)</f>
        <v>538.20000000000005</v>
      </c>
      <c r="BE23" s="110">
        <f t="shared" si="15"/>
        <v>1060.6500000000001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v>5063.04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f t="shared" si="9"/>
        <v>151.8912</v>
      </c>
      <c r="T24" s="101" t="s">
        <v>37</v>
      </c>
      <c r="U24" s="102">
        <v>1712</v>
      </c>
      <c r="V24" s="104">
        <f t="shared" si="2"/>
        <v>522.91120000000001</v>
      </c>
      <c r="W24" s="101"/>
      <c r="X24" s="102"/>
      <c r="Y24" s="104"/>
      <c r="Z24" s="104">
        <f t="shared" si="3"/>
        <v>5793.8611999999994</v>
      </c>
      <c r="AA24" s="101" t="s">
        <v>39</v>
      </c>
      <c r="AB24" s="102">
        <v>1431</v>
      </c>
      <c r="AC24" s="104">
        <f t="shared" si="4"/>
        <v>480.98880000000003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 t="shared" si="5"/>
        <v>690.38</v>
      </c>
      <c r="AJ24" s="101" t="s">
        <v>39</v>
      </c>
      <c r="AK24" s="105" t="s">
        <v>42</v>
      </c>
      <c r="AL24" s="103">
        <f>(K24*1%)</f>
        <v>50.630400000000002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1431</v>
      </c>
      <c r="AR24" s="103">
        <v>0</v>
      </c>
      <c r="AS24" s="104">
        <f t="shared" si="7"/>
        <v>1221.9992</v>
      </c>
      <c r="AT24" s="106">
        <f t="shared" si="8"/>
        <v>4571.8619999999992</v>
      </c>
      <c r="AU24" s="113"/>
      <c r="AV24" s="108"/>
      <c r="AW24" s="109">
        <f t="shared" si="10"/>
        <v>15</v>
      </c>
      <c r="AX24" s="109">
        <f t="shared" si="11"/>
        <v>5793.8611999999994</v>
      </c>
      <c r="AY24" s="110">
        <f t="shared" si="12"/>
        <v>5793.8611999999994</v>
      </c>
      <c r="AZ24" s="110">
        <f>IFERROR(+LOOKUP(AY24,[13]TARIFAS!$A$4:$B$14,[13]TARIFAS!$A$4:$A$14),0)</f>
        <v>5081.41</v>
      </c>
      <c r="BA24" s="110">
        <f t="shared" si="13"/>
        <v>712.45119999999952</v>
      </c>
      <c r="BB24" s="110">
        <f>IFERROR(+LOOKUP(AY24,[13]TARIFAS!$A$4:$B$14,[13]TARIFAS!$D$4:$D$14),0)</f>
        <v>21.36</v>
      </c>
      <c r="BC24" s="110">
        <f t="shared" si="14"/>
        <v>152.17957631999988</v>
      </c>
      <c r="BD24" s="110">
        <f>IFERROR(+LOOKUP(AY24,[13]TARIFAS!$A$4:$B$14,[13]TARIFAS!$C$4:$C$14),0)</f>
        <v>538.20000000000005</v>
      </c>
      <c r="BE24" s="110">
        <f t="shared" si="15"/>
        <v>690.38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v>6572.35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f t="shared" si="9"/>
        <v>197.1705</v>
      </c>
      <c r="T25" s="101" t="s">
        <v>37</v>
      </c>
      <c r="U25" s="102">
        <v>1712</v>
      </c>
      <c r="V25" s="104">
        <f t="shared" si="2"/>
        <v>603.4905</v>
      </c>
      <c r="W25" s="101"/>
      <c r="X25" s="102"/>
      <c r="Y25" s="104"/>
      <c r="Z25" s="104">
        <f t="shared" si="3"/>
        <v>7527.3405000000002</v>
      </c>
      <c r="AA25" s="101" t="s">
        <v>39</v>
      </c>
      <c r="AB25" s="102">
        <v>1431</v>
      </c>
      <c r="AC25" s="104">
        <f t="shared" si="4"/>
        <v>624.3732500000001</v>
      </c>
      <c r="AD25" s="101" t="s">
        <v>39</v>
      </c>
      <c r="AE25" s="105" t="s">
        <v>40</v>
      </c>
      <c r="AF25" s="115">
        <v>0</v>
      </c>
      <c r="AG25" s="101" t="s">
        <v>39</v>
      </c>
      <c r="AH25" s="105" t="s">
        <v>41</v>
      </c>
      <c r="AI25" s="103">
        <f t="shared" si="5"/>
        <v>1060.6500000000001</v>
      </c>
      <c r="AJ25" s="101" t="s">
        <v>39</v>
      </c>
      <c r="AK25" s="105" t="s">
        <v>42</v>
      </c>
      <c r="AL25" s="103">
        <f>(K25*1%)</f>
        <v>65.723500000000001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1431</v>
      </c>
      <c r="AR25" s="103">
        <v>0</v>
      </c>
      <c r="AS25" s="104">
        <f t="shared" si="7"/>
        <v>1750.7467500000002</v>
      </c>
      <c r="AT25" s="106">
        <f t="shared" si="8"/>
        <v>5776.59375</v>
      </c>
      <c r="AU25" s="113"/>
      <c r="AV25" s="108"/>
      <c r="AW25" s="109">
        <f t="shared" si="10"/>
        <v>15</v>
      </c>
      <c r="AX25" s="109">
        <f t="shared" si="11"/>
        <v>7527.3405000000002</v>
      </c>
      <c r="AY25" s="110">
        <f t="shared" si="12"/>
        <v>7527.3405000000002</v>
      </c>
      <c r="AZ25" s="110">
        <f>IFERROR(+LOOKUP(AY25,[13]TARIFAS!$A$4:$B$14,[13]TARIFAS!$A$4:$A$14),0)</f>
        <v>5081.41</v>
      </c>
      <c r="BA25" s="110">
        <f t="shared" si="13"/>
        <v>2445.9305000000004</v>
      </c>
      <c r="BB25" s="110">
        <f>IFERROR(+LOOKUP(AY25,[13]TARIFAS!$A$4:$B$14,[13]TARIFAS!$D$4:$D$14),0)</f>
        <v>21.36</v>
      </c>
      <c r="BC25" s="110">
        <f t="shared" si="14"/>
        <v>522.45075480000003</v>
      </c>
      <c r="BD25" s="110">
        <f>IFERROR(+LOOKUP(AY25,[13]TARIFAS!$A$4:$B$14,[13]TARIFAS!$C$4:$C$14),0)</f>
        <v>538.20000000000005</v>
      </c>
      <c r="BE25" s="110">
        <f t="shared" si="15"/>
        <v>1060.6500000000001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v>5063.04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f t="shared" si="9"/>
        <v>151.8912</v>
      </c>
      <c r="T26" s="101" t="s">
        <v>37</v>
      </c>
      <c r="U26" s="102">
        <v>1712</v>
      </c>
      <c r="V26" s="104">
        <f t="shared" si="2"/>
        <v>522.91120000000001</v>
      </c>
      <c r="W26" s="101"/>
      <c r="X26" s="102"/>
      <c r="Y26" s="104"/>
      <c r="Z26" s="104">
        <f t="shared" si="3"/>
        <v>5793.8611999999994</v>
      </c>
      <c r="AA26" s="101" t="s">
        <v>39</v>
      </c>
      <c r="AB26" s="102">
        <v>1431</v>
      </c>
      <c r="AC26" s="104">
        <f t="shared" si="4"/>
        <v>480.98880000000003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41</v>
      </c>
      <c r="AI26" s="103">
        <f t="shared" si="5"/>
        <v>690.38</v>
      </c>
      <c r="AJ26" s="101" t="s">
        <v>39</v>
      </c>
      <c r="AK26" s="105" t="s">
        <v>42</v>
      </c>
      <c r="AL26" s="103">
        <f>(K26*1%)</f>
        <v>50.630400000000002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1431</v>
      </c>
      <c r="AR26" s="103">
        <v>0</v>
      </c>
      <c r="AS26" s="104">
        <f t="shared" si="7"/>
        <v>1221.9992</v>
      </c>
      <c r="AT26" s="106">
        <f t="shared" si="8"/>
        <v>4571.8619999999992</v>
      </c>
      <c r="AU26" s="113"/>
      <c r="AV26" s="108"/>
      <c r="AW26" s="109">
        <f t="shared" si="10"/>
        <v>15</v>
      </c>
      <c r="AX26" s="109">
        <f t="shared" si="11"/>
        <v>5793.8611999999994</v>
      </c>
      <c r="AY26" s="110">
        <f t="shared" si="12"/>
        <v>5793.8611999999994</v>
      </c>
      <c r="AZ26" s="110">
        <f>IFERROR(+LOOKUP(AY26,[13]TARIFAS!$A$4:$B$14,[13]TARIFAS!$A$4:$A$14),0)</f>
        <v>5081.41</v>
      </c>
      <c r="BA26" s="110">
        <f t="shared" si="13"/>
        <v>712.45119999999952</v>
      </c>
      <c r="BB26" s="110">
        <f>IFERROR(+LOOKUP(AY26,[13]TARIFAS!$A$4:$B$14,[13]TARIFAS!$D$4:$D$14),0)</f>
        <v>21.36</v>
      </c>
      <c r="BC26" s="110">
        <f t="shared" si="14"/>
        <v>152.17957631999988</v>
      </c>
      <c r="BD26" s="110">
        <f>IFERROR(+LOOKUP(AY26,[13]TARIFAS!$A$4:$B$14,[13]TARIFAS!$C$4:$C$14),0)</f>
        <v>538.20000000000005</v>
      </c>
      <c r="BE26" s="110">
        <f t="shared" si="15"/>
        <v>690.38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1" t="s">
        <v>37</v>
      </c>
      <c r="G27" s="101" t="s">
        <v>38</v>
      </c>
      <c r="H27" s="101">
        <v>15</v>
      </c>
      <c r="I27" s="101">
        <v>1029.4333333333334</v>
      </c>
      <c r="J27" s="160" t="s">
        <v>146</v>
      </c>
      <c r="K27" s="101">
        <v>15441.5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566.5</v>
      </c>
      <c r="R27" s="115">
        <v>835.5</v>
      </c>
      <c r="S27" s="103">
        <f t="shared" si="9"/>
        <v>463.245</v>
      </c>
      <c r="T27" s="101" t="s">
        <v>37</v>
      </c>
      <c r="U27" s="102">
        <v>1712</v>
      </c>
      <c r="V27" s="104">
        <f t="shared" si="2"/>
        <v>1298.7449999999999</v>
      </c>
      <c r="W27" s="101"/>
      <c r="X27" s="102"/>
      <c r="Y27" s="104"/>
      <c r="Z27" s="104">
        <f t="shared" si="3"/>
        <v>17306.744999999999</v>
      </c>
      <c r="AA27" s="101" t="s">
        <v>39</v>
      </c>
      <c r="AB27" s="102">
        <v>1431</v>
      </c>
      <c r="AC27" s="104">
        <f t="shared" si="4"/>
        <v>1466.9425000000001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41</v>
      </c>
      <c r="AI27" s="103">
        <f t="shared" si="5"/>
        <v>3376.71</v>
      </c>
      <c r="AJ27" s="101" t="s">
        <v>39</v>
      </c>
      <c r="AK27" s="105" t="s">
        <v>42</v>
      </c>
      <c r="AL27" s="103">
        <v>0</v>
      </c>
      <c r="AM27" s="101" t="s">
        <v>39</v>
      </c>
      <c r="AN27" s="105" t="s">
        <v>43</v>
      </c>
      <c r="AO27" s="115">
        <v>0</v>
      </c>
      <c r="AP27" s="101" t="s">
        <v>39</v>
      </c>
      <c r="AQ27" s="105">
        <v>1431</v>
      </c>
      <c r="AR27" s="103">
        <v>0</v>
      </c>
      <c r="AS27" s="104">
        <f t="shared" si="7"/>
        <v>4843.6525000000001</v>
      </c>
      <c r="AT27" s="106">
        <f t="shared" si="8"/>
        <v>12463.092499999999</v>
      </c>
      <c r="AU27" s="113"/>
      <c r="AV27" s="108"/>
      <c r="AW27" s="111">
        <f t="shared" si="10"/>
        <v>15</v>
      </c>
      <c r="AX27" s="109">
        <f t="shared" si="11"/>
        <v>17306.745000000003</v>
      </c>
      <c r="AY27" s="119">
        <f>IFERROR(+AX27/AW27,0)*AW27</f>
        <v>17306.745000000003</v>
      </c>
      <c r="AZ27" s="119">
        <f>IFERROR(+LOOKUP(AY27,[13]TARIFAS!$A$4:$B$14,[13]TARIFAS!$A$4:$A$14),0)</f>
        <v>16153.06</v>
      </c>
      <c r="BA27" s="119">
        <f>+AY27-AZ27</f>
        <v>1153.6850000000031</v>
      </c>
      <c r="BB27" s="119">
        <f>IFERROR(+LOOKUP(AY27,[13]TARIFAS!$A$4:$B$14,[13]TARIFAS!$D$4:$D$14),0)</f>
        <v>30</v>
      </c>
      <c r="BC27" s="119">
        <f>(+BA27*BB27)/100</f>
        <v>346.10550000000092</v>
      </c>
      <c r="BD27" s="119">
        <f>IFERROR(+LOOKUP(AY27,[13]TARIFAS!$A$4:$B$14,[13]TARIFAS!$C$4:$C$14),0)</f>
        <v>3030.6</v>
      </c>
      <c r="BE27" s="119">
        <f>ROUND(+BC27+BD27,2)</f>
        <v>3376.71</v>
      </c>
      <c r="BF27" s="119"/>
      <c r="BG27" s="119"/>
      <c r="BH27" s="119"/>
      <c r="BJ27" s="120"/>
    </row>
    <row r="28" spans="1:62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1" t="s">
        <v>37</v>
      </c>
      <c r="G28" s="101" t="s">
        <v>38</v>
      </c>
      <c r="H28" s="101">
        <v>15</v>
      </c>
      <c r="I28" s="101">
        <v>1958.6333333333334</v>
      </c>
      <c r="J28" s="160" t="s">
        <v>148</v>
      </c>
      <c r="K28" s="101">
        <v>29379.5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6">
        <v>808.5</v>
      </c>
      <c r="R28" s="115">
        <v>1144</v>
      </c>
      <c r="S28" s="103">
        <f t="shared" si="9"/>
        <v>881.38499999999999</v>
      </c>
      <c r="T28" s="101" t="s">
        <v>37</v>
      </c>
      <c r="U28" s="102">
        <v>1712</v>
      </c>
      <c r="V28" s="104">
        <f t="shared" si="2"/>
        <v>2025.385</v>
      </c>
      <c r="W28" s="101"/>
      <c r="X28" s="102"/>
      <c r="Y28" s="104"/>
      <c r="Z28" s="104">
        <f t="shared" si="3"/>
        <v>32213.384999999998</v>
      </c>
      <c r="AA28" s="101" t="s">
        <v>39</v>
      </c>
      <c r="AB28" s="102">
        <v>1431</v>
      </c>
      <c r="AC28" s="104">
        <f t="shared" si="4"/>
        <v>2791.0525000000002</v>
      </c>
      <c r="AD28" s="101" t="s">
        <v>39</v>
      </c>
      <c r="AE28" s="105" t="s">
        <v>40</v>
      </c>
      <c r="AF28" s="115">
        <v>4897</v>
      </c>
      <c r="AG28" s="101" t="s">
        <v>39</v>
      </c>
      <c r="AH28" s="105" t="s">
        <v>41</v>
      </c>
      <c r="AI28" s="103">
        <f t="shared" si="5"/>
        <v>7876.11</v>
      </c>
      <c r="AJ28" s="101" t="s">
        <v>39</v>
      </c>
      <c r="AK28" s="105" t="s">
        <v>42</v>
      </c>
      <c r="AL28" s="103">
        <v>0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1431</v>
      </c>
      <c r="AR28" s="103">
        <v>0</v>
      </c>
      <c r="AS28" s="104">
        <f t="shared" si="7"/>
        <v>15564.162499999999</v>
      </c>
      <c r="AT28" s="106">
        <f t="shared" si="8"/>
        <v>16649.2225</v>
      </c>
      <c r="AU28" s="113"/>
      <c r="AV28" s="108"/>
      <c r="AW28" s="109">
        <f t="shared" si="10"/>
        <v>15</v>
      </c>
      <c r="AX28" s="109">
        <f t="shared" si="11"/>
        <v>32213.384999999998</v>
      </c>
      <c r="AY28" s="110">
        <f t="shared" si="12"/>
        <v>32213.384999999995</v>
      </c>
      <c r="AZ28" s="110">
        <f>IFERROR(+LOOKUP(AY28,[13]TARIFAS!$A$4:$B$14,[13]TARIFAS!$A$4:$A$14),0)</f>
        <v>30838.81</v>
      </c>
      <c r="BA28" s="110">
        <f t="shared" si="13"/>
        <v>1374.5749999999935</v>
      </c>
      <c r="BB28" s="110">
        <f>IFERROR(+LOOKUP(AY28,[13]TARIFAS!$A$4:$B$14,[13]TARIFAS!$D$4:$D$14),0)</f>
        <v>32</v>
      </c>
      <c r="BC28" s="110">
        <f t="shared" si="14"/>
        <v>439.86399999999793</v>
      </c>
      <c r="BD28" s="110">
        <f>IFERROR(+LOOKUP(AY28,[13]TARIFAS!$A$4:$B$14,[13]TARIFAS!$C$4:$C$14),0)</f>
        <v>7436.25</v>
      </c>
      <c r="BE28" s="110">
        <f t="shared" si="15"/>
        <v>7876.11</v>
      </c>
      <c r="BF28" s="110"/>
      <c r="BG28" s="110"/>
      <c r="BH28" s="110"/>
      <c r="BI28" s="109"/>
    </row>
    <row r="29" spans="1:62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1" t="s">
        <v>37</v>
      </c>
      <c r="G29" s="101" t="s">
        <v>38</v>
      </c>
      <c r="H29" s="101">
        <v>15</v>
      </c>
      <c r="I29" s="101">
        <v>421.49</v>
      </c>
      <c r="J29" s="160" t="s">
        <v>151</v>
      </c>
      <c r="K29" s="101">
        <v>6572.35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351.5</v>
      </c>
      <c r="R29" s="115">
        <v>406.32</v>
      </c>
      <c r="S29" s="103">
        <f t="shared" si="9"/>
        <v>197.1705</v>
      </c>
      <c r="T29" s="101" t="s">
        <v>37</v>
      </c>
      <c r="U29" s="102">
        <v>1712</v>
      </c>
      <c r="V29" s="104">
        <f t="shared" si="2"/>
        <v>603.4905</v>
      </c>
      <c r="W29" s="101"/>
      <c r="X29" s="102"/>
      <c r="Y29" s="104"/>
      <c r="Z29" s="104">
        <f t="shared" si="3"/>
        <v>7527.3405000000002</v>
      </c>
      <c r="AA29" s="101" t="s">
        <v>39</v>
      </c>
      <c r="AB29" s="102">
        <v>1431</v>
      </c>
      <c r="AC29" s="104">
        <f t="shared" si="4"/>
        <v>624.3732500000001</v>
      </c>
      <c r="AD29" s="101" t="s">
        <v>39</v>
      </c>
      <c r="AE29" s="105" t="s">
        <v>40</v>
      </c>
      <c r="AF29" s="115">
        <v>96.05</v>
      </c>
      <c r="AG29" s="101" t="s">
        <v>39</v>
      </c>
      <c r="AH29" s="105" t="s">
        <v>41</v>
      </c>
      <c r="AI29" s="103">
        <f t="shared" si="5"/>
        <v>1060.6500000000001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1431</v>
      </c>
      <c r="AR29" s="103">
        <v>0</v>
      </c>
      <c r="AS29" s="104">
        <f t="shared" si="7"/>
        <v>1781.0732500000001</v>
      </c>
      <c r="AT29" s="106">
        <f t="shared" si="8"/>
        <v>5746.2672499999999</v>
      </c>
      <c r="AU29" s="113"/>
      <c r="AV29" s="108"/>
      <c r="AW29" s="109">
        <f t="shared" si="10"/>
        <v>15</v>
      </c>
      <c r="AX29" s="109">
        <f t="shared" si="11"/>
        <v>7527.3405000000002</v>
      </c>
      <c r="AY29" s="110">
        <f t="shared" si="12"/>
        <v>7527.3405000000002</v>
      </c>
      <c r="AZ29" s="110">
        <f>IFERROR(+LOOKUP(AY29,[13]TARIFAS!$A$4:$B$14,[13]TARIFAS!$A$4:$A$14),0)</f>
        <v>5081.41</v>
      </c>
      <c r="BA29" s="110">
        <f t="shared" si="13"/>
        <v>2445.9305000000004</v>
      </c>
      <c r="BB29" s="110">
        <f>IFERROR(+LOOKUP(AY29,[13]TARIFAS!$A$4:$B$14,[13]TARIFAS!$D$4:$D$14),0)</f>
        <v>21.36</v>
      </c>
      <c r="BC29" s="110">
        <f t="shared" si="14"/>
        <v>522.45075480000003</v>
      </c>
      <c r="BD29" s="110">
        <f>IFERROR(+LOOKUP(AY29,[13]TARIFAS!$A$4:$B$14,[13]TARIFAS!$C$4:$C$14),0)</f>
        <v>538.20000000000005</v>
      </c>
      <c r="BE29" s="110">
        <f>ROUND(+BC29+BD29,2)</f>
        <v>1060.6500000000001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1" t="s">
        <v>37</v>
      </c>
      <c r="G30" s="101" t="s">
        <v>38</v>
      </c>
      <c r="H30" s="101">
        <v>15</v>
      </c>
      <c r="I30" s="101">
        <v>1029.4333333333334</v>
      </c>
      <c r="J30" s="160" t="s">
        <v>151</v>
      </c>
      <c r="K30" s="101">
        <v>15441.5</v>
      </c>
      <c r="L30" s="101" t="s">
        <v>37</v>
      </c>
      <c r="M30" s="102">
        <v>1311</v>
      </c>
      <c r="N30" s="103">
        <v>67.290000000000006</v>
      </c>
      <c r="O30" s="101" t="s">
        <v>37</v>
      </c>
      <c r="P30" s="102">
        <v>1713</v>
      </c>
      <c r="Q30" s="103">
        <v>566.5</v>
      </c>
      <c r="R30" s="103">
        <v>835.5</v>
      </c>
      <c r="S30" s="103">
        <f t="shared" si="9"/>
        <v>463.245</v>
      </c>
      <c r="T30" s="101" t="s">
        <v>37</v>
      </c>
      <c r="U30" s="102">
        <v>1712</v>
      </c>
      <c r="V30" s="104">
        <f t="shared" si="2"/>
        <v>1298.7449999999999</v>
      </c>
      <c r="W30" s="101"/>
      <c r="X30" s="102"/>
      <c r="Y30" s="104"/>
      <c r="Z30" s="104">
        <f t="shared" si="3"/>
        <v>17374.035</v>
      </c>
      <c r="AA30" s="101" t="s">
        <v>39</v>
      </c>
      <c r="AB30" s="102">
        <v>1431</v>
      </c>
      <c r="AC30" s="104">
        <f t="shared" si="4"/>
        <v>1466.9425000000001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41</v>
      </c>
      <c r="AI30" s="103">
        <f t="shared" si="5"/>
        <v>3396.89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1431</v>
      </c>
      <c r="AR30" s="103">
        <v>0</v>
      </c>
      <c r="AS30" s="104">
        <f t="shared" si="7"/>
        <v>4863.8325000000004</v>
      </c>
      <c r="AT30" s="106">
        <f t="shared" si="8"/>
        <v>12510.202499999999</v>
      </c>
      <c r="AU30" s="113"/>
      <c r="AV30" s="108"/>
      <c r="AW30" s="109">
        <f t="shared" si="10"/>
        <v>15</v>
      </c>
      <c r="AX30" s="109">
        <f t="shared" si="11"/>
        <v>17374.035000000003</v>
      </c>
      <c r="AY30" s="110">
        <f t="shared" si="12"/>
        <v>17374.035000000003</v>
      </c>
      <c r="AZ30" s="110">
        <f>IFERROR(+LOOKUP(AY30,[13]TARIFAS!$A$4:$B$14,[13]TARIFAS!$A$4:$A$14),0)</f>
        <v>16153.06</v>
      </c>
      <c r="BA30" s="110">
        <f t="shared" si="13"/>
        <v>1220.975000000004</v>
      </c>
      <c r="BB30" s="110">
        <f>IFERROR(+LOOKUP(AY30,[13]TARIFAS!$A$4:$B$14,[13]TARIFAS!$D$4:$D$14),0)</f>
        <v>30</v>
      </c>
      <c r="BC30" s="110">
        <f t="shared" si="14"/>
        <v>366.29250000000116</v>
      </c>
      <c r="BD30" s="110">
        <f>IFERROR(+LOOKUP(AY30,[13]TARIFAS!$A$4:$B$14,[13]TARIFAS!$C$4:$C$14),0)</f>
        <v>3030.6</v>
      </c>
      <c r="BE30" s="110">
        <f t="shared" si="15"/>
        <v>3396.89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325.036</v>
      </c>
      <c r="J31" s="163" t="s">
        <v>150</v>
      </c>
      <c r="K31" s="101">
        <v>5063.04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5">
        <v>207.91</v>
      </c>
      <c r="R31" s="115">
        <v>371.02</v>
      </c>
      <c r="S31" s="103">
        <f t="shared" si="9"/>
        <v>151.8912</v>
      </c>
      <c r="T31" s="101" t="s">
        <v>37</v>
      </c>
      <c r="U31" s="102">
        <v>1712</v>
      </c>
      <c r="V31" s="104">
        <f t="shared" si="2"/>
        <v>522.91120000000001</v>
      </c>
      <c r="W31" s="101"/>
      <c r="X31" s="102"/>
      <c r="Y31" s="104"/>
      <c r="Z31" s="104">
        <f t="shared" si="3"/>
        <v>5793.8611999999994</v>
      </c>
      <c r="AA31" s="101" t="s">
        <v>39</v>
      </c>
      <c r="AB31" s="102">
        <v>1431</v>
      </c>
      <c r="AC31" s="104">
        <f t="shared" si="4"/>
        <v>480.98880000000003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 t="shared" si="5"/>
        <v>690.38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1431</v>
      </c>
      <c r="AR31" s="103">
        <v>0</v>
      </c>
      <c r="AS31" s="104">
        <f t="shared" si="7"/>
        <v>1171.3688</v>
      </c>
      <c r="AT31" s="106">
        <f t="shared" si="8"/>
        <v>4622.4923999999992</v>
      </c>
      <c r="AU31" s="113"/>
      <c r="AV31" s="108"/>
      <c r="AW31" s="109">
        <f>+H31</f>
        <v>15</v>
      </c>
      <c r="AX31" s="109">
        <f>+K31+S31+N31+Q31+R31+Y31</f>
        <v>5793.8611999999994</v>
      </c>
      <c r="AY31" s="110">
        <f>IFERROR(+AX31/AW31,0)*AW31</f>
        <v>5793.8611999999994</v>
      </c>
      <c r="AZ31" s="110">
        <f>IFERROR(+LOOKUP(AY31,[13]TARIFAS!$A$4:$B$14,[13]TARIFAS!$A$4:$A$14),0)</f>
        <v>5081.41</v>
      </c>
      <c r="BA31" s="110">
        <f>+AY31-AZ31</f>
        <v>712.45119999999952</v>
      </c>
      <c r="BB31" s="110">
        <f>IFERROR(+LOOKUP(AY31,[13]TARIFAS!$A$4:$B$14,[13]TARIFAS!$D$4:$D$14),0)</f>
        <v>21.36</v>
      </c>
      <c r="BC31" s="110">
        <f>(+BA31*BB31)/100</f>
        <v>152.17957631999988</v>
      </c>
      <c r="BD31" s="110">
        <f>IFERROR(+LOOKUP(AY31,[13]TARIFAS!$A$4:$B$14,[13]TARIFAS!$C$4:$C$14),0)</f>
        <v>538.20000000000005</v>
      </c>
      <c r="BE31" s="110">
        <f>ROUND(+BC31+BD31,2)</f>
        <v>690.38</v>
      </c>
      <c r="BF31" s="110"/>
      <c r="BG31" s="110"/>
      <c r="BH31" s="110"/>
      <c r="BI31" s="109"/>
    </row>
    <row r="32" spans="1:62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1" t="s">
        <v>37</v>
      </c>
      <c r="G32" s="101" t="s">
        <v>38</v>
      </c>
      <c r="H32" s="101">
        <v>11</v>
      </c>
      <c r="I32" s="101">
        <v>421.49</v>
      </c>
      <c r="J32" s="163" t="s">
        <v>147</v>
      </c>
      <c r="K32" s="101">
        <v>6572.35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6">
        <v>351.5</v>
      </c>
      <c r="R32" s="115">
        <v>406.32</v>
      </c>
      <c r="S32" s="103">
        <f t="shared" si="9"/>
        <v>197.1705</v>
      </c>
      <c r="T32" s="101" t="s">
        <v>37</v>
      </c>
      <c r="U32" s="102">
        <v>1712</v>
      </c>
      <c r="V32" s="104">
        <f t="shared" si="2"/>
        <v>603.4905</v>
      </c>
      <c r="W32" s="101"/>
      <c r="X32" s="102"/>
      <c r="Y32" s="104"/>
      <c r="Z32" s="104">
        <f t="shared" si="3"/>
        <v>7527.3405000000002</v>
      </c>
      <c r="AA32" s="101" t="s">
        <v>39</v>
      </c>
      <c r="AB32" s="102">
        <v>1431</v>
      </c>
      <c r="AC32" s="104">
        <f t="shared" si="4"/>
        <v>624.3732500000001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 t="shared" si="5"/>
        <v>1060.6500000000001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1431</v>
      </c>
      <c r="AR32" s="103">
        <v>0</v>
      </c>
      <c r="AS32" s="104">
        <f t="shared" si="7"/>
        <v>1685.0232500000002</v>
      </c>
      <c r="AT32" s="106">
        <f t="shared" si="8"/>
        <v>5842.3172500000001</v>
      </c>
      <c r="AU32" s="113"/>
      <c r="AV32" s="108"/>
      <c r="AW32" s="109">
        <f t="shared" si="10"/>
        <v>11</v>
      </c>
      <c r="AX32" s="109">
        <f t="shared" si="11"/>
        <v>7527.3405000000002</v>
      </c>
      <c r="AY32" s="110">
        <f t="shared" si="12"/>
        <v>7527.3405000000002</v>
      </c>
      <c r="AZ32" s="110">
        <f>IFERROR(+LOOKUP(AY32,[13]TARIFAS!$A$4:$B$14,[13]TARIFAS!$A$4:$A$14),0)</f>
        <v>5081.41</v>
      </c>
      <c r="BA32" s="110">
        <f t="shared" si="13"/>
        <v>2445.9305000000004</v>
      </c>
      <c r="BB32" s="110">
        <f>IFERROR(+LOOKUP(AY32,[13]TARIFAS!$A$4:$B$14,[13]TARIFAS!$D$4:$D$14),0)</f>
        <v>21.36</v>
      </c>
      <c r="BC32" s="110">
        <f t="shared" si="14"/>
        <v>522.45075480000003</v>
      </c>
      <c r="BD32" s="110">
        <f>IFERROR(+LOOKUP(AY32,[13]TARIFAS!$A$4:$B$14,[13]TARIFAS!$C$4:$C$14),0)</f>
        <v>538.20000000000005</v>
      </c>
      <c r="BE32" s="110">
        <f t="shared" si="15"/>
        <v>1060.6500000000001</v>
      </c>
      <c r="BF32" s="110"/>
      <c r="BG32" s="110"/>
      <c r="BH32" s="110"/>
      <c r="BI32" s="109"/>
    </row>
    <row r="33" spans="1:47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4"/>
      <c r="G33" s="124"/>
      <c r="H33" s="124"/>
      <c r="I33" s="124"/>
      <c r="J33" s="124"/>
      <c r="K33" s="124">
        <f>SUM(K5:K32)</f>
        <v>226649.65000000005</v>
      </c>
      <c r="L33" s="124"/>
      <c r="M33" s="124"/>
      <c r="N33" s="124">
        <f>SUM(N5:N32)</f>
        <v>2523.3899999999994</v>
      </c>
      <c r="O33" s="124"/>
      <c r="P33" s="124"/>
      <c r="Q33" s="124">
        <f>SUM(Q5:Q32)</f>
        <v>9734.1699999999983</v>
      </c>
      <c r="R33" s="124">
        <f>SUM(R5:R32)</f>
        <v>13199.019999999999</v>
      </c>
      <c r="S33" s="124">
        <f>SUM(S5:S32)</f>
        <v>6799.4895000000015</v>
      </c>
      <c r="T33" s="124"/>
      <c r="U33" s="124"/>
      <c r="V33" s="124">
        <f>SUM(V5:V32)</f>
        <v>19998.509499999996</v>
      </c>
      <c r="W33" s="124"/>
      <c r="X33" s="125"/>
      <c r="Y33" s="124">
        <f>SUM(Y5:Y30)</f>
        <v>0</v>
      </c>
      <c r="Z33" s="124">
        <f>SUM(Z5:Z32)</f>
        <v>258905.71949999995</v>
      </c>
      <c r="AA33" s="124"/>
      <c r="AB33" s="125"/>
      <c r="AC33" s="124">
        <f>SUM(AC5:AC32)</f>
        <v>21531.710250000007</v>
      </c>
      <c r="AD33" s="124"/>
      <c r="AE33" s="125"/>
      <c r="AF33" s="126">
        <f>SUM(AF5:AF32)</f>
        <v>22743.5</v>
      </c>
      <c r="AG33" s="124"/>
      <c r="AH33" s="125"/>
      <c r="AI33" s="124">
        <f>SUM(AI5:AI32)</f>
        <v>42210.82</v>
      </c>
      <c r="AJ33" s="124"/>
      <c r="AK33" s="125"/>
      <c r="AL33" s="126">
        <f>SUM(AL5:AL32)</f>
        <v>1094.6713000000002</v>
      </c>
      <c r="AM33" s="124"/>
      <c r="AN33" s="125"/>
      <c r="AO33" s="124">
        <f>SUM(AO5:AO32)</f>
        <v>0</v>
      </c>
      <c r="AP33" s="124"/>
      <c r="AQ33" s="125"/>
      <c r="AR33" s="124">
        <f>SUM(AR5:AR32)</f>
        <v>0</v>
      </c>
      <c r="AS33" s="124">
        <f>SUM(AS5:AS32)</f>
        <v>87580.701549999998</v>
      </c>
      <c r="AT33" s="124">
        <f>SUM(AT5:AT32)</f>
        <v>171325.01794999998</v>
      </c>
      <c r="AU33" s="127"/>
    </row>
    <row r="34" spans="1:47" s="128" customFormat="1" ht="21" customHeight="1" x14ac:dyDescent="0.2">
      <c r="A34" s="129"/>
      <c r="B34" s="129"/>
      <c r="C34" s="130"/>
      <c r="D34" s="130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1"/>
      <c r="Y34" s="129"/>
      <c r="Z34" s="129"/>
      <c r="AA34" s="129"/>
      <c r="AB34" s="131"/>
      <c r="AC34" s="129"/>
      <c r="AD34" s="129"/>
      <c r="AE34" s="131"/>
      <c r="AF34" s="132"/>
      <c r="AG34" s="129"/>
      <c r="AH34" s="131"/>
      <c r="AI34" s="129"/>
      <c r="AJ34" s="129"/>
      <c r="AK34" s="131"/>
      <c r="AL34" s="132"/>
      <c r="AM34" s="129"/>
      <c r="AN34" s="131"/>
      <c r="AO34" s="129"/>
      <c r="AP34" s="129"/>
      <c r="AQ34" s="131"/>
      <c r="AR34" s="129"/>
      <c r="AS34" s="129"/>
      <c r="AT34" s="129"/>
      <c r="AU34" s="129"/>
    </row>
    <row r="35" spans="1:47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73"/>
      <c r="L35" s="167"/>
      <c r="M35" s="167"/>
      <c r="O35" s="167"/>
      <c r="P35" s="136"/>
      <c r="Q35" s="137"/>
      <c r="R35" s="138"/>
      <c r="S35" s="173"/>
      <c r="T35" s="173"/>
      <c r="U35" s="173"/>
      <c r="V35" s="173"/>
      <c r="W35" s="173"/>
      <c r="X35" s="173"/>
      <c r="Y35" s="173"/>
      <c r="Z35" s="173"/>
      <c r="AA35" s="133"/>
      <c r="AB35" s="133"/>
      <c r="AC35" s="133"/>
      <c r="AD35" s="133"/>
      <c r="AE35" s="133"/>
      <c r="AG35" s="133"/>
      <c r="AH35" s="133"/>
      <c r="AI35" s="133"/>
      <c r="AJ35" s="133"/>
      <c r="AK35" s="133"/>
      <c r="AL35" s="173" t="s">
        <v>113</v>
      </c>
      <c r="AM35" s="173"/>
      <c r="AN35" s="173"/>
      <c r="AO35" s="173"/>
      <c r="AP35" s="173"/>
      <c r="AQ35" s="173"/>
      <c r="AR35" s="173"/>
      <c r="AS35" s="173"/>
      <c r="AT35" s="173"/>
    </row>
    <row r="36" spans="1:47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O36" s="141"/>
      <c r="P36" s="142"/>
      <c r="Q36" s="141"/>
      <c r="R36" s="138"/>
      <c r="S36" s="138"/>
      <c r="T36" s="141"/>
      <c r="U36" s="142"/>
      <c r="W36" s="141"/>
      <c r="X36" s="142"/>
      <c r="Z36" s="138"/>
      <c r="AA36" s="141"/>
      <c r="AB36" s="142"/>
      <c r="AC36" s="143"/>
      <c r="AD36" s="141"/>
      <c r="AE36" s="142"/>
      <c r="AF36" s="144"/>
      <c r="AG36" s="141"/>
      <c r="AH36" s="142"/>
      <c r="AI36" s="133"/>
      <c r="AJ36" s="141"/>
      <c r="AK36" s="142"/>
      <c r="AL36" s="145"/>
      <c r="AM36" s="141"/>
      <c r="AN36" s="142"/>
      <c r="AO36" s="133"/>
      <c r="AP36" s="141"/>
      <c r="AQ36" s="142"/>
      <c r="AR36" s="133"/>
      <c r="AT36" s="133"/>
    </row>
    <row r="37" spans="1:47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73"/>
      <c r="L37" s="167"/>
      <c r="M37" s="167"/>
      <c r="O37" s="167"/>
      <c r="P37" s="136"/>
      <c r="Q37" s="138"/>
      <c r="R37" s="138"/>
      <c r="S37" s="173"/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J37" s="133"/>
      <c r="AK37" s="133"/>
      <c r="AL37" s="173" t="s">
        <v>115</v>
      </c>
      <c r="AM37" s="173"/>
      <c r="AN37" s="173"/>
      <c r="AO37" s="173"/>
      <c r="AP37" s="173"/>
      <c r="AQ37" s="173"/>
      <c r="AR37" s="173"/>
      <c r="AS37" s="173"/>
      <c r="AT37" s="173"/>
      <c r="AU37" s="133"/>
    </row>
    <row r="38" spans="1:47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73"/>
      <c r="L38" s="167"/>
      <c r="M38" s="167"/>
      <c r="O38" s="167"/>
      <c r="P38" s="136"/>
      <c r="Q38" s="138"/>
      <c r="R38" s="138"/>
      <c r="S38" s="173"/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133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47" x14ac:dyDescent="0.2">
      <c r="A39" s="133"/>
      <c r="B39" s="133"/>
      <c r="C39" s="146"/>
      <c r="D39" s="146"/>
      <c r="E39" s="146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47"/>
      <c r="Q39" s="133"/>
      <c r="T39" s="133"/>
      <c r="U39" s="147"/>
      <c r="W39" s="133"/>
      <c r="X39" s="147"/>
      <c r="Z39" s="133"/>
      <c r="AA39" s="133"/>
      <c r="AB39" s="147"/>
      <c r="AC39" s="133"/>
      <c r="AD39" s="133"/>
      <c r="AE39" s="147"/>
      <c r="AF39" s="148"/>
      <c r="AG39" s="133"/>
      <c r="AH39" s="147"/>
      <c r="AJ39" s="133"/>
      <c r="AK39" s="147"/>
      <c r="AM39" s="133"/>
      <c r="AN39" s="147"/>
      <c r="AP39" s="133"/>
      <c r="AQ39" s="147"/>
      <c r="AS39" s="133"/>
      <c r="AT39" s="133"/>
      <c r="AU39" s="133"/>
    </row>
    <row r="40" spans="1:47" x14ac:dyDescent="0.2"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R40" s="133"/>
      <c r="S40" s="133"/>
      <c r="T40" s="133"/>
      <c r="U40" s="147"/>
      <c r="V40" s="149"/>
      <c r="W40" s="133"/>
      <c r="X40" s="147"/>
      <c r="Y40" s="149"/>
      <c r="Z40" s="133"/>
      <c r="AA40" s="133"/>
      <c r="AB40" s="147"/>
      <c r="AC40" s="133"/>
      <c r="AD40" s="133"/>
      <c r="AE40" s="147"/>
      <c r="AF40" s="150"/>
      <c r="AG40" s="133"/>
      <c r="AH40" s="147"/>
      <c r="AI40" s="133"/>
      <c r="AJ40" s="133"/>
      <c r="AK40" s="147"/>
      <c r="AL40" s="150"/>
      <c r="AM40" s="133"/>
      <c r="AN40" s="147"/>
      <c r="AO40" s="133"/>
      <c r="AP40" s="133"/>
      <c r="AQ40" s="147"/>
      <c r="AR40" s="133"/>
      <c r="AS40" s="133"/>
    </row>
    <row r="41" spans="1:47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47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  <c r="AT42" s="133"/>
    </row>
    <row r="43" spans="1:47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47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47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47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</row>
    <row r="47" spans="1:47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47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34"/>
      <c r="D55" s="151"/>
      <c r="E55" s="151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46"/>
      <c r="D59" s="146"/>
      <c r="E59" s="146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D59" s="133"/>
      <c r="AE59" s="147"/>
      <c r="AG59" s="133"/>
      <c r="AH59" s="147"/>
      <c r="AJ59" s="133"/>
      <c r="AK59" s="147"/>
      <c r="AM59" s="133"/>
      <c r="AN59" s="147"/>
      <c r="AP59" s="133"/>
      <c r="AQ59" s="147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0"/>
      <c r="D65" s="140"/>
      <c r="E65" s="140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49"/>
      <c r="R65" s="133"/>
      <c r="S65" s="149"/>
      <c r="T65" s="133"/>
      <c r="U65" s="147"/>
      <c r="V65" s="149"/>
      <c r="W65" s="133"/>
      <c r="X65" s="147"/>
      <c r="Y65" s="149"/>
      <c r="Z65" s="133"/>
      <c r="AA65" s="133"/>
      <c r="AB65" s="147"/>
      <c r="AC65" s="133"/>
      <c r="AD65" s="133"/>
      <c r="AE65" s="147"/>
      <c r="AF65" s="150"/>
      <c r="AG65" s="133"/>
      <c r="AH65" s="147"/>
      <c r="AI65" s="133"/>
      <c r="AJ65" s="133"/>
      <c r="AK65" s="147"/>
      <c r="AL65" s="150"/>
      <c r="AM65" s="133"/>
      <c r="AN65" s="147"/>
      <c r="AO65" s="133"/>
      <c r="AP65" s="133"/>
      <c r="AQ65" s="147"/>
      <c r="AR65" s="133"/>
      <c r="AS65" s="133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33"/>
      <c r="W66" s="133"/>
      <c r="X66" s="147"/>
      <c r="Y66" s="133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34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52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  <c r="AT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D76" s="133"/>
      <c r="AE76" s="147"/>
      <c r="AG76" s="133"/>
      <c r="AH76" s="147"/>
      <c r="AJ76" s="133"/>
      <c r="AK76" s="147"/>
      <c r="AM76" s="133"/>
      <c r="AN76" s="147"/>
      <c r="AP76" s="133"/>
      <c r="AQ76" s="147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53"/>
      <c r="AA79" s="133"/>
      <c r="AB79" s="147"/>
      <c r="AC79" s="153"/>
      <c r="AD79" s="133"/>
      <c r="AE79" s="147"/>
      <c r="AF79" s="154"/>
      <c r="AG79" s="133"/>
      <c r="AH79" s="147"/>
      <c r="AI79" s="153"/>
      <c r="AJ79" s="133"/>
      <c r="AK79" s="147"/>
      <c r="AL79" s="154"/>
      <c r="AM79" s="133"/>
      <c r="AN79" s="147"/>
      <c r="AO79" s="153"/>
      <c r="AP79" s="133"/>
      <c r="AQ79" s="147"/>
      <c r="AR79" s="153"/>
      <c r="AS79" s="153"/>
      <c r="AT79" s="15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C80" s="133"/>
      <c r="AD80" s="133"/>
      <c r="AE80" s="147"/>
      <c r="AF80" s="150"/>
      <c r="AG80" s="133"/>
      <c r="AH80" s="147"/>
      <c r="AI80" s="133"/>
      <c r="AJ80" s="133"/>
      <c r="AK80" s="147"/>
      <c r="AL80" s="150"/>
      <c r="AM80" s="133"/>
      <c r="AN80" s="147"/>
      <c r="AO80" s="133"/>
      <c r="AP80" s="133"/>
      <c r="AQ80" s="147"/>
      <c r="AR80" s="133"/>
      <c r="AS80" s="133"/>
      <c r="AT80" s="133"/>
    </row>
    <row r="81" spans="3:47" x14ac:dyDescent="0.2">
      <c r="C81" s="140"/>
      <c r="D81" s="140"/>
      <c r="E81" s="140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7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7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7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7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7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7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7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7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7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7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7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7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33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7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7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7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  <c r="AU96" s="155"/>
    </row>
    <row r="97" spans="1:48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8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8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8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8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D101" s="133"/>
      <c r="AE101" s="147"/>
      <c r="AG101" s="133"/>
      <c r="AH101" s="147"/>
      <c r="AJ101" s="133"/>
      <c r="AK101" s="147"/>
      <c r="AM101" s="133"/>
      <c r="AN101" s="147"/>
      <c r="AP101" s="133"/>
      <c r="AQ101" s="147"/>
      <c r="AT101" s="133"/>
    </row>
    <row r="102" spans="1:48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8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8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</row>
    <row r="105" spans="1:48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8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8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8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8" x14ac:dyDescent="0.2">
      <c r="A109" s="155"/>
      <c r="B109" s="155"/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8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8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8" s="155" customFormat="1" x14ac:dyDescent="0.2">
      <c r="A112" s="81"/>
      <c r="B112" s="81"/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C112" s="81"/>
      <c r="AD112" s="133"/>
      <c r="AE112" s="147"/>
      <c r="AF112" s="139"/>
      <c r="AG112" s="133"/>
      <c r="AH112" s="147"/>
      <c r="AI112" s="81"/>
      <c r="AJ112" s="133"/>
      <c r="AK112" s="147"/>
      <c r="AL112" s="139"/>
      <c r="AM112" s="133"/>
      <c r="AN112" s="147"/>
      <c r="AO112" s="81"/>
      <c r="AP112" s="133"/>
      <c r="AQ112" s="147"/>
      <c r="AR112" s="81"/>
      <c r="AS112" s="81"/>
      <c r="AT112" s="81"/>
      <c r="AU112" s="81"/>
      <c r="AV112" s="81"/>
    </row>
    <row r="113" spans="3:43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3:43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3:43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3:43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3:43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3:43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3:43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3:43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3:43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3:43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3:43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3:43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3:43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3:43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3:43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3:43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</sheetData>
  <mergeCells count="11">
    <mergeCell ref="D38:K38"/>
    <mergeCell ref="S38:Z38"/>
    <mergeCell ref="AL38:AT38"/>
    <mergeCell ref="C2:AU2"/>
    <mergeCell ref="B4:C4"/>
    <mergeCell ref="D35:K35"/>
    <mergeCell ref="S35:Z35"/>
    <mergeCell ref="AL35:AT35"/>
    <mergeCell ref="D37:K37"/>
    <mergeCell ref="S37:Z37"/>
    <mergeCell ref="AL37:AT37"/>
  </mergeCells>
  <printOptions horizontalCentered="1" verticalCentered="1"/>
  <pageMargins left="0" right="7.874015748031496E-2" top="0.39370078740157483" bottom="0.19685039370078741" header="0.39370078740157483" footer="0"/>
  <pageSetup paperSize="256" scale="70" orientation="landscape" r:id="rId1"/>
  <headerFooter differentOddEven="1">
    <oddFooter xml:space="preserve">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U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7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bestFit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8.57031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6.42578125" style="81" customWidth="1"/>
    <col min="42" max="42" width="5.7109375" style="81" hidden="1" customWidth="1"/>
    <col min="43" max="43" width="11.28515625" style="157" hidden="1" customWidth="1"/>
    <col min="44" max="44" width="19.85546875" style="81" hidden="1" customWidth="1"/>
    <col min="45" max="45" width="18.5703125" style="81" customWidth="1"/>
    <col min="46" max="46" width="20.5703125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1" spans="1:62" ht="15.75" x14ac:dyDescent="0.2">
      <c r="N1" s="138"/>
      <c r="O1" s="138"/>
      <c r="P1" s="158"/>
      <c r="Q1" s="138"/>
      <c r="R1" s="138"/>
      <c r="AQ1" s="81"/>
      <c r="AS1" s="157"/>
    </row>
    <row r="2" spans="1:62" ht="35.25" customHeight="1" x14ac:dyDescent="0.2">
      <c r="C2" s="174" t="s">
        <v>161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159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160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>
        <v>1311</v>
      </c>
      <c r="H5" s="101">
        <v>15</v>
      </c>
      <c r="I5" s="101">
        <v>421.49</v>
      </c>
      <c r="J5" s="160" t="s">
        <v>146</v>
      </c>
      <c r="K5" s="101">
        <v>6572.35</v>
      </c>
      <c r="L5" s="101" t="s">
        <v>37</v>
      </c>
      <c r="M5" s="102">
        <v>1311</v>
      </c>
      <c r="N5" s="103">
        <v>168.23000000000002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v>197.1705</v>
      </c>
      <c r="T5" s="101" t="s">
        <v>37</v>
      </c>
      <c r="U5" s="102">
        <v>1712</v>
      </c>
      <c r="V5" s="104">
        <v>603.4905</v>
      </c>
      <c r="W5" s="101" t="s">
        <v>37</v>
      </c>
      <c r="X5" s="102">
        <v>1321</v>
      </c>
      <c r="Y5" s="104">
        <v>2190.7800000000002</v>
      </c>
      <c r="Z5" s="104">
        <f t="shared" ref="Z5:Z32" si="2">K5+N5+Q5+V5+Y5</f>
        <v>9886.3505000000005</v>
      </c>
      <c r="AA5" s="101" t="s">
        <v>39</v>
      </c>
      <c r="AB5" s="102">
        <v>1431</v>
      </c>
      <c r="AC5" s="104">
        <f>K5*9.5%</f>
        <v>624.3732500000001</v>
      </c>
      <c r="AD5" s="101" t="s">
        <v>39</v>
      </c>
      <c r="AE5" s="105" t="s">
        <v>40</v>
      </c>
      <c r="AF5" s="103">
        <v>395.77</v>
      </c>
      <c r="AG5" s="101" t="s">
        <v>39</v>
      </c>
      <c r="AH5" s="105" t="s">
        <v>40</v>
      </c>
      <c r="AI5" s="103">
        <v>1096.58</v>
      </c>
      <c r="AJ5" s="101" t="s">
        <v>39</v>
      </c>
      <c r="AK5" s="105" t="s">
        <v>41</v>
      </c>
      <c r="AL5" s="103">
        <v>65.723500000000001</v>
      </c>
      <c r="AM5" s="101" t="s">
        <v>39</v>
      </c>
      <c r="AN5" s="105" t="s">
        <v>42</v>
      </c>
      <c r="AO5" s="103">
        <v>237.62000000000035</v>
      </c>
      <c r="AP5" s="101" t="s">
        <v>39</v>
      </c>
      <c r="AQ5" s="105" t="s">
        <v>41</v>
      </c>
      <c r="AR5" s="103"/>
      <c r="AS5" s="104">
        <f>(AC5+AF5+AI5+AL5+AO5)</f>
        <v>2420.0667500000004</v>
      </c>
      <c r="AT5" s="106">
        <f t="shared" ref="AT5:AT32" si="3">(Z5-AS5)</f>
        <v>7466.2837500000005</v>
      </c>
      <c r="AU5" s="107"/>
      <c r="AV5" s="108"/>
      <c r="AW5" s="109">
        <f>+H5</f>
        <v>15</v>
      </c>
      <c r="AX5" s="109">
        <f>+K5+S5+N5+Q5+R5+Y5</f>
        <v>9886.3505000000005</v>
      </c>
      <c r="AY5" s="110">
        <f>IFERROR(+AX5/AW5,0)*AW5</f>
        <v>9886.3505000000005</v>
      </c>
      <c r="AZ5" s="110">
        <f>IFERROR(+LOOKUP(AY5,[9]TARIFAS!$A$4:$B$14,[9]TARIFAS!$A$4:$A$14),0)</f>
        <v>5081.41</v>
      </c>
      <c r="BA5" s="110">
        <f>+AY5-AZ5</f>
        <v>4804.9405000000006</v>
      </c>
      <c r="BB5" s="110">
        <f>IFERROR(+LOOKUP(AY5,[9]TARIFAS!$A$4:$B$14,[9]TARIFAS!$D$4:$D$14),0)</f>
        <v>21.36</v>
      </c>
      <c r="BC5" s="110">
        <f>(+BA5*BB5)/100</f>
        <v>1026.3352908000002</v>
      </c>
      <c r="BD5" s="110">
        <f>IFERROR(+LOOKUP(AY5,[9]TARIFAS!$A$4:$B$14,[9]TARIFAS!$C$4:$C$14),0)</f>
        <v>538.20000000000005</v>
      </c>
      <c r="BE5" s="110">
        <f>ROUND(+BC5+BD5,2)</f>
        <v>1564.54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6572.35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v>197.1705</v>
      </c>
      <c r="T6" s="101" t="s">
        <v>37</v>
      </c>
      <c r="U6" s="102">
        <v>1712</v>
      </c>
      <c r="V6" s="104">
        <v>603.4905</v>
      </c>
      <c r="W6" s="101" t="s">
        <v>37</v>
      </c>
      <c r="X6" s="102">
        <v>1321</v>
      </c>
      <c r="Y6" s="104">
        <v>2190.7800000000002</v>
      </c>
      <c r="Z6" s="104">
        <f t="shared" si="2"/>
        <v>9886.3455000000013</v>
      </c>
      <c r="AA6" s="101" t="s">
        <v>39</v>
      </c>
      <c r="AB6" s="102">
        <v>1431</v>
      </c>
      <c r="AC6" s="104">
        <f t="shared" ref="AC6:AC32" si="4">K6*9.5%</f>
        <v>624.3732500000001</v>
      </c>
      <c r="AD6" s="101" t="s">
        <v>39</v>
      </c>
      <c r="AE6" s="105" t="s">
        <v>40</v>
      </c>
      <c r="AF6" s="103">
        <v>2191</v>
      </c>
      <c r="AG6" s="101" t="s">
        <v>39</v>
      </c>
      <c r="AH6" s="105" t="s">
        <v>40</v>
      </c>
      <c r="AI6" s="103">
        <v>1096.58</v>
      </c>
      <c r="AJ6" s="101" t="s">
        <v>39</v>
      </c>
      <c r="AK6" s="105" t="s">
        <v>41</v>
      </c>
      <c r="AL6" s="103">
        <v>65.723500000000001</v>
      </c>
      <c r="AM6" s="101" t="s">
        <v>39</v>
      </c>
      <c r="AN6" s="105" t="s">
        <v>42</v>
      </c>
      <c r="AO6" s="103">
        <v>237.62000000000035</v>
      </c>
      <c r="AP6" s="101" t="s">
        <v>39</v>
      </c>
      <c r="AQ6" s="105" t="s">
        <v>41</v>
      </c>
      <c r="AR6" s="103"/>
      <c r="AS6" s="104">
        <f t="shared" ref="AS6:AS32" si="5">(AC6+AF6+AI6+AL6+AO6+AR6)</f>
        <v>4215.2967500000004</v>
      </c>
      <c r="AT6" s="106">
        <f t="shared" si="3"/>
        <v>5671.0487500000008</v>
      </c>
      <c r="AU6" s="113"/>
      <c r="AV6" s="108"/>
      <c r="AW6" s="109">
        <f t="shared" ref="AW6:AW32" si="6">+H6</f>
        <v>15</v>
      </c>
      <c r="AX6" s="109">
        <f t="shared" ref="AX6:AX32" si="7">+K6+S6+N6+Q6+R6+Y6</f>
        <v>9886.3455000000013</v>
      </c>
      <c r="AY6" s="110">
        <f t="shared" ref="AY6:AY32" si="8">IFERROR(+AX6/AW6,0)*AW6</f>
        <v>9886.3455000000013</v>
      </c>
      <c r="AZ6" s="110">
        <f>IFERROR(+LOOKUP(AY6,[9]TARIFAS!$A$4:$B$14,[9]TARIFAS!$A$4:$A$14),0)</f>
        <v>5081.41</v>
      </c>
      <c r="BA6" s="110">
        <f t="shared" ref="BA6:BA32" si="9">+AY6-AZ6</f>
        <v>4804.9355000000014</v>
      </c>
      <c r="BB6" s="110">
        <f>IFERROR(+LOOKUP(AY6,[9]TARIFAS!$A$4:$B$14,[9]TARIFAS!$D$4:$D$14),0)</f>
        <v>21.36</v>
      </c>
      <c r="BC6" s="110">
        <f t="shared" ref="BC6:BC32" si="10">(+BA6*BB6)/100</f>
        <v>1026.3342228000004</v>
      </c>
      <c r="BD6" s="110">
        <f>IFERROR(+LOOKUP(AY6,[9]TARIFAS!$A$4:$B$14,[9]TARIFAS!$C$4:$C$14),0)</f>
        <v>538.20000000000005</v>
      </c>
      <c r="BE6" s="110">
        <f t="shared" ref="BE6:BE32" si="11">ROUND(+BC6+BD6,2)</f>
        <v>1564.53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7713.23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v>231.39689999999999</v>
      </c>
      <c r="T7" s="101" t="s">
        <v>37</v>
      </c>
      <c r="U7" s="102">
        <v>1712</v>
      </c>
      <c r="V7" s="104">
        <v>649.83690000000001</v>
      </c>
      <c r="W7" s="101" t="s">
        <v>37</v>
      </c>
      <c r="X7" s="102">
        <v>1321</v>
      </c>
      <c r="Y7" s="104">
        <v>2571.0500000000002</v>
      </c>
      <c r="Z7" s="104">
        <f t="shared" si="2"/>
        <v>11384.4319</v>
      </c>
      <c r="AA7" s="101" t="s">
        <v>39</v>
      </c>
      <c r="AB7" s="102">
        <v>1431</v>
      </c>
      <c r="AC7" s="104">
        <f t="shared" si="4"/>
        <v>732.75684999999999</v>
      </c>
      <c r="AD7" s="101" t="s">
        <v>39</v>
      </c>
      <c r="AE7" s="105" t="s">
        <v>40</v>
      </c>
      <c r="AF7" s="103">
        <v>1158</v>
      </c>
      <c r="AG7" s="101" t="s">
        <v>39</v>
      </c>
      <c r="AH7" s="105" t="s">
        <v>40</v>
      </c>
      <c r="AI7" s="103">
        <v>1335.35</v>
      </c>
      <c r="AJ7" s="101" t="s">
        <v>39</v>
      </c>
      <c r="AK7" s="105" t="s">
        <v>41</v>
      </c>
      <c r="AL7" s="103">
        <v>77.132300000000001</v>
      </c>
      <c r="AM7" s="101" t="s">
        <v>39</v>
      </c>
      <c r="AN7" s="105" t="s">
        <v>42</v>
      </c>
      <c r="AO7" s="103">
        <v>318.84000000000015</v>
      </c>
      <c r="AP7" s="101" t="s">
        <v>39</v>
      </c>
      <c r="AQ7" s="105" t="s">
        <v>41</v>
      </c>
      <c r="AR7" s="103"/>
      <c r="AS7" s="104">
        <f t="shared" si="5"/>
        <v>3622.0791500000005</v>
      </c>
      <c r="AT7" s="106">
        <f t="shared" si="3"/>
        <v>7762.3527499999991</v>
      </c>
      <c r="AU7" s="113"/>
      <c r="AV7" s="108"/>
      <c r="AW7" s="109">
        <f t="shared" si="6"/>
        <v>15</v>
      </c>
      <c r="AX7" s="109">
        <f t="shared" si="7"/>
        <v>11384.4319</v>
      </c>
      <c r="AY7" s="110">
        <f t="shared" si="8"/>
        <v>11384.4319</v>
      </c>
      <c r="AZ7" s="110">
        <f>IFERROR(+LOOKUP(AY7,[9]TARIFAS!$A$4:$B$14,[9]TARIFAS!$A$4:$A$14),0)</f>
        <v>10248.459999999999</v>
      </c>
      <c r="BA7" s="110">
        <f t="shared" si="9"/>
        <v>1135.9719000000005</v>
      </c>
      <c r="BB7" s="110">
        <f>IFERROR(+LOOKUP(AY7,[9]TARIFAS!$A$4:$B$14,[9]TARIFAS!$D$4:$D$14),0)</f>
        <v>23.52</v>
      </c>
      <c r="BC7" s="110">
        <f t="shared" si="10"/>
        <v>267.18059088000007</v>
      </c>
      <c r="BD7" s="110">
        <f>IFERROR(+LOOKUP(AY7,[9]TARIFAS!$A$4:$B$14,[9]TARIFAS!$C$4:$C$14),0)</f>
        <v>1641.75</v>
      </c>
      <c r="BE7" s="110">
        <f t="shared" si="11"/>
        <v>1908.93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6572.35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v>197.1705</v>
      </c>
      <c r="T8" s="101" t="s">
        <v>37</v>
      </c>
      <c r="U8" s="102">
        <v>1712</v>
      </c>
      <c r="V8" s="104">
        <v>603.4905</v>
      </c>
      <c r="W8" s="101" t="s">
        <v>37</v>
      </c>
      <c r="X8" s="102">
        <v>1321</v>
      </c>
      <c r="Y8" s="104">
        <v>2190.7800000000002</v>
      </c>
      <c r="Z8" s="104">
        <f t="shared" si="2"/>
        <v>9919.9904999999999</v>
      </c>
      <c r="AA8" s="101" t="s">
        <v>39</v>
      </c>
      <c r="AB8" s="102">
        <v>1431</v>
      </c>
      <c r="AC8" s="104">
        <f t="shared" si="4"/>
        <v>624.3732500000001</v>
      </c>
      <c r="AD8" s="101" t="s">
        <v>39</v>
      </c>
      <c r="AE8" s="105" t="s">
        <v>40</v>
      </c>
      <c r="AF8" s="103">
        <v>1600</v>
      </c>
      <c r="AG8" s="101" t="s">
        <v>39</v>
      </c>
      <c r="AH8" s="105" t="s">
        <v>40</v>
      </c>
      <c r="AI8" s="103">
        <v>1103.77</v>
      </c>
      <c r="AJ8" s="101" t="s">
        <v>39</v>
      </c>
      <c r="AK8" s="105" t="s">
        <v>41</v>
      </c>
      <c r="AL8" s="103">
        <v>65.723500000000001</v>
      </c>
      <c r="AM8" s="101" t="s">
        <v>39</v>
      </c>
      <c r="AN8" s="105" t="s">
        <v>42</v>
      </c>
      <c r="AO8" s="103">
        <v>237.61000000000013</v>
      </c>
      <c r="AP8" s="101" t="s">
        <v>39</v>
      </c>
      <c r="AQ8" s="105" t="s">
        <v>41</v>
      </c>
      <c r="AR8" s="103"/>
      <c r="AS8" s="104">
        <f t="shared" si="5"/>
        <v>3631.4767500000003</v>
      </c>
      <c r="AT8" s="106">
        <f t="shared" si="3"/>
        <v>6288.5137500000001</v>
      </c>
      <c r="AU8" s="113"/>
      <c r="AV8" s="108"/>
      <c r="AW8" s="109">
        <f t="shared" si="6"/>
        <v>15</v>
      </c>
      <c r="AX8" s="109">
        <f t="shared" si="7"/>
        <v>9919.9904999999999</v>
      </c>
      <c r="AY8" s="110">
        <f>IFERROR(+AX8/AW8,0)*AW8</f>
        <v>9919.9904999999999</v>
      </c>
      <c r="AZ8" s="110">
        <f>IFERROR(+LOOKUP(AY8,[9]TARIFAS!$A$4:$B$14,[9]TARIFAS!$A$4:$A$14),0)</f>
        <v>5081.41</v>
      </c>
      <c r="BA8" s="110">
        <f t="shared" si="9"/>
        <v>4838.5805</v>
      </c>
      <c r="BB8" s="110">
        <f>IFERROR(+LOOKUP(AY8,[9]TARIFAS!$A$4:$B$14,[9]TARIFAS!$D$4:$D$14),0)</f>
        <v>21.36</v>
      </c>
      <c r="BC8" s="110">
        <f t="shared" si="10"/>
        <v>1033.5207948</v>
      </c>
      <c r="BD8" s="110">
        <f>IFERROR(+LOOKUP(AY8,[9]TARIFAS!$A$4:$B$14,[9]TARIFAS!$C$4:$C$14),0)</f>
        <v>538.20000000000005</v>
      </c>
      <c r="BE8" s="110">
        <f t="shared" si="11"/>
        <v>1571.72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7713.23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v>231.39689999999999</v>
      </c>
      <c r="T9" s="101" t="s">
        <v>37</v>
      </c>
      <c r="U9" s="102">
        <v>1712</v>
      </c>
      <c r="V9" s="104">
        <v>649.83690000000001</v>
      </c>
      <c r="W9" s="101" t="s">
        <v>37</v>
      </c>
      <c r="X9" s="102">
        <v>1321</v>
      </c>
      <c r="Y9" s="104">
        <v>2571.0500000000002</v>
      </c>
      <c r="Z9" s="104">
        <f t="shared" si="2"/>
        <v>11384.4319</v>
      </c>
      <c r="AA9" s="101" t="s">
        <v>39</v>
      </c>
      <c r="AB9" s="102">
        <v>1431</v>
      </c>
      <c r="AC9" s="104">
        <f t="shared" si="4"/>
        <v>732.75684999999999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40</v>
      </c>
      <c r="AI9" s="103">
        <v>1335.35</v>
      </c>
      <c r="AJ9" s="101" t="s">
        <v>39</v>
      </c>
      <c r="AK9" s="105" t="s">
        <v>41</v>
      </c>
      <c r="AL9" s="103">
        <v>77.132300000000001</v>
      </c>
      <c r="AM9" s="101" t="s">
        <v>39</v>
      </c>
      <c r="AN9" s="105" t="s">
        <v>42</v>
      </c>
      <c r="AO9" s="103">
        <v>318.84000000000015</v>
      </c>
      <c r="AP9" s="101" t="s">
        <v>39</v>
      </c>
      <c r="AQ9" s="105" t="s">
        <v>41</v>
      </c>
      <c r="AR9" s="103"/>
      <c r="AS9" s="104">
        <f t="shared" si="5"/>
        <v>2464.0791500000005</v>
      </c>
      <c r="AT9" s="106">
        <f t="shared" si="3"/>
        <v>8920.3527499999982</v>
      </c>
      <c r="AU9" s="113"/>
      <c r="AV9" s="108"/>
      <c r="AW9" s="109">
        <f t="shared" si="6"/>
        <v>15</v>
      </c>
      <c r="AX9" s="109">
        <f t="shared" si="7"/>
        <v>11384.4319</v>
      </c>
      <c r="AY9" s="110">
        <f>IFERROR(+AX9/AW9,0)*AW9</f>
        <v>11384.4319</v>
      </c>
      <c r="AZ9" s="110">
        <f>IFERROR(+LOOKUP(AY9,[9]TARIFAS!$A$4:$B$14,[9]TARIFAS!$A$4:$A$14),0)</f>
        <v>10248.459999999999</v>
      </c>
      <c r="BA9" s="110">
        <f t="shared" si="9"/>
        <v>1135.9719000000005</v>
      </c>
      <c r="BB9" s="110">
        <f>IFERROR(+LOOKUP(AY9,[9]TARIFAS!$A$4:$B$14,[9]TARIFAS!$D$4:$D$14),0)</f>
        <v>23.52</v>
      </c>
      <c r="BC9" s="110">
        <f t="shared" si="10"/>
        <v>267.18059088000007</v>
      </c>
      <c r="BD9" s="110">
        <f>IFERROR(+LOOKUP(AY9,[9]TARIFAS!$A$4:$B$14,[9]TARIFAS!$C$4:$C$14),0)</f>
        <v>1641.75</v>
      </c>
      <c r="BE9" s="110">
        <f t="shared" si="11"/>
        <v>1908.93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6572.35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v>197.1705</v>
      </c>
      <c r="T10" s="101" t="s">
        <v>37</v>
      </c>
      <c r="U10" s="102">
        <v>1712</v>
      </c>
      <c r="V10" s="104">
        <v>603.4905</v>
      </c>
      <c r="W10" s="101" t="s">
        <v>37</v>
      </c>
      <c r="X10" s="102">
        <v>1321</v>
      </c>
      <c r="Y10" s="104">
        <v>2190.7800000000002</v>
      </c>
      <c r="Z10" s="104">
        <f t="shared" si="2"/>
        <v>9919.9904999999999</v>
      </c>
      <c r="AA10" s="101" t="s">
        <v>39</v>
      </c>
      <c r="AB10" s="102">
        <v>1431</v>
      </c>
      <c r="AC10" s="104">
        <f t="shared" si="4"/>
        <v>624.3732500000001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40</v>
      </c>
      <c r="AI10" s="103">
        <v>1103.77</v>
      </c>
      <c r="AJ10" s="101" t="s">
        <v>39</v>
      </c>
      <c r="AK10" s="105" t="s">
        <v>41</v>
      </c>
      <c r="AL10" s="103">
        <v>65.723500000000001</v>
      </c>
      <c r="AM10" s="101" t="s">
        <v>39</v>
      </c>
      <c r="AN10" s="105" t="s">
        <v>42</v>
      </c>
      <c r="AO10" s="103">
        <v>237.61000000000013</v>
      </c>
      <c r="AP10" s="101" t="s">
        <v>39</v>
      </c>
      <c r="AQ10" s="105" t="s">
        <v>41</v>
      </c>
      <c r="AR10" s="103"/>
      <c r="AS10" s="104">
        <f t="shared" si="5"/>
        <v>4139.4767499999998</v>
      </c>
      <c r="AT10" s="106">
        <f t="shared" si="3"/>
        <v>5780.5137500000001</v>
      </c>
      <c r="AU10" s="113"/>
      <c r="AV10" s="108"/>
      <c r="AW10" s="109">
        <f t="shared" si="6"/>
        <v>15</v>
      </c>
      <c r="AX10" s="109">
        <f t="shared" si="7"/>
        <v>9919.9904999999999</v>
      </c>
      <c r="AY10" s="110">
        <f>IFERROR(+AX10/AW10,0)*AW10</f>
        <v>9919.9904999999999</v>
      </c>
      <c r="AZ10" s="110">
        <f>IFERROR(+LOOKUP(AY10,[9]TARIFAS!$A$4:$B$14,[9]TARIFAS!$A$4:$A$14),0)</f>
        <v>5081.41</v>
      </c>
      <c r="BA10" s="110">
        <f t="shared" si="9"/>
        <v>4838.5805</v>
      </c>
      <c r="BB10" s="110">
        <f>IFERROR(+LOOKUP(AY10,[9]TARIFAS!$A$4:$B$14,[9]TARIFAS!$D$4:$D$14),0)</f>
        <v>21.36</v>
      </c>
      <c r="BC10" s="110">
        <f t="shared" si="10"/>
        <v>1033.5207948</v>
      </c>
      <c r="BD10" s="110">
        <f>IFERROR(+LOOKUP(AY10,[9]TARIFAS!$A$4:$B$14,[9]TARIFAS!$C$4:$C$14),0)</f>
        <v>538.20000000000005</v>
      </c>
      <c r="BE10" s="110">
        <f t="shared" si="11"/>
        <v>1571.72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5063.04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v>151.8912</v>
      </c>
      <c r="T11" s="101" t="s">
        <v>37</v>
      </c>
      <c r="U11" s="102">
        <v>1712</v>
      </c>
      <c r="V11" s="104">
        <v>522.91120000000001</v>
      </c>
      <c r="W11" s="101" t="s">
        <v>37</v>
      </c>
      <c r="X11" s="102">
        <v>1321</v>
      </c>
      <c r="Y11" s="104">
        <v>1687.68</v>
      </c>
      <c r="Z11" s="104">
        <f t="shared" si="2"/>
        <v>7717.0562000000009</v>
      </c>
      <c r="AA11" s="101" t="s">
        <v>39</v>
      </c>
      <c r="AB11" s="102">
        <v>1431</v>
      </c>
      <c r="AC11" s="104">
        <f t="shared" si="4"/>
        <v>480.98880000000003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40</v>
      </c>
      <c r="AI11" s="103">
        <v>740.69</v>
      </c>
      <c r="AJ11" s="101" t="s">
        <v>39</v>
      </c>
      <c r="AK11" s="105" t="s">
        <v>41</v>
      </c>
      <c r="AL11" s="103">
        <v>0</v>
      </c>
      <c r="AM11" s="101" t="s">
        <v>39</v>
      </c>
      <c r="AN11" s="105" t="s">
        <v>42</v>
      </c>
      <c r="AO11" s="103">
        <v>130.13999999999987</v>
      </c>
      <c r="AP11" s="101" t="s">
        <v>39</v>
      </c>
      <c r="AQ11" s="105" t="s">
        <v>41</v>
      </c>
      <c r="AR11" s="103"/>
      <c r="AS11" s="104">
        <f t="shared" si="5"/>
        <v>1351.8188</v>
      </c>
      <c r="AT11" s="106">
        <f t="shared" si="3"/>
        <v>6365.2374000000009</v>
      </c>
      <c r="AU11" s="113"/>
      <c r="AV11" s="108"/>
      <c r="AW11" s="109">
        <f t="shared" si="6"/>
        <v>15</v>
      </c>
      <c r="AX11" s="109">
        <f t="shared" si="7"/>
        <v>7717.0562000000009</v>
      </c>
      <c r="AY11" s="110">
        <f t="shared" si="8"/>
        <v>7717.0562</v>
      </c>
      <c r="AZ11" s="110">
        <f>IFERROR(+LOOKUP(AY11,[9]TARIFAS!$A$4:$B$14,[9]TARIFAS!$A$4:$A$14),0)</f>
        <v>5081.41</v>
      </c>
      <c r="BA11" s="110">
        <f t="shared" si="9"/>
        <v>2635.6462000000001</v>
      </c>
      <c r="BB11" s="110">
        <f>IFERROR(+LOOKUP(AY11,[9]TARIFAS!$A$4:$B$14,[9]TARIFAS!$D$4:$D$14),0)</f>
        <v>21.36</v>
      </c>
      <c r="BC11" s="110">
        <f t="shared" si="10"/>
        <v>562.97402832</v>
      </c>
      <c r="BD11" s="110">
        <f>IFERROR(+LOOKUP(AY11,[9]TARIFAS!$A$4:$B$14,[9]TARIFAS!$C$4:$C$14),0)</f>
        <v>538.20000000000005</v>
      </c>
      <c r="BE11" s="110">
        <f t="shared" si="11"/>
        <v>1101.17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5063.04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v>151.8912</v>
      </c>
      <c r="T12" s="101" t="s">
        <v>37</v>
      </c>
      <c r="U12" s="102">
        <v>1712</v>
      </c>
      <c r="V12" s="104">
        <v>522.91120000000001</v>
      </c>
      <c r="W12" s="101" t="s">
        <v>37</v>
      </c>
      <c r="X12" s="102">
        <v>1321</v>
      </c>
      <c r="Y12" s="104">
        <v>1687.68</v>
      </c>
      <c r="Z12" s="104">
        <f t="shared" si="2"/>
        <v>7683.4112000000005</v>
      </c>
      <c r="AA12" s="101" t="s">
        <v>39</v>
      </c>
      <c r="AB12" s="102">
        <v>1431</v>
      </c>
      <c r="AC12" s="104">
        <f t="shared" si="4"/>
        <v>480.98880000000003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40</v>
      </c>
      <c r="AI12" s="103">
        <v>733.5</v>
      </c>
      <c r="AJ12" s="101" t="s">
        <v>39</v>
      </c>
      <c r="AK12" s="105" t="s">
        <v>41</v>
      </c>
      <c r="AL12" s="103">
        <v>0</v>
      </c>
      <c r="AM12" s="101" t="s">
        <v>39</v>
      </c>
      <c r="AN12" s="105" t="s">
        <v>42</v>
      </c>
      <c r="AO12" s="103">
        <v>130.15000000000009</v>
      </c>
      <c r="AP12" s="101" t="s">
        <v>39</v>
      </c>
      <c r="AQ12" s="105" t="s">
        <v>41</v>
      </c>
      <c r="AR12" s="103"/>
      <c r="AS12" s="104">
        <f t="shared" si="5"/>
        <v>1344.6388000000002</v>
      </c>
      <c r="AT12" s="106">
        <f t="shared" si="3"/>
        <v>6338.7723999999998</v>
      </c>
      <c r="AU12" s="113"/>
      <c r="AV12" s="108"/>
      <c r="AW12" s="109">
        <f t="shared" si="6"/>
        <v>15</v>
      </c>
      <c r="AX12" s="109">
        <f t="shared" si="7"/>
        <v>7683.4112000000005</v>
      </c>
      <c r="AY12" s="110">
        <f t="shared" si="8"/>
        <v>7683.4112000000014</v>
      </c>
      <c r="AZ12" s="110">
        <f>IFERROR(+LOOKUP(AY12,[9]TARIFAS!$A$4:$B$14,[9]TARIFAS!$A$4:$A$14),0)</f>
        <v>5081.41</v>
      </c>
      <c r="BA12" s="110">
        <f t="shared" si="9"/>
        <v>2602.0012000000015</v>
      </c>
      <c r="BB12" s="110">
        <f>IFERROR(+LOOKUP(AY12,[9]TARIFAS!$A$4:$B$14,[9]TARIFAS!$D$4:$D$14),0)</f>
        <v>21.36</v>
      </c>
      <c r="BC12" s="110">
        <f t="shared" si="10"/>
        <v>555.78745632000027</v>
      </c>
      <c r="BD12" s="110">
        <f>IFERROR(+LOOKUP(AY12,[9]TARIFAS!$A$4:$B$14,[9]TARIFAS!$C$4:$C$14),0)</f>
        <v>538.20000000000005</v>
      </c>
      <c r="BE12" s="110">
        <f t="shared" si="11"/>
        <v>1093.99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6572.35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v>197.1705</v>
      </c>
      <c r="T13" s="101" t="s">
        <v>37</v>
      </c>
      <c r="U13" s="102">
        <v>1712</v>
      </c>
      <c r="V13" s="104">
        <v>603.4905</v>
      </c>
      <c r="W13" s="101" t="s">
        <v>37</v>
      </c>
      <c r="X13" s="102">
        <v>1321</v>
      </c>
      <c r="Y13" s="104">
        <v>2190.7800000000002</v>
      </c>
      <c r="Z13" s="104">
        <f t="shared" si="2"/>
        <v>9953.6355000000003</v>
      </c>
      <c r="AA13" s="101" t="s">
        <v>39</v>
      </c>
      <c r="AB13" s="102">
        <v>1431</v>
      </c>
      <c r="AC13" s="104">
        <f t="shared" si="4"/>
        <v>624.3732500000001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40</v>
      </c>
      <c r="AI13" s="103">
        <v>1110.96</v>
      </c>
      <c r="AJ13" s="101" t="s">
        <v>39</v>
      </c>
      <c r="AK13" s="105" t="s">
        <v>41</v>
      </c>
      <c r="AL13" s="103">
        <v>0</v>
      </c>
      <c r="AM13" s="101" t="s">
        <v>39</v>
      </c>
      <c r="AN13" s="105" t="s">
        <v>42</v>
      </c>
      <c r="AO13" s="103">
        <v>236.32999999999993</v>
      </c>
      <c r="AP13" s="101" t="s">
        <v>39</v>
      </c>
      <c r="AQ13" s="105" t="s">
        <v>41</v>
      </c>
      <c r="AR13" s="103"/>
      <c r="AS13" s="104">
        <f t="shared" si="5"/>
        <v>1971.6632500000001</v>
      </c>
      <c r="AT13" s="106">
        <f t="shared" si="3"/>
        <v>7981.9722500000007</v>
      </c>
      <c r="AU13" s="113"/>
      <c r="AV13" s="108"/>
      <c r="AW13" s="109">
        <f t="shared" si="6"/>
        <v>15</v>
      </c>
      <c r="AX13" s="109">
        <f t="shared" si="7"/>
        <v>9953.6355000000003</v>
      </c>
      <c r="AY13" s="110">
        <f t="shared" si="8"/>
        <v>9953.6355000000003</v>
      </c>
      <c r="AZ13" s="110">
        <f>IFERROR(+LOOKUP(AY13,[9]TARIFAS!$A$4:$B$14,[9]TARIFAS!$A$4:$A$14),0)</f>
        <v>5081.41</v>
      </c>
      <c r="BA13" s="110">
        <f t="shared" si="9"/>
        <v>4872.2255000000005</v>
      </c>
      <c r="BB13" s="110">
        <f>IFERROR(+LOOKUP(AY13,[9]TARIFAS!$A$4:$B$14,[9]TARIFAS!$D$4:$D$14),0)</f>
        <v>21.36</v>
      </c>
      <c r="BC13" s="110">
        <f t="shared" si="10"/>
        <v>1040.7073668</v>
      </c>
      <c r="BD13" s="110">
        <f>IFERROR(+LOOKUP(AY13,[9]TARIFAS!$A$4:$B$14,[9]TARIFAS!$C$4:$C$14),0)</f>
        <v>538.20000000000005</v>
      </c>
      <c r="BE13" s="110">
        <f t="shared" si="11"/>
        <v>1578.91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v>463.245</v>
      </c>
      <c r="T14" s="101" t="s">
        <v>37</v>
      </c>
      <c r="U14" s="102">
        <v>1712</v>
      </c>
      <c r="V14" s="104">
        <v>1298.7449999999999</v>
      </c>
      <c r="W14" s="101" t="s">
        <v>37</v>
      </c>
      <c r="X14" s="102">
        <v>1321</v>
      </c>
      <c r="Y14" s="104">
        <v>5147.16</v>
      </c>
      <c r="Z14" s="104">
        <f t="shared" si="2"/>
        <v>22453.904999999999</v>
      </c>
      <c r="AA14" s="101" t="s">
        <v>39</v>
      </c>
      <c r="AB14" s="102">
        <v>1431</v>
      </c>
      <c r="AC14" s="104">
        <f t="shared" si="4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40</v>
      </c>
      <c r="AI14" s="103">
        <v>3376.71</v>
      </c>
      <c r="AJ14" s="101" t="s">
        <v>39</v>
      </c>
      <c r="AK14" s="105" t="s">
        <v>41</v>
      </c>
      <c r="AL14" s="103">
        <v>0</v>
      </c>
      <c r="AM14" s="101" t="s">
        <v>39</v>
      </c>
      <c r="AN14" s="105" t="s">
        <v>42</v>
      </c>
      <c r="AO14" s="103">
        <v>1192.8699999999999</v>
      </c>
      <c r="AP14" s="101" t="s">
        <v>39</v>
      </c>
      <c r="AQ14" s="105" t="s">
        <v>41</v>
      </c>
      <c r="AR14" s="103"/>
      <c r="AS14" s="104">
        <f t="shared" si="5"/>
        <v>6036.5225</v>
      </c>
      <c r="AT14" s="106">
        <f t="shared" si="3"/>
        <v>16417.3825</v>
      </c>
      <c r="AU14" s="113"/>
      <c r="AV14" s="108"/>
      <c r="AW14" s="109">
        <f t="shared" si="6"/>
        <v>15</v>
      </c>
      <c r="AX14" s="109">
        <f t="shared" si="7"/>
        <v>22453.905000000002</v>
      </c>
      <c r="AY14" s="110">
        <f t="shared" si="8"/>
        <v>22453.905000000002</v>
      </c>
      <c r="AZ14" s="110">
        <f>IFERROR(+LOOKUP(AY14,[9]TARIFAS!$A$4:$B$14,[9]TARIFAS!$A$4:$A$14),0)</f>
        <v>16153.06</v>
      </c>
      <c r="BA14" s="110">
        <f t="shared" si="9"/>
        <v>6300.845000000003</v>
      </c>
      <c r="BB14" s="110">
        <f>IFERROR(+LOOKUP(AY14,[9]TARIFAS!$A$4:$B$14,[9]TARIFAS!$D$4:$D$14),0)</f>
        <v>30</v>
      </c>
      <c r="BC14" s="110">
        <f t="shared" si="10"/>
        <v>1890.2535000000009</v>
      </c>
      <c r="BD14" s="110">
        <f>IFERROR(+LOOKUP(AY14,[9]TARIFAS!$A$4:$B$14,[9]TARIFAS!$C$4:$C$14),0)</f>
        <v>3030.6</v>
      </c>
      <c r="BE14" s="110">
        <f t="shared" si="11"/>
        <v>4920.8500000000004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5063.04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v>151.8912</v>
      </c>
      <c r="T15" s="101" t="s">
        <v>37</v>
      </c>
      <c r="U15" s="102">
        <v>1712</v>
      </c>
      <c r="V15" s="104">
        <v>522.91120000000001</v>
      </c>
      <c r="W15" s="101" t="s">
        <v>37</v>
      </c>
      <c r="X15" s="102">
        <v>1321</v>
      </c>
      <c r="Y15" s="104">
        <v>1687.68</v>
      </c>
      <c r="Z15" s="104">
        <f t="shared" si="2"/>
        <v>7582.476200000001</v>
      </c>
      <c r="AA15" s="101" t="s">
        <v>39</v>
      </c>
      <c r="AB15" s="102">
        <v>1431</v>
      </c>
      <c r="AC15" s="104">
        <f t="shared" si="4"/>
        <v>480.98880000000003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40</v>
      </c>
      <c r="AI15" s="103">
        <v>711.94</v>
      </c>
      <c r="AJ15" s="101" t="s">
        <v>39</v>
      </c>
      <c r="AK15" s="105" t="s">
        <v>41</v>
      </c>
      <c r="AL15" s="103">
        <v>50.630400000000002</v>
      </c>
      <c r="AM15" s="101" t="s">
        <v>39</v>
      </c>
      <c r="AN15" s="105" t="s">
        <v>42</v>
      </c>
      <c r="AO15" s="115">
        <v>130.14999999999986</v>
      </c>
      <c r="AP15" s="101" t="s">
        <v>39</v>
      </c>
      <c r="AQ15" s="105" t="s">
        <v>41</v>
      </c>
      <c r="AR15" s="103"/>
      <c r="AS15" s="104">
        <f t="shared" si="5"/>
        <v>1373.7092</v>
      </c>
      <c r="AT15" s="106">
        <f t="shared" si="3"/>
        <v>6208.7670000000007</v>
      </c>
      <c r="AU15" s="117"/>
      <c r="AV15" s="108"/>
      <c r="AW15" s="109">
        <f t="shared" si="6"/>
        <v>15</v>
      </c>
      <c r="AX15" s="109">
        <f t="shared" si="7"/>
        <v>7582.476200000001</v>
      </c>
      <c r="AY15" s="110">
        <f t="shared" si="8"/>
        <v>7582.476200000001</v>
      </c>
      <c r="AZ15" s="110">
        <f>IFERROR(+LOOKUP(AY15,[9]TARIFAS!$A$4:$B$14,[9]TARIFAS!$A$4:$A$14),0)</f>
        <v>5081.41</v>
      </c>
      <c r="BA15" s="110">
        <f t="shared" si="9"/>
        <v>2501.0662000000011</v>
      </c>
      <c r="BB15" s="110">
        <f>IFERROR(+LOOKUP(AY15,[9]TARIFAS!$A$4:$B$14,[9]TARIFAS!$D$4:$D$14),0)</f>
        <v>21.36</v>
      </c>
      <c r="BC15" s="110">
        <f t="shared" si="10"/>
        <v>534.22774032000018</v>
      </c>
      <c r="BD15" s="110">
        <f>IFERROR(+LOOKUP(AY15,[9]TARIFAS!$A$4:$B$14,[9]TARIFAS!$C$4:$C$14),0)</f>
        <v>538.20000000000005</v>
      </c>
      <c r="BE15" s="110">
        <f t="shared" si="11"/>
        <v>1072.43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6572.35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v>197.1705</v>
      </c>
      <c r="T16" s="101" t="s">
        <v>37</v>
      </c>
      <c r="U16" s="102">
        <v>1712</v>
      </c>
      <c r="V16" s="104">
        <v>603.4905</v>
      </c>
      <c r="W16" s="101" t="s">
        <v>37</v>
      </c>
      <c r="X16" s="102">
        <v>1321</v>
      </c>
      <c r="Y16" s="104">
        <v>2190.7800000000002</v>
      </c>
      <c r="Z16" s="104">
        <f t="shared" si="2"/>
        <v>9819.0555000000004</v>
      </c>
      <c r="AA16" s="101" t="s">
        <v>39</v>
      </c>
      <c r="AB16" s="102">
        <v>1431</v>
      </c>
      <c r="AC16" s="104">
        <f t="shared" si="4"/>
        <v>624.3732500000001</v>
      </c>
      <c r="AD16" s="101" t="s">
        <v>39</v>
      </c>
      <c r="AE16" s="105" t="s">
        <v>40</v>
      </c>
      <c r="AF16" s="103">
        <v>1289</v>
      </c>
      <c r="AG16" s="101" t="s">
        <v>39</v>
      </c>
      <c r="AH16" s="105" t="s">
        <v>40</v>
      </c>
      <c r="AI16" s="103">
        <v>1082.21</v>
      </c>
      <c r="AJ16" s="101" t="s">
        <v>39</v>
      </c>
      <c r="AK16" s="105" t="s">
        <v>41</v>
      </c>
      <c r="AL16" s="103">
        <v>65.723500000000001</v>
      </c>
      <c r="AM16" s="101" t="s">
        <v>39</v>
      </c>
      <c r="AN16" s="105" t="s">
        <v>42</v>
      </c>
      <c r="AO16" s="103">
        <v>237.61000000000013</v>
      </c>
      <c r="AP16" s="101" t="s">
        <v>39</v>
      </c>
      <c r="AQ16" s="105" t="s">
        <v>41</v>
      </c>
      <c r="AR16" s="103"/>
      <c r="AS16" s="104">
        <f t="shared" si="5"/>
        <v>3298.9167500000003</v>
      </c>
      <c r="AT16" s="106">
        <f t="shared" si="3"/>
        <v>6520.1387500000001</v>
      </c>
      <c r="AU16" s="113"/>
      <c r="AV16" s="108"/>
      <c r="AW16" s="109">
        <f t="shared" si="6"/>
        <v>15</v>
      </c>
      <c r="AX16" s="109">
        <f t="shared" si="7"/>
        <v>9819.0555000000004</v>
      </c>
      <c r="AY16" s="110">
        <f t="shared" si="8"/>
        <v>9819.0555000000004</v>
      </c>
      <c r="AZ16" s="110">
        <f>IFERROR(+LOOKUP(AY16,[9]TARIFAS!$A$4:$B$14,[9]TARIFAS!$A$4:$A$14),0)</f>
        <v>5081.41</v>
      </c>
      <c r="BA16" s="110">
        <f t="shared" si="9"/>
        <v>4737.6455000000005</v>
      </c>
      <c r="BB16" s="110">
        <f>IFERROR(+LOOKUP(AY16,[9]TARIFAS!$A$4:$B$14,[9]TARIFAS!$D$4:$D$14),0)</f>
        <v>21.36</v>
      </c>
      <c r="BC16" s="110">
        <f t="shared" si="10"/>
        <v>1011.9610788000001</v>
      </c>
      <c r="BD16" s="110">
        <f>IFERROR(+LOOKUP(AY16,[9]TARIFAS!$A$4:$B$14,[9]TARIFAS!$C$4:$C$14),0)</f>
        <v>538.20000000000005</v>
      </c>
      <c r="BE16" s="110">
        <f t="shared" si="11"/>
        <v>1550.16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5958.94</v>
      </c>
      <c r="L17" s="101" t="s">
        <v>37</v>
      </c>
      <c r="M17" s="102">
        <v>1311</v>
      </c>
      <c r="N17" s="103">
        <v>91.54</v>
      </c>
      <c r="O17" s="101" t="s">
        <v>37</v>
      </c>
      <c r="P17" s="102">
        <v>1713</v>
      </c>
      <c r="Q17" s="101">
        <v>318.7</v>
      </c>
      <c r="R17" s="103">
        <v>368.41</v>
      </c>
      <c r="S17" s="103">
        <v>178.76819999999998</v>
      </c>
      <c r="T17" s="101" t="s">
        <v>37</v>
      </c>
      <c r="U17" s="102">
        <v>1712</v>
      </c>
      <c r="V17" s="104">
        <v>547.17820000000006</v>
      </c>
      <c r="W17" s="101" t="s">
        <v>37</v>
      </c>
      <c r="X17" s="102">
        <v>1321</v>
      </c>
      <c r="Y17" s="104">
        <v>2190.7800000000002</v>
      </c>
      <c r="Z17" s="104">
        <f t="shared" si="2"/>
        <v>9107.1381999999994</v>
      </c>
      <c r="AA17" s="101" t="s">
        <v>39</v>
      </c>
      <c r="AB17" s="102">
        <v>1431</v>
      </c>
      <c r="AC17" s="104">
        <v>624.37</v>
      </c>
      <c r="AD17" s="101" t="s">
        <v>39</v>
      </c>
      <c r="AE17" s="105" t="s">
        <v>40</v>
      </c>
      <c r="AF17" s="103">
        <v>1718.37</v>
      </c>
      <c r="AG17" s="101" t="s">
        <v>39</v>
      </c>
      <c r="AH17" s="105" t="s">
        <v>40</v>
      </c>
      <c r="AI17" s="103">
        <v>930.14</v>
      </c>
      <c r="AJ17" s="101" t="s">
        <v>39</v>
      </c>
      <c r="AK17" s="105" t="s">
        <v>41</v>
      </c>
      <c r="AL17" s="103">
        <v>59.589399999999998</v>
      </c>
      <c r="AM17" s="101" t="s">
        <v>39</v>
      </c>
      <c r="AN17" s="105" t="s">
        <v>42</v>
      </c>
      <c r="AO17" s="103">
        <v>237.61000000000013</v>
      </c>
      <c r="AP17" s="101" t="s">
        <v>39</v>
      </c>
      <c r="AQ17" s="105" t="s">
        <v>41</v>
      </c>
      <c r="AR17" s="103"/>
      <c r="AS17" s="104">
        <f t="shared" si="5"/>
        <v>3570.0793999999996</v>
      </c>
      <c r="AT17" s="106">
        <f t="shared" si="3"/>
        <v>5537.0587999999998</v>
      </c>
      <c r="AU17" s="113"/>
      <c r="AV17" s="108"/>
      <c r="AW17" s="109">
        <f t="shared" si="6"/>
        <v>15</v>
      </c>
      <c r="AX17" s="109">
        <f t="shared" si="7"/>
        <v>9107.1381999999994</v>
      </c>
      <c r="AY17" s="110">
        <f t="shared" si="8"/>
        <v>9107.1381999999994</v>
      </c>
      <c r="AZ17" s="110">
        <f>IFERROR(+LOOKUP(AY17,[9]TARIFAS!$A$4:$B$14,[9]TARIFAS!$A$4:$A$14),0)</f>
        <v>5081.41</v>
      </c>
      <c r="BA17" s="110">
        <f t="shared" si="9"/>
        <v>4025.7281999999996</v>
      </c>
      <c r="BB17" s="110">
        <f>IFERROR(+LOOKUP(AY17,[9]TARIFAS!$A$4:$B$14,[9]TARIFAS!$D$4:$D$14),0)</f>
        <v>21.36</v>
      </c>
      <c r="BC17" s="110">
        <f t="shared" si="10"/>
        <v>859.89554351999993</v>
      </c>
      <c r="BD17" s="110">
        <f>IFERROR(+LOOKUP(AY17,[9]TARIFAS!$A$4:$B$14,[9]TARIFAS!$C$4:$C$14),0)</f>
        <v>538.20000000000005</v>
      </c>
      <c r="BE17" s="110">
        <f t="shared" si="11"/>
        <v>1398.1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7713.23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v>231.39689999999999</v>
      </c>
      <c r="T18" s="101" t="s">
        <v>37</v>
      </c>
      <c r="U18" s="102">
        <v>1712</v>
      </c>
      <c r="V18" s="104">
        <v>649.83690000000001</v>
      </c>
      <c r="W18" s="101" t="s">
        <v>37</v>
      </c>
      <c r="X18" s="102">
        <v>1321</v>
      </c>
      <c r="Y18" s="104">
        <v>2571.0500000000002</v>
      </c>
      <c r="Z18" s="104">
        <f t="shared" si="2"/>
        <v>11317.141899999999</v>
      </c>
      <c r="AA18" s="101" t="s">
        <v>39</v>
      </c>
      <c r="AB18" s="102">
        <v>1431</v>
      </c>
      <c r="AC18" s="104">
        <f t="shared" si="4"/>
        <v>732.75684999999999</v>
      </c>
      <c r="AD18" s="101" t="s">
        <v>39</v>
      </c>
      <c r="AE18" s="105" t="s">
        <v>40</v>
      </c>
      <c r="AF18" s="104">
        <v>4351.6799999999994</v>
      </c>
      <c r="AG18" s="101" t="s">
        <v>39</v>
      </c>
      <c r="AH18" s="105" t="s">
        <v>40</v>
      </c>
      <c r="AI18" s="103">
        <v>1320.98</v>
      </c>
      <c r="AJ18" s="101" t="s">
        <v>39</v>
      </c>
      <c r="AK18" s="105" t="s">
        <v>41</v>
      </c>
      <c r="AL18" s="103">
        <v>77.132300000000001</v>
      </c>
      <c r="AM18" s="101" t="s">
        <v>39</v>
      </c>
      <c r="AN18" s="105" t="s">
        <v>42</v>
      </c>
      <c r="AO18" s="103">
        <v>318.82999999999993</v>
      </c>
      <c r="AP18" s="101" t="s">
        <v>39</v>
      </c>
      <c r="AQ18" s="105" t="s">
        <v>41</v>
      </c>
      <c r="AR18" s="103"/>
      <c r="AS18" s="104">
        <f t="shared" si="5"/>
        <v>6801.3791499999998</v>
      </c>
      <c r="AT18" s="106">
        <f t="shared" si="3"/>
        <v>4515.762749999999</v>
      </c>
      <c r="AU18" s="113"/>
      <c r="AV18" s="108"/>
      <c r="AW18" s="109">
        <f t="shared" si="6"/>
        <v>15</v>
      </c>
      <c r="AX18" s="109">
        <f t="shared" si="7"/>
        <v>11317.141899999999</v>
      </c>
      <c r="AY18" s="110">
        <f t="shared" si="8"/>
        <v>11317.141899999999</v>
      </c>
      <c r="AZ18" s="110">
        <f>IFERROR(+LOOKUP(AY18,[9]TARIFAS!$A$4:$B$14,[9]TARIFAS!$A$4:$A$14),0)</f>
        <v>10248.459999999999</v>
      </c>
      <c r="BA18" s="110">
        <f t="shared" si="9"/>
        <v>1068.6818999999996</v>
      </c>
      <c r="BB18" s="110">
        <f>IFERROR(+LOOKUP(AY18,[9]TARIFAS!$A$4:$B$14,[9]TARIFAS!$D$4:$D$14),0)</f>
        <v>23.52</v>
      </c>
      <c r="BC18" s="110">
        <f t="shared" si="10"/>
        <v>251.3539828799999</v>
      </c>
      <c r="BD18" s="110">
        <f>IFERROR(+LOOKUP(AY18,[9]TARIFAS!$A$4:$B$14,[9]TARIFAS!$C$4:$C$14),0)</f>
        <v>1641.75</v>
      </c>
      <c r="BE18" s="110">
        <f t="shared" si="11"/>
        <v>1893.1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v>6572.35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v>197.1705</v>
      </c>
      <c r="T19" s="101" t="s">
        <v>37</v>
      </c>
      <c r="U19" s="102">
        <v>1712</v>
      </c>
      <c r="V19" s="104">
        <v>603.4905</v>
      </c>
      <c r="W19" s="101" t="s">
        <v>37</v>
      </c>
      <c r="X19" s="102">
        <v>1321</v>
      </c>
      <c r="Y19" s="104">
        <v>2190.7800000000002</v>
      </c>
      <c r="Z19" s="104">
        <f t="shared" si="2"/>
        <v>9785.4105</v>
      </c>
      <c r="AA19" s="101" t="s">
        <v>39</v>
      </c>
      <c r="AB19" s="102">
        <v>1431</v>
      </c>
      <c r="AC19" s="104">
        <f t="shared" si="4"/>
        <v>624.3732500000001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40</v>
      </c>
      <c r="AI19" s="103">
        <v>1075.02</v>
      </c>
      <c r="AJ19" s="101" t="s">
        <v>39</v>
      </c>
      <c r="AK19" s="105" t="s">
        <v>41</v>
      </c>
      <c r="AL19" s="103">
        <v>65.723500000000001</v>
      </c>
      <c r="AM19" s="101" t="s">
        <v>39</v>
      </c>
      <c r="AN19" s="105" t="s">
        <v>42</v>
      </c>
      <c r="AO19" s="103">
        <v>251.99000000000024</v>
      </c>
      <c r="AP19" s="101" t="s">
        <v>39</v>
      </c>
      <c r="AQ19" s="105" t="s">
        <v>41</v>
      </c>
      <c r="AR19" s="103"/>
      <c r="AS19" s="104">
        <f t="shared" si="5"/>
        <v>2419.1067500000004</v>
      </c>
      <c r="AT19" s="106">
        <f t="shared" si="3"/>
        <v>7366.3037499999991</v>
      </c>
      <c r="AU19" s="113"/>
      <c r="AV19" s="108"/>
      <c r="AW19" s="109">
        <f t="shared" si="6"/>
        <v>15</v>
      </c>
      <c r="AX19" s="109">
        <f t="shared" si="7"/>
        <v>9785.4105</v>
      </c>
      <c r="AY19" s="110">
        <f t="shared" si="8"/>
        <v>9785.4105</v>
      </c>
      <c r="AZ19" s="110">
        <f>IFERROR(+LOOKUP(AY19,[9]TARIFAS!$A$4:$B$14,[9]TARIFAS!$A$4:$A$14),0)</f>
        <v>5081.41</v>
      </c>
      <c r="BA19" s="110">
        <f t="shared" si="9"/>
        <v>4704.0005000000001</v>
      </c>
      <c r="BB19" s="110">
        <f>IFERROR(+LOOKUP(AY19,[9]TARIFAS!$A$4:$B$14,[9]TARIFAS!$D$4:$D$14),0)</f>
        <v>21.36</v>
      </c>
      <c r="BC19" s="110">
        <f t="shared" si="10"/>
        <v>1004.7745067999999</v>
      </c>
      <c r="BD19" s="110">
        <f>IFERROR(+LOOKUP(AY19,[9]TARIFAS!$A$4:$B$14,[9]TARIFAS!$C$4:$C$14),0)</f>
        <v>538.20000000000005</v>
      </c>
      <c r="BE19" s="110">
        <f t="shared" si="11"/>
        <v>1542.97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5414.82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v>162.44459999999998</v>
      </c>
      <c r="T20" s="101" t="s">
        <v>37</v>
      </c>
      <c r="U20" s="102">
        <v>1712</v>
      </c>
      <c r="V20" s="104">
        <v>541.04459999999995</v>
      </c>
      <c r="W20" s="101" t="s">
        <v>37</v>
      </c>
      <c r="X20" s="102">
        <v>1321</v>
      </c>
      <c r="Y20" s="104">
        <v>1804.94</v>
      </c>
      <c r="Z20" s="104">
        <f t="shared" si="2"/>
        <v>8039.534599999999</v>
      </c>
      <c r="AA20" s="101" t="s">
        <v>39</v>
      </c>
      <c r="AB20" s="102">
        <v>1431</v>
      </c>
      <c r="AC20" s="104">
        <f t="shared" si="4"/>
        <v>514.40789999999993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40</v>
      </c>
      <c r="AI20" s="103">
        <v>784.52</v>
      </c>
      <c r="AJ20" s="101" t="s">
        <v>39</v>
      </c>
      <c r="AK20" s="105" t="s">
        <v>41</v>
      </c>
      <c r="AL20" s="103">
        <v>54.148199999999996</v>
      </c>
      <c r="AM20" s="101" t="s">
        <v>39</v>
      </c>
      <c r="AN20" s="105" t="s">
        <v>42</v>
      </c>
      <c r="AO20" s="103">
        <v>155.20000000000005</v>
      </c>
      <c r="AP20" s="101" t="s">
        <v>39</v>
      </c>
      <c r="AQ20" s="105" t="s">
        <v>41</v>
      </c>
      <c r="AR20" s="103"/>
      <c r="AS20" s="104">
        <f t="shared" si="5"/>
        <v>1508.2761</v>
      </c>
      <c r="AT20" s="106">
        <f t="shared" si="3"/>
        <v>6531.258499999999</v>
      </c>
      <c r="AU20" s="113"/>
      <c r="AV20" s="108"/>
      <c r="AW20" s="109">
        <f t="shared" si="6"/>
        <v>15</v>
      </c>
      <c r="AX20" s="109">
        <f t="shared" si="7"/>
        <v>8039.534599999999</v>
      </c>
      <c r="AY20" s="110">
        <f t="shared" si="8"/>
        <v>8039.5345999999981</v>
      </c>
      <c r="AZ20" s="110">
        <f>IFERROR(+LOOKUP(AY20,[9]TARIFAS!$A$4:$B$14,[9]TARIFAS!$A$4:$A$14),0)</f>
        <v>5081.41</v>
      </c>
      <c r="BA20" s="110">
        <f t="shared" si="9"/>
        <v>2958.1245999999983</v>
      </c>
      <c r="BB20" s="110">
        <f>IFERROR(+LOOKUP(AY20,[9]TARIFAS!$A$4:$B$14,[9]TARIFAS!$D$4:$D$14),0)</f>
        <v>21.36</v>
      </c>
      <c r="BC20" s="110">
        <f t="shared" si="10"/>
        <v>631.85541455999964</v>
      </c>
      <c r="BD20" s="110">
        <f>IFERROR(+LOOKUP(AY20,[9]TARIFAS!$A$4:$B$14,[9]TARIFAS!$C$4:$C$14),0)</f>
        <v>538.20000000000005</v>
      </c>
      <c r="BE20" s="110">
        <f t="shared" si="11"/>
        <v>1170.06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v>6572.35</v>
      </c>
      <c r="L21" s="101" t="s">
        <v>37</v>
      </c>
      <c r="M21" s="102">
        <v>1311</v>
      </c>
      <c r="N21" s="115">
        <v>100.94</v>
      </c>
      <c r="O21" s="101" t="s">
        <v>37</v>
      </c>
      <c r="P21" s="102">
        <v>1713</v>
      </c>
      <c r="Q21" s="115">
        <v>351.5</v>
      </c>
      <c r="R21" s="115">
        <v>406.32</v>
      </c>
      <c r="S21" s="103">
        <v>197.1705</v>
      </c>
      <c r="T21" s="101" t="s">
        <v>37</v>
      </c>
      <c r="U21" s="102">
        <v>1712</v>
      </c>
      <c r="V21" s="104">
        <v>603.4905</v>
      </c>
      <c r="W21" s="101" t="s">
        <v>37</v>
      </c>
      <c r="X21" s="102">
        <v>1321</v>
      </c>
      <c r="Y21" s="104">
        <v>2190.7800000000002</v>
      </c>
      <c r="Z21" s="104">
        <f t="shared" si="2"/>
        <v>9819.0604999999996</v>
      </c>
      <c r="AA21" s="101" t="s">
        <v>39</v>
      </c>
      <c r="AB21" s="102">
        <v>1431</v>
      </c>
      <c r="AC21" s="104">
        <f t="shared" si="4"/>
        <v>624.3732500000001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40</v>
      </c>
      <c r="AI21" s="103">
        <v>1082.21</v>
      </c>
      <c r="AJ21" s="101" t="s">
        <v>39</v>
      </c>
      <c r="AK21" s="105" t="s">
        <v>41</v>
      </c>
      <c r="AL21" s="103">
        <v>0</v>
      </c>
      <c r="AM21" s="101" t="s">
        <v>39</v>
      </c>
      <c r="AN21" s="105" t="s">
        <v>42</v>
      </c>
      <c r="AO21" s="115">
        <v>237.61000000000013</v>
      </c>
      <c r="AP21" s="101" t="s">
        <v>39</v>
      </c>
      <c r="AQ21" s="105" t="s">
        <v>41</v>
      </c>
      <c r="AR21" s="103"/>
      <c r="AS21" s="104">
        <f t="shared" si="5"/>
        <v>3349.1932500000003</v>
      </c>
      <c r="AT21" s="106">
        <f t="shared" si="3"/>
        <v>6469.8672499999993</v>
      </c>
      <c r="AU21" s="113"/>
      <c r="AV21" s="108"/>
      <c r="AW21" s="109">
        <f t="shared" si="6"/>
        <v>15</v>
      </c>
      <c r="AX21" s="109">
        <f t="shared" si="7"/>
        <v>9819.0604999999996</v>
      </c>
      <c r="AY21" s="110">
        <f t="shared" si="8"/>
        <v>9819.0604999999996</v>
      </c>
      <c r="AZ21" s="110">
        <f>IFERROR(+LOOKUP(AY21,[9]TARIFAS!$A$4:$B$14,[9]TARIFAS!$A$4:$A$14),0)</f>
        <v>5081.41</v>
      </c>
      <c r="BA21" s="110">
        <f t="shared" si="9"/>
        <v>4737.6504999999997</v>
      </c>
      <c r="BB21" s="110">
        <f>IFERROR(+LOOKUP(AY21,[9]TARIFAS!$A$4:$B$14,[9]TARIFAS!$D$4:$D$14),0)</f>
        <v>21.36</v>
      </c>
      <c r="BC21" s="110">
        <f t="shared" si="10"/>
        <v>1011.9621467999999</v>
      </c>
      <c r="BD21" s="110">
        <f>IFERROR(+LOOKUP(AY21,[9]TARIFAS!$A$4:$B$14,[9]TARIFAS!$C$4:$C$14),0)</f>
        <v>538.20000000000005</v>
      </c>
      <c r="BE21" s="110">
        <f t="shared" si="11"/>
        <v>1550.16</v>
      </c>
      <c r="BF21" s="110"/>
      <c r="BG21" s="110"/>
      <c r="BH21" s="110"/>
      <c r="BI21" s="109"/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v>6572.35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v>197.1705</v>
      </c>
      <c r="T22" s="101" t="s">
        <v>37</v>
      </c>
      <c r="U22" s="102">
        <v>1712</v>
      </c>
      <c r="V22" s="104">
        <v>603.4905</v>
      </c>
      <c r="W22" s="101" t="s">
        <v>37</v>
      </c>
      <c r="X22" s="102">
        <v>1321</v>
      </c>
      <c r="Y22" s="104">
        <v>2190.7800000000002</v>
      </c>
      <c r="Z22" s="104">
        <f t="shared" si="2"/>
        <v>9785.4105</v>
      </c>
      <c r="AA22" s="101" t="s">
        <v>39</v>
      </c>
      <c r="AB22" s="102">
        <v>1431</v>
      </c>
      <c r="AC22" s="104">
        <f t="shared" si="4"/>
        <v>624.3732500000001</v>
      </c>
      <c r="AD22" s="101" t="s">
        <v>39</v>
      </c>
      <c r="AE22" s="105" t="s">
        <v>40</v>
      </c>
      <c r="AF22" s="115">
        <v>2191</v>
      </c>
      <c r="AG22" s="101" t="s">
        <v>39</v>
      </c>
      <c r="AH22" s="105" t="s">
        <v>40</v>
      </c>
      <c r="AI22" s="103">
        <v>1075.02</v>
      </c>
      <c r="AJ22" s="101" t="s">
        <v>39</v>
      </c>
      <c r="AK22" s="105" t="s">
        <v>41</v>
      </c>
      <c r="AL22" s="103">
        <v>65.723500000000001</v>
      </c>
      <c r="AM22" s="101" t="s">
        <v>39</v>
      </c>
      <c r="AN22" s="105" t="s">
        <v>42</v>
      </c>
      <c r="AO22" s="115">
        <v>237.61999999999989</v>
      </c>
      <c r="AP22" s="101" t="s">
        <v>39</v>
      </c>
      <c r="AQ22" s="105" t="s">
        <v>41</v>
      </c>
      <c r="AR22" s="103"/>
      <c r="AS22" s="104">
        <f t="shared" si="5"/>
        <v>4193.73675</v>
      </c>
      <c r="AT22" s="106">
        <f t="shared" si="3"/>
        <v>5591.6737499999999</v>
      </c>
      <c r="AU22" s="113"/>
      <c r="AV22" s="108"/>
      <c r="AW22" s="109">
        <f t="shared" si="6"/>
        <v>15</v>
      </c>
      <c r="AX22" s="109">
        <f t="shared" si="7"/>
        <v>9785.4105</v>
      </c>
      <c r="AY22" s="110">
        <f t="shared" si="8"/>
        <v>9785.4105</v>
      </c>
      <c r="AZ22" s="110">
        <f>IFERROR(+LOOKUP(AY22,[9]TARIFAS!$A$4:$B$14,[9]TARIFAS!$A$4:$A$14),0)</f>
        <v>5081.41</v>
      </c>
      <c r="BA22" s="110">
        <f t="shared" si="9"/>
        <v>4704.0005000000001</v>
      </c>
      <c r="BB22" s="110">
        <f>IFERROR(+LOOKUP(AY22,[9]TARIFAS!$A$4:$B$14,[9]TARIFAS!$D$4:$D$14),0)</f>
        <v>21.36</v>
      </c>
      <c r="BC22" s="110">
        <f t="shared" si="10"/>
        <v>1004.7745067999999</v>
      </c>
      <c r="BD22" s="110">
        <f>IFERROR(+LOOKUP(AY22,[9]TARIFAS!$A$4:$B$14,[9]TARIFAS!$C$4:$C$14),0)</f>
        <v>538.20000000000005</v>
      </c>
      <c r="BE22" s="110">
        <f t="shared" si="11"/>
        <v>1542.97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v>6572.35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v>197.1705</v>
      </c>
      <c r="T23" s="101" t="s">
        <v>37</v>
      </c>
      <c r="U23" s="102">
        <v>1712</v>
      </c>
      <c r="V23" s="104">
        <v>603.4905</v>
      </c>
      <c r="W23" s="101" t="s">
        <v>37</v>
      </c>
      <c r="X23" s="102">
        <v>1321</v>
      </c>
      <c r="Y23" s="104">
        <v>2190.7800000000002</v>
      </c>
      <c r="Z23" s="104">
        <f t="shared" si="2"/>
        <v>9718.1205000000009</v>
      </c>
      <c r="AA23" s="101" t="s">
        <v>39</v>
      </c>
      <c r="AB23" s="102">
        <v>1431</v>
      </c>
      <c r="AC23" s="104">
        <f t="shared" si="4"/>
        <v>624.3732500000001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40</v>
      </c>
      <c r="AI23" s="103">
        <v>1060.6500000000001</v>
      </c>
      <c r="AJ23" s="101" t="s">
        <v>39</v>
      </c>
      <c r="AK23" s="105" t="s">
        <v>41</v>
      </c>
      <c r="AL23" s="103">
        <v>65.723500000000001</v>
      </c>
      <c r="AM23" s="101" t="s">
        <v>39</v>
      </c>
      <c r="AN23" s="105" t="s">
        <v>42</v>
      </c>
      <c r="AO23" s="115">
        <v>237.60999999999967</v>
      </c>
      <c r="AP23" s="101" t="s">
        <v>39</v>
      </c>
      <c r="AQ23" s="105" t="s">
        <v>41</v>
      </c>
      <c r="AR23" s="103"/>
      <c r="AS23" s="104">
        <f t="shared" si="5"/>
        <v>1988.3567499999999</v>
      </c>
      <c r="AT23" s="106">
        <f t="shared" si="3"/>
        <v>7729.763750000001</v>
      </c>
      <c r="AU23" s="113"/>
      <c r="AV23" s="108"/>
      <c r="AW23" s="109">
        <f t="shared" si="6"/>
        <v>15</v>
      </c>
      <c r="AX23" s="109">
        <f t="shared" si="7"/>
        <v>9718.1205000000009</v>
      </c>
      <c r="AY23" s="110">
        <f t="shared" si="8"/>
        <v>9718.1205000000009</v>
      </c>
      <c r="AZ23" s="110">
        <f>IFERROR(+LOOKUP(AY23,[9]TARIFAS!$A$4:$B$14,[9]TARIFAS!$A$4:$A$14),0)</f>
        <v>5081.41</v>
      </c>
      <c r="BA23" s="110">
        <f t="shared" si="9"/>
        <v>4636.710500000001</v>
      </c>
      <c r="BB23" s="110">
        <f>IFERROR(+LOOKUP(AY23,[9]TARIFAS!$A$4:$B$14,[9]TARIFAS!$D$4:$D$14),0)</f>
        <v>21.36</v>
      </c>
      <c r="BC23" s="110">
        <f t="shared" si="10"/>
        <v>990.40136280000024</v>
      </c>
      <c r="BD23" s="110">
        <f>IFERROR(+LOOKUP(AY23,[9]TARIFAS!$A$4:$B$14,[9]TARIFAS!$C$4:$C$14),0)</f>
        <v>538.20000000000005</v>
      </c>
      <c r="BE23" s="110">
        <f t="shared" si="11"/>
        <v>1528.6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v>5063.04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v>151.8912</v>
      </c>
      <c r="T24" s="101" t="s">
        <v>37</v>
      </c>
      <c r="U24" s="102">
        <v>1712</v>
      </c>
      <c r="V24" s="104">
        <v>522.91120000000001</v>
      </c>
      <c r="W24" s="101" t="s">
        <v>37</v>
      </c>
      <c r="X24" s="102">
        <v>1321</v>
      </c>
      <c r="Y24" s="104">
        <v>1687.68</v>
      </c>
      <c r="Z24" s="104">
        <f t="shared" si="2"/>
        <v>7481.5411999999997</v>
      </c>
      <c r="AA24" s="101" t="s">
        <v>39</v>
      </c>
      <c r="AB24" s="102">
        <v>1431</v>
      </c>
      <c r="AC24" s="104">
        <f t="shared" si="4"/>
        <v>480.98880000000003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40</v>
      </c>
      <c r="AI24" s="103">
        <v>690.38</v>
      </c>
      <c r="AJ24" s="101" t="s">
        <v>39</v>
      </c>
      <c r="AK24" s="105" t="s">
        <v>41</v>
      </c>
      <c r="AL24" s="103">
        <v>50.630400000000002</v>
      </c>
      <c r="AM24" s="101" t="s">
        <v>39</v>
      </c>
      <c r="AN24" s="105" t="s">
        <v>42</v>
      </c>
      <c r="AO24" s="115">
        <v>130.15000000000009</v>
      </c>
      <c r="AP24" s="101" t="s">
        <v>39</v>
      </c>
      <c r="AQ24" s="105" t="s">
        <v>41</v>
      </c>
      <c r="AR24" s="103"/>
      <c r="AS24" s="104">
        <f t="shared" si="5"/>
        <v>1352.1492000000001</v>
      </c>
      <c r="AT24" s="106">
        <f t="shared" si="3"/>
        <v>6129.3919999999998</v>
      </c>
      <c r="AU24" s="113"/>
      <c r="AV24" s="108"/>
      <c r="AW24" s="109">
        <f t="shared" si="6"/>
        <v>15</v>
      </c>
      <c r="AX24" s="109">
        <f t="shared" si="7"/>
        <v>7481.5411999999997</v>
      </c>
      <c r="AY24" s="110">
        <f t="shared" si="8"/>
        <v>7481.5411999999997</v>
      </c>
      <c r="AZ24" s="110">
        <f>IFERROR(+LOOKUP(AY24,[9]TARIFAS!$A$4:$B$14,[9]TARIFAS!$A$4:$A$14),0)</f>
        <v>5081.41</v>
      </c>
      <c r="BA24" s="110">
        <f t="shared" si="9"/>
        <v>2400.1311999999998</v>
      </c>
      <c r="BB24" s="110">
        <f>IFERROR(+LOOKUP(AY24,[9]TARIFAS!$A$4:$B$14,[9]TARIFAS!$D$4:$D$14),0)</f>
        <v>21.36</v>
      </c>
      <c r="BC24" s="110">
        <f t="shared" si="10"/>
        <v>512.66802431999997</v>
      </c>
      <c r="BD24" s="110">
        <f>IFERROR(+LOOKUP(AY24,[9]TARIFAS!$A$4:$B$14,[9]TARIFAS!$C$4:$C$14),0)</f>
        <v>538.20000000000005</v>
      </c>
      <c r="BE24" s="110">
        <f t="shared" si="11"/>
        <v>1050.8699999999999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v>6572.35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v>197.1705</v>
      </c>
      <c r="T25" s="101" t="s">
        <v>37</v>
      </c>
      <c r="U25" s="102">
        <v>1712</v>
      </c>
      <c r="V25" s="104">
        <v>603.4905</v>
      </c>
      <c r="W25" s="101" t="s">
        <v>37</v>
      </c>
      <c r="X25" s="102">
        <v>1321</v>
      </c>
      <c r="Y25" s="104">
        <v>2190.7800000000002</v>
      </c>
      <c r="Z25" s="104">
        <f t="shared" si="2"/>
        <v>9718.1205000000009</v>
      </c>
      <c r="AA25" s="101" t="s">
        <v>39</v>
      </c>
      <c r="AB25" s="102">
        <v>1431</v>
      </c>
      <c r="AC25" s="104">
        <f t="shared" si="4"/>
        <v>624.3732500000001</v>
      </c>
      <c r="AD25" s="101" t="s">
        <v>39</v>
      </c>
      <c r="AE25" s="105" t="s">
        <v>40</v>
      </c>
      <c r="AF25" s="115">
        <v>0</v>
      </c>
      <c r="AG25" s="101" t="s">
        <v>39</v>
      </c>
      <c r="AH25" s="105" t="s">
        <v>40</v>
      </c>
      <c r="AI25" s="103">
        <v>1060.6500000000001</v>
      </c>
      <c r="AJ25" s="101" t="s">
        <v>39</v>
      </c>
      <c r="AK25" s="105" t="s">
        <v>41</v>
      </c>
      <c r="AL25" s="103">
        <v>65.723500000000001</v>
      </c>
      <c r="AM25" s="101" t="s">
        <v>39</v>
      </c>
      <c r="AN25" s="105" t="s">
        <v>42</v>
      </c>
      <c r="AO25" s="115">
        <v>237.60999999999967</v>
      </c>
      <c r="AP25" s="101" t="s">
        <v>39</v>
      </c>
      <c r="AQ25" s="105" t="s">
        <v>41</v>
      </c>
      <c r="AR25" s="103"/>
      <c r="AS25" s="104">
        <f t="shared" si="5"/>
        <v>1988.3567499999999</v>
      </c>
      <c r="AT25" s="106">
        <f t="shared" si="3"/>
        <v>7729.763750000001</v>
      </c>
      <c r="AU25" s="113"/>
      <c r="AV25" s="108"/>
      <c r="AW25" s="109">
        <f t="shared" si="6"/>
        <v>15</v>
      </c>
      <c r="AX25" s="109">
        <f t="shared" si="7"/>
        <v>9718.1205000000009</v>
      </c>
      <c r="AY25" s="110">
        <f t="shared" si="8"/>
        <v>9718.1205000000009</v>
      </c>
      <c r="AZ25" s="110">
        <f>IFERROR(+LOOKUP(AY25,[9]TARIFAS!$A$4:$B$14,[9]TARIFAS!$A$4:$A$14),0)</f>
        <v>5081.41</v>
      </c>
      <c r="BA25" s="110">
        <f t="shared" si="9"/>
        <v>4636.710500000001</v>
      </c>
      <c r="BB25" s="110">
        <f>IFERROR(+LOOKUP(AY25,[9]TARIFAS!$A$4:$B$14,[9]TARIFAS!$D$4:$D$14),0)</f>
        <v>21.36</v>
      </c>
      <c r="BC25" s="110">
        <f t="shared" si="10"/>
        <v>990.40136280000024</v>
      </c>
      <c r="BD25" s="110">
        <f>IFERROR(+LOOKUP(AY25,[9]TARIFAS!$A$4:$B$14,[9]TARIFAS!$C$4:$C$14),0)</f>
        <v>538.20000000000005</v>
      </c>
      <c r="BE25" s="110">
        <f t="shared" si="11"/>
        <v>1528.6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v>5063.04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v>151.8912</v>
      </c>
      <c r="T26" s="101" t="s">
        <v>37</v>
      </c>
      <c r="U26" s="102">
        <v>1712</v>
      </c>
      <c r="V26" s="104">
        <v>522.91120000000001</v>
      </c>
      <c r="W26" s="101" t="s">
        <v>37</v>
      </c>
      <c r="X26" s="102">
        <v>1321</v>
      </c>
      <c r="Y26" s="104">
        <v>1687.68</v>
      </c>
      <c r="Z26" s="104">
        <f t="shared" si="2"/>
        <v>7481.5411999999997</v>
      </c>
      <c r="AA26" s="101" t="s">
        <v>39</v>
      </c>
      <c r="AB26" s="102">
        <v>1431</v>
      </c>
      <c r="AC26" s="104">
        <f t="shared" si="4"/>
        <v>480.98880000000003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40</v>
      </c>
      <c r="AI26" s="103">
        <v>690.38</v>
      </c>
      <c r="AJ26" s="101" t="s">
        <v>39</v>
      </c>
      <c r="AK26" s="105" t="s">
        <v>41</v>
      </c>
      <c r="AL26" s="103">
        <v>50.630400000000002</v>
      </c>
      <c r="AM26" s="101" t="s">
        <v>39</v>
      </c>
      <c r="AN26" s="105" t="s">
        <v>42</v>
      </c>
      <c r="AO26" s="115">
        <v>130.15000000000009</v>
      </c>
      <c r="AP26" s="101" t="s">
        <v>39</v>
      </c>
      <c r="AQ26" s="105" t="s">
        <v>41</v>
      </c>
      <c r="AR26" s="103"/>
      <c r="AS26" s="104">
        <f t="shared" si="5"/>
        <v>1352.1492000000001</v>
      </c>
      <c r="AT26" s="106">
        <f t="shared" si="3"/>
        <v>6129.3919999999998</v>
      </c>
      <c r="AU26" s="113"/>
      <c r="AV26" s="108"/>
      <c r="AW26" s="109">
        <f t="shared" si="6"/>
        <v>15</v>
      </c>
      <c r="AX26" s="109">
        <f t="shared" si="7"/>
        <v>7481.5411999999997</v>
      </c>
      <c r="AY26" s="110">
        <f t="shared" si="8"/>
        <v>7481.5411999999997</v>
      </c>
      <c r="AZ26" s="110">
        <f>IFERROR(+LOOKUP(AY26,[9]TARIFAS!$A$4:$B$14,[9]TARIFAS!$A$4:$A$14),0)</f>
        <v>5081.41</v>
      </c>
      <c r="BA26" s="110">
        <f t="shared" si="9"/>
        <v>2400.1311999999998</v>
      </c>
      <c r="BB26" s="110">
        <f>IFERROR(+LOOKUP(AY26,[9]TARIFAS!$A$4:$B$14,[9]TARIFAS!$D$4:$D$14),0)</f>
        <v>21.36</v>
      </c>
      <c r="BC26" s="110">
        <f t="shared" si="10"/>
        <v>512.66802431999997</v>
      </c>
      <c r="BD26" s="110">
        <f>IFERROR(+LOOKUP(AY26,[9]TARIFAS!$A$4:$B$14,[9]TARIFAS!$C$4:$C$14),0)</f>
        <v>538.20000000000005</v>
      </c>
      <c r="BE26" s="110">
        <f t="shared" si="11"/>
        <v>1050.8699999999999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1" t="s">
        <v>37</v>
      </c>
      <c r="G27" s="101" t="s">
        <v>38</v>
      </c>
      <c r="H27" s="101">
        <v>15</v>
      </c>
      <c r="I27" s="101">
        <v>1029.4333333333334</v>
      </c>
      <c r="J27" s="160" t="s">
        <v>146</v>
      </c>
      <c r="K27" s="101">
        <v>15441.5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566.5</v>
      </c>
      <c r="R27" s="115">
        <v>835.5</v>
      </c>
      <c r="S27" s="103">
        <v>463.245</v>
      </c>
      <c r="T27" s="101" t="s">
        <v>37</v>
      </c>
      <c r="U27" s="102">
        <v>1712</v>
      </c>
      <c r="V27" s="104">
        <v>1298.7449999999999</v>
      </c>
      <c r="W27" s="101" t="s">
        <v>37</v>
      </c>
      <c r="X27" s="102">
        <v>1321</v>
      </c>
      <c r="Y27" s="104">
        <v>5147.16</v>
      </c>
      <c r="Z27" s="104">
        <f t="shared" si="2"/>
        <v>22453.904999999999</v>
      </c>
      <c r="AA27" s="101" t="s">
        <v>39</v>
      </c>
      <c r="AB27" s="102">
        <v>1431</v>
      </c>
      <c r="AC27" s="104">
        <f t="shared" si="4"/>
        <v>1466.9425000000001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40</v>
      </c>
      <c r="AI27" s="103">
        <v>3376.71</v>
      </c>
      <c r="AJ27" s="101" t="s">
        <v>39</v>
      </c>
      <c r="AK27" s="105" t="s">
        <v>41</v>
      </c>
      <c r="AL27" s="103">
        <v>0</v>
      </c>
      <c r="AM27" s="101" t="s">
        <v>39</v>
      </c>
      <c r="AN27" s="105" t="s">
        <v>42</v>
      </c>
      <c r="AO27" s="115">
        <v>1192.8699999999999</v>
      </c>
      <c r="AP27" s="101" t="s">
        <v>39</v>
      </c>
      <c r="AQ27" s="105" t="s">
        <v>41</v>
      </c>
      <c r="AR27" s="103"/>
      <c r="AS27" s="104">
        <f t="shared" si="5"/>
        <v>6036.5225</v>
      </c>
      <c r="AT27" s="106">
        <f t="shared" si="3"/>
        <v>16417.3825</v>
      </c>
      <c r="AU27" s="113"/>
      <c r="AV27" s="108"/>
      <c r="AW27" s="111">
        <f t="shared" si="6"/>
        <v>15</v>
      </c>
      <c r="AX27" s="109">
        <f t="shared" si="7"/>
        <v>22453.905000000002</v>
      </c>
      <c r="AY27" s="119">
        <f>IFERROR(+AX27/AW27,0)*AW27</f>
        <v>22453.905000000002</v>
      </c>
      <c r="AZ27" s="119">
        <f>IFERROR(+LOOKUP(AY27,[9]TARIFAS!$A$4:$B$14,[9]TARIFAS!$A$4:$A$14),0)</f>
        <v>16153.06</v>
      </c>
      <c r="BA27" s="119">
        <f>+AY27-AZ27</f>
        <v>6300.845000000003</v>
      </c>
      <c r="BB27" s="119">
        <f>IFERROR(+LOOKUP(AY27,[9]TARIFAS!$A$4:$B$14,[9]TARIFAS!$D$4:$D$14),0)</f>
        <v>30</v>
      </c>
      <c r="BC27" s="119">
        <f>(+BA27*BB27)/100</f>
        <v>1890.2535000000009</v>
      </c>
      <c r="BD27" s="119">
        <f>IFERROR(+LOOKUP(AY27,[9]TARIFAS!$A$4:$B$14,[9]TARIFAS!$C$4:$C$14),0)</f>
        <v>3030.6</v>
      </c>
      <c r="BE27" s="119">
        <f>ROUND(+BC27+BD27,2)</f>
        <v>4920.8500000000004</v>
      </c>
      <c r="BF27" s="119"/>
      <c r="BG27" s="119"/>
      <c r="BH27" s="119"/>
      <c r="BJ27" s="120"/>
    </row>
    <row r="28" spans="1:62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1" t="s">
        <v>37</v>
      </c>
      <c r="G28" s="101" t="s">
        <v>38</v>
      </c>
      <c r="H28" s="101">
        <v>15</v>
      </c>
      <c r="I28" s="101">
        <v>1958.6333333333334</v>
      </c>
      <c r="J28" s="160" t="s">
        <v>148</v>
      </c>
      <c r="K28" s="101">
        <v>29379.5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6">
        <v>808.5</v>
      </c>
      <c r="R28" s="115">
        <v>1144</v>
      </c>
      <c r="S28" s="103">
        <v>881.38499999999999</v>
      </c>
      <c r="T28" s="101" t="s">
        <v>37</v>
      </c>
      <c r="U28" s="102">
        <v>1712</v>
      </c>
      <c r="V28" s="104">
        <v>2025.385</v>
      </c>
      <c r="W28" s="101" t="s">
        <v>37</v>
      </c>
      <c r="X28" s="102">
        <v>1321</v>
      </c>
      <c r="Y28" s="104">
        <v>9793.15</v>
      </c>
      <c r="Z28" s="104">
        <f t="shared" si="2"/>
        <v>42006.534999999996</v>
      </c>
      <c r="AA28" s="101" t="s">
        <v>39</v>
      </c>
      <c r="AB28" s="102">
        <v>1431</v>
      </c>
      <c r="AC28" s="104">
        <f t="shared" si="4"/>
        <v>2791.0525000000002</v>
      </c>
      <c r="AD28" s="101" t="s">
        <v>39</v>
      </c>
      <c r="AE28" s="105" t="s">
        <v>40</v>
      </c>
      <c r="AF28" s="115">
        <v>4897</v>
      </c>
      <c r="AG28" s="101" t="s">
        <v>39</v>
      </c>
      <c r="AH28" s="105" t="s">
        <v>40</v>
      </c>
      <c r="AI28" s="103">
        <v>7876.11</v>
      </c>
      <c r="AJ28" s="101" t="s">
        <v>39</v>
      </c>
      <c r="AK28" s="105" t="s">
        <v>41</v>
      </c>
      <c r="AL28" s="103">
        <v>0</v>
      </c>
      <c r="AM28" s="101" t="s">
        <v>39</v>
      </c>
      <c r="AN28" s="105" t="s">
        <v>42</v>
      </c>
      <c r="AO28" s="115">
        <v>2746.0599999999995</v>
      </c>
      <c r="AP28" s="101" t="s">
        <v>39</v>
      </c>
      <c r="AQ28" s="105" t="s">
        <v>41</v>
      </c>
      <c r="AR28" s="103"/>
      <c r="AS28" s="104">
        <f t="shared" si="5"/>
        <v>18310.222499999996</v>
      </c>
      <c r="AT28" s="106">
        <f t="shared" si="3"/>
        <v>23696.3125</v>
      </c>
      <c r="AU28" s="113"/>
      <c r="AV28" s="108"/>
      <c r="AW28" s="109">
        <f t="shared" si="6"/>
        <v>15</v>
      </c>
      <c r="AX28" s="109">
        <f t="shared" si="7"/>
        <v>42006.534999999996</v>
      </c>
      <c r="AY28" s="110">
        <f t="shared" si="8"/>
        <v>42006.534999999996</v>
      </c>
      <c r="AZ28" s="110">
        <f>IFERROR(+LOOKUP(AY28,[9]TARIFAS!$A$4:$B$14,[9]TARIFAS!$A$4:$A$14),0)</f>
        <v>41118.46</v>
      </c>
      <c r="BA28" s="110">
        <f t="shared" si="9"/>
        <v>888.07499999999709</v>
      </c>
      <c r="BB28" s="110">
        <f>IFERROR(+LOOKUP(AY28,[9]TARIFAS!$A$4:$B$14,[9]TARIFAS!$D$4:$D$14),0)</f>
        <v>34</v>
      </c>
      <c r="BC28" s="110">
        <f t="shared" si="10"/>
        <v>301.94549999999902</v>
      </c>
      <c r="BD28" s="110">
        <f>IFERROR(+LOOKUP(AY28,[9]TARIFAS!$A$4:$B$14,[9]TARIFAS!$C$4:$C$14),0)</f>
        <v>10725.75</v>
      </c>
      <c r="BE28" s="110">
        <f t="shared" si="11"/>
        <v>11027.7</v>
      </c>
      <c r="BF28" s="110"/>
      <c r="BG28" s="110"/>
      <c r="BH28" s="110"/>
      <c r="BI28" s="109"/>
    </row>
    <row r="29" spans="1:62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1" t="s">
        <v>37</v>
      </c>
      <c r="G29" s="101" t="s">
        <v>38</v>
      </c>
      <c r="H29" s="101">
        <v>15</v>
      </c>
      <c r="I29" s="101">
        <v>421.49</v>
      </c>
      <c r="J29" s="160" t="s">
        <v>151</v>
      </c>
      <c r="K29" s="101">
        <v>6572.35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351.5</v>
      </c>
      <c r="R29" s="115">
        <v>406.32</v>
      </c>
      <c r="S29" s="103">
        <v>197.1705</v>
      </c>
      <c r="T29" s="101" t="s">
        <v>37</v>
      </c>
      <c r="U29" s="102">
        <v>1712</v>
      </c>
      <c r="V29" s="104">
        <v>603.4905</v>
      </c>
      <c r="W29" s="101" t="s">
        <v>37</v>
      </c>
      <c r="X29" s="102">
        <v>1321</v>
      </c>
      <c r="Y29" s="104">
        <v>2190.7800000000002</v>
      </c>
      <c r="Z29" s="104">
        <f t="shared" si="2"/>
        <v>9718.1205000000009</v>
      </c>
      <c r="AA29" s="101" t="s">
        <v>39</v>
      </c>
      <c r="AB29" s="102">
        <v>1431</v>
      </c>
      <c r="AC29" s="104">
        <f t="shared" si="4"/>
        <v>624.3732500000001</v>
      </c>
      <c r="AD29" s="101" t="s">
        <v>39</v>
      </c>
      <c r="AE29" s="105" t="s">
        <v>40</v>
      </c>
      <c r="AF29" s="115">
        <v>96.05</v>
      </c>
      <c r="AG29" s="101" t="s">
        <v>39</v>
      </c>
      <c r="AH29" s="105" t="s">
        <v>40</v>
      </c>
      <c r="AI29" s="103">
        <v>1060.6500000000001</v>
      </c>
      <c r="AJ29" s="101" t="s">
        <v>39</v>
      </c>
      <c r="AK29" s="105" t="s">
        <v>41</v>
      </c>
      <c r="AL29" s="103">
        <v>0</v>
      </c>
      <c r="AM29" s="101" t="s">
        <v>39</v>
      </c>
      <c r="AN29" s="105" t="s">
        <v>42</v>
      </c>
      <c r="AO29" s="115">
        <v>237.60999999999967</v>
      </c>
      <c r="AP29" s="101" t="s">
        <v>39</v>
      </c>
      <c r="AQ29" s="105" t="s">
        <v>41</v>
      </c>
      <c r="AR29" s="103"/>
      <c r="AS29" s="104">
        <f t="shared" si="5"/>
        <v>2018.6832499999998</v>
      </c>
      <c r="AT29" s="106">
        <f t="shared" si="3"/>
        <v>7699.4372500000009</v>
      </c>
      <c r="AU29" s="113"/>
      <c r="AV29" s="108"/>
      <c r="AW29" s="109">
        <f t="shared" si="6"/>
        <v>15</v>
      </c>
      <c r="AX29" s="109">
        <f t="shared" si="7"/>
        <v>9718.1205000000009</v>
      </c>
      <c r="AY29" s="110">
        <f t="shared" si="8"/>
        <v>9718.1205000000009</v>
      </c>
      <c r="AZ29" s="110">
        <f>IFERROR(+LOOKUP(AY29,[9]TARIFAS!$A$4:$B$14,[9]TARIFAS!$A$4:$A$14),0)</f>
        <v>5081.41</v>
      </c>
      <c r="BA29" s="110">
        <f t="shared" si="9"/>
        <v>4636.710500000001</v>
      </c>
      <c r="BB29" s="110">
        <f>IFERROR(+LOOKUP(AY29,[9]TARIFAS!$A$4:$B$14,[9]TARIFAS!$D$4:$D$14),0)</f>
        <v>21.36</v>
      </c>
      <c r="BC29" s="110">
        <f t="shared" si="10"/>
        <v>990.40136280000024</v>
      </c>
      <c r="BD29" s="110">
        <f>IFERROR(+LOOKUP(AY29,[9]TARIFAS!$A$4:$B$14,[9]TARIFAS!$C$4:$C$14),0)</f>
        <v>538.20000000000005</v>
      </c>
      <c r="BE29" s="110">
        <f>ROUND(+BC29+BD29,2)</f>
        <v>1528.6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1" t="s">
        <v>37</v>
      </c>
      <c r="G30" s="101" t="s">
        <v>38</v>
      </c>
      <c r="H30" s="101">
        <v>15</v>
      </c>
      <c r="I30" s="101">
        <v>1029.4333333333334</v>
      </c>
      <c r="J30" s="160" t="s">
        <v>151</v>
      </c>
      <c r="K30" s="101">
        <v>15441.5</v>
      </c>
      <c r="L30" s="101" t="s">
        <v>37</v>
      </c>
      <c r="M30" s="102">
        <v>1311</v>
      </c>
      <c r="N30" s="103">
        <v>67.290000000000006</v>
      </c>
      <c r="O30" s="101" t="s">
        <v>37</v>
      </c>
      <c r="P30" s="102">
        <v>1713</v>
      </c>
      <c r="Q30" s="103">
        <v>566.5</v>
      </c>
      <c r="R30" s="103">
        <v>835.5</v>
      </c>
      <c r="S30" s="103">
        <v>463.245</v>
      </c>
      <c r="T30" s="101" t="s">
        <v>37</v>
      </c>
      <c r="U30" s="102">
        <v>1712</v>
      </c>
      <c r="V30" s="104">
        <v>1298.7449999999999</v>
      </c>
      <c r="W30" s="101" t="s">
        <v>37</v>
      </c>
      <c r="X30" s="102">
        <v>1321</v>
      </c>
      <c r="Y30" s="104">
        <v>5147.16</v>
      </c>
      <c r="Z30" s="104">
        <f t="shared" si="2"/>
        <v>22521.195</v>
      </c>
      <c r="AA30" s="101" t="s">
        <v>39</v>
      </c>
      <c r="AB30" s="102">
        <v>1431</v>
      </c>
      <c r="AC30" s="104">
        <f t="shared" si="4"/>
        <v>1466.9425000000001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40</v>
      </c>
      <c r="AI30" s="103">
        <v>3396.89</v>
      </c>
      <c r="AJ30" s="101" t="s">
        <v>39</v>
      </c>
      <c r="AK30" s="105" t="s">
        <v>41</v>
      </c>
      <c r="AL30" s="103">
        <v>0</v>
      </c>
      <c r="AM30" s="101" t="s">
        <v>39</v>
      </c>
      <c r="AN30" s="105" t="s">
        <v>42</v>
      </c>
      <c r="AO30" s="115">
        <v>1192.8900000000003</v>
      </c>
      <c r="AP30" s="101" t="s">
        <v>39</v>
      </c>
      <c r="AQ30" s="105" t="s">
        <v>41</v>
      </c>
      <c r="AR30" s="103"/>
      <c r="AS30" s="104">
        <f t="shared" si="5"/>
        <v>6056.7225000000008</v>
      </c>
      <c r="AT30" s="106">
        <f t="shared" si="3"/>
        <v>16464.4725</v>
      </c>
      <c r="AU30" s="113"/>
      <c r="AV30" s="108"/>
      <c r="AW30" s="109">
        <f t="shared" si="6"/>
        <v>15</v>
      </c>
      <c r="AX30" s="109">
        <f t="shared" si="7"/>
        <v>22521.195000000003</v>
      </c>
      <c r="AY30" s="110">
        <f t="shared" si="8"/>
        <v>22521.195000000003</v>
      </c>
      <c r="AZ30" s="110">
        <f>IFERROR(+LOOKUP(AY30,[9]TARIFAS!$A$4:$B$14,[9]TARIFAS!$A$4:$A$14),0)</f>
        <v>16153.06</v>
      </c>
      <c r="BA30" s="110">
        <f t="shared" si="9"/>
        <v>6368.1350000000039</v>
      </c>
      <c r="BB30" s="110">
        <f>IFERROR(+LOOKUP(AY30,[9]TARIFAS!$A$4:$B$14,[9]TARIFAS!$D$4:$D$14),0)</f>
        <v>30</v>
      </c>
      <c r="BC30" s="110">
        <f t="shared" si="10"/>
        <v>1910.4405000000011</v>
      </c>
      <c r="BD30" s="110">
        <f>IFERROR(+LOOKUP(AY30,[9]TARIFAS!$A$4:$B$14,[9]TARIFAS!$C$4:$C$14),0)</f>
        <v>3030.6</v>
      </c>
      <c r="BE30" s="110">
        <f t="shared" si="11"/>
        <v>4941.04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325.036</v>
      </c>
      <c r="J31" s="163" t="s">
        <v>150</v>
      </c>
      <c r="K31" s="101">
        <v>5063.04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5">
        <v>207.91</v>
      </c>
      <c r="R31" s="115">
        <v>371.02</v>
      </c>
      <c r="S31" s="103">
        <v>151.8912</v>
      </c>
      <c r="T31" s="101" t="s">
        <v>37</v>
      </c>
      <c r="U31" s="102">
        <v>1712</v>
      </c>
      <c r="V31" s="104">
        <v>522.91120000000001</v>
      </c>
      <c r="W31" s="101" t="s">
        <v>37</v>
      </c>
      <c r="X31" s="102">
        <v>1321</v>
      </c>
      <c r="Y31" s="104">
        <v>1518.8849999999998</v>
      </c>
      <c r="Z31" s="104">
        <f t="shared" si="2"/>
        <v>7312.7461999999996</v>
      </c>
      <c r="AA31" s="101" t="s">
        <v>39</v>
      </c>
      <c r="AB31" s="102">
        <v>1431</v>
      </c>
      <c r="AC31" s="104">
        <f t="shared" si="4"/>
        <v>480.98880000000003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40</v>
      </c>
      <c r="AI31" s="103">
        <v>690.38</v>
      </c>
      <c r="AJ31" s="101" t="s">
        <v>39</v>
      </c>
      <c r="AK31" s="105" t="s">
        <v>41</v>
      </c>
      <c r="AL31" s="103">
        <v>0</v>
      </c>
      <c r="AM31" s="101" t="s">
        <v>39</v>
      </c>
      <c r="AN31" s="105" t="s">
        <v>42</v>
      </c>
      <c r="AO31" s="115">
        <v>105.67000000000007</v>
      </c>
      <c r="AP31" s="101" t="s">
        <v>39</v>
      </c>
      <c r="AQ31" s="105" t="s">
        <v>41</v>
      </c>
      <c r="AR31" s="103"/>
      <c r="AS31" s="104">
        <f t="shared" si="5"/>
        <v>1277.0388</v>
      </c>
      <c r="AT31" s="106">
        <f t="shared" si="3"/>
        <v>6035.7073999999993</v>
      </c>
      <c r="AU31" s="113"/>
      <c r="AV31" s="108"/>
      <c r="AW31" s="109">
        <f>+H31</f>
        <v>15</v>
      </c>
      <c r="AX31" s="109">
        <f>+K31+S31+N31+Q31+R31+Y31</f>
        <v>7312.7461999999996</v>
      </c>
      <c r="AY31" s="110">
        <f>IFERROR(+AX31/AW31,0)*AW31</f>
        <v>7312.7461999999996</v>
      </c>
      <c r="AZ31" s="110">
        <f>IFERROR(+LOOKUP(AY31,[9]TARIFAS!$A$4:$B$14,[9]TARIFAS!$A$4:$A$14),0)</f>
        <v>5081.41</v>
      </c>
      <c r="BA31" s="110">
        <f>+AY31-AZ31</f>
        <v>2231.3361999999997</v>
      </c>
      <c r="BB31" s="110">
        <f>IFERROR(+LOOKUP(AY31,[9]TARIFAS!$A$4:$B$14,[9]TARIFAS!$D$4:$D$14),0)</f>
        <v>21.36</v>
      </c>
      <c r="BC31" s="110">
        <f>(+BA31*BB31)/100</f>
        <v>476.6134123199999</v>
      </c>
      <c r="BD31" s="110">
        <f>IFERROR(+LOOKUP(AY31,[9]TARIFAS!$A$4:$B$14,[9]TARIFAS!$C$4:$C$14),0)</f>
        <v>538.20000000000005</v>
      </c>
      <c r="BE31" s="110">
        <f>ROUND(+BC31+BD31,2)</f>
        <v>1014.81</v>
      </c>
      <c r="BF31" s="110"/>
      <c r="BG31" s="110"/>
      <c r="BH31" s="110"/>
      <c r="BI31" s="109"/>
    </row>
    <row r="32" spans="1:62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1" t="s">
        <v>37</v>
      </c>
      <c r="G32" s="101" t="s">
        <v>38</v>
      </c>
      <c r="H32" s="101">
        <v>11</v>
      </c>
      <c r="I32" s="101">
        <v>421.49</v>
      </c>
      <c r="J32" s="160" t="s">
        <v>147</v>
      </c>
      <c r="K32" s="101">
        <v>6572.35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6">
        <v>351.5</v>
      </c>
      <c r="R32" s="115">
        <v>406.32</v>
      </c>
      <c r="S32" s="103">
        <v>197.1705</v>
      </c>
      <c r="T32" s="101" t="s">
        <v>37</v>
      </c>
      <c r="U32" s="102">
        <v>1712</v>
      </c>
      <c r="V32" s="104">
        <v>603.4905</v>
      </c>
      <c r="W32" s="101" t="s">
        <v>37</v>
      </c>
      <c r="X32" s="102">
        <v>1321</v>
      </c>
      <c r="Y32" s="104">
        <v>1886.4791666666665</v>
      </c>
      <c r="Z32" s="104">
        <f t="shared" si="2"/>
        <v>9413.8196666666663</v>
      </c>
      <c r="AA32" s="101" t="s">
        <v>39</v>
      </c>
      <c r="AB32" s="102">
        <v>1431</v>
      </c>
      <c r="AC32" s="104">
        <f t="shared" si="4"/>
        <v>624.3732500000001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40</v>
      </c>
      <c r="AI32" s="103">
        <v>1060.6500000000001</v>
      </c>
      <c r="AJ32" s="101" t="s">
        <v>39</v>
      </c>
      <c r="AK32" s="105" t="s">
        <v>41</v>
      </c>
      <c r="AL32" s="103">
        <v>0</v>
      </c>
      <c r="AM32" s="101" t="s">
        <v>39</v>
      </c>
      <c r="AN32" s="105" t="s">
        <v>42</v>
      </c>
      <c r="AO32" s="115">
        <v>172.61</v>
      </c>
      <c r="AP32" s="101" t="s">
        <v>39</v>
      </c>
      <c r="AQ32" s="105" t="s">
        <v>41</v>
      </c>
      <c r="AR32" s="103"/>
      <c r="AS32" s="104">
        <f t="shared" si="5"/>
        <v>1857.6332500000003</v>
      </c>
      <c r="AT32" s="106">
        <f t="shared" si="3"/>
        <v>7556.1864166666655</v>
      </c>
      <c r="AU32" s="113"/>
      <c r="AV32" s="108"/>
      <c r="AW32" s="109">
        <f t="shared" si="6"/>
        <v>11</v>
      </c>
      <c r="AX32" s="109">
        <f t="shared" si="7"/>
        <v>9413.8196666666663</v>
      </c>
      <c r="AY32" s="110">
        <f t="shared" si="8"/>
        <v>9413.8196666666663</v>
      </c>
      <c r="AZ32" s="110">
        <f>IFERROR(+LOOKUP(AY32,[9]TARIFAS!$A$4:$B$14,[9]TARIFAS!$A$4:$A$14),0)</f>
        <v>5081.41</v>
      </c>
      <c r="BA32" s="110">
        <f t="shared" si="9"/>
        <v>4332.4096666666665</v>
      </c>
      <c r="BB32" s="110">
        <f>IFERROR(+LOOKUP(AY32,[9]TARIFAS!$A$4:$B$14,[9]TARIFAS!$D$4:$D$14),0)</f>
        <v>21.36</v>
      </c>
      <c r="BC32" s="110">
        <f t="shared" si="10"/>
        <v>925.40270479999992</v>
      </c>
      <c r="BD32" s="110">
        <f>IFERROR(+LOOKUP(AY32,[9]TARIFAS!$A$4:$B$14,[9]TARIFAS!$C$4:$C$14),0)</f>
        <v>538.20000000000005</v>
      </c>
      <c r="BE32" s="110">
        <f t="shared" si="11"/>
        <v>1463.6</v>
      </c>
      <c r="BF32" s="110"/>
      <c r="BG32" s="110"/>
      <c r="BH32" s="110"/>
      <c r="BI32" s="109"/>
    </row>
    <row r="33" spans="1:47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4"/>
      <c r="G33" s="124"/>
      <c r="H33" s="124"/>
      <c r="I33" s="124"/>
      <c r="J33" s="124"/>
      <c r="K33" s="124">
        <f>SUM(K5:K32)</f>
        <v>226036.24000000005</v>
      </c>
      <c r="L33" s="124"/>
      <c r="M33" s="124"/>
      <c r="N33" s="124">
        <f>SUM(N5:N32)</f>
        <v>2513.9899999999993</v>
      </c>
      <c r="O33" s="124"/>
      <c r="P33" s="124"/>
      <c r="Q33" s="124">
        <f>SUM(Q5:Q32)</f>
        <v>9701.369999999999</v>
      </c>
      <c r="R33" s="124">
        <f>SUM(R5:R32)</f>
        <v>13161.109999999999</v>
      </c>
      <c r="S33" s="124">
        <f>SUM(S5:S32)</f>
        <v>6781.0872000000008</v>
      </c>
      <c r="T33" s="124"/>
      <c r="U33" s="124"/>
      <c r="V33" s="124">
        <f>SUM(V5:V32)</f>
        <v>19942.197199999995</v>
      </c>
      <c r="W33" s="124"/>
      <c r="X33" s="125"/>
      <c r="Y33" s="124">
        <f>SUM(Y5:Y32)</f>
        <v>75076.624166666676</v>
      </c>
      <c r="Z33" s="124">
        <f>SUM(Z5:Z32)</f>
        <v>333270.42136666668</v>
      </c>
      <c r="AA33" s="124"/>
      <c r="AB33" s="125"/>
      <c r="AC33" s="124">
        <f>SUM(AC5:AC32)</f>
        <v>21531.713500000005</v>
      </c>
      <c r="AD33" s="124"/>
      <c r="AE33" s="125"/>
      <c r="AF33" s="126">
        <f>SUM(AF5:AF32)</f>
        <v>23802.87</v>
      </c>
      <c r="AG33" s="124"/>
      <c r="AH33" s="125"/>
      <c r="AI33" s="124">
        <f>SUM(AI5:AI32)</f>
        <v>42058.75</v>
      </c>
      <c r="AJ33" s="124"/>
      <c r="AK33" s="125"/>
      <c r="AL33" s="126">
        <f>SUM(AL5:AL32)</f>
        <v>1088.5372</v>
      </c>
      <c r="AM33" s="124"/>
      <c r="AN33" s="125"/>
      <c r="AO33" s="124">
        <f>SUM(AO5:AO32)</f>
        <v>11467.480000000001</v>
      </c>
      <c r="AP33" s="124"/>
      <c r="AQ33" s="125"/>
      <c r="AR33" s="124">
        <f>SUM(AR5:AR32)</f>
        <v>0</v>
      </c>
      <c r="AS33" s="124">
        <f>SUM(AS5:AS32)</f>
        <v>99949.35070000001</v>
      </c>
      <c r="AT33" s="124">
        <f>SUM(AT5:AT32)</f>
        <v>233321.07066666667</v>
      </c>
      <c r="AU33" s="127"/>
    </row>
    <row r="34" spans="1:47" s="128" customFormat="1" ht="21" customHeight="1" x14ac:dyDescent="0.2">
      <c r="A34" s="129"/>
      <c r="B34" s="129"/>
      <c r="C34" s="130"/>
      <c r="D34" s="130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1"/>
      <c r="Y34" s="129"/>
      <c r="Z34" s="129"/>
      <c r="AA34" s="129"/>
      <c r="AB34" s="131"/>
      <c r="AC34" s="129"/>
      <c r="AD34" s="129"/>
      <c r="AE34" s="131"/>
      <c r="AF34" s="132"/>
      <c r="AG34" s="129"/>
      <c r="AH34" s="131"/>
      <c r="AI34" s="129"/>
      <c r="AJ34" s="129"/>
      <c r="AK34" s="131"/>
      <c r="AL34" s="132"/>
      <c r="AM34" s="129"/>
      <c r="AN34" s="131"/>
      <c r="AO34" s="129"/>
      <c r="AP34" s="129"/>
      <c r="AQ34" s="131"/>
      <c r="AR34" s="129"/>
      <c r="AS34" s="129"/>
      <c r="AT34" s="129"/>
      <c r="AU34" s="129"/>
    </row>
    <row r="35" spans="1:47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73"/>
      <c r="L35" s="168"/>
      <c r="M35" s="168"/>
      <c r="O35" s="168"/>
      <c r="P35" s="136"/>
      <c r="Q35" s="137"/>
      <c r="R35" s="138"/>
      <c r="S35" s="173"/>
      <c r="T35" s="173"/>
      <c r="U35" s="173"/>
      <c r="V35" s="173"/>
      <c r="W35" s="173"/>
      <c r="X35" s="173"/>
      <c r="Y35" s="173"/>
      <c r="Z35" s="173"/>
      <c r="AA35" s="133"/>
      <c r="AB35" s="133"/>
      <c r="AC35" s="133"/>
      <c r="AD35" s="133"/>
      <c r="AE35" s="133"/>
      <c r="AG35" s="133"/>
      <c r="AH35" s="133"/>
      <c r="AI35" s="133"/>
      <c r="AJ35" s="133"/>
      <c r="AK35" s="133"/>
      <c r="AL35" s="173" t="s">
        <v>113</v>
      </c>
      <c r="AM35" s="173"/>
      <c r="AN35" s="173"/>
      <c r="AO35" s="173"/>
      <c r="AP35" s="173"/>
      <c r="AQ35" s="173"/>
      <c r="AR35" s="173"/>
      <c r="AS35" s="173"/>
      <c r="AT35" s="173"/>
    </row>
    <row r="36" spans="1:47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O36" s="141"/>
      <c r="P36" s="142"/>
      <c r="Q36" s="141"/>
      <c r="R36" s="138"/>
      <c r="S36" s="138"/>
      <c r="T36" s="141"/>
      <c r="U36" s="142"/>
      <c r="W36" s="141"/>
      <c r="X36" s="142"/>
      <c r="Z36" s="138"/>
      <c r="AA36" s="141"/>
      <c r="AB36" s="142"/>
      <c r="AC36" s="143"/>
      <c r="AD36" s="141"/>
      <c r="AE36" s="142"/>
      <c r="AF36" s="144"/>
      <c r="AG36" s="141"/>
      <c r="AH36" s="142"/>
      <c r="AI36" s="133"/>
      <c r="AJ36" s="141"/>
      <c r="AK36" s="142"/>
      <c r="AL36" s="145"/>
      <c r="AM36" s="141"/>
      <c r="AN36" s="142"/>
      <c r="AO36" s="133"/>
      <c r="AP36" s="141"/>
      <c r="AQ36" s="142"/>
      <c r="AR36" s="133"/>
      <c r="AT36" s="133"/>
    </row>
    <row r="37" spans="1:47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73"/>
      <c r="L37" s="168"/>
      <c r="M37" s="168"/>
      <c r="O37" s="168"/>
      <c r="P37" s="136"/>
      <c r="Q37" s="138"/>
      <c r="R37" s="138"/>
      <c r="S37" s="173"/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J37" s="133"/>
      <c r="AK37" s="133"/>
      <c r="AL37" s="173" t="s">
        <v>115</v>
      </c>
      <c r="AM37" s="173"/>
      <c r="AN37" s="173"/>
      <c r="AO37" s="173"/>
      <c r="AP37" s="173"/>
      <c r="AQ37" s="173"/>
      <c r="AR37" s="173"/>
      <c r="AS37" s="173"/>
      <c r="AT37" s="173"/>
      <c r="AU37" s="133"/>
    </row>
    <row r="38" spans="1:47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73"/>
      <c r="L38" s="168"/>
      <c r="M38" s="168"/>
      <c r="O38" s="168"/>
      <c r="P38" s="136"/>
      <c r="Q38" s="138"/>
      <c r="R38" s="138"/>
      <c r="S38" s="173"/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133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47" x14ac:dyDescent="0.2">
      <c r="A39" s="133"/>
      <c r="B39" s="133"/>
      <c r="C39" s="146"/>
      <c r="D39" s="146"/>
      <c r="E39" s="146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47"/>
      <c r="Q39" s="133"/>
      <c r="T39" s="133"/>
      <c r="U39" s="147"/>
      <c r="W39" s="133"/>
      <c r="X39" s="147"/>
      <c r="Z39" s="133"/>
      <c r="AA39" s="133"/>
      <c r="AB39" s="147"/>
      <c r="AC39" s="133"/>
      <c r="AD39" s="133"/>
      <c r="AE39" s="147"/>
      <c r="AF39" s="148"/>
      <c r="AG39" s="133"/>
      <c r="AH39" s="147"/>
      <c r="AJ39" s="133"/>
      <c r="AK39" s="147"/>
      <c r="AM39" s="133"/>
      <c r="AN39" s="147"/>
      <c r="AP39" s="133"/>
      <c r="AQ39" s="147"/>
      <c r="AS39" s="133"/>
      <c r="AT39" s="133"/>
      <c r="AU39" s="133"/>
    </row>
    <row r="40" spans="1:47" x14ac:dyDescent="0.2"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R40" s="133"/>
      <c r="S40" s="133"/>
      <c r="T40" s="133"/>
      <c r="U40" s="147"/>
      <c r="V40" s="149"/>
      <c r="W40" s="133"/>
      <c r="X40" s="147"/>
      <c r="Y40" s="149"/>
      <c r="Z40" s="133"/>
      <c r="AA40" s="133"/>
      <c r="AB40" s="147"/>
      <c r="AC40" s="133"/>
      <c r="AD40" s="133"/>
      <c r="AE40" s="147"/>
      <c r="AF40" s="150"/>
      <c r="AG40" s="133"/>
      <c r="AH40" s="147"/>
      <c r="AI40" s="133"/>
      <c r="AJ40" s="133"/>
      <c r="AK40" s="147"/>
      <c r="AL40" s="150"/>
      <c r="AM40" s="133"/>
      <c r="AN40" s="147"/>
      <c r="AO40" s="133"/>
      <c r="AP40" s="133"/>
      <c r="AQ40" s="147"/>
      <c r="AR40" s="133"/>
      <c r="AS40" s="133"/>
    </row>
    <row r="41" spans="1:47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47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  <c r="AT42" s="133"/>
    </row>
    <row r="43" spans="1:47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47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47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47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</row>
    <row r="47" spans="1:47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47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34"/>
      <c r="D55" s="151"/>
      <c r="E55" s="151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46"/>
      <c r="D59" s="146"/>
      <c r="E59" s="146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D59" s="133"/>
      <c r="AE59" s="147"/>
      <c r="AG59" s="133"/>
      <c r="AH59" s="147"/>
      <c r="AJ59" s="133"/>
      <c r="AK59" s="147"/>
      <c r="AM59" s="133"/>
      <c r="AN59" s="147"/>
      <c r="AP59" s="133"/>
      <c r="AQ59" s="147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0"/>
      <c r="D65" s="140"/>
      <c r="E65" s="140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49"/>
      <c r="R65" s="133"/>
      <c r="S65" s="149"/>
      <c r="T65" s="133"/>
      <c r="U65" s="147"/>
      <c r="V65" s="149"/>
      <c r="W65" s="133"/>
      <c r="X65" s="147"/>
      <c r="Y65" s="149"/>
      <c r="Z65" s="133"/>
      <c r="AA65" s="133"/>
      <c r="AB65" s="147"/>
      <c r="AC65" s="133"/>
      <c r="AD65" s="133"/>
      <c r="AE65" s="147"/>
      <c r="AF65" s="150"/>
      <c r="AG65" s="133"/>
      <c r="AH65" s="147"/>
      <c r="AI65" s="133"/>
      <c r="AJ65" s="133"/>
      <c r="AK65" s="147"/>
      <c r="AL65" s="150"/>
      <c r="AM65" s="133"/>
      <c r="AN65" s="147"/>
      <c r="AO65" s="133"/>
      <c r="AP65" s="133"/>
      <c r="AQ65" s="147"/>
      <c r="AR65" s="133"/>
      <c r="AS65" s="133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33"/>
      <c r="W66" s="133"/>
      <c r="X66" s="147"/>
      <c r="Y66" s="133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34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52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  <c r="AT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D76" s="133"/>
      <c r="AE76" s="147"/>
      <c r="AG76" s="133"/>
      <c r="AH76" s="147"/>
      <c r="AJ76" s="133"/>
      <c r="AK76" s="147"/>
      <c r="AM76" s="133"/>
      <c r="AN76" s="147"/>
      <c r="AP76" s="133"/>
      <c r="AQ76" s="147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53"/>
      <c r="AA79" s="133"/>
      <c r="AB79" s="147"/>
      <c r="AC79" s="153"/>
      <c r="AD79" s="133"/>
      <c r="AE79" s="147"/>
      <c r="AF79" s="154"/>
      <c r="AG79" s="133"/>
      <c r="AH79" s="147"/>
      <c r="AI79" s="153"/>
      <c r="AJ79" s="133"/>
      <c r="AK79" s="147"/>
      <c r="AL79" s="154"/>
      <c r="AM79" s="133"/>
      <c r="AN79" s="147"/>
      <c r="AO79" s="153"/>
      <c r="AP79" s="133"/>
      <c r="AQ79" s="147"/>
      <c r="AR79" s="153"/>
      <c r="AS79" s="153"/>
      <c r="AT79" s="15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C80" s="133"/>
      <c r="AD80" s="133"/>
      <c r="AE80" s="147"/>
      <c r="AF80" s="150"/>
      <c r="AG80" s="133"/>
      <c r="AH80" s="147"/>
      <c r="AI80" s="133"/>
      <c r="AJ80" s="133"/>
      <c r="AK80" s="147"/>
      <c r="AL80" s="150"/>
      <c r="AM80" s="133"/>
      <c r="AN80" s="147"/>
      <c r="AO80" s="133"/>
      <c r="AP80" s="133"/>
      <c r="AQ80" s="147"/>
      <c r="AR80" s="133"/>
      <c r="AS80" s="133"/>
      <c r="AT80" s="133"/>
    </row>
    <row r="81" spans="3:47" x14ac:dyDescent="0.2">
      <c r="C81" s="140"/>
      <c r="D81" s="140"/>
      <c r="E81" s="140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7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7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7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7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7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7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7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7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7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7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7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7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33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7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7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7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  <c r="AU96" s="155"/>
    </row>
    <row r="97" spans="1:48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8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8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8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8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D101" s="133"/>
      <c r="AE101" s="147"/>
      <c r="AG101" s="133"/>
      <c r="AH101" s="147"/>
      <c r="AJ101" s="133"/>
      <c r="AK101" s="147"/>
      <c r="AM101" s="133"/>
      <c r="AN101" s="147"/>
      <c r="AP101" s="133"/>
      <c r="AQ101" s="147"/>
      <c r="AT101" s="133"/>
    </row>
    <row r="102" spans="1:48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8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8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</row>
    <row r="105" spans="1:48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8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8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8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8" x14ac:dyDescent="0.2">
      <c r="A109" s="155"/>
      <c r="B109" s="155"/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8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8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8" s="155" customFormat="1" x14ac:dyDescent="0.2">
      <c r="A112" s="81"/>
      <c r="B112" s="81"/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C112" s="81"/>
      <c r="AD112" s="133"/>
      <c r="AE112" s="147"/>
      <c r="AF112" s="139"/>
      <c r="AG112" s="133"/>
      <c r="AH112" s="147"/>
      <c r="AI112" s="81"/>
      <c r="AJ112" s="133"/>
      <c r="AK112" s="147"/>
      <c r="AL112" s="139"/>
      <c r="AM112" s="133"/>
      <c r="AN112" s="147"/>
      <c r="AO112" s="81"/>
      <c r="AP112" s="133"/>
      <c r="AQ112" s="147"/>
      <c r="AR112" s="81"/>
      <c r="AS112" s="81"/>
      <c r="AT112" s="81"/>
      <c r="AU112" s="81"/>
      <c r="AV112" s="81"/>
    </row>
    <row r="113" spans="3:43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3:43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3:43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3:43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3:43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3:43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3:43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3:43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3:43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3:43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3:43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3:43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3:43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3:43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3:43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3:43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</sheetData>
  <mergeCells count="11">
    <mergeCell ref="D38:K38"/>
    <mergeCell ref="S38:Z38"/>
    <mergeCell ref="AL38:AT38"/>
    <mergeCell ref="C2:AU2"/>
    <mergeCell ref="B4:C4"/>
    <mergeCell ref="D35:K35"/>
    <mergeCell ref="S35:Z35"/>
    <mergeCell ref="AL35:AT35"/>
    <mergeCell ref="D37:K37"/>
    <mergeCell ref="S37:Z37"/>
    <mergeCell ref="AL37:AT37"/>
  </mergeCells>
  <printOptions horizontalCentered="1" verticalCentered="1"/>
  <pageMargins left="0" right="7.874015748031496E-2" top="0.78740157480314965" bottom="0.19685039370078741" header="0.39370078740157483" footer="0"/>
  <pageSetup paperSize="256" scale="69" orientation="landscape" r:id="rId1"/>
  <headerFooter differentOddEven="1">
    <oddFooter xml:space="preserve">&amp;R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245"/>
  <sheetViews>
    <sheetView zoomScale="85" zoomScaleNormal="85" workbookViewId="0">
      <pane xSplit="4" ySplit="4" topLeftCell="E8" activePane="bottomRight" state="frozen"/>
      <selection pane="topRight" activeCell="D1" sqref="D1"/>
      <selection pane="bottomLeft" activeCell="A5" sqref="A5"/>
      <selection pane="bottomRight" activeCell="J3" sqref="J3"/>
    </sheetView>
  </sheetViews>
  <sheetFormatPr baseColWidth="10" defaultRowHeight="12.75" x14ac:dyDescent="0.2"/>
  <cols>
    <col min="1" max="1" width="8" style="1" customWidth="1"/>
    <col min="2" max="2" width="5.7109375" style="1" hidden="1" customWidth="1"/>
    <col min="3" max="3" width="4" style="77" hidden="1" customWidth="1"/>
    <col min="4" max="4" width="41" style="77" customWidth="1"/>
    <col min="5" max="5" width="17.42578125" style="77" hidden="1" customWidth="1"/>
    <col min="6" max="7" width="5.7109375" style="1" hidden="1" customWidth="1"/>
    <col min="8" max="9" width="14.28515625" style="1" hidden="1" customWidth="1"/>
    <col min="10" max="10" width="37.5703125" style="1" customWidth="1"/>
    <col min="11" max="11" width="14.28515625" style="1" customWidth="1"/>
    <col min="12" max="12" width="5.7109375" style="1" hidden="1" customWidth="1"/>
    <col min="13" max="13" width="7" style="1" hidden="1" customWidth="1"/>
    <col min="14" max="14" width="17" style="1" customWidth="1"/>
    <col min="15" max="15" width="5.85546875" style="1" hidden="1" customWidth="1"/>
    <col min="16" max="16" width="11.28515625" style="78" hidden="1" customWidth="1"/>
    <col min="17" max="17" width="14.28515625" style="1" customWidth="1"/>
    <col min="18" max="18" width="12.7109375" style="1" hidden="1" customWidth="1"/>
    <col min="19" max="19" width="14.140625" style="1" hidden="1" customWidth="1"/>
    <col min="20" max="20" width="5.7109375" style="1" hidden="1" customWidth="1"/>
    <col min="21" max="21" width="11.28515625" style="78" hidden="1" customWidth="1"/>
    <col min="22" max="22" width="13.85546875" style="1" customWidth="1"/>
    <col min="23" max="23" width="5.7109375" style="1" hidden="1" customWidth="1"/>
    <col min="24" max="24" width="11.28515625" style="78" hidden="1" customWidth="1"/>
    <col min="25" max="25" width="19.140625" style="1" customWidth="1"/>
    <col min="26" max="26" width="15.7109375" style="1" bestFit="1" customWidth="1"/>
    <col min="27" max="27" width="5.7109375" style="1" hidden="1" customWidth="1"/>
    <col min="28" max="28" width="11.28515625" style="78" hidden="1" customWidth="1"/>
    <col min="29" max="29" width="13" style="1" customWidth="1"/>
    <col min="30" max="30" width="5.7109375" style="1" hidden="1" customWidth="1"/>
    <col min="31" max="31" width="11.28515625" style="78" hidden="1" customWidth="1"/>
    <col min="32" max="32" width="16.5703125" style="62" customWidth="1"/>
    <col min="33" max="33" width="7.7109375" style="1" hidden="1" customWidth="1"/>
    <col min="34" max="34" width="11.28515625" style="78" hidden="1" customWidth="1"/>
    <col min="35" max="35" width="13.85546875" style="1" customWidth="1"/>
    <col min="36" max="36" width="5.7109375" style="1" hidden="1" customWidth="1"/>
    <col min="37" max="37" width="11.28515625" style="78" hidden="1" customWidth="1"/>
    <col min="38" max="38" width="13" style="62" customWidth="1"/>
    <col min="39" max="39" width="5.7109375" style="1" hidden="1" customWidth="1"/>
    <col min="40" max="40" width="11.28515625" style="78" hidden="1" customWidth="1"/>
    <col min="41" max="41" width="14.85546875" style="1" customWidth="1"/>
    <col min="42" max="42" width="5.7109375" style="1" hidden="1" customWidth="1"/>
    <col min="43" max="43" width="11.28515625" style="78" hidden="1" customWidth="1"/>
    <col min="44" max="44" width="15.5703125" style="1" bestFit="1" customWidth="1"/>
    <col min="45" max="45" width="15.42578125" style="1" bestFit="1" customWidth="1"/>
    <col min="46" max="46" width="17.7109375" style="1" customWidth="1"/>
    <col min="47" max="47" width="46.28515625" style="1" hidden="1" customWidth="1"/>
    <col min="48" max="48" width="11.28515625" style="1" customWidth="1"/>
    <col min="49" max="60" width="11.42578125" style="1" hidden="1" customWidth="1"/>
    <col min="61" max="61" width="10" style="1" hidden="1" customWidth="1"/>
    <col min="62" max="62" width="45.85546875" style="1" bestFit="1" customWidth="1"/>
    <col min="63" max="65" width="11.42578125" style="1" customWidth="1"/>
    <col min="66" max="16384" width="11.42578125" style="1"/>
  </cols>
  <sheetData>
    <row r="2" spans="1:62" ht="35.25" customHeight="1" x14ac:dyDescent="0.2">
      <c r="C2" s="170" t="s">
        <v>120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</row>
    <row r="3" spans="1:62" s="2" customFormat="1" ht="9" thickBot="1" x14ac:dyDescent="0.25">
      <c r="A3" s="2">
        <v>1</v>
      </c>
      <c r="B3" s="2">
        <f>+A3+1</f>
        <v>2</v>
      </c>
      <c r="C3" s="2">
        <f t="shared" ref="C3:AT3" si="0">+B3+1</f>
        <v>3</v>
      </c>
      <c r="D3" s="2">
        <f t="shared" si="0"/>
        <v>4</v>
      </c>
      <c r="E3" s="2" t="e">
        <f>+#REF!+1</f>
        <v>#REF!</v>
      </c>
      <c r="F3" s="2" t="e">
        <f>+#REF!+1</f>
        <v>#REF!</v>
      </c>
      <c r="G3" s="2" t="e">
        <f t="shared" si="0"/>
        <v>#REF!</v>
      </c>
      <c r="H3" s="2" t="e">
        <f t="shared" si="0"/>
        <v>#REF!</v>
      </c>
      <c r="I3" s="2" t="e">
        <f t="shared" si="0"/>
        <v>#REF!</v>
      </c>
      <c r="K3" s="2" t="e">
        <f>+I3+1</f>
        <v>#REF!</v>
      </c>
      <c r="L3" s="2" t="e">
        <f t="shared" si="0"/>
        <v>#REF!</v>
      </c>
      <c r="M3" s="2" t="e">
        <f t="shared" si="0"/>
        <v>#REF!</v>
      </c>
      <c r="N3" s="2" t="e">
        <f t="shared" si="0"/>
        <v>#REF!</v>
      </c>
      <c r="O3" s="2" t="e">
        <f t="shared" si="0"/>
        <v>#REF!</v>
      </c>
      <c r="P3" s="2" t="e">
        <f t="shared" si="0"/>
        <v>#REF!</v>
      </c>
      <c r="Q3" s="2" t="e">
        <f t="shared" si="0"/>
        <v>#REF!</v>
      </c>
      <c r="R3" s="2" t="e">
        <f t="shared" si="0"/>
        <v>#REF!</v>
      </c>
      <c r="S3" s="2" t="e">
        <f t="shared" si="0"/>
        <v>#REF!</v>
      </c>
      <c r="T3" s="2" t="e">
        <f t="shared" si="0"/>
        <v>#REF!</v>
      </c>
      <c r="U3" s="2" t="e">
        <f t="shared" si="0"/>
        <v>#REF!</v>
      </c>
      <c r="V3" s="2" t="e">
        <f t="shared" si="0"/>
        <v>#REF!</v>
      </c>
      <c r="W3" s="2" t="e">
        <f t="shared" si="0"/>
        <v>#REF!</v>
      </c>
      <c r="X3" s="2" t="e">
        <f t="shared" si="0"/>
        <v>#REF!</v>
      </c>
      <c r="Y3" s="2" t="e">
        <f t="shared" si="0"/>
        <v>#REF!</v>
      </c>
      <c r="Z3" s="2" t="e">
        <f t="shared" si="0"/>
        <v>#REF!</v>
      </c>
      <c r="AA3" s="2" t="e">
        <f t="shared" si="0"/>
        <v>#REF!</v>
      </c>
      <c r="AB3" s="2" t="e">
        <f t="shared" si="0"/>
        <v>#REF!</v>
      </c>
      <c r="AC3" s="2" t="e">
        <f t="shared" si="0"/>
        <v>#REF!</v>
      </c>
      <c r="AD3" s="2" t="e">
        <f t="shared" si="0"/>
        <v>#REF!</v>
      </c>
      <c r="AE3" s="2" t="e">
        <f t="shared" si="0"/>
        <v>#REF!</v>
      </c>
      <c r="AF3" s="3" t="e">
        <f t="shared" si="0"/>
        <v>#REF!</v>
      </c>
      <c r="AG3" s="2" t="e">
        <f t="shared" si="0"/>
        <v>#REF!</v>
      </c>
      <c r="AH3" s="2" t="e">
        <f t="shared" si="0"/>
        <v>#REF!</v>
      </c>
      <c r="AI3" s="2" t="e">
        <f t="shared" si="0"/>
        <v>#REF!</v>
      </c>
      <c r="AJ3" s="2" t="e">
        <f t="shared" si="0"/>
        <v>#REF!</v>
      </c>
      <c r="AK3" s="2" t="e">
        <f t="shared" si="0"/>
        <v>#REF!</v>
      </c>
      <c r="AL3" s="3" t="e">
        <f t="shared" si="0"/>
        <v>#REF!</v>
      </c>
      <c r="AM3" s="2" t="e">
        <f t="shared" si="0"/>
        <v>#REF!</v>
      </c>
      <c r="AN3" s="2" t="e">
        <f t="shared" si="0"/>
        <v>#REF!</v>
      </c>
      <c r="AO3" s="2" t="e">
        <f t="shared" si="0"/>
        <v>#REF!</v>
      </c>
      <c r="AP3" s="2" t="e">
        <f t="shared" si="0"/>
        <v>#REF!</v>
      </c>
      <c r="AQ3" s="2" t="e">
        <f t="shared" si="0"/>
        <v>#REF!</v>
      </c>
      <c r="AR3" s="2" t="e">
        <f t="shared" si="0"/>
        <v>#REF!</v>
      </c>
      <c r="AS3" s="2" t="e">
        <f t="shared" si="0"/>
        <v>#REF!</v>
      </c>
      <c r="AT3" s="2" t="e">
        <f t="shared" si="0"/>
        <v>#REF!</v>
      </c>
    </row>
    <row r="4" spans="1:62" s="4" customFormat="1" ht="44.25" customHeight="1" thickBot="1" x14ac:dyDescent="0.25">
      <c r="A4" s="4" t="s">
        <v>1</v>
      </c>
      <c r="B4" s="171" t="s">
        <v>1</v>
      </c>
      <c r="C4" s="172"/>
      <c r="D4" s="5" t="s">
        <v>2</v>
      </c>
      <c r="E4" s="6" t="s">
        <v>3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145</v>
      </c>
      <c r="K4" s="7" t="s">
        <v>9</v>
      </c>
      <c r="L4" s="7" t="s">
        <v>5</v>
      </c>
      <c r="M4" s="7" t="s">
        <v>6</v>
      </c>
      <c r="N4" s="8" t="s">
        <v>10</v>
      </c>
      <c r="O4" s="8" t="s">
        <v>5</v>
      </c>
      <c r="P4" s="9" t="s">
        <v>6</v>
      </c>
      <c r="Q4" s="8" t="s">
        <v>11</v>
      </c>
      <c r="R4" s="8" t="s">
        <v>12</v>
      </c>
      <c r="S4" s="8" t="s">
        <v>13</v>
      </c>
      <c r="T4" s="7" t="s">
        <v>5</v>
      </c>
      <c r="U4" s="10" t="s">
        <v>6</v>
      </c>
      <c r="V4" s="7" t="s">
        <v>14</v>
      </c>
      <c r="W4" s="11" t="s">
        <v>5</v>
      </c>
      <c r="X4" s="12" t="s">
        <v>6</v>
      </c>
      <c r="Y4" s="8" t="s">
        <v>15</v>
      </c>
      <c r="Z4" s="7" t="s">
        <v>152</v>
      </c>
      <c r="AA4" s="7" t="s">
        <v>5</v>
      </c>
      <c r="AB4" s="10" t="s">
        <v>6</v>
      </c>
      <c r="AC4" s="7" t="s">
        <v>16</v>
      </c>
      <c r="AD4" s="7" t="s">
        <v>5</v>
      </c>
      <c r="AE4" s="10" t="s">
        <v>6</v>
      </c>
      <c r="AF4" s="8" t="s">
        <v>21</v>
      </c>
      <c r="AG4" s="7" t="s">
        <v>5</v>
      </c>
      <c r="AH4" s="10" t="s">
        <v>6</v>
      </c>
      <c r="AI4" s="7" t="s">
        <v>18</v>
      </c>
      <c r="AJ4" s="7" t="s">
        <v>5</v>
      </c>
      <c r="AK4" s="10" t="s">
        <v>6</v>
      </c>
      <c r="AL4" s="8" t="s">
        <v>19</v>
      </c>
      <c r="AM4" s="7" t="s">
        <v>5</v>
      </c>
      <c r="AN4" s="10" t="s">
        <v>6</v>
      </c>
      <c r="AO4" s="7" t="s">
        <v>20</v>
      </c>
      <c r="AP4" s="11" t="s">
        <v>5</v>
      </c>
      <c r="AQ4" s="12" t="s">
        <v>6</v>
      </c>
      <c r="AR4" s="8" t="s">
        <v>21</v>
      </c>
      <c r="AS4" s="7" t="s">
        <v>153</v>
      </c>
      <c r="AT4" s="7" t="s">
        <v>154</v>
      </c>
      <c r="AU4" s="13" t="s">
        <v>22</v>
      </c>
      <c r="AW4" s="14"/>
      <c r="AX4" s="14" t="s">
        <v>23</v>
      </c>
      <c r="AY4" s="15" t="s">
        <v>24</v>
      </c>
      <c r="AZ4" s="15" t="s">
        <v>25</v>
      </c>
      <c r="BA4" s="15" t="s">
        <v>26</v>
      </c>
      <c r="BB4" s="15" t="s">
        <v>27</v>
      </c>
      <c r="BC4" s="15" t="s">
        <v>28</v>
      </c>
      <c r="BD4" s="15" t="s">
        <v>29</v>
      </c>
      <c r="BE4" s="15" t="s">
        <v>30</v>
      </c>
      <c r="BF4" s="16"/>
      <c r="BG4" s="16"/>
      <c r="BH4" s="16"/>
      <c r="BI4" s="14"/>
      <c r="BJ4" s="13" t="s">
        <v>31</v>
      </c>
    </row>
    <row r="5" spans="1:62" s="31" customFormat="1" ht="30" customHeight="1" x14ac:dyDescent="0.2">
      <c r="A5" s="17" t="str">
        <f>B5&amp;" "&amp;C5</f>
        <v>SEI 004</v>
      </c>
      <c r="B5" s="18" t="s">
        <v>32</v>
      </c>
      <c r="C5" s="19" t="s">
        <v>33</v>
      </c>
      <c r="D5" s="20" t="s">
        <v>34</v>
      </c>
      <c r="E5" s="20" t="s">
        <v>35</v>
      </c>
      <c r="F5" s="21" t="s">
        <v>37</v>
      </c>
      <c r="G5" s="21" t="s">
        <v>38</v>
      </c>
      <c r="H5" s="21">
        <v>15</v>
      </c>
      <c r="I5" s="21">
        <v>421.49</v>
      </c>
      <c r="J5" s="160" t="s">
        <v>146</v>
      </c>
      <c r="K5" s="21">
        <v>6322.35</v>
      </c>
      <c r="L5" s="21" t="s">
        <v>37</v>
      </c>
      <c r="M5" s="22">
        <v>1311</v>
      </c>
      <c r="N5" s="23">
        <v>134.58000000000001</v>
      </c>
      <c r="O5" s="21" t="s">
        <v>37</v>
      </c>
      <c r="P5" s="22">
        <v>1713</v>
      </c>
      <c r="Q5" s="21">
        <v>351.5</v>
      </c>
      <c r="R5" s="23">
        <v>406.32</v>
      </c>
      <c r="S5" s="23">
        <f>(K5*3%)</f>
        <v>189.6705</v>
      </c>
      <c r="T5" s="21" t="s">
        <v>37</v>
      </c>
      <c r="U5" s="22">
        <v>1712</v>
      </c>
      <c r="V5" s="24">
        <f>(R5+S5)</f>
        <v>595.9905</v>
      </c>
      <c r="W5" s="21" t="s">
        <v>37</v>
      </c>
      <c r="X5" s="22">
        <v>1345</v>
      </c>
      <c r="Y5" s="24">
        <v>11303.45</v>
      </c>
      <c r="Z5" s="24">
        <f>K5+N5+Q5+V5+Y5</f>
        <v>18707.870500000001</v>
      </c>
      <c r="AA5" s="21" t="s">
        <v>39</v>
      </c>
      <c r="AB5" s="22">
        <v>1431</v>
      </c>
      <c r="AC5" s="24">
        <f>(K5*9.5%)</f>
        <v>600.6232500000001</v>
      </c>
      <c r="AD5" s="21" t="s">
        <v>39</v>
      </c>
      <c r="AE5" s="25" t="s">
        <v>40</v>
      </c>
      <c r="AF5" s="23">
        <v>306</v>
      </c>
      <c r="AG5" s="21" t="s">
        <v>39</v>
      </c>
      <c r="AH5" s="25" t="s">
        <v>41</v>
      </c>
      <c r="AI5" s="23">
        <f>+BE5</f>
        <v>3797.04</v>
      </c>
      <c r="AJ5" s="21" t="s">
        <v>39</v>
      </c>
      <c r="AK5" s="25" t="s">
        <v>42</v>
      </c>
      <c r="AL5" s="23">
        <f>(K5*0%)</f>
        <v>0</v>
      </c>
      <c r="AM5" s="21" t="s">
        <v>39</v>
      </c>
      <c r="AN5" s="25" t="s">
        <v>43</v>
      </c>
      <c r="AO5" s="23">
        <v>0</v>
      </c>
      <c r="AP5" s="21" t="s">
        <v>39</v>
      </c>
      <c r="AQ5" s="25">
        <v>1431</v>
      </c>
      <c r="AR5" s="23">
        <v>63.223500000000058</v>
      </c>
      <c r="AS5" s="24">
        <f>(AC5+AF5+AI5+AL5+AO5+AR5)</f>
        <v>4766.8867499999997</v>
      </c>
      <c r="AT5" s="26">
        <f t="shared" ref="AT5:AT32" si="1">(Z5-AS5)</f>
        <v>13940.983750000001</v>
      </c>
      <c r="AU5" s="27"/>
      <c r="AV5" s="28"/>
      <c r="AW5" s="29">
        <f>+H5</f>
        <v>15</v>
      </c>
      <c r="AX5" s="29">
        <f>+K5+S5+N5+Q5+R5+Y5</f>
        <v>18707.870500000001</v>
      </c>
      <c r="AY5" s="30">
        <f>IFERROR(+AX5/AW5,0)*AW5</f>
        <v>18707.870500000001</v>
      </c>
      <c r="AZ5" s="30">
        <f>IFERROR(+LOOKUP(AY5,[2]TARIFAS!$A$4:$B$14,[2]TARIFAS!$A$4:$A$14),0)</f>
        <v>16153.06</v>
      </c>
      <c r="BA5" s="30">
        <f>+AY5-AZ5</f>
        <v>2554.8105000000014</v>
      </c>
      <c r="BB5" s="30">
        <f>IFERROR(+LOOKUP(AY5,[2]TARIFAS!$A$4:$B$14,[2]TARIFAS!$D$4:$D$14),0)</f>
        <v>30</v>
      </c>
      <c r="BC5" s="30">
        <f>(+BA5*BB5)/100</f>
        <v>766.44315000000051</v>
      </c>
      <c r="BD5" s="30">
        <f>IFERROR(+LOOKUP(AY5,[2]TARIFAS!$A$4:$B$14,[2]TARIFAS!$C$4:$C$14),0)</f>
        <v>3030.6</v>
      </c>
      <c r="BE5" s="30">
        <f>ROUND(+BC5+BD5,2)</f>
        <v>3797.04</v>
      </c>
      <c r="BF5" s="30"/>
      <c r="BG5" s="30"/>
      <c r="BH5" s="30"/>
      <c r="BI5" s="29"/>
    </row>
    <row r="6" spans="1:62" s="31" customFormat="1" ht="29.25" customHeight="1" x14ac:dyDescent="0.2">
      <c r="A6" s="17" t="str">
        <f t="shared" ref="A6:A33" si="2">B6&amp;" "&amp;C6</f>
        <v>SEI 006</v>
      </c>
      <c r="B6" s="17" t="s">
        <v>32</v>
      </c>
      <c r="C6" s="32" t="s">
        <v>45</v>
      </c>
      <c r="D6" s="20" t="s">
        <v>46</v>
      </c>
      <c r="E6" s="20" t="s">
        <v>35</v>
      </c>
      <c r="F6" s="21" t="s">
        <v>37</v>
      </c>
      <c r="G6" s="21" t="s">
        <v>38</v>
      </c>
      <c r="H6" s="21">
        <v>15</v>
      </c>
      <c r="I6" s="21">
        <v>421.49</v>
      </c>
      <c r="J6" s="160" t="s">
        <v>147</v>
      </c>
      <c r="K6" s="21">
        <v>6322.35</v>
      </c>
      <c r="L6" s="21" t="s">
        <v>37</v>
      </c>
      <c r="M6" s="22">
        <v>1311</v>
      </c>
      <c r="N6" s="23">
        <v>168.22500000000002</v>
      </c>
      <c r="O6" s="21" t="s">
        <v>37</v>
      </c>
      <c r="P6" s="22">
        <v>1713</v>
      </c>
      <c r="Q6" s="21">
        <v>351.5</v>
      </c>
      <c r="R6" s="23">
        <v>406.32</v>
      </c>
      <c r="S6" s="23">
        <f t="shared" ref="S6:S33" si="3">(K6*3%)</f>
        <v>189.6705</v>
      </c>
      <c r="T6" s="21" t="s">
        <v>37</v>
      </c>
      <c r="U6" s="22">
        <v>1712</v>
      </c>
      <c r="V6" s="24">
        <f t="shared" ref="V6:V32" si="4">(R6+S6)</f>
        <v>595.9905</v>
      </c>
      <c r="W6" s="21"/>
      <c r="X6" s="22"/>
      <c r="Y6" s="24"/>
      <c r="Z6" s="24">
        <f t="shared" ref="Z6:Z33" si="5">K6+N6+Q6+V6+Y6</f>
        <v>7438.0655000000006</v>
      </c>
      <c r="AA6" s="21" t="s">
        <v>39</v>
      </c>
      <c r="AB6" s="22">
        <v>1431</v>
      </c>
      <c r="AC6" s="24">
        <f t="shared" ref="AC6:AC33" si="6">(K6*9.5%)</f>
        <v>600.6232500000001</v>
      </c>
      <c r="AD6" s="21" t="s">
        <v>39</v>
      </c>
      <c r="AE6" s="25" t="s">
        <v>40</v>
      </c>
      <c r="AF6" s="23">
        <v>2000</v>
      </c>
      <c r="AG6" s="21" t="s">
        <v>39</v>
      </c>
      <c r="AH6" s="25" t="s">
        <v>41</v>
      </c>
      <c r="AI6" s="23">
        <f t="shared" ref="AI6:AI33" si="7">+BE6</f>
        <v>1041.58</v>
      </c>
      <c r="AJ6" s="21" t="s">
        <v>39</v>
      </c>
      <c r="AK6" s="25" t="s">
        <v>42</v>
      </c>
      <c r="AL6" s="23">
        <f>(K6*1%)</f>
        <v>63.223500000000008</v>
      </c>
      <c r="AM6" s="21" t="s">
        <v>39</v>
      </c>
      <c r="AN6" s="25" t="s">
        <v>43</v>
      </c>
      <c r="AO6" s="23">
        <v>0</v>
      </c>
      <c r="AP6" s="21" t="s">
        <v>39</v>
      </c>
      <c r="AQ6" s="25">
        <v>1431</v>
      </c>
      <c r="AR6" s="23">
        <v>63.223500000000101</v>
      </c>
      <c r="AS6" s="24">
        <f t="shared" ref="AS6:AS32" si="8">(AC6+AF6+AI6+AL6+AO6+AR6)</f>
        <v>3768.6502500000001</v>
      </c>
      <c r="AT6" s="26">
        <f t="shared" si="1"/>
        <v>3669.4152500000005</v>
      </c>
      <c r="AU6" s="33"/>
      <c r="AV6" s="28"/>
      <c r="AW6" s="29">
        <f t="shared" ref="AW6:AW33" si="9">+H6</f>
        <v>15</v>
      </c>
      <c r="AX6" s="29">
        <f t="shared" ref="AX6:AX33" si="10">+K6+S6+N6+Q6+R6+Y6</f>
        <v>7438.0655000000006</v>
      </c>
      <c r="AY6" s="30">
        <f t="shared" ref="AY6:AY33" si="11">IFERROR(+AX6/AW6,0)*AW6</f>
        <v>7438.0655000000006</v>
      </c>
      <c r="AZ6" s="30">
        <f>IFERROR(+LOOKUP(AY6,[2]TARIFAS!$A$4:$B$14,[2]TARIFAS!$A$4:$A$14),0)</f>
        <v>5081.41</v>
      </c>
      <c r="BA6" s="30">
        <f t="shared" ref="BA6:BA33" si="12">+AY6-AZ6</f>
        <v>2356.6555000000008</v>
      </c>
      <c r="BB6" s="30">
        <f>IFERROR(+LOOKUP(AY6,[2]TARIFAS!$A$4:$B$14,[2]TARIFAS!$D$4:$D$14),0)</f>
        <v>21.36</v>
      </c>
      <c r="BC6" s="30">
        <f t="shared" ref="BC6:BC33" si="13">(+BA6*BB6)/100</f>
        <v>503.38161480000019</v>
      </c>
      <c r="BD6" s="30">
        <f>IFERROR(+LOOKUP(AY6,[2]TARIFAS!$A$4:$B$14,[2]TARIFAS!$C$4:$C$14),0)</f>
        <v>538.20000000000005</v>
      </c>
      <c r="BE6" s="30">
        <f t="shared" ref="BE6:BE33" si="14">ROUND(+BC6+BD6,2)</f>
        <v>1041.58</v>
      </c>
      <c r="BF6" s="30"/>
      <c r="BG6" s="30"/>
      <c r="BH6" s="30"/>
      <c r="BI6" s="29"/>
    </row>
    <row r="7" spans="1:62" s="31" customFormat="1" ht="30" customHeight="1" x14ac:dyDescent="0.2">
      <c r="A7" s="17" t="str">
        <f t="shared" si="2"/>
        <v>SEI 007</v>
      </c>
      <c r="B7" s="17" t="s">
        <v>32</v>
      </c>
      <c r="C7" s="32" t="s">
        <v>48</v>
      </c>
      <c r="D7" s="20" t="s">
        <v>49</v>
      </c>
      <c r="E7" s="20" t="s">
        <v>50</v>
      </c>
      <c r="F7" s="21" t="s">
        <v>37</v>
      </c>
      <c r="G7" s="21" t="s">
        <v>38</v>
      </c>
      <c r="H7" s="21">
        <v>15</v>
      </c>
      <c r="I7" s="21">
        <v>504.21533333333332</v>
      </c>
      <c r="J7" s="160" t="s">
        <v>147</v>
      </c>
      <c r="K7" s="21">
        <v>7563.23</v>
      </c>
      <c r="L7" s="21" t="s">
        <v>37</v>
      </c>
      <c r="M7" s="22">
        <v>1311</v>
      </c>
      <c r="N7" s="23">
        <v>168.22500000000002</v>
      </c>
      <c r="O7" s="21" t="s">
        <v>37</v>
      </c>
      <c r="P7" s="22">
        <v>1713</v>
      </c>
      <c r="Q7" s="21">
        <v>282.08999999999997</v>
      </c>
      <c r="R7" s="23">
        <v>418.44</v>
      </c>
      <c r="S7" s="23">
        <f t="shared" si="3"/>
        <v>226.89689999999999</v>
      </c>
      <c r="T7" s="21" t="s">
        <v>37</v>
      </c>
      <c r="U7" s="22">
        <v>1712</v>
      </c>
      <c r="V7" s="24">
        <f t="shared" si="4"/>
        <v>645.33690000000001</v>
      </c>
      <c r="W7" s="21"/>
      <c r="X7" s="22"/>
      <c r="Y7" s="24"/>
      <c r="Z7" s="24">
        <f t="shared" si="5"/>
        <v>8658.8819000000003</v>
      </c>
      <c r="AA7" s="21" t="s">
        <v>39</v>
      </c>
      <c r="AB7" s="22">
        <v>1431</v>
      </c>
      <c r="AC7" s="24">
        <f t="shared" si="6"/>
        <v>718.50684999999999</v>
      </c>
      <c r="AD7" s="21" t="s">
        <v>39</v>
      </c>
      <c r="AE7" s="25" t="s">
        <v>40</v>
      </c>
      <c r="AF7" s="23">
        <v>1158.5</v>
      </c>
      <c r="AG7" s="21" t="s">
        <v>39</v>
      </c>
      <c r="AH7" s="25" t="s">
        <v>41</v>
      </c>
      <c r="AI7" s="23">
        <f t="shared" si="7"/>
        <v>1302.3499999999999</v>
      </c>
      <c r="AJ7" s="21" t="s">
        <v>39</v>
      </c>
      <c r="AK7" s="25" t="s">
        <v>42</v>
      </c>
      <c r="AL7" s="23">
        <f>(K7*1%)</f>
        <v>75.632300000000001</v>
      </c>
      <c r="AM7" s="21" t="s">
        <v>39</v>
      </c>
      <c r="AN7" s="25" t="s">
        <v>43</v>
      </c>
      <c r="AO7" s="23">
        <v>0</v>
      </c>
      <c r="AP7" s="21" t="s">
        <v>39</v>
      </c>
      <c r="AQ7" s="25">
        <v>1431</v>
      </c>
      <c r="AR7" s="23">
        <v>75.632300000000214</v>
      </c>
      <c r="AS7" s="24">
        <f t="shared" si="8"/>
        <v>3330.6214500000006</v>
      </c>
      <c r="AT7" s="26">
        <f t="shared" si="1"/>
        <v>5328.2604499999998</v>
      </c>
      <c r="AU7" s="33"/>
      <c r="AV7" s="28"/>
      <c r="AW7" s="29">
        <f t="shared" si="9"/>
        <v>15</v>
      </c>
      <c r="AX7" s="29">
        <f t="shared" si="10"/>
        <v>8658.8819000000003</v>
      </c>
      <c r="AY7" s="30">
        <f t="shared" si="11"/>
        <v>8658.8819000000003</v>
      </c>
      <c r="AZ7" s="30">
        <f>IFERROR(+LOOKUP(AY7,[2]TARIFAS!$A$4:$B$14,[2]TARIFAS!$A$4:$A$14),0)</f>
        <v>5081.41</v>
      </c>
      <c r="BA7" s="30">
        <f t="shared" si="12"/>
        <v>3577.4719000000005</v>
      </c>
      <c r="BB7" s="30">
        <f>IFERROR(+LOOKUP(AY7,[2]TARIFAS!$A$4:$B$14,[2]TARIFAS!$D$4:$D$14),0)</f>
        <v>21.36</v>
      </c>
      <c r="BC7" s="30">
        <f t="shared" si="13"/>
        <v>764.14799784000002</v>
      </c>
      <c r="BD7" s="30">
        <f>IFERROR(+LOOKUP(AY7,[2]TARIFAS!$A$4:$B$14,[2]TARIFAS!$C$4:$C$14),0)</f>
        <v>538.20000000000005</v>
      </c>
      <c r="BE7" s="30">
        <f t="shared" si="14"/>
        <v>1302.3499999999999</v>
      </c>
      <c r="BF7" s="30"/>
      <c r="BG7" s="30"/>
      <c r="BH7" s="30"/>
      <c r="BI7" s="29"/>
    </row>
    <row r="8" spans="1:62" s="31" customFormat="1" ht="30" customHeight="1" x14ac:dyDescent="0.2">
      <c r="A8" s="17" t="str">
        <f t="shared" si="2"/>
        <v>SEI 008</v>
      </c>
      <c r="B8" s="17" t="s">
        <v>32</v>
      </c>
      <c r="C8" s="32" t="s">
        <v>51</v>
      </c>
      <c r="D8" s="20" t="s">
        <v>52</v>
      </c>
      <c r="E8" s="20" t="s">
        <v>35</v>
      </c>
      <c r="F8" s="21" t="s">
        <v>37</v>
      </c>
      <c r="G8" s="21" t="s">
        <v>38</v>
      </c>
      <c r="H8" s="21">
        <v>15</v>
      </c>
      <c r="I8" s="21">
        <v>421.49</v>
      </c>
      <c r="J8" s="160" t="s">
        <v>148</v>
      </c>
      <c r="K8" s="21">
        <v>6322.35</v>
      </c>
      <c r="L8" s="21" t="s">
        <v>37</v>
      </c>
      <c r="M8" s="22">
        <v>1311</v>
      </c>
      <c r="N8" s="23">
        <v>201.87</v>
      </c>
      <c r="O8" s="21" t="s">
        <v>37</v>
      </c>
      <c r="P8" s="22">
        <v>1713</v>
      </c>
      <c r="Q8" s="21">
        <v>351.5</v>
      </c>
      <c r="R8" s="23">
        <v>406.32</v>
      </c>
      <c r="S8" s="23">
        <f t="shared" si="3"/>
        <v>189.6705</v>
      </c>
      <c r="T8" s="21" t="s">
        <v>37</v>
      </c>
      <c r="U8" s="22">
        <v>1712</v>
      </c>
      <c r="V8" s="24">
        <f t="shared" si="4"/>
        <v>595.9905</v>
      </c>
      <c r="W8" s="21"/>
      <c r="X8" s="22"/>
      <c r="Y8" s="24"/>
      <c r="Z8" s="24">
        <f t="shared" si="5"/>
        <v>7471.7105000000001</v>
      </c>
      <c r="AA8" s="21" t="s">
        <v>39</v>
      </c>
      <c r="AB8" s="22">
        <v>1431</v>
      </c>
      <c r="AC8" s="24">
        <f t="shared" si="6"/>
        <v>600.6232500000001</v>
      </c>
      <c r="AD8" s="21" t="s">
        <v>39</v>
      </c>
      <c r="AE8" s="25" t="s">
        <v>40</v>
      </c>
      <c r="AF8" s="23">
        <v>1542</v>
      </c>
      <c r="AG8" s="21" t="s">
        <v>39</v>
      </c>
      <c r="AH8" s="25" t="s">
        <v>41</v>
      </c>
      <c r="AI8" s="23">
        <f t="shared" si="7"/>
        <v>1048.77</v>
      </c>
      <c r="AJ8" s="21" t="s">
        <v>39</v>
      </c>
      <c r="AK8" s="25" t="s">
        <v>42</v>
      </c>
      <c r="AL8" s="23">
        <f>(K8*1%)</f>
        <v>63.223500000000008</v>
      </c>
      <c r="AM8" s="21" t="s">
        <v>39</v>
      </c>
      <c r="AN8" s="25" t="s">
        <v>43</v>
      </c>
      <c r="AO8" s="23">
        <v>0</v>
      </c>
      <c r="AP8" s="21" t="s">
        <v>39</v>
      </c>
      <c r="AQ8" s="25">
        <v>1431</v>
      </c>
      <c r="AR8" s="23">
        <v>63.223500000000058</v>
      </c>
      <c r="AS8" s="24">
        <f t="shared" si="8"/>
        <v>3317.8402500000002</v>
      </c>
      <c r="AT8" s="26">
        <f t="shared" si="1"/>
        <v>4153.8702499999999</v>
      </c>
      <c r="AU8" s="33"/>
      <c r="AV8" s="28"/>
      <c r="AW8" s="29">
        <f t="shared" si="9"/>
        <v>15</v>
      </c>
      <c r="AX8" s="29">
        <f t="shared" si="10"/>
        <v>7471.7105000000001</v>
      </c>
      <c r="AY8" s="30">
        <f>IFERROR(+AX8/AW8,0)*AW8</f>
        <v>7471.7105000000001</v>
      </c>
      <c r="AZ8" s="30">
        <f>IFERROR(+LOOKUP(AY8,[2]TARIFAS!$A$4:$B$14,[2]TARIFAS!$A$4:$A$14),0)</f>
        <v>5081.41</v>
      </c>
      <c r="BA8" s="30">
        <f t="shared" si="12"/>
        <v>2390.3005000000003</v>
      </c>
      <c r="BB8" s="30">
        <f>IFERROR(+LOOKUP(AY8,[2]TARIFAS!$A$4:$B$14,[2]TARIFAS!$D$4:$D$14),0)</f>
        <v>21.36</v>
      </c>
      <c r="BC8" s="30">
        <f t="shared" si="13"/>
        <v>510.56818680000003</v>
      </c>
      <c r="BD8" s="30">
        <f>IFERROR(+LOOKUP(AY8,[2]TARIFAS!$A$4:$B$14,[2]TARIFAS!$C$4:$C$14),0)</f>
        <v>538.20000000000005</v>
      </c>
      <c r="BE8" s="30">
        <f t="shared" si="14"/>
        <v>1048.77</v>
      </c>
      <c r="BF8" s="30"/>
      <c r="BG8" s="30"/>
      <c r="BH8" s="30"/>
      <c r="BI8" s="29"/>
    </row>
    <row r="9" spans="1:62" s="31" customFormat="1" ht="30" customHeight="1" x14ac:dyDescent="0.2">
      <c r="A9" s="17" t="str">
        <f t="shared" si="2"/>
        <v>SEI 009</v>
      </c>
      <c r="B9" s="17" t="s">
        <v>32</v>
      </c>
      <c r="C9" s="32" t="s">
        <v>54</v>
      </c>
      <c r="D9" s="20" t="s">
        <v>55</v>
      </c>
      <c r="E9" s="20" t="s">
        <v>50</v>
      </c>
      <c r="F9" s="21" t="s">
        <v>37</v>
      </c>
      <c r="G9" s="21" t="s">
        <v>38</v>
      </c>
      <c r="H9" s="21">
        <v>15</v>
      </c>
      <c r="I9" s="21">
        <v>504.21533333333332</v>
      </c>
      <c r="J9" s="160" t="s">
        <v>147</v>
      </c>
      <c r="K9" s="21">
        <v>7563.23</v>
      </c>
      <c r="L9" s="21" t="s">
        <v>37</v>
      </c>
      <c r="M9" s="22">
        <v>1311</v>
      </c>
      <c r="N9" s="23">
        <v>168.22500000000002</v>
      </c>
      <c r="O9" s="21" t="s">
        <v>37</v>
      </c>
      <c r="P9" s="22">
        <v>1713</v>
      </c>
      <c r="Q9" s="21">
        <v>282.08999999999997</v>
      </c>
      <c r="R9" s="23">
        <v>418.44</v>
      </c>
      <c r="S9" s="23">
        <f t="shared" si="3"/>
        <v>226.89689999999999</v>
      </c>
      <c r="T9" s="21" t="s">
        <v>37</v>
      </c>
      <c r="U9" s="22">
        <v>1712</v>
      </c>
      <c r="V9" s="24">
        <f t="shared" si="4"/>
        <v>645.33690000000001</v>
      </c>
      <c r="W9" s="21"/>
      <c r="X9" s="22"/>
      <c r="Y9" s="24"/>
      <c r="Z9" s="24">
        <f t="shared" si="5"/>
        <v>8658.8819000000003</v>
      </c>
      <c r="AA9" s="21" t="s">
        <v>39</v>
      </c>
      <c r="AB9" s="22">
        <v>1431</v>
      </c>
      <c r="AC9" s="24">
        <f t="shared" si="6"/>
        <v>718.50684999999999</v>
      </c>
      <c r="AD9" s="21" t="s">
        <v>39</v>
      </c>
      <c r="AE9" s="25" t="s">
        <v>40</v>
      </c>
      <c r="AF9" s="23">
        <v>0</v>
      </c>
      <c r="AG9" s="21" t="s">
        <v>39</v>
      </c>
      <c r="AH9" s="25" t="s">
        <v>41</v>
      </c>
      <c r="AI9" s="23">
        <f t="shared" si="7"/>
        <v>1302.3499999999999</v>
      </c>
      <c r="AJ9" s="21" t="s">
        <v>39</v>
      </c>
      <c r="AK9" s="25" t="s">
        <v>42</v>
      </c>
      <c r="AL9" s="23">
        <f>(K9*1%)</f>
        <v>75.632300000000001</v>
      </c>
      <c r="AM9" s="21" t="s">
        <v>39</v>
      </c>
      <c r="AN9" s="25" t="s">
        <v>43</v>
      </c>
      <c r="AO9" s="23">
        <v>0</v>
      </c>
      <c r="AP9" s="21" t="s">
        <v>39</v>
      </c>
      <c r="AQ9" s="25">
        <v>1431</v>
      </c>
      <c r="AR9" s="23">
        <v>75.632299999999304</v>
      </c>
      <c r="AS9" s="24">
        <f t="shared" si="8"/>
        <v>2172.1214499999992</v>
      </c>
      <c r="AT9" s="26">
        <f t="shared" si="1"/>
        <v>6486.7604500000016</v>
      </c>
      <c r="AU9" s="33"/>
      <c r="AV9" s="28"/>
      <c r="AW9" s="29">
        <f t="shared" si="9"/>
        <v>15</v>
      </c>
      <c r="AX9" s="29">
        <f t="shared" si="10"/>
        <v>8658.8819000000003</v>
      </c>
      <c r="AY9" s="30">
        <f>IFERROR(+AX9/AW9,0)*AW9</f>
        <v>8658.8819000000003</v>
      </c>
      <c r="AZ9" s="30">
        <f>IFERROR(+LOOKUP(AY9,[2]TARIFAS!$A$4:$B$14,[2]TARIFAS!$A$4:$A$14),0)</f>
        <v>5081.41</v>
      </c>
      <c r="BA9" s="30">
        <f t="shared" si="12"/>
        <v>3577.4719000000005</v>
      </c>
      <c r="BB9" s="30">
        <f>IFERROR(+LOOKUP(AY9,[2]TARIFAS!$A$4:$B$14,[2]TARIFAS!$D$4:$D$14),0)</f>
        <v>21.36</v>
      </c>
      <c r="BC9" s="30">
        <f t="shared" si="13"/>
        <v>764.14799784000002</v>
      </c>
      <c r="BD9" s="30">
        <f>IFERROR(+LOOKUP(AY9,[2]TARIFAS!$A$4:$B$14,[2]TARIFAS!$C$4:$C$14),0)</f>
        <v>538.20000000000005</v>
      </c>
      <c r="BE9" s="30">
        <f t="shared" si="14"/>
        <v>1302.3499999999999</v>
      </c>
      <c r="BF9" s="30"/>
      <c r="BG9" s="30"/>
      <c r="BH9" s="30"/>
      <c r="BI9" s="29"/>
    </row>
    <row r="10" spans="1:62" s="31" customFormat="1" ht="30" customHeight="1" x14ac:dyDescent="0.2">
      <c r="A10" s="17" t="str">
        <f t="shared" si="2"/>
        <v>SEI 010</v>
      </c>
      <c r="B10" s="17" t="s">
        <v>32</v>
      </c>
      <c r="C10" s="32" t="s">
        <v>56</v>
      </c>
      <c r="D10" s="20" t="s">
        <v>57</v>
      </c>
      <c r="E10" s="20" t="s">
        <v>35</v>
      </c>
      <c r="F10" s="21" t="s">
        <v>37</v>
      </c>
      <c r="G10" s="21" t="s">
        <v>38</v>
      </c>
      <c r="H10" s="21">
        <v>15</v>
      </c>
      <c r="I10" s="21">
        <v>421.49</v>
      </c>
      <c r="J10" s="160" t="s">
        <v>147</v>
      </c>
      <c r="K10" s="21">
        <v>6322.35</v>
      </c>
      <c r="L10" s="21" t="s">
        <v>37</v>
      </c>
      <c r="M10" s="22">
        <v>1311</v>
      </c>
      <c r="N10" s="23">
        <v>201.87</v>
      </c>
      <c r="O10" s="21" t="s">
        <v>37</v>
      </c>
      <c r="P10" s="22">
        <v>1713</v>
      </c>
      <c r="Q10" s="21">
        <v>351.5</v>
      </c>
      <c r="R10" s="23">
        <v>406.32</v>
      </c>
      <c r="S10" s="23">
        <f t="shared" si="3"/>
        <v>189.6705</v>
      </c>
      <c r="T10" s="21" t="s">
        <v>37</v>
      </c>
      <c r="U10" s="22">
        <v>1712</v>
      </c>
      <c r="V10" s="24">
        <f t="shared" si="4"/>
        <v>595.9905</v>
      </c>
      <c r="W10" s="21"/>
      <c r="X10" s="22"/>
      <c r="Y10" s="24"/>
      <c r="Z10" s="24">
        <f t="shared" si="5"/>
        <v>7471.7105000000001</v>
      </c>
      <c r="AA10" s="21" t="s">
        <v>39</v>
      </c>
      <c r="AB10" s="22">
        <v>1431</v>
      </c>
      <c r="AC10" s="24">
        <f t="shared" si="6"/>
        <v>600.6232500000001</v>
      </c>
      <c r="AD10" s="21" t="s">
        <v>39</v>
      </c>
      <c r="AE10" s="25" t="s">
        <v>40</v>
      </c>
      <c r="AF10" s="23">
        <v>2108</v>
      </c>
      <c r="AG10" s="21" t="s">
        <v>39</v>
      </c>
      <c r="AH10" s="25" t="s">
        <v>41</v>
      </c>
      <c r="AI10" s="23">
        <f t="shared" si="7"/>
        <v>1048.77</v>
      </c>
      <c r="AJ10" s="21" t="s">
        <v>39</v>
      </c>
      <c r="AK10" s="25" t="s">
        <v>42</v>
      </c>
      <c r="AL10" s="23">
        <f>(K10*1%)</f>
        <v>63.223500000000008</v>
      </c>
      <c r="AM10" s="21" t="s">
        <v>39</v>
      </c>
      <c r="AN10" s="25" t="s">
        <v>43</v>
      </c>
      <c r="AO10" s="23">
        <v>0</v>
      </c>
      <c r="AP10" s="21" t="s">
        <v>39</v>
      </c>
      <c r="AQ10" s="25">
        <v>1431</v>
      </c>
      <c r="AR10" s="23">
        <v>63.223500000000058</v>
      </c>
      <c r="AS10" s="24">
        <f t="shared" si="8"/>
        <v>3883.8402500000002</v>
      </c>
      <c r="AT10" s="26">
        <f t="shared" si="1"/>
        <v>3587.8702499999999</v>
      </c>
      <c r="AU10" s="33"/>
      <c r="AV10" s="28"/>
      <c r="AW10" s="29">
        <f t="shared" si="9"/>
        <v>15</v>
      </c>
      <c r="AX10" s="29">
        <f t="shared" si="10"/>
        <v>7471.7105000000001</v>
      </c>
      <c r="AY10" s="30">
        <f>IFERROR(+AX10/AW10,0)*AW10</f>
        <v>7471.7105000000001</v>
      </c>
      <c r="AZ10" s="30">
        <f>IFERROR(+LOOKUP(AY10,[2]TARIFAS!$A$4:$B$14,[2]TARIFAS!$A$4:$A$14),0)</f>
        <v>5081.41</v>
      </c>
      <c r="BA10" s="30">
        <f t="shared" si="12"/>
        <v>2390.3005000000003</v>
      </c>
      <c r="BB10" s="30">
        <f>IFERROR(+LOOKUP(AY10,[2]TARIFAS!$A$4:$B$14,[2]TARIFAS!$D$4:$D$14),0)</f>
        <v>21.36</v>
      </c>
      <c r="BC10" s="30">
        <f t="shared" si="13"/>
        <v>510.56818680000003</v>
      </c>
      <c r="BD10" s="30">
        <f>IFERROR(+LOOKUP(AY10,[2]TARIFAS!$A$4:$B$14,[2]TARIFAS!$C$4:$C$14),0)</f>
        <v>538.20000000000005</v>
      </c>
      <c r="BE10" s="30">
        <f t="shared" si="14"/>
        <v>1048.77</v>
      </c>
      <c r="BF10" s="30"/>
      <c r="BG10" s="30"/>
      <c r="BH10" s="30"/>
      <c r="BI10" s="29"/>
    </row>
    <row r="11" spans="1:62" s="31" customFormat="1" ht="30" customHeight="1" x14ac:dyDescent="0.2">
      <c r="A11" s="17" t="str">
        <f t="shared" si="2"/>
        <v>SEI 013</v>
      </c>
      <c r="B11" s="17" t="s">
        <v>32</v>
      </c>
      <c r="C11" s="32" t="s">
        <v>58</v>
      </c>
      <c r="D11" s="20" t="s">
        <v>59</v>
      </c>
      <c r="E11" s="20" t="s">
        <v>35</v>
      </c>
      <c r="F11" s="21" t="s">
        <v>37</v>
      </c>
      <c r="G11" s="21" t="s">
        <v>38</v>
      </c>
      <c r="H11" s="21">
        <v>15</v>
      </c>
      <c r="I11" s="21">
        <v>325.036</v>
      </c>
      <c r="J11" s="160" t="s">
        <v>149</v>
      </c>
      <c r="K11" s="21">
        <v>4875.54</v>
      </c>
      <c r="L11" s="21" t="s">
        <v>37</v>
      </c>
      <c r="M11" s="22">
        <v>1311</v>
      </c>
      <c r="N11" s="23">
        <v>235.51499999999999</v>
      </c>
      <c r="O11" s="21" t="s">
        <v>37</v>
      </c>
      <c r="P11" s="22">
        <v>1713</v>
      </c>
      <c r="Q11" s="21">
        <v>207.91</v>
      </c>
      <c r="R11" s="23">
        <v>371.02</v>
      </c>
      <c r="S11" s="23">
        <f t="shared" si="3"/>
        <v>146.2662</v>
      </c>
      <c r="T11" s="21" t="s">
        <v>37</v>
      </c>
      <c r="U11" s="22">
        <v>1712</v>
      </c>
      <c r="V11" s="24">
        <f t="shared" si="4"/>
        <v>517.28620000000001</v>
      </c>
      <c r="W11" s="21"/>
      <c r="X11" s="22"/>
      <c r="Y11" s="24"/>
      <c r="Z11" s="24">
        <f t="shared" si="5"/>
        <v>5836.2512000000006</v>
      </c>
      <c r="AA11" s="21" t="s">
        <v>39</v>
      </c>
      <c r="AB11" s="22">
        <v>1431</v>
      </c>
      <c r="AC11" s="24">
        <f t="shared" si="6"/>
        <v>463.17630000000003</v>
      </c>
      <c r="AD11" s="21" t="s">
        <v>39</v>
      </c>
      <c r="AE11" s="25" t="s">
        <v>40</v>
      </c>
      <c r="AF11" s="23">
        <v>0</v>
      </c>
      <c r="AG11" s="21" t="s">
        <v>39</v>
      </c>
      <c r="AH11" s="25" t="s">
        <v>41</v>
      </c>
      <c r="AI11" s="23">
        <f t="shared" si="7"/>
        <v>699.43</v>
      </c>
      <c r="AJ11" s="21" t="s">
        <v>39</v>
      </c>
      <c r="AK11" s="25" t="s">
        <v>42</v>
      </c>
      <c r="AL11" s="23">
        <v>0</v>
      </c>
      <c r="AM11" s="21" t="s">
        <v>39</v>
      </c>
      <c r="AN11" s="25" t="s">
        <v>43</v>
      </c>
      <c r="AO11" s="23">
        <v>0</v>
      </c>
      <c r="AP11" s="21" t="s">
        <v>39</v>
      </c>
      <c r="AQ11" s="25">
        <v>1431</v>
      </c>
      <c r="AR11" s="23">
        <v>48.755400000000009</v>
      </c>
      <c r="AS11" s="24">
        <f t="shared" si="8"/>
        <v>1211.3616999999999</v>
      </c>
      <c r="AT11" s="26">
        <f t="shared" si="1"/>
        <v>4624.8895000000011</v>
      </c>
      <c r="AU11" s="33"/>
      <c r="AV11" s="28"/>
      <c r="AW11" s="29">
        <f t="shared" si="9"/>
        <v>15</v>
      </c>
      <c r="AX11" s="29">
        <f t="shared" si="10"/>
        <v>5836.2512000000006</v>
      </c>
      <c r="AY11" s="30">
        <f t="shared" si="11"/>
        <v>5836.2512000000006</v>
      </c>
      <c r="AZ11" s="30">
        <f>IFERROR(+LOOKUP(AY11,[2]TARIFAS!$A$4:$B$14,[2]TARIFAS!$A$4:$A$14),0)</f>
        <v>5081.41</v>
      </c>
      <c r="BA11" s="30">
        <f t="shared" si="12"/>
        <v>754.84120000000075</v>
      </c>
      <c r="BB11" s="30">
        <f>IFERROR(+LOOKUP(AY11,[2]TARIFAS!$A$4:$B$14,[2]TARIFAS!$D$4:$D$14),0)</f>
        <v>21.36</v>
      </c>
      <c r="BC11" s="30">
        <f t="shared" si="13"/>
        <v>161.23408032000015</v>
      </c>
      <c r="BD11" s="30">
        <f>IFERROR(+LOOKUP(AY11,[2]TARIFAS!$A$4:$B$14,[2]TARIFAS!$C$4:$C$14),0)</f>
        <v>538.20000000000005</v>
      </c>
      <c r="BE11" s="30">
        <f t="shared" si="14"/>
        <v>699.43</v>
      </c>
      <c r="BF11" s="30"/>
      <c r="BG11" s="30"/>
      <c r="BH11" s="30"/>
      <c r="BI11" s="29"/>
    </row>
    <row r="12" spans="1:62" s="31" customFormat="1" ht="30" customHeight="1" x14ac:dyDescent="0.2">
      <c r="A12" s="17" t="str">
        <f t="shared" si="2"/>
        <v>SEI 016</v>
      </c>
      <c r="B12" s="17" t="s">
        <v>32</v>
      </c>
      <c r="C12" s="32" t="s">
        <v>61</v>
      </c>
      <c r="D12" s="20" t="s">
        <v>62</v>
      </c>
      <c r="E12" s="20" t="s">
        <v>35</v>
      </c>
      <c r="F12" s="21" t="s">
        <v>37</v>
      </c>
      <c r="G12" s="21" t="s">
        <v>38</v>
      </c>
      <c r="H12" s="21">
        <v>15</v>
      </c>
      <c r="I12" s="21">
        <v>325.036</v>
      </c>
      <c r="J12" s="160" t="s">
        <v>149</v>
      </c>
      <c r="K12" s="21">
        <v>4875.54</v>
      </c>
      <c r="L12" s="21" t="s">
        <v>37</v>
      </c>
      <c r="M12" s="22">
        <v>1311</v>
      </c>
      <c r="N12" s="23">
        <v>201.87</v>
      </c>
      <c r="O12" s="21" t="s">
        <v>37</v>
      </c>
      <c r="P12" s="22">
        <v>1713</v>
      </c>
      <c r="Q12" s="21">
        <v>207.91</v>
      </c>
      <c r="R12" s="23">
        <v>371.02</v>
      </c>
      <c r="S12" s="23">
        <f t="shared" si="3"/>
        <v>146.2662</v>
      </c>
      <c r="T12" s="21" t="s">
        <v>37</v>
      </c>
      <c r="U12" s="22">
        <v>1712</v>
      </c>
      <c r="V12" s="24">
        <f t="shared" si="4"/>
        <v>517.28620000000001</v>
      </c>
      <c r="W12" s="21"/>
      <c r="X12" s="22"/>
      <c r="Y12" s="24"/>
      <c r="Z12" s="24">
        <f t="shared" si="5"/>
        <v>5802.6062000000002</v>
      </c>
      <c r="AA12" s="21" t="s">
        <v>39</v>
      </c>
      <c r="AB12" s="22">
        <v>1431</v>
      </c>
      <c r="AC12" s="24">
        <f t="shared" si="6"/>
        <v>463.17630000000003</v>
      </c>
      <c r="AD12" s="21" t="s">
        <v>39</v>
      </c>
      <c r="AE12" s="25" t="s">
        <v>40</v>
      </c>
      <c r="AF12" s="23">
        <v>0</v>
      </c>
      <c r="AG12" s="21" t="s">
        <v>39</v>
      </c>
      <c r="AH12" s="25" t="s">
        <v>41</v>
      </c>
      <c r="AI12" s="23">
        <f t="shared" si="7"/>
        <v>692.25</v>
      </c>
      <c r="AJ12" s="21" t="s">
        <v>39</v>
      </c>
      <c r="AK12" s="25" t="s">
        <v>42</v>
      </c>
      <c r="AL12" s="23">
        <v>0</v>
      </c>
      <c r="AM12" s="21" t="s">
        <v>39</v>
      </c>
      <c r="AN12" s="25" t="s">
        <v>43</v>
      </c>
      <c r="AO12" s="23">
        <v>0</v>
      </c>
      <c r="AP12" s="21" t="s">
        <v>39</v>
      </c>
      <c r="AQ12" s="25">
        <v>1431</v>
      </c>
      <c r="AR12" s="23">
        <v>48.755400000000009</v>
      </c>
      <c r="AS12" s="24">
        <f t="shared" si="8"/>
        <v>1204.1817000000001</v>
      </c>
      <c r="AT12" s="26">
        <f t="shared" si="1"/>
        <v>4598.4245000000001</v>
      </c>
      <c r="AU12" s="33"/>
      <c r="AV12" s="28"/>
      <c r="AW12" s="29">
        <f t="shared" si="9"/>
        <v>15</v>
      </c>
      <c r="AX12" s="29">
        <f t="shared" si="10"/>
        <v>5802.6062000000002</v>
      </c>
      <c r="AY12" s="30">
        <f t="shared" si="11"/>
        <v>5802.6062000000002</v>
      </c>
      <c r="AZ12" s="30">
        <f>IFERROR(+LOOKUP(AY12,[2]TARIFAS!$A$4:$B$14,[2]TARIFAS!$A$4:$A$14),0)</f>
        <v>5081.41</v>
      </c>
      <c r="BA12" s="30">
        <f t="shared" si="12"/>
        <v>721.19620000000032</v>
      </c>
      <c r="BB12" s="30">
        <f>IFERROR(+LOOKUP(AY12,[2]TARIFAS!$A$4:$B$14,[2]TARIFAS!$D$4:$D$14),0)</f>
        <v>21.36</v>
      </c>
      <c r="BC12" s="30">
        <f t="shared" si="13"/>
        <v>154.04750832000008</v>
      </c>
      <c r="BD12" s="30">
        <f>IFERROR(+LOOKUP(AY12,[2]TARIFAS!$A$4:$B$14,[2]TARIFAS!$C$4:$C$14),0)</f>
        <v>538.20000000000005</v>
      </c>
      <c r="BE12" s="30">
        <f t="shared" si="14"/>
        <v>692.25</v>
      </c>
      <c r="BF12" s="30"/>
      <c r="BG12" s="30"/>
      <c r="BH12" s="30"/>
      <c r="BI12" s="29"/>
    </row>
    <row r="13" spans="1:62" s="31" customFormat="1" ht="30" customHeight="1" x14ac:dyDescent="0.2">
      <c r="A13" s="17" t="str">
        <f t="shared" si="2"/>
        <v>SEI 017</v>
      </c>
      <c r="B13" s="17" t="s">
        <v>32</v>
      </c>
      <c r="C13" s="32" t="s">
        <v>63</v>
      </c>
      <c r="D13" s="20" t="s">
        <v>64</v>
      </c>
      <c r="E13" s="20" t="s">
        <v>35</v>
      </c>
      <c r="F13" s="21" t="s">
        <v>37</v>
      </c>
      <c r="G13" s="21" t="s">
        <v>38</v>
      </c>
      <c r="H13" s="21">
        <v>15</v>
      </c>
      <c r="I13" s="21">
        <v>421.49</v>
      </c>
      <c r="J13" s="160" t="s">
        <v>149</v>
      </c>
      <c r="K13" s="21">
        <v>6322.35</v>
      </c>
      <c r="L13" s="21" t="s">
        <v>37</v>
      </c>
      <c r="M13" s="22">
        <v>1311</v>
      </c>
      <c r="N13" s="23">
        <v>235.51499999999999</v>
      </c>
      <c r="O13" s="21" t="s">
        <v>37</v>
      </c>
      <c r="P13" s="22">
        <v>1713</v>
      </c>
      <c r="Q13" s="21">
        <v>351.5</v>
      </c>
      <c r="R13" s="23">
        <v>406.32</v>
      </c>
      <c r="S13" s="23">
        <f t="shared" si="3"/>
        <v>189.6705</v>
      </c>
      <c r="T13" s="21" t="s">
        <v>37</v>
      </c>
      <c r="U13" s="22">
        <v>1712</v>
      </c>
      <c r="V13" s="24">
        <f t="shared" si="4"/>
        <v>595.9905</v>
      </c>
      <c r="W13" s="21"/>
      <c r="X13" s="22"/>
      <c r="Y13" s="24"/>
      <c r="Z13" s="24">
        <f t="shared" si="5"/>
        <v>7505.3555000000006</v>
      </c>
      <c r="AA13" s="21" t="s">
        <v>39</v>
      </c>
      <c r="AB13" s="22">
        <v>1431</v>
      </c>
      <c r="AC13" s="24">
        <f t="shared" si="6"/>
        <v>600.6232500000001</v>
      </c>
      <c r="AD13" s="21" t="s">
        <v>39</v>
      </c>
      <c r="AE13" s="25" t="s">
        <v>40</v>
      </c>
      <c r="AF13" s="23">
        <v>0</v>
      </c>
      <c r="AG13" s="21" t="s">
        <v>39</v>
      </c>
      <c r="AH13" s="25" t="s">
        <v>41</v>
      </c>
      <c r="AI13" s="23">
        <f t="shared" si="7"/>
        <v>1055.95</v>
      </c>
      <c r="AJ13" s="21" t="s">
        <v>39</v>
      </c>
      <c r="AK13" s="25" t="s">
        <v>42</v>
      </c>
      <c r="AL13" s="23">
        <v>0</v>
      </c>
      <c r="AM13" s="21" t="s">
        <v>39</v>
      </c>
      <c r="AN13" s="25" t="s">
        <v>43</v>
      </c>
      <c r="AO13" s="23">
        <v>0</v>
      </c>
      <c r="AP13" s="21" t="s">
        <v>39</v>
      </c>
      <c r="AQ13" s="25">
        <v>1431</v>
      </c>
      <c r="AR13" s="23">
        <v>63.223500000000058</v>
      </c>
      <c r="AS13" s="24">
        <f t="shared" si="8"/>
        <v>1719.7967500000002</v>
      </c>
      <c r="AT13" s="26">
        <f t="shared" si="1"/>
        <v>5785.5587500000001</v>
      </c>
      <c r="AU13" s="33"/>
      <c r="AV13" s="28"/>
      <c r="AW13" s="29">
        <f t="shared" si="9"/>
        <v>15</v>
      </c>
      <c r="AX13" s="29">
        <f t="shared" si="10"/>
        <v>7505.3555000000006</v>
      </c>
      <c r="AY13" s="30">
        <f t="shared" si="11"/>
        <v>7505.3555000000006</v>
      </c>
      <c r="AZ13" s="30">
        <f>IFERROR(+LOOKUP(AY13,[2]TARIFAS!$A$4:$B$14,[2]TARIFAS!$A$4:$A$14),0)</f>
        <v>5081.41</v>
      </c>
      <c r="BA13" s="30">
        <f t="shared" si="12"/>
        <v>2423.9455000000007</v>
      </c>
      <c r="BB13" s="30">
        <f>IFERROR(+LOOKUP(AY13,[2]TARIFAS!$A$4:$B$14,[2]TARIFAS!$D$4:$D$14),0)</f>
        <v>21.36</v>
      </c>
      <c r="BC13" s="30">
        <f t="shared" si="13"/>
        <v>517.7547588000001</v>
      </c>
      <c r="BD13" s="30">
        <f>IFERROR(+LOOKUP(AY13,[2]TARIFAS!$A$4:$B$14,[2]TARIFAS!$C$4:$C$14),0)</f>
        <v>538.20000000000005</v>
      </c>
      <c r="BE13" s="30">
        <f t="shared" si="14"/>
        <v>1055.95</v>
      </c>
      <c r="BF13" s="30"/>
      <c r="BG13" s="30"/>
      <c r="BH13" s="30"/>
      <c r="BI13" s="29"/>
    </row>
    <row r="14" spans="1:62" s="31" customFormat="1" ht="30" customHeight="1" x14ac:dyDescent="0.2">
      <c r="A14" s="17" t="str">
        <f t="shared" si="2"/>
        <v>SEI 030</v>
      </c>
      <c r="B14" s="17" t="s">
        <v>32</v>
      </c>
      <c r="C14" s="32" t="s">
        <v>65</v>
      </c>
      <c r="D14" s="20" t="s">
        <v>66</v>
      </c>
      <c r="E14" s="20" t="s">
        <v>67</v>
      </c>
      <c r="F14" s="21" t="s">
        <v>37</v>
      </c>
      <c r="G14" s="21" t="s">
        <v>38</v>
      </c>
      <c r="H14" s="21">
        <v>15</v>
      </c>
      <c r="I14" s="21">
        <v>1029.4333333333334</v>
      </c>
      <c r="J14" s="160" t="s">
        <v>147</v>
      </c>
      <c r="K14" s="21">
        <v>15441.5</v>
      </c>
      <c r="L14" s="21" t="s">
        <v>37</v>
      </c>
      <c r="M14" s="22">
        <v>1311</v>
      </c>
      <c r="N14" s="23">
        <v>0</v>
      </c>
      <c r="O14" s="21" t="s">
        <v>37</v>
      </c>
      <c r="P14" s="22">
        <v>1713</v>
      </c>
      <c r="Q14" s="23">
        <v>566.5</v>
      </c>
      <c r="R14" s="23">
        <v>835.5</v>
      </c>
      <c r="S14" s="23">
        <f t="shared" si="3"/>
        <v>463.245</v>
      </c>
      <c r="T14" s="21" t="s">
        <v>37</v>
      </c>
      <c r="U14" s="22">
        <v>1712</v>
      </c>
      <c r="V14" s="24">
        <f t="shared" si="4"/>
        <v>1298.7449999999999</v>
      </c>
      <c r="W14" s="21"/>
      <c r="X14" s="22"/>
      <c r="Y14" s="24"/>
      <c r="Z14" s="24">
        <f t="shared" si="5"/>
        <v>17306.744999999999</v>
      </c>
      <c r="AA14" s="21" t="s">
        <v>39</v>
      </c>
      <c r="AB14" s="22">
        <v>1431</v>
      </c>
      <c r="AC14" s="24">
        <f t="shared" si="6"/>
        <v>1466.9425000000001</v>
      </c>
      <c r="AD14" s="21" t="s">
        <v>39</v>
      </c>
      <c r="AE14" s="25" t="s">
        <v>40</v>
      </c>
      <c r="AF14" s="23">
        <v>0</v>
      </c>
      <c r="AG14" s="21" t="s">
        <v>39</v>
      </c>
      <c r="AH14" s="25" t="s">
        <v>41</v>
      </c>
      <c r="AI14" s="23">
        <f t="shared" si="7"/>
        <v>3376.71</v>
      </c>
      <c r="AJ14" s="21" t="s">
        <v>39</v>
      </c>
      <c r="AK14" s="25" t="s">
        <v>42</v>
      </c>
      <c r="AL14" s="23">
        <v>0</v>
      </c>
      <c r="AM14" s="21" t="s">
        <v>39</v>
      </c>
      <c r="AN14" s="25" t="s">
        <v>43</v>
      </c>
      <c r="AO14" s="23">
        <v>0</v>
      </c>
      <c r="AP14" s="21" t="s">
        <v>39</v>
      </c>
      <c r="AQ14" s="25">
        <v>1431</v>
      </c>
      <c r="AR14" s="23">
        <v>154.41500000000087</v>
      </c>
      <c r="AS14" s="24">
        <f t="shared" si="8"/>
        <v>4998.067500000001</v>
      </c>
      <c r="AT14" s="26">
        <f t="shared" si="1"/>
        <v>12308.677499999998</v>
      </c>
      <c r="AU14" s="33"/>
      <c r="AV14" s="28"/>
      <c r="AW14" s="29">
        <f t="shared" si="9"/>
        <v>15</v>
      </c>
      <c r="AX14" s="29">
        <f t="shared" si="10"/>
        <v>17306.745000000003</v>
      </c>
      <c r="AY14" s="30">
        <f t="shared" si="11"/>
        <v>17306.745000000003</v>
      </c>
      <c r="AZ14" s="30">
        <f>IFERROR(+LOOKUP(AY14,[2]TARIFAS!$A$4:$B$14,[2]TARIFAS!$A$4:$A$14),0)</f>
        <v>16153.06</v>
      </c>
      <c r="BA14" s="30">
        <f t="shared" si="12"/>
        <v>1153.6850000000031</v>
      </c>
      <c r="BB14" s="30">
        <f>IFERROR(+LOOKUP(AY14,[2]TARIFAS!$A$4:$B$14,[2]TARIFAS!$D$4:$D$14),0)</f>
        <v>30</v>
      </c>
      <c r="BC14" s="30">
        <f t="shared" si="13"/>
        <v>346.10550000000092</v>
      </c>
      <c r="BD14" s="30">
        <f>IFERROR(+LOOKUP(AY14,[2]TARIFAS!$A$4:$B$14,[2]TARIFAS!$C$4:$C$14),0)</f>
        <v>3030.6</v>
      </c>
      <c r="BE14" s="30">
        <f t="shared" si="14"/>
        <v>3376.71</v>
      </c>
      <c r="BF14" s="30"/>
      <c r="BG14" s="30"/>
      <c r="BH14" s="30"/>
      <c r="BI14" s="29"/>
    </row>
    <row r="15" spans="1:62" s="31" customFormat="1" ht="30" customHeight="1" x14ac:dyDescent="0.2">
      <c r="A15" s="17" t="str">
        <f t="shared" si="2"/>
        <v>SEI 034</v>
      </c>
      <c r="B15" s="17" t="s">
        <v>32</v>
      </c>
      <c r="C15" s="32" t="s">
        <v>68</v>
      </c>
      <c r="D15" s="34" t="s">
        <v>69</v>
      </c>
      <c r="E15" s="20" t="s">
        <v>35</v>
      </c>
      <c r="F15" s="21" t="s">
        <v>37</v>
      </c>
      <c r="G15" s="21" t="s">
        <v>38</v>
      </c>
      <c r="H15" s="21">
        <v>15</v>
      </c>
      <c r="I15" s="21">
        <v>325.036</v>
      </c>
      <c r="J15" s="160" t="s">
        <v>147</v>
      </c>
      <c r="K15" s="21">
        <v>4875.54</v>
      </c>
      <c r="L15" s="21" t="s">
        <v>37</v>
      </c>
      <c r="M15" s="22">
        <v>1311</v>
      </c>
      <c r="N15" s="35">
        <v>100.935</v>
      </c>
      <c r="O15" s="21" t="s">
        <v>37</v>
      </c>
      <c r="P15" s="22">
        <v>1713</v>
      </c>
      <c r="Q15" s="36">
        <v>207.91</v>
      </c>
      <c r="R15" s="35">
        <v>371.02</v>
      </c>
      <c r="S15" s="23">
        <f t="shared" si="3"/>
        <v>146.2662</v>
      </c>
      <c r="T15" s="21" t="s">
        <v>37</v>
      </c>
      <c r="U15" s="22">
        <v>1712</v>
      </c>
      <c r="V15" s="24">
        <f t="shared" si="4"/>
        <v>517.28620000000001</v>
      </c>
      <c r="W15" s="21"/>
      <c r="X15" s="22"/>
      <c r="Y15" s="24"/>
      <c r="Z15" s="24">
        <f t="shared" si="5"/>
        <v>5701.6712000000007</v>
      </c>
      <c r="AA15" s="21" t="s">
        <v>39</v>
      </c>
      <c r="AB15" s="22">
        <v>1431</v>
      </c>
      <c r="AC15" s="24">
        <f t="shared" si="6"/>
        <v>463.17630000000003</v>
      </c>
      <c r="AD15" s="21" t="s">
        <v>39</v>
      </c>
      <c r="AE15" s="25" t="s">
        <v>40</v>
      </c>
      <c r="AF15" s="35">
        <v>0</v>
      </c>
      <c r="AG15" s="21" t="s">
        <v>39</v>
      </c>
      <c r="AH15" s="25" t="s">
        <v>41</v>
      </c>
      <c r="AI15" s="23">
        <f t="shared" si="7"/>
        <v>670.69</v>
      </c>
      <c r="AJ15" s="21" t="s">
        <v>39</v>
      </c>
      <c r="AK15" s="25" t="s">
        <v>42</v>
      </c>
      <c r="AL15" s="23">
        <f>(K15*1%)</f>
        <v>48.755400000000002</v>
      </c>
      <c r="AM15" s="21" t="s">
        <v>39</v>
      </c>
      <c r="AN15" s="25" t="s">
        <v>43</v>
      </c>
      <c r="AO15" s="35">
        <v>0</v>
      </c>
      <c r="AP15" s="21" t="s">
        <v>39</v>
      </c>
      <c r="AQ15" s="25">
        <v>1431</v>
      </c>
      <c r="AR15" s="23">
        <v>48.755400000000009</v>
      </c>
      <c r="AS15" s="24">
        <f t="shared" si="8"/>
        <v>1231.3771000000002</v>
      </c>
      <c r="AT15" s="26">
        <f t="shared" si="1"/>
        <v>4470.294100000001</v>
      </c>
      <c r="AU15" s="37"/>
      <c r="AV15" s="28"/>
      <c r="AW15" s="29">
        <f t="shared" si="9"/>
        <v>15</v>
      </c>
      <c r="AX15" s="29">
        <f t="shared" si="10"/>
        <v>5701.6712000000007</v>
      </c>
      <c r="AY15" s="30">
        <f t="shared" si="11"/>
        <v>5701.6712000000007</v>
      </c>
      <c r="AZ15" s="30">
        <f>IFERROR(+LOOKUP(AY15,[2]TARIFAS!$A$4:$B$14,[2]TARIFAS!$A$4:$A$14),0)</f>
        <v>5081.41</v>
      </c>
      <c r="BA15" s="30">
        <f t="shared" si="12"/>
        <v>620.26120000000083</v>
      </c>
      <c r="BB15" s="30">
        <f>IFERROR(+LOOKUP(AY15,[2]TARIFAS!$A$4:$B$14,[2]TARIFAS!$D$4:$D$14),0)</f>
        <v>21.36</v>
      </c>
      <c r="BC15" s="30">
        <f t="shared" si="13"/>
        <v>132.48779232000018</v>
      </c>
      <c r="BD15" s="30">
        <f>IFERROR(+LOOKUP(AY15,[2]TARIFAS!$A$4:$B$14,[2]TARIFAS!$C$4:$C$14),0)</f>
        <v>538.20000000000005</v>
      </c>
      <c r="BE15" s="30">
        <f t="shared" si="14"/>
        <v>670.69</v>
      </c>
      <c r="BF15" s="30"/>
      <c r="BG15" s="30"/>
      <c r="BH15" s="30"/>
      <c r="BI15" s="29"/>
    </row>
    <row r="16" spans="1:62" s="31" customFormat="1" ht="30" customHeight="1" x14ac:dyDescent="0.2">
      <c r="A16" s="17" t="str">
        <f t="shared" si="2"/>
        <v>SEI 040</v>
      </c>
      <c r="B16" s="17" t="s">
        <v>32</v>
      </c>
      <c r="C16" s="32" t="s">
        <v>70</v>
      </c>
      <c r="D16" s="20" t="s">
        <v>71</v>
      </c>
      <c r="E16" s="20" t="s">
        <v>35</v>
      </c>
      <c r="F16" s="21" t="s">
        <v>37</v>
      </c>
      <c r="G16" s="21" t="s">
        <v>38</v>
      </c>
      <c r="H16" s="21">
        <v>15</v>
      </c>
      <c r="I16" s="21">
        <v>421.49</v>
      </c>
      <c r="J16" s="160" t="s">
        <v>147</v>
      </c>
      <c r="K16" s="21">
        <v>6322.35</v>
      </c>
      <c r="L16" s="21" t="s">
        <v>37</v>
      </c>
      <c r="M16" s="22">
        <v>1311</v>
      </c>
      <c r="N16" s="23">
        <v>100.935</v>
      </c>
      <c r="O16" s="21" t="s">
        <v>37</v>
      </c>
      <c r="P16" s="22">
        <v>1713</v>
      </c>
      <c r="Q16" s="21">
        <v>351.5</v>
      </c>
      <c r="R16" s="23">
        <v>406.32</v>
      </c>
      <c r="S16" s="23">
        <f t="shared" si="3"/>
        <v>189.6705</v>
      </c>
      <c r="T16" s="21" t="s">
        <v>37</v>
      </c>
      <c r="U16" s="22">
        <v>1712</v>
      </c>
      <c r="V16" s="24">
        <f t="shared" si="4"/>
        <v>595.9905</v>
      </c>
      <c r="W16" s="21"/>
      <c r="X16" s="22"/>
      <c r="Y16" s="24"/>
      <c r="Z16" s="24">
        <f t="shared" si="5"/>
        <v>7370.7755000000006</v>
      </c>
      <c r="AA16" s="21" t="s">
        <v>39</v>
      </c>
      <c r="AB16" s="22">
        <v>1431</v>
      </c>
      <c r="AC16" s="24">
        <f t="shared" si="6"/>
        <v>600.6232500000001</v>
      </c>
      <c r="AD16" s="21" t="s">
        <v>39</v>
      </c>
      <c r="AE16" s="25" t="s">
        <v>40</v>
      </c>
      <c r="AF16" s="23">
        <v>574</v>
      </c>
      <c r="AG16" s="21" t="s">
        <v>39</v>
      </c>
      <c r="AH16" s="25" t="s">
        <v>41</v>
      </c>
      <c r="AI16" s="23">
        <f t="shared" si="7"/>
        <v>1027.21</v>
      </c>
      <c r="AJ16" s="21" t="s">
        <v>39</v>
      </c>
      <c r="AK16" s="25" t="s">
        <v>42</v>
      </c>
      <c r="AL16" s="23">
        <f>(K16*1%)</f>
        <v>63.223500000000008</v>
      </c>
      <c r="AM16" s="21" t="s">
        <v>39</v>
      </c>
      <c r="AN16" s="25" t="s">
        <v>43</v>
      </c>
      <c r="AO16" s="23">
        <v>0</v>
      </c>
      <c r="AP16" s="21" t="s">
        <v>39</v>
      </c>
      <c r="AQ16" s="25">
        <v>1431</v>
      </c>
      <c r="AR16" s="23">
        <v>63.223500000000058</v>
      </c>
      <c r="AS16" s="24">
        <f t="shared" si="8"/>
        <v>2328.2802500000003</v>
      </c>
      <c r="AT16" s="26">
        <f t="shared" si="1"/>
        <v>5042.4952499999999</v>
      </c>
      <c r="AU16" s="33"/>
      <c r="AV16" s="28"/>
      <c r="AW16" s="29">
        <f t="shared" si="9"/>
        <v>15</v>
      </c>
      <c r="AX16" s="29">
        <f t="shared" si="10"/>
        <v>7370.7755000000006</v>
      </c>
      <c r="AY16" s="30">
        <f t="shared" si="11"/>
        <v>7370.7755000000006</v>
      </c>
      <c r="AZ16" s="30">
        <f>IFERROR(+LOOKUP(AY16,[2]TARIFAS!$A$4:$B$14,[2]TARIFAS!$A$4:$A$14),0)</f>
        <v>5081.41</v>
      </c>
      <c r="BA16" s="30">
        <f t="shared" si="12"/>
        <v>2289.3655000000008</v>
      </c>
      <c r="BB16" s="30">
        <f>IFERROR(+LOOKUP(AY16,[2]TARIFAS!$A$4:$B$14,[2]TARIFAS!$D$4:$D$14),0)</f>
        <v>21.36</v>
      </c>
      <c r="BC16" s="30">
        <f t="shared" si="13"/>
        <v>489.00847080000017</v>
      </c>
      <c r="BD16" s="30">
        <f>IFERROR(+LOOKUP(AY16,[2]TARIFAS!$A$4:$B$14,[2]TARIFAS!$C$4:$C$14),0)</f>
        <v>538.20000000000005</v>
      </c>
      <c r="BE16" s="30">
        <f t="shared" si="14"/>
        <v>1027.21</v>
      </c>
      <c r="BF16" s="30"/>
      <c r="BG16" s="30"/>
      <c r="BH16" s="30"/>
      <c r="BI16" s="29"/>
    </row>
    <row r="17" spans="1:62" s="31" customFormat="1" ht="30" customHeight="1" x14ac:dyDescent="0.2">
      <c r="A17" s="17" t="str">
        <f t="shared" si="2"/>
        <v>SEI 048</v>
      </c>
      <c r="B17" s="17" t="s">
        <v>32</v>
      </c>
      <c r="C17" s="32" t="s">
        <v>72</v>
      </c>
      <c r="D17" s="38" t="s">
        <v>73</v>
      </c>
      <c r="E17" s="20" t="s">
        <v>35</v>
      </c>
      <c r="F17" s="21" t="s">
        <v>37</v>
      </c>
      <c r="G17" s="21" t="s">
        <v>38</v>
      </c>
      <c r="H17" s="21">
        <v>15</v>
      </c>
      <c r="I17" s="21">
        <v>421.49</v>
      </c>
      <c r="J17" s="160" t="s">
        <v>149</v>
      </c>
      <c r="K17" s="21">
        <v>6322.35</v>
      </c>
      <c r="L17" s="21" t="s">
        <v>37</v>
      </c>
      <c r="M17" s="22">
        <v>1311</v>
      </c>
      <c r="N17" s="23">
        <v>100.935</v>
      </c>
      <c r="O17" s="21" t="s">
        <v>37</v>
      </c>
      <c r="P17" s="22">
        <v>1713</v>
      </c>
      <c r="Q17" s="21">
        <v>351.5</v>
      </c>
      <c r="R17" s="23">
        <v>406.32</v>
      </c>
      <c r="S17" s="23">
        <f t="shared" si="3"/>
        <v>189.6705</v>
      </c>
      <c r="T17" s="21" t="s">
        <v>37</v>
      </c>
      <c r="U17" s="22">
        <v>1712</v>
      </c>
      <c r="V17" s="24">
        <f t="shared" si="4"/>
        <v>595.9905</v>
      </c>
      <c r="W17" s="21"/>
      <c r="X17" s="22"/>
      <c r="Y17" s="24"/>
      <c r="Z17" s="24">
        <f t="shared" si="5"/>
        <v>7370.7755000000006</v>
      </c>
      <c r="AA17" s="21" t="s">
        <v>39</v>
      </c>
      <c r="AB17" s="22">
        <v>1431</v>
      </c>
      <c r="AC17" s="24">
        <f t="shared" si="6"/>
        <v>600.6232500000001</v>
      </c>
      <c r="AD17" s="21" t="s">
        <v>39</v>
      </c>
      <c r="AE17" s="25" t="s">
        <v>40</v>
      </c>
      <c r="AF17" s="23">
        <v>0</v>
      </c>
      <c r="AG17" s="21" t="s">
        <v>39</v>
      </c>
      <c r="AH17" s="25" t="s">
        <v>41</v>
      </c>
      <c r="AI17" s="23">
        <f t="shared" si="7"/>
        <v>1027.21</v>
      </c>
      <c r="AJ17" s="21" t="s">
        <v>39</v>
      </c>
      <c r="AK17" s="25" t="s">
        <v>42</v>
      </c>
      <c r="AL17" s="23">
        <f>(K17*1%)</f>
        <v>63.223500000000008</v>
      </c>
      <c r="AM17" s="21" t="s">
        <v>39</v>
      </c>
      <c r="AN17" s="25" t="s">
        <v>43</v>
      </c>
      <c r="AO17" s="23">
        <v>0</v>
      </c>
      <c r="AP17" s="21" t="s">
        <v>39</v>
      </c>
      <c r="AQ17" s="25">
        <v>1431</v>
      </c>
      <c r="AR17" s="23">
        <v>63.223250000000917</v>
      </c>
      <c r="AS17" s="24">
        <f t="shared" si="8"/>
        <v>1754.2800000000011</v>
      </c>
      <c r="AT17" s="26">
        <f t="shared" si="1"/>
        <v>5616.4954999999991</v>
      </c>
      <c r="AU17" s="33"/>
      <c r="AV17" s="28"/>
      <c r="AW17" s="29">
        <f t="shared" si="9"/>
        <v>15</v>
      </c>
      <c r="AX17" s="29">
        <f t="shared" si="10"/>
        <v>7370.7755000000006</v>
      </c>
      <c r="AY17" s="30">
        <f t="shared" si="11"/>
        <v>7370.7755000000006</v>
      </c>
      <c r="AZ17" s="30">
        <f>IFERROR(+LOOKUP(AY17,[2]TARIFAS!$A$4:$B$14,[2]TARIFAS!$A$4:$A$14),0)</f>
        <v>5081.41</v>
      </c>
      <c r="BA17" s="30">
        <f t="shared" si="12"/>
        <v>2289.3655000000008</v>
      </c>
      <c r="BB17" s="30">
        <f>IFERROR(+LOOKUP(AY17,[2]TARIFAS!$A$4:$B$14,[2]TARIFAS!$D$4:$D$14),0)</f>
        <v>21.36</v>
      </c>
      <c r="BC17" s="30">
        <f t="shared" si="13"/>
        <v>489.00847080000017</v>
      </c>
      <c r="BD17" s="30">
        <f>IFERROR(+LOOKUP(AY17,[2]TARIFAS!$A$4:$B$14,[2]TARIFAS!$C$4:$C$14),0)</f>
        <v>538.20000000000005</v>
      </c>
      <c r="BE17" s="30">
        <f t="shared" si="14"/>
        <v>1027.21</v>
      </c>
      <c r="BF17" s="30"/>
      <c r="BG17" s="30"/>
      <c r="BH17" s="30"/>
      <c r="BI17" s="29"/>
    </row>
    <row r="18" spans="1:62" s="31" customFormat="1" ht="30" customHeight="1" x14ac:dyDescent="0.2">
      <c r="A18" s="17" t="str">
        <f t="shared" si="2"/>
        <v>SEI 050</v>
      </c>
      <c r="B18" s="17" t="s">
        <v>32</v>
      </c>
      <c r="C18" s="32" t="s">
        <v>74</v>
      </c>
      <c r="D18" s="38" t="s">
        <v>75</v>
      </c>
      <c r="E18" s="20" t="s">
        <v>67</v>
      </c>
      <c r="F18" s="21" t="s">
        <v>37</v>
      </c>
      <c r="G18" s="21" t="s">
        <v>38</v>
      </c>
      <c r="H18" s="21">
        <v>15</v>
      </c>
      <c r="I18" s="21">
        <v>1029.4333333333334</v>
      </c>
      <c r="J18" s="160" t="s">
        <v>149</v>
      </c>
      <c r="K18" s="21">
        <v>15441.5</v>
      </c>
      <c r="L18" s="21" t="s">
        <v>37</v>
      </c>
      <c r="M18" s="22">
        <v>1311</v>
      </c>
      <c r="N18" s="23">
        <v>100.935</v>
      </c>
      <c r="O18" s="21" t="s">
        <v>37</v>
      </c>
      <c r="P18" s="22">
        <v>1713</v>
      </c>
      <c r="Q18" s="21">
        <v>566.5</v>
      </c>
      <c r="R18" s="23">
        <v>835.5</v>
      </c>
      <c r="S18" s="23">
        <f t="shared" si="3"/>
        <v>463.245</v>
      </c>
      <c r="T18" s="21" t="s">
        <v>37</v>
      </c>
      <c r="U18" s="22">
        <v>1712</v>
      </c>
      <c r="V18" s="24">
        <f t="shared" si="4"/>
        <v>1298.7449999999999</v>
      </c>
      <c r="W18" s="21"/>
      <c r="X18" s="22"/>
      <c r="Y18" s="24"/>
      <c r="Z18" s="24">
        <f t="shared" si="5"/>
        <v>17407.68</v>
      </c>
      <c r="AA18" s="21" t="s">
        <v>39</v>
      </c>
      <c r="AB18" s="22">
        <v>1431</v>
      </c>
      <c r="AC18" s="24">
        <f t="shared" si="6"/>
        <v>1466.9425000000001</v>
      </c>
      <c r="AD18" s="21" t="s">
        <v>39</v>
      </c>
      <c r="AE18" s="25" t="s">
        <v>40</v>
      </c>
      <c r="AF18" s="23">
        <v>3953.67</v>
      </c>
      <c r="AG18" s="21" t="s">
        <v>39</v>
      </c>
      <c r="AH18" s="25" t="s">
        <v>41</v>
      </c>
      <c r="AI18" s="23">
        <f t="shared" si="7"/>
        <v>3406.99</v>
      </c>
      <c r="AJ18" s="21" t="s">
        <v>39</v>
      </c>
      <c r="AK18" s="25" t="s">
        <v>42</v>
      </c>
      <c r="AL18" s="23">
        <v>0</v>
      </c>
      <c r="AM18" s="21" t="s">
        <v>39</v>
      </c>
      <c r="AN18" s="25" t="s">
        <v>43</v>
      </c>
      <c r="AO18" s="23">
        <v>0</v>
      </c>
      <c r="AP18" s="21" t="s">
        <v>39</v>
      </c>
      <c r="AQ18" s="25">
        <v>1431</v>
      </c>
      <c r="AR18" s="23">
        <v>154.41500000000087</v>
      </c>
      <c r="AS18" s="24">
        <f t="shared" si="8"/>
        <v>8982.0175000000017</v>
      </c>
      <c r="AT18" s="26">
        <f t="shared" si="1"/>
        <v>8425.6624999999985</v>
      </c>
      <c r="AU18" s="33"/>
      <c r="AV18" s="28"/>
      <c r="AW18" s="29">
        <f t="shared" si="9"/>
        <v>15</v>
      </c>
      <c r="AX18" s="29">
        <f t="shared" si="10"/>
        <v>17407.68</v>
      </c>
      <c r="AY18" s="30">
        <f t="shared" si="11"/>
        <v>17407.68</v>
      </c>
      <c r="AZ18" s="30">
        <f>IFERROR(+LOOKUP(AY18,[2]TARIFAS!$A$4:$B$14,[2]TARIFAS!$A$4:$A$14),0)</f>
        <v>16153.06</v>
      </c>
      <c r="BA18" s="30">
        <f t="shared" si="12"/>
        <v>1254.6200000000008</v>
      </c>
      <c r="BB18" s="30">
        <f>IFERROR(+LOOKUP(AY18,[2]TARIFAS!$A$4:$B$14,[2]TARIFAS!$D$4:$D$14),0)</f>
        <v>30</v>
      </c>
      <c r="BC18" s="30">
        <f t="shared" si="13"/>
        <v>376.38600000000019</v>
      </c>
      <c r="BD18" s="30">
        <f>IFERROR(+LOOKUP(AY18,[2]TARIFAS!$A$4:$B$14,[2]TARIFAS!$C$4:$C$14),0)</f>
        <v>3030.6</v>
      </c>
      <c r="BE18" s="30">
        <f t="shared" si="14"/>
        <v>3406.99</v>
      </c>
      <c r="BF18" s="30"/>
      <c r="BG18" s="30"/>
      <c r="BH18" s="30"/>
      <c r="BI18" s="29"/>
    </row>
    <row r="19" spans="1:62" s="31" customFormat="1" ht="30" customHeight="1" x14ac:dyDescent="0.2">
      <c r="A19" s="17" t="str">
        <f t="shared" si="2"/>
        <v>SEI 053</v>
      </c>
      <c r="B19" s="17" t="s">
        <v>32</v>
      </c>
      <c r="C19" s="32" t="s">
        <v>76</v>
      </c>
      <c r="D19" s="20" t="s">
        <v>77</v>
      </c>
      <c r="E19" s="20" t="s">
        <v>50</v>
      </c>
      <c r="F19" s="21" t="s">
        <v>37</v>
      </c>
      <c r="G19" s="21" t="s">
        <v>38</v>
      </c>
      <c r="H19" s="21">
        <v>15</v>
      </c>
      <c r="I19" s="21">
        <v>504.21533333333332</v>
      </c>
      <c r="J19" s="160" t="s">
        <v>150</v>
      </c>
      <c r="K19" s="21">
        <v>7563.23</v>
      </c>
      <c r="L19" s="21" t="s">
        <v>37</v>
      </c>
      <c r="M19" s="22">
        <v>1311</v>
      </c>
      <c r="N19" s="23">
        <v>100.935</v>
      </c>
      <c r="O19" s="21" t="s">
        <v>37</v>
      </c>
      <c r="P19" s="22">
        <v>1713</v>
      </c>
      <c r="Q19" s="23">
        <v>282.08999999999997</v>
      </c>
      <c r="R19" s="23">
        <v>418.44</v>
      </c>
      <c r="S19" s="23">
        <f t="shared" si="3"/>
        <v>226.89689999999999</v>
      </c>
      <c r="T19" s="21" t="s">
        <v>37</v>
      </c>
      <c r="U19" s="22">
        <v>1712</v>
      </c>
      <c r="V19" s="24">
        <f t="shared" si="4"/>
        <v>645.33690000000001</v>
      </c>
      <c r="W19" s="21"/>
      <c r="X19" s="22"/>
      <c r="Y19" s="24"/>
      <c r="Z19" s="24">
        <f t="shared" si="5"/>
        <v>8591.5918999999994</v>
      </c>
      <c r="AA19" s="21" t="s">
        <v>39</v>
      </c>
      <c r="AB19" s="22">
        <v>1431</v>
      </c>
      <c r="AC19" s="24">
        <f t="shared" si="6"/>
        <v>718.50684999999999</v>
      </c>
      <c r="AD19" s="21" t="s">
        <v>39</v>
      </c>
      <c r="AE19" s="25" t="s">
        <v>40</v>
      </c>
      <c r="AF19" s="24">
        <f>523.61+10.13+3666.74+151.2</f>
        <v>4351.6799999999994</v>
      </c>
      <c r="AG19" s="21" t="s">
        <v>39</v>
      </c>
      <c r="AH19" s="25" t="s">
        <v>41</v>
      </c>
      <c r="AI19" s="23">
        <f t="shared" si="7"/>
        <v>1287.97</v>
      </c>
      <c r="AJ19" s="21" t="s">
        <v>39</v>
      </c>
      <c r="AK19" s="25" t="s">
        <v>42</v>
      </c>
      <c r="AL19" s="23">
        <f>(K19*1%)</f>
        <v>75.632300000000001</v>
      </c>
      <c r="AM19" s="21" t="s">
        <v>39</v>
      </c>
      <c r="AN19" s="25" t="s">
        <v>43</v>
      </c>
      <c r="AO19" s="23">
        <v>0</v>
      </c>
      <c r="AP19" s="21" t="s">
        <v>39</v>
      </c>
      <c r="AQ19" s="25">
        <v>1431</v>
      </c>
      <c r="AR19" s="23">
        <v>75.632300000000214</v>
      </c>
      <c r="AS19" s="24">
        <f t="shared" si="8"/>
        <v>6509.4214499999998</v>
      </c>
      <c r="AT19" s="26">
        <f t="shared" si="1"/>
        <v>2082.1704499999996</v>
      </c>
      <c r="AU19" s="33"/>
      <c r="AV19" s="28"/>
      <c r="AW19" s="29">
        <f t="shared" si="9"/>
        <v>15</v>
      </c>
      <c r="AX19" s="29">
        <f t="shared" si="10"/>
        <v>8591.5918999999994</v>
      </c>
      <c r="AY19" s="30">
        <f t="shared" si="11"/>
        <v>8591.5918999999994</v>
      </c>
      <c r="AZ19" s="30">
        <f>IFERROR(+LOOKUP(AY19,[2]TARIFAS!$A$4:$B$14,[2]TARIFAS!$A$4:$A$14),0)</f>
        <v>5081.41</v>
      </c>
      <c r="BA19" s="30">
        <f t="shared" si="12"/>
        <v>3510.1818999999996</v>
      </c>
      <c r="BB19" s="30">
        <f>IFERROR(+LOOKUP(AY19,[2]TARIFAS!$A$4:$B$14,[2]TARIFAS!$D$4:$D$14),0)</f>
        <v>21.36</v>
      </c>
      <c r="BC19" s="30">
        <f t="shared" si="13"/>
        <v>749.77485383999988</v>
      </c>
      <c r="BD19" s="30">
        <f>IFERROR(+LOOKUP(AY19,[2]TARIFAS!$A$4:$B$14,[2]TARIFAS!$C$4:$C$14),0)</f>
        <v>538.20000000000005</v>
      </c>
      <c r="BE19" s="30">
        <f t="shared" si="14"/>
        <v>1287.97</v>
      </c>
      <c r="BF19" s="30"/>
      <c r="BG19" s="30"/>
      <c r="BH19" s="30"/>
      <c r="BI19" s="29"/>
    </row>
    <row r="20" spans="1:62" s="31" customFormat="1" ht="30" customHeight="1" x14ac:dyDescent="0.2">
      <c r="A20" s="17" t="str">
        <f t="shared" si="2"/>
        <v>SEI 056</v>
      </c>
      <c r="B20" s="17" t="s">
        <v>32</v>
      </c>
      <c r="C20" s="32" t="s">
        <v>79</v>
      </c>
      <c r="D20" s="20" t="s">
        <v>80</v>
      </c>
      <c r="E20" s="20" t="s">
        <v>35</v>
      </c>
      <c r="F20" s="21" t="s">
        <v>37</v>
      </c>
      <c r="G20" s="21" t="s">
        <v>38</v>
      </c>
      <c r="H20" s="21">
        <v>15</v>
      </c>
      <c r="I20" s="21">
        <v>421.49</v>
      </c>
      <c r="J20" s="160" t="s">
        <v>146</v>
      </c>
      <c r="K20" s="21">
        <v>6322.35</v>
      </c>
      <c r="L20" s="21" t="s">
        <v>37</v>
      </c>
      <c r="M20" s="22">
        <v>1311</v>
      </c>
      <c r="N20" s="23">
        <v>67.290000000000006</v>
      </c>
      <c r="O20" s="21" t="s">
        <v>37</v>
      </c>
      <c r="P20" s="22">
        <v>1713</v>
      </c>
      <c r="Q20" s="23">
        <v>351.5</v>
      </c>
      <c r="R20" s="23">
        <v>406.32</v>
      </c>
      <c r="S20" s="23">
        <f t="shared" si="3"/>
        <v>189.6705</v>
      </c>
      <c r="T20" s="21" t="s">
        <v>37</v>
      </c>
      <c r="U20" s="22">
        <v>1712</v>
      </c>
      <c r="V20" s="24">
        <f t="shared" si="4"/>
        <v>595.9905</v>
      </c>
      <c r="W20" s="21"/>
      <c r="X20" s="22"/>
      <c r="Y20" s="24"/>
      <c r="Z20" s="24">
        <f t="shared" si="5"/>
        <v>7337.1305000000002</v>
      </c>
      <c r="AA20" s="21" t="s">
        <v>39</v>
      </c>
      <c r="AB20" s="22">
        <v>1431</v>
      </c>
      <c r="AC20" s="24">
        <f t="shared" si="6"/>
        <v>600.6232500000001</v>
      </c>
      <c r="AD20" s="21" t="s">
        <v>39</v>
      </c>
      <c r="AE20" s="25" t="s">
        <v>40</v>
      </c>
      <c r="AF20" s="23">
        <v>315</v>
      </c>
      <c r="AG20" s="21" t="s">
        <v>39</v>
      </c>
      <c r="AH20" s="25" t="s">
        <v>41</v>
      </c>
      <c r="AI20" s="23">
        <f t="shared" si="7"/>
        <v>1020.02</v>
      </c>
      <c r="AJ20" s="21" t="s">
        <v>39</v>
      </c>
      <c r="AK20" s="25" t="s">
        <v>42</v>
      </c>
      <c r="AL20" s="23">
        <f>(K20*1%)</f>
        <v>63.223500000000008</v>
      </c>
      <c r="AM20" s="21" t="s">
        <v>39</v>
      </c>
      <c r="AN20" s="25" t="s">
        <v>43</v>
      </c>
      <c r="AO20" s="23">
        <v>0</v>
      </c>
      <c r="AP20" s="21" t="s">
        <v>39</v>
      </c>
      <c r="AQ20" s="25">
        <v>1431</v>
      </c>
      <c r="AR20" s="23">
        <v>63.223500000000058</v>
      </c>
      <c r="AS20" s="24">
        <f t="shared" si="8"/>
        <v>2062.0902500000002</v>
      </c>
      <c r="AT20" s="26">
        <f t="shared" si="1"/>
        <v>5275.04025</v>
      </c>
      <c r="AU20" s="33"/>
      <c r="AV20" s="28"/>
      <c r="AW20" s="29">
        <f t="shared" si="9"/>
        <v>15</v>
      </c>
      <c r="AX20" s="29">
        <f t="shared" si="10"/>
        <v>7337.1305000000002</v>
      </c>
      <c r="AY20" s="30">
        <f t="shared" si="11"/>
        <v>7337.1305000000002</v>
      </c>
      <c r="AZ20" s="30">
        <f>IFERROR(+LOOKUP(AY20,[2]TARIFAS!$A$4:$B$14,[2]TARIFAS!$A$4:$A$14),0)</f>
        <v>5081.41</v>
      </c>
      <c r="BA20" s="30">
        <f t="shared" si="12"/>
        <v>2255.7205000000004</v>
      </c>
      <c r="BB20" s="30">
        <f>IFERROR(+LOOKUP(AY20,[2]TARIFAS!$A$4:$B$14,[2]TARIFAS!$D$4:$D$14),0)</f>
        <v>21.36</v>
      </c>
      <c r="BC20" s="30">
        <f t="shared" si="13"/>
        <v>481.82189880000004</v>
      </c>
      <c r="BD20" s="30">
        <f>IFERROR(+LOOKUP(AY20,[2]TARIFAS!$A$4:$B$14,[2]TARIFAS!$C$4:$C$14),0)</f>
        <v>538.20000000000005</v>
      </c>
      <c r="BE20" s="30">
        <f t="shared" si="14"/>
        <v>1020.02</v>
      </c>
      <c r="BF20" s="30"/>
      <c r="BG20" s="30"/>
      <c r="BH20" s="30"/>
      <c r="BI20" s="29"/>
    </row>
    <row r="21" spans="1:62" s="31" customFormat="1" ht="30" customHeight="1" x14ac:dyDescent="0.2">
      <c r="A21" s="17" t="str">
        <f t="shared" si="2"/>
        <v>SEI 061</v>
      </c>
      <c r="B21" s="17" t="s">
        <v>32</v>
      </c>
      <c r="C21" s="32" t="s">
        <v>81</v>
      </c>
      <c r="D21" s="20" t="s">
        <v>82</v>
      </c>
      <c r="E21" s="20" t="s">
        <v>35</v>
      </c>
      <c r="F21" s="21" t="s">
        <v>37</v>
      </c>
      <c r="G21" s="21" t="s">
        <v>38</v>
      </c>
      <c r="H21" s="21">
        <v>15</v>
      </c>
      <c r="I21" s="21">
        <v>353.488</v>
      </c>
      <c r="J21" s="160" t="s">
        <v>150</v>
      </c>
      <c r="K21" s="21">
        <v>5302.32</v>
      </c>
      <c r="L21" s="21" t="s">
        <v>37</v>
      </c>
      <c r="M21" s="22">
        <v>1311</v>
      </c>
      <c r="N21" s="23">
        <v>67.290000000000006</v>
      </c>
      <c r="O21" s="21" t="s">
        <v>37</v>
      </c>
      <c r="P21" s="22">
        <v>1713</v>
      </c>
      <c r="Q21" s="23">
        <v>211.44</v>
      </c>
      <c r="R21" s="23">
        <v>378.6</v>
      </c>
      <c r="S21" s="23">
        <f t="shared" si="3"/>
        <v>159.06959999999998</v>
      </c>
      <c r="T21" s="21" t="s">
        <v>37</v>
      </c>
      <c r="U21" s="22">
        <v>1712</v>
      </c>
      <c r="V21" s="24">
        <f t="shared" si="4"/>
        <v>537.66959999999995</v>
      </c>
      <c r="W21" s="21"/>
      <c r="X21" s="22"/>
      <c r="Y21" s="24"/>
      <c r="Z21" s="24">
        <f t="shared" si="5"/>
        <v>6118.7195999999994</v>
      </c>
      <c r="AA21" s="21" t="s">
        <v>39</v>
      </c>
      <c r="AB21" s="22">
        <v>1431</v>
      </c>
      <c r="AC21" s="24">
        <f t="shared" si="6"/>
        <v>503.72039999999998</v>
      </c>
      <c r="AD21" s="21" t="s">
        <v>39</v>
      </c>
      <c r="AE21" s="25" t="s">
        <v>40</v>
      </c>
      <c r="AF21" s="23">
        <v>0</v>
      </c>
      <c r="AG21" s="21" t="s">
        <v>39</v>
      </c>
      <c r="AH21" s="25" t="s">
        <v>41</v>
      </c>
      <c r="AI21" s="23">
        <f t="shared" si="7"/>
        <v>759.77</v>
      </c>
      <c r="AJ21" s="21" t="s">
        <v>39</v>
      </c>
      <c r="AK21" s="25" t="s">
        <v>42</v>
      </c>
      <c r="AL21" s="23">
        <f>(K21*1%)</f>
        <v>53.023199999999996</v>
      </c>
      <c r="AM21" s="21" t="s">
        <v>39</v>
      </c>
      <c r="AN21" s="25" t="s">
        <v>43</v>
      </c>
      <c r="AO21" s="23">
        <v>0</v>
      </c>
      <c r="AP21" s="21" t="s">
        <v>39</v>
      </c>
      <c r="AQ21" s="25">
        <v>1431</v>
      </c>
      <c r="AR21" s="23">
        <v>53.020400000000336</v>
      </c>
      <c r="AS21" s="24">
        <f t="shared" si="8"/>
        <v>1369.5340000000003</v>
      </c>
      <c r="AT21" s="26">
        <f t="shared" si="1"/>
        <v>4749.1855999999989</v>
      </c>
      <c r="AU21" s="33"/>
      <c r="AV21" s="28"/>
      <c r="AW21" s="29">
        <f t="shared" si="9"/>
        <v>15</v>
      </c>
      <c r="AX21" s="29">
        <f t="shared" si="10"/>
        <v>6118.7195999999994</v>
      </c>
      <c r="AY21" s="30">
        <f t="shared" si="11"/>
        <v>6118.7195999999994</v>
      </c>
      <c r="AZ21" s="30">
        <f>IFERROR(+LOOKUP(AY21,[2]TARIFAS!$A$4:$B$14,[2]TARIFAS!$A$4:$A$14),0)</f>
        <v>5081.41</v>
      </c>
      <c r="BA21" s="30">
        <f t="shared" si="12"/>
        <v>1037.3095999999996</v>
      </c>
      <c r="BB21" s="30">
        <f>IFERROR(+LOOKUP(AY21,[2]TARIFAS!$A$4:$B$14,[2]TARIFAS!$D$4:$D$14),0)</f>
        <v>21.36</v>
      </c>
      <c r="BC21" s="30">
        <f t="shared" si="13"/>
        <v>221.56933055999991</v>
      </c>
      <c r="BD21" s="30">
        <f>IFERROR(+LOOKUP(AY21,[2]TARIFAS!$A$4:$B$14,[2]TARIFAS!$C$4:$C$14),0)</f>
        <v>538.20000000000005</v>
      </c>
      <c r="BE21" s="30">
        <f t="shared" si="14"/>
        <v>759.77</v>
      </c>
      <c r="BF21" s="30"/>
      <c r="BG21" s="30"/>
      <c r="BH21" s="30"/>
      <c r="BI21" s="29"/>
    </row>
    <row r="22" spans="1:62" s="31" customFormat="1" ht="30" customHeight="1" x14ac:dyDescent="0.2">
      <c r="A22" s="17" t="str">
        <f t="shared" si="2"/>
        <v>SEI 062</v>
      </c>
      <c r="B22" s="17" t="s">
        <v>32</v>
      </c>
      <c r="C22" s="32" t="s">
        <v>83</v>
      </c>
      <c r="D22" s="34" t="s">
        <v>84</v>
      </c>
      <c r="E22" s="20" t="s">
        <v>35</v>
      </c>
      <c r="F22" s="21" t="s">
        <v>37</v>
      </c>
      <c r="G22" s="21" t="s">
        <v>38</v>
      </c>
      <c r="H22" s="21">
        <v>15</v>
      </c>
      <c r="I22" s="21">
        <v>421.49</v>
      </c>
      <c r="J22" s="160" t="s">
        <v>149</v>
      </c>
      <c r="K22" s="21">
        <v>6322.35</v>
      </c>
      <c r="L22" s="21" t="s">
        <v>37</v>
      </c>
      <c r="M22" s="22">
        <v>1311</v>
      </c>
      <c r="N22" s="35">
        <v>100.935</v>
      </c>
      <c r="O22" s="21" t="s">
        <v>37</v>
      </c>
      <c r="P22" s="22">
        <v>1713</v>
      </c>
      <c r="Q22" s="35">
        <v>351.5</v>
      </c>
      <c r="R22" s="35">
        <v>406.32</v>
      </c>
      <c r="S22" s="23">
        <f t="shared" si="3"/>
        <v>189.6705</v>
      </c>
      <c r="T22" s="21" t="s">
        <v>37</v>
      </c>
      <c r="U22" s="22">
        <v>1712</v>
      </c>
      <c r="V22" s="24">
        <f t="shared" si="4"/>
        <v>595.9905</v>
      </c>
      <c r="W22" s="21"/>
      <c r="X22" s="22"/>
      <c r="Y22" s="24"/>
      <c r="Z22" s="24">
        <f t="shared" si="5"/>
        <v>7370.7755000000006</v>
      </c>
      <c r="AA22" s="21" t="s">
        <v>39</v>
      </c>
      <c r="AB22" s="22">
        <v>1431</v>
      </c>
      <c r="AC22" s="24">
        <f t="shared" si="6"/>
        <v>600.6232500000001</v>
      </c>
      <c r="AD22" s="21" t="s">
        <v>39</v>
      </c>
      <c r="AE22" s="25" t="s">
        <v>40</v>
      </c>
      <c r="AF22" s="35">
        <v>1405</v>
      </c>
      <c r="AG22" s="21" t="s">
        <v>39</v>
      </c>
      <c r="AH22" s="25" t="s">
        <v>41</v>
      </c>
      <c r="AI22" s="23">
        <f t="shared" si="7"/>
        <v>1027.21</v>
      </c>
      <c r="AJ22" s="21" t="s">
        <v>39</v>
      </c>
      <c r="AK22" s="25" t="s">
        <v>42</v>
      </c>
      <c r="AL22" s="23">
        <v>0</v>
      </c>
      <c r="AM22" s="21" t="s">
        <v>39</v>
      </c>
      <c r="AN22" s="25" t="s">
        <v>43</v>
      </c>
      <c r="AO22" s="35">
        <v>0</v>
      </c>
      <c r="AP22" s="21" t="s">
        <v>39</v>
      </c>
      <c r="AQ22" s="25">
        <v>1431</v>
      </c>
      <c r="AR22" s="23">
        <v>63.223250000000917</v>
      </c>
      <c r="AS22" s="24">
        <f t="shared" si="8"/>
        <v>3096.0565000000011</v>
      </c>
      <c r="AT22" s="26">
        <f t="shared" si="1"/>
        <v>4274.7189999999991</v>
      </c>
      <c r="AU22" s="33"/>
      <c r="AV22" s="28"/>
      <c r="AW22" s="29">
        <f t="shared" si="9"/>
        <v>15</v>
      </c>
      <c r="AX22" s="29">
        <f t="shared" si="10"/>
        <v>7370.7755000000006</v>
      </c>
      <c r="AY22" s="30">
        <f t="shared" si="11"/>
        <v>7370.7755000000006</v>
      </c>
      <c r="AZ22" s="30">
        <f>IFERROR(+LOOKUP(AY22,[2]TARIFAS!$A$4:$B$14,[2]TARIFAS!$A$4:$A$14),0)</f>
        <v>5081.41</v>
      </c>
      <c r="BA22" s="30">
        <f t="shared" si="12"/>
        <v>2289.3655000000008</v>
      </c>
      <c r="BB22" s="30">
        <f>IFERROR(+LOOKUP(AY22,[2]TARIFAS!$A$4:$B$14,[2]TARIFAS!$D$4:$D$14),0)</f>
        <v>21.36</v>
      </c>
      <c r="BC22" s="30">
        <f t="shared" si="13"/>
        <v>489.00847080000017</v>
      </c>
      <c r="BD22" s="30">
        <f>IFERROR(+LOOKUP(AY22,[2]TARIFAS!$A$4:$B$14,[2]TARIFAS!$C$4:$C$14),0)</f>
        <v>538.20000000000005</v>
      </c>
      <c r="BE22" s="30">
        <f t="shared" si="14"/>
        <v>1027.21</v>
      </c>
      <c r="BF22" s="30"/>
      <c r="BG22" s="30"/>
      <c r="BH22" s="30"/>
      <c r="BI22" s="29"/>
    </row>
    <row r="23" spans="1:62" s="31" customFormat="1" ht="30" customHeight="1" x14ac:dyDescent="0.2">
      <c r="A23" s="17" t="str">
        <f t="shared" si="2"/>
        <v>SEI 063</v>
      </c>
      <c r="B23" s="17" t="s">
        <v>32</v>
      </c>
      <c r="C23" s="32" t="s">
        <v>85</v>
      </c>
      <c r="D23" s="34" t="s">
        <v>86</v>
      </c>
      <c r="E23" s="20" t="s">
        <v>35</v>
      </c>
      <c r="F23" s="21" t="s">
        <v>37</v>
      </c>
      <c r="G23" s="21" t="s">
        <v>38</v>
      </c>
      <c r="H23" s="21">
        <v>15</v>
      </c>
      <c r="I23" s="21">
        <v>421.49</v>
      </c>
      <c r="J23" s="160" t="s">
        <v>151</v>
      </c>
      <c r="K23" s="21">
        <v>6322.35</v>
      </c>
      <c r="L23" s="21" t="s">
        <v>37</v>
      </c>
      <c r="M23" s="22">
        <v>1311</v>
      </c>
      <c r="N23" s="35">
        <v>67.290000000000006</v>
      </c>
      <c r="O23" s="21" t="s">
        <v>37</v>
      </c>
      <c r="P23" s="22">
        <v>1713</v>
      </c>
      <c r="Q23" s="35">
        <v>351.5</v>
      </c>
      <c r="R23" s="35">
        <v>406.32</v>
      </c>
      <c r="S23" s="23">
        <f t="shared" si="3"/>
        <v>189.6705</v>
      </c>
      <c r="T23" s="21" t="s">
        <v>37</v>
      </c>
      <c r="U23" s="22">
        <v>1712</v>
      </c>
      <c r="V23" s="24">
        <f t="shared" si="4"/>
        <v>595.9905</v>
      </c>
      <c r="W23" s="21"/>
      <c r="X23" s="22"/>
      <c r="Y23" s="24"/>
      <c r="Z23" s="24">
        <f t="shared" si="5"/>
        <v>7337.1305000000002</v>
      </c>
      <c r="AA23" s="21" t="s">
        <v>39</v>
      </c>
      <c r="AB23" s="22">
        <v>1431</v>
      </c>
      <c r="AC23" s="24">
        <f t="shared" si="6"/>
        <v>600.6232500000001</v>
      </c>
      <c r="AD23" s="21" t="s">
        <v>39</v>
      </c>
      <c r="AE23" s="25" t="s">
        <v>40</v>
      </c>
      <c r="AF23" s="35">
        <v>2108</v>
      </c>
      <c r="AG23" s="21" t="s">
        <v>39</v>
      </c>
      <c r="AH23" s="25" t="s">
        <v>41</v>
      </c>
      <c r="AI23" s="23">
        <f t="shared" si="7"/>
        <v>1020.02</v>
      </c>
      <c r="AJ23" s="21" t="s">
        <v>39</v>
      </c>
      <c r="AK23" s="25" t="s">
        <v>42</v>
      </c>
      <c r="AL23" s="23">
        <f t="shared" ref="AL23:AL29" si="15">(K23*1%)</f>
        <v>63.223500000000008</v>
      </c>
      <c r="AM23" s="21" t="s">
        <v>39</v>
      </c>
      <c r="AN23" s="25" t="s">
        <v>43</v>
      </c>
      <c r="AO23" s="35">
        <v>0</v>
      </c>
      <c r="AP23" s="21" t="s">
        <v>39</v>
      </c>
      <c r="AQ23" s="25">
        <v>1431</v>
      </c>
      <c r="AR23" s="23">
        <v>63.223500000000058</v>
      </c>
      <c r="AS23" s="24">
        <f t="shared" si="8"/>
        <v>3855.0902500000002</v>
      </c>
      <c r="AT23" s="26">
        <f t="shared" si="1"/>
        <v>3482.04025</v>
      </c>
      <c r="AU23" s="33"/>
      <c r="AV23" s="28"/>
      <c r="AW23" s="29">
        <f t="shared" si="9"/>
        <v>15</v>
      </c>
      <c r="AX23" s="29">
        <f t="shared" si="10"/>
        <v>7337.1305000000002</v>
      </c>
      <c r="AY23" s="30">
        <f t="shared" si="11"/>
        <v>7337.1305000000002</v>
      </c>
      <c r="AZ23" s="30">
        <f>IFERROR(+LOOKUP(AY23,[2]TARIFAS!$A$4:$B$14,[2]TARIFAS!$A$4:$A$14),0)</f>
        <v>5081.41</v>
      </c>
      <c r="BA23" s="30">
        <f t="shared" si="12"/>
        <v>2255.7205000000004</v>
      </c>
      <c r="BB23" s="30">
        <f>IFERROR(+LOOKUP(AY23,[2]TARIFAS!$A$4:$B$14,[2]TARIFAS!$D$4:$D$14),0)</f>
        <v>21.36</v>
      </c>
      <c r="BC23" s="30">
        <f t="shared" si="13"/>
        <v>481.82189880000004</v>
      </c>
      <c r="BD23" s="30">
        <f>IFERROR(+LOOKUP(AY23,[2]TARIFAS!$A$4:$B$14,[2]TARIFAS!$C$4:$C$14),0)</f>
        <v>538.20000000000005</v>
      </c>
      <c r="BE23" s="30">
        <f t="shared" si="14"/>
        <v>1020.02</v>
      </c>
      <c r="BF23" s="30"/>
      <c r="BG23" s="30"/>
      <c r="BH23" s="30"/>
      <c r="BI23" s="29"/>
    </row>
    <row r="24" spans="1:62" s="31" customFormat="1" ht="30" customHeight="1" x14ac:dyDescent="0.2">
      <c r="A24" s="17" t="str">
        <f t="shared" si="2"/>
        <v>SEI 067</v>
      </c>
      <c r="B24" s="17" t="s">
        <v>32</v>
      </c>
      <c r="C24" s="32" t="s">
        <v>88</v>
      </c>
      <c r="D24" s="34" t="s">
        <v>89</v>
      </c>
      <c r="E24" s="20" t="s">
        <v>35</v>
      </c>
      <c r="F24" s="21" t="s">
        <v>37</v>
      </c>
      <c r="G24" s="21" t="s">
        <v>38</v>
      </c>
      <c r="H24" s="21">
        <v>15</v>
      </c>
      <c r="I24" s="21">
        <v>421.49</v>
      </c>
      <c r="J24" s="160" t="s">
        <v>149</v>
      </c>
      <c r="K24" s="21">
        <v>6322.35</v>
      </c>
      <c r="L24" s="21" t="s">
        <v>37</v>
      </c>
      <c r="M24" s="22">
        <v>1311</v>
      </c>
      <c r="N24" s="35">
        <v>0</v>
      </c>
      <c r="O24" s="21" t="s">
        <v>37</v>
      </c>
      <c r="P24" s="22">
        <v>1713</v>
      </c>
      <c r="Q24" s="35">
        <v>351.5</v>
      </c>
      <c r="R24" s="35">
        <v>406.32</v>
      </c>
      <c r="S24" s="23">
        <f t="shared" si="3"/>
        <v>189.6705</v>
      </c>
      <c r="T24" s="21" t="s">
        <v>37</v>
      </c>
      <c r="U24" s="22">
        <v>1712</v>
      </c>
      <c r="V24" s="24">
        <f t="shared" si="4"/>
        <v>595.9905</v>
      </c>
      <c r="W24" s="21"/>
      <c r="X24" s="22"/>
      <c r="Y24" s="24"/>
      <c r="Z24" s="24">
        <f t="shared" si="5"/>
        <v>7269.8405000000002</v>
      </c>
      <c r="AA24" s="21" t="s">
        <v>39</v>
      </c>
      <c r="AB24" s="22">
        <v>1431</v>
      </c>
      <c r="AC24" s="24">
        <f t="shared" si="6"/>
        <v>600.6232500000001</v>
      </c>
      <c r="AD24" s="21" t="s">
        <v>39</v>
      </c>
      <c r="AE24" s="25" t="s">
        <v>40</v>
      </c>
      <c r="AF24" s="35">
        <v>0</v>
      </c>
      <c r="AG24" s="21" t="s">
        <v>39</v>
      </c>
      <c r="AH24" s="25" t="s">
        <v>41</v>
      </c>
      <c r="AI24" s="23">
        <f t="shared" si="7"/>
        <v>1005.65</v>
      </c>
      <c r="AJ24" s="21" t="s">
        <v>39</v>
      </c>
      <c r="AK24" s="25" t="s">
        <v>42</v>
      </c>
      <c r="AL24" s="23">
        <f t="shared" si="15"/>
        <v>63.223500000000008</v>
      </c>
      <c r="AM24" s="21" t="s">
        <v>39</v>
      </c>
      <c r="AN24" s="25" t="s">
        <v>43</v>
      </c>
      <c r="AO24" s="35">
        <v>0</v>
      </c>
      <c r="AP24" s="21" t="s">
        <v>39</v>
      </c>
      <c r="AQ24" s="25">
        <v>1431</v>
      </c>
      <c r="AR24" s="23">
        <v>63.223500000000058</v>
      </c>
      <c r="AS24" s="24">
        <f t="shared" si="8"/>
        <v>1732.7202500000003</v>
      </c>
      <c r="AT24" s="26">
        <f t="shared" si="1"/>
        <v>5537.1202499999999</v>
      </c>
      <c r="AU24" s="33"/>
      <c r="AV24" s="28"/>
      <c r="AW24" s="29">
        <f t="shared" si="9"/>
        <v>15</v>
      </c>
      <c r="AX24" s="29">
        <f t="shared" si="10"/>
        <v>7269.8405000000002</v>
      </c>
      <c r="AY24" s="30">
        <f t="shared" si="11"/>
        <v>7269.8405000000002</v>
      </c>
      <c r="AZ24" s="30">
        <f>IFERROR(+LOOKUP(AY24,[2]TARIFAS!$A$4:$B$14,[2]TARIFAS!$A$4:$A$14),0)</f>
        <v>5081.41</v>
      </c>
      <c r="BA24" s="30">
        <f t="shared" si="12"/>
        <v>2188.4305000000004</v>
      </c>
      <c r="BB24" s="30">
        <f>IFERROR(+LOOKUP(AY24,[2]TARIFAS!$A$4:$B$14,[2]TARIFAS!$D$4:$D$14),0)</f>
        <v>21.36</v>
      </c>
      <c r="BC24" s="30">
        <f t="shared" si="13"/>
        <v>467.44875480000007</v>
      </c>
      <c r="BD24" s="30">
        <f>IFERROR(+LOOKUP(AY24,[2]TARIFAS!$A$4:$B$14,[2]TARIFAS!$C$4:$C$14),0)</f>
        <v>538.20000000000005</v>
      </c>
      <c r="BE24" s="30">
        <f t="shared" si="14"/>
        <v>1005.65</v>
      </c>
      <c r="BF24" s="30"/>
      <c r="BG24" s="30"/>
      <c r="BH24" s="30"/>
      <c r="BI24" s="29"/>
    </row>
    <row r="25" spans="1:62" s="31" customFormat="1" ht="30" customHeight="1" x14ac:dyDescent="0.2">
      <c r="A25" s="17" t="str">
        <f t="shared" si="2"/>
        <v>SEI 068</v>
      </c>
      <c r="B25" s="17" t="s">
        <v>32</v>
      </c>
      <c r="C25" s="32" t="s">
        <v>90</v>
      </c>
      <c r="D25" s="34" t="s">
        <v>91</v>
      </c>
      <c r="E25" s="20" t="s">
        <v>35</v>
      </c>
      <c r="F25" s="21" t="s">
        <v>37</v>
      </c>
      <c r="G25" s="21" t="s">
        <v>38</v>
      </c>
      <c r="H25" s="21">
        <v>15</v>
      </c>
      <c r="I25" s="21">
        <v>325.036</v>
      </c>
      <c r="J25" s="160" t="s">
        <v>150</v>
      </c>
      <c r="K25" s="21">
        <v>4875.54</v>
      </c>
      <c r="L25" s="21" t="s">
        <v>37</v>
      </c>
      <c r="M25" s="22">
        <v>1311</v>
      </c>
      <c r="N25" s="35">
        <v>0</v>
      </c>
      <c r="O25" s="21" t="s">
        <v>37</v>
      </c>
      <c r="P25" s="22">
        <v>1713</v>
      </c>
      <c r="Q25" s="35">
        <v>207.91</v>
      </c>
      <c r="R25" s="35">
        <v>371.02</v>
      </c>
      <c r="S25" s="23">
        <f t="shared" si="3"/>
        <v>146.2662</v>
      </c>
      <c r="T25" s="21" t="s">
        <v>37</v>
      </c>
      <c r="U25" s="22">
        <v>1712</v>
      </c>
      <c r="V25" s="24">
        <f t="shared" si="4"/>
        <v>517.28620000000001</v>
      </c>
      <c r="W25" s="21"/>
      <c r="X25" s="22"/>
      <c r="Y25" s="24"/>
      <c r="Z25" s="24">
        <f t="shared" si="5"/>
        <v>5600.7361999999994</v>
      </c>
      <c r="AA25" s="21" t="s">
        <v>39</v>
      </c>
      <c r="AB25" s="22">
        <v>1431</v>
      </c>
      <c r="AC25" s="24">
        <f t="shared" si="6"/>
        <v>463.17630000000003</v>
      </c>
      <c r="AD25" s="21" t="s">
        <v>39</v>
      </c>
      <c r="AE25" s="25" t="s">
        <v>40</v>
      </c>
      <c r="AF25" s="35">
        <v>0</v>
      </c>
      <c r="AG25" s="21" t="s">
        <v>39</v>
      </c>
      <c r="AH25" s="25" t="s">
        <v>41</v>
      </c>
      <c r="AI25" s="23">
        <f t="shared" si="7"/>
        <v>649.13</v>
      </c>
      <c r="AJ25" s="21" t="s">
        <v>39</v>
      </c>
      <c r="AK25" s="25" t="s">
        <v>42</v>
      </c>
      <c r="AL25" s="23">
        <f t="shared" si="15"/>
        <v>48.755400000000002</v>
      </c>
      <c r="AM25" s="21" t="s">
        <v>39</v>
      </c>
      <c r="AN25" s="25" t="s">
        <v>43</v>
      </c>
      <c r="AO25" s="35">
        <v>0</v>
      </c>
      <c r="AP25" s="21" t="s">
        <v>39</v>
      </c>
      <c r="AQ25" s="25">
        <v>1431</v>
      </c>
      <c r="AR25" s="23">
        <v>48.755400000000009</v>
      </c>
      <c r="AS25" s="24">
        <f t="shared" si="8"/>
        <v>1209.8171</v>
      </c>
      <c r="AT25" s="26">
        <f t="shared" si="1"/>
        <v>4390.9190999999992</v>
      </c>
      <c r="AU25" s="33"/>
      <c r="AV25" s="28"/>
      <c r="AW25" s="29">
        <f t="shared" si="9"/>
        <v>15</v>
      </c>
      <c r="AX25" s="29">
        <f t="shared" si="10"/>
        <v>5600.7361999999994</v>
      </c>
      <c r="AY25" s="30">
        <f t="shared" si="11"/>
        <v>5600.7361999999994</v>
      </c>
      <c r="AZ25" s="30">
        <f>IFERROR(+LOOKUP(AY25,[2]TARIFAS!$A$4:$B$14,[2]TARIFAS!$A$4:$A$14),0)</f>
        <v>5081.41</v>
      </c>
      <c r="BA25" s="30">
        <f t="shared" si="12"/>
        <v>519.32619999999952</v>
      </c>
      <c r="BB25" s="30">
        <f>IFERROR(+LOOKUP(AY25,[2]TARIFAS!$A$4:$B$14,[2]TARIFAS!$D$4:$D$14),0)</f>
        <v>21.36</v>
      </c>
      <c r="BC25" s="30">
        <f t="shared" si="13"/>
        <v>110.92807631999989</v>
      </c>
      <c r="BD25" s="30">
        <f>IFERROR(+LOOKUP(AY25,[2]TARIFAS!$A$4:$B$14,[2]TARIFAS!$C$4:$C$14),0)</f>
        <v>538.20000000000005</v>
      </c>
      <c r="BE25" s="30">
        <f t="shared" si="14"/>
        <v>649.13</v>
      </c>
      <c r="BF25" s="30"/>
      <c r="BG25" s="30"/>
      <c r="BH25" s="30"/>
      <c r="BI25" s="29"/>
    </row>
    <row r="26" spans="1:62" s="31" customFormat="1" ht="30" customHeight="1" x14ac:dyDescent="0.2">
      <c r="A26" s="17" t="str">
        <f t="shared" si="2"/>
        <v>SEI 069</v>
      </c>
      <c r="B26" s="17" t="s">
        <v>32</v>
      </c>
      <c r="C26" s="32" t="s">
        <v>92</v>
      </c>
      <c r="D26" s="34" t="s">
        <v>93</v>
      </c>
      <c r="E26" s="20" t="s">
        <v>35</v>
      </c>
      <c r="F26" s="21" t="s">
        <v>37</v>
      </c>
      <c r="G26" s="21" t="s">
        <v>38</v>
      </c>
      <c r="H26" s="21">
        <v>15</v>
      </c>
      <c r="I26" s="21">
        <v>421.49</v>
      </c>
      <c r="J26" s="160" t="s">
        <v>151</v>
      </c>
      <c r="K26" s="21">
        <v>6322.35</v>
      </c>
      <c r="L26" s="21" t="s">
        <v>37</v>
      </c>
      <c r="M26" s="22">
        <v>1311</v>
      </c>
      <c r="N26" s="35">
        <v>0</v>
      </c>
      <c r="O26" s="21" t="s">
        <v>37</v>
      </c>
      <c r="P26" s="22">
        <v>1713</v>
      </c>
      <c r="Q26" s="35">
        <v>351.5</v>
      </c>
      <c r="R26" s="35">
        <v>406.32</v>
      </c>
      <c r="S26" s="23">
        <f t="shared" si="3"/>
        <v>189.6705</v>
      </c>
      <c r="T26" s="21" t="s">
        <v>37</v>
      </c>
      <c r="U26" s="22">
        <v>1712</v>
      </c>
      <c r="V26" s="24">
        <f t="shared" si="4"/>
        <v>595.9905</v>
      </c>
      <c r="W26" s="21"/>
      <c r="X26" s="22"/>
      <c r="Y26" s="24"/>
      <c r="Z26" s="24">
        <f t="shared" si="5"/>
        <v>7269.8405000000002</v>
      </c>
      <c r="AA26" s="21" t="s">
        <v>39</v>
      </c>
      <c r="AB26" s="22">
        <v>1431</v>
      </c>
      <c r="AC26" s="24">
        <f t="shared" si="6"/>
        <v>600.6232500000001</v>
      </c>
      <c r="AD26" s="21" t="s">
        <v>39</v>
      </c>
      <c r="AE26" s="25" t="s">
        <v>40</v>
      </c>
      <c r="AF26" s="35">
        <v>1687</v>
      </c>
      <c r="AG26" s="21" t="s">
        <v>39</v>
      </c>
      <c r="AH26" s="25" t="s">
        <v>41</v>
      </c>
      <c r="AI26" s="23">
        <f t="shared" si="7"/>
        <v>1005.65</v>
      </c>
      <c r="AJ26" s="21" t="s">
        <v>39</v>
      </c>
      <c r="AK26" s="25" t="s">
        <v>42</v>
      </c>
      <c r="AL26" s="23">
        <f t="shared" si="15"/>
        <v>63.223500000000008</v>
      </c>
      <c r="AM26" s="21" t="s">
        <v>39</v>
      </c>
      <c r="AN26" s="25" t="s">
        <v>43</v>
      </c>
      <c r="AO26" s="35">
        <v>0</v>
      </c>
      <c r="AP26" s="21" t="s">
        <v>39</v>
      </c>
      <c r="AQ26" s="25">
        <v>1431</v>
      </c>
      <c r="AR26" s="23">
        <v>63.223500000000058</v>
      </c>
      <c r="AS26" s="24">
        <f t="shared" si="8"/>
        <v>3419.7202500000003</v>
      </c>
      <c r="AT26" s="26">
        <f t="shared" si="1"/>
        <v>3850.1202499999999</v>
      </c>
      <c r="AU26" s="33"/>
      <c r="AV26" s="28"/>
      <c r="AW26" s="29">
        <f t="shared" si="9"/>
        <v>15</v>
      </c>
      <c r="AX26" s="29">
        <f t="shared" si="10"/>
        <v>7269.8405000000002</v>
      </c>
      <c r="AY26" s="30">
        <f t="shared" si="11"/>
        <v>7269.8405000000002</v>
      </c>
      <c r="AZ26" s="30">
        <f>IFERROR(+LOOKUP(AY26,[2]TARIFAS!$A$4:$B$14,[2]TARIFAS!$A$4:$A$14),0)</f>
        <v>5081.41</v>
      </c>
      <c r="BA26" s="30">
        <f t="shared" si="12"/>
        <v>2188.4305000000004</v>
      </c>
      <c r="BB26" s="30">
        <f>IFERROR(+LOOKUP(AY26,[2]TARIFAS!$A$4:$B$14,[2]TARIFAS!$D$4:$D$14),0)</f>
        <v>21.36</v>
      </c>
      <c r="BC26" s="30">
        <f t="shared" si="13"/>
        <v>467.44875480000007</v>
      </c>
      <c r="BD26" s="30">
        <f>IFERROR(+LOOKUP(AY26,[2]TARIFAS!$A$4:$B$14,[2]TARIFAS!$C$4:$C$14),0)</f>
        <v>538.20000000000005</v>
      </c>
      <c r="BE26" s="30">
        <f t="shared" si="14"/>
        <v>1005.65</v>
      </c>
      <c r="BF26" s="30"/>
      <c r="BG26" s="30"/>
      <c r="BH26" s="30"/>
      <c r="BI26" s="29"/>
    </row>
    <row r="27" spans="1:62" s="31" customFormat="1" ht="30" customHeight="1" x14ac:dyDescent="0.2">
      <c r="A27" s="17" t="str">
        <f t="shared" si="2"/>
        <v>SEI 070</v>
      </c>
      <c r="B27" s="17" t="s">
        <v>32</v>
      </c>
      <c r="C27" s="32" t="s">
        <v>94</v>
      </c>
      <c r="D27" s="34" t="s">
        <v>95</v>
      </c>
      <c r="E27" s="20" t="s">
        <v>35</v>
      </c>
      <c r="F27" s="21" t="s">
        <v>37</v>
      </c>
      <c r="G27" s="21" t="s">
        <v>38</v>
      </c>
      <c r="H27" s="21">
        <v>15</v>
      </c>
      <c r="I27" s="21">
        <v>325.036</v>
      </c>
      <c r="J27" s="160" t="s">
        <v>149</v>
      </c>
      <c r="K27" s="21">
        <v>4875.54</v>
      </c>
      <c r="L27" s="21" t="s">
        <v>37</v>
      </c>
      <c r="M27" s="22">
        <v>1311</v>
      </c>
      <c r="N27" s="35">
        <v>0</v>
      </c>
      <c r="O27" s="21" t="s">
        <v>37</v>
      </c>
      <c r="P27" s="22">
        <v>1713</v>
      </c>
      <c r="Q27" s="35">
        <v>207.91</v>
      </c>
      <c r="R27" s="35">
        <v>371.02</v>
      </c>
      <c r="S27" s="23">
        <f t="shared" si="3"/>
        <v>146.2662</v>
      </c>
      <c r="T27" s="21" t="s">
        <v>37</v>
      </c>
      <c r="U27" s="22">
        <v>1712</v>
      </c>
      <c r="V27" s="24">
        <f t="shared" si="4"/>
        <v>517.28620000000001</v>
      </c>
      <c r="W27" s="21"/>
      <c r="X27" s="22"/>
      <c r="Y27" s="24"/>
      <c r="Z27" s="24">
        <f t="shared" si="5"/>
        <v>5600.7361999999994</v>
      </c>
      <c r="AA27" s="21" t="s">
        <v>39</v>
      </c>
      <c r="AB27" s="22">
        <v>1431</v>
      </c>
      <c r="AC27" s="24">
        <f t="shared" si="6"/>
        <v>463.17630000000003</v>
      </c>
      <c r="AD27" s="21" t="s">
        <v>39</v>
      </c>
      <c r="AE27" s="25" t="s">
        <v>40</v>
      </c>
      <c r="AF27" s="35">
        <v>0</v>
      </c>
      <c r="AG27" s="21" t="s">
        <v>39</v>
      </c>
      <c r="AH27" s="25" t="s">
        <v>41</v>
      </c>
      <c r="AI27" s="23">
        <f t="shared" si="7"/>
        <v>649.13</v>
      </c>
      <c r="AJ27" s="21" t="s">
        <v>39</v>
      </c>
      <c r="AK27" s="25" t="s">
        <v>42</v>
      </c>
      <c r="AL27" s="23">
        <f t="shared" si="15"/>
        <v>48.755400000000002</v>
      </c>
      <c r="AM27" s="21" t="s">
        <v>39</v>
      </c>
      <c r="AN27" s="25" t="s">
        <v>43</v>
      </c>
      <c r="AO27" s="35">
        <v>0</v>
      </c>
      <c r="AP27" s="21" t="s">
        <v>39</v>
      </c>
      <c r="AQ27" s="25">
        <v>1431</v>
      </c>
      <c r="AR27" s="23">
        <v>48.755400000000009</v>
      </c>
      <c r="AS27" s="24">
        <f t="shared" si="8"/>
        <v>1209.8171</v>
      </c>
      <c r="AT27" s="26">
        <f t="shared" si="1"/>
        <v>4390.9190999999992</v>
      </c>
      <c r="AU27" s="33"/>
      <c r="AV27" s="28"/>
      <c r="AW27" s="29">
        <f t="shared" si="9"/>
        <v>15</v>
      </c>
      <c r="AX27" s="29">
        <f t="shared" si="10"/>
        <v>5600.7361999999994</v>
      </c>
      <c r="AY27" s="30">
        <f t="shared" si="11"/>
        <v>5600.7361999999994</v>
      </c>
      <c r="AZ27" s="30">
        <f>IFERROR(+LOOKUP(AY27,[2]TARIFAS!$A$4:$B$14,[2]TARIFAS!$A$4:$A$14),0)</f>
        <v>5081.41</v>
      </c>
      <c r="BA27" s="30">
        <f t="shared" si="12"/>
        <v>519.32619999999952</v>
      </c>
      <c r="BB27" s="30">
        <f>IFERROR(+LOOKUP(AY27,[2]TARIFAS!$A$4:$B$14,[2]TARIFAS!$D$4:$D$14),0)</f>
        <v>21.36</v>
      </c>
      <c r="BC27" s="30">
        <f t="shared" si="13"/>
        <v>110.92807631999989</v>
      </c>
      <c r="BD27" s="30">
        <f>IFERROR(+LOOKUP(AY27,[2]TARIFAS!$A$4:$B$14,[2]TARIFAS!$C$4:$C$14),0)</f>
        <v>538.20000000000005</v>
      </c>
      <c r="BE27" s="30">
        <f t="shared" si="14"/>
        <v>649.13</v>
      </c>
      <c r="BF27" s="30"/>
      <c r="BG27" s="30"/>
      <c r="BH27" s="30"/>
      <c r="BI27" s="29"/>
    </row>
    <row r="28" spans="1:62" s="31" customFormat="1" ht="30" customHeight="1" x14ac:dyDescent="0.2">
      <c r="A28" s="17" t="str">
        <f t="shared" si="2"/>
        <v>SEI 071</v>
      </c>
      <c r="B28" s="17" t="s">
        <v>32</v>
      </c>
      <c r="C28" s="32" t="s">
        <v>96</v>
      </c>
      <c r="D28" s="34" t="s">
        <v>97</v>
      </c>
      <c r="E28" s="20" t="s">
        <v>35</v>
      </c>
      <c r="F28" s="21" t="s">
        <v>37</v>
      </c>
      <c r="G28" s="21" t="s">
        <v>38</v>
      </c>
      <c r="H28" s="21">
        <v>15</v>
      </c>
      <c r="I28" s="21">
        <v>421.49</v>
      </c>
      <c r="J28" s="160" t="s">
        <v>147</v>
      </c>
      <c r="K28" s="21">
        <v>6322.35</v>
      </c>
      <c r="L28" s="21" t="s">
        <v>37</v>
      </c>
      <c r="M28" s="22">
        <v>1311</v>
      </c>
      <c r="N28" s="35">
        <v>0</v>
      </c>
      <c r="O28" s="21" t="s">
        <v>37</v>
      </c>
      <c r="P28" s="22">
        <v>1713</v>
      </c>
      <c r="Q28" s="35">
        <v>351.5</v>
      </c>
      <c r="R28" s="35">
        <v>406.32</v>
      </c>
      <c r="S28" s="23">
        <f t="shared" si="3"/>
        <v>189.6705</v>
      </c>
      <c r="T28" s="21" t="s">
        <v>37</v>
      </c>
      <c r="U28" s="22">
        <v>1712</v>
      </c>
      <c r="V28" s="24">
        <f t="shared" si="4"/>
        <v>595.9905</v>
      </c>
      <c r="W28" s="21"/>
      <c r="X28" s="22"/>
      <c r="Y28" s="24"/>
      <c r="Z28" s="24">
        <f t="shared" si="5"/>
        <v>7269.8405000000002</v>
      </c>
      <c r="AA28" s="21" t="s">
        <v>39</v>
      </c>
      <c r="AB28" s="22">
        <v>1431</v>
      </c>
      <c r="AC28" s="24">
        <f t="shared" si="6"/>
        <v>600.6232500000001</v>
      </c>
      <c r="AD28" s="21" t="s">
        <v>39</v>
      </c>
      <c r="AE28" s="25" t="s">
        <v>40</v>
      </c>
      <c r="AF28" s="35">
        <v>0</v>
      </c>
      <c r="AG28" s="21" t="s">
        <v>39</v>
      </c>
      <c r="AH28" s="25" t="s">
        <v>41</v>
      </c>
      <c r="AI28" s="23">
        <f t="shared" si="7"/>
        <v>1005.65</v>
      </c>
      <c r="AJ28" s="21" t="s">
        <v>39</v>
      </c>
      <c r="AK28" s="25" t="s">
        <v>42</v>
      </c>
      <c r="AL28" s="23">
        <f t="shared" si="15"/>
        <v>63.223500000000008</v>
      </c>
      <c r="AM28" s="21" t="s">
        <v>39</v>
      </c>
      <c r="AN28" s="25" t="s">
        <v>43</v>
      </c>
      <c r="AO28" s="35">
        <v>0</v>
      </c>
      <c r="AP28" s="21" t="s">
        <v>39</v>
      </c>
      <c r="AQ28" s="25">
        <v>1431</v>
      </c>
      <c r="AR28" s="23">
        <v>63.223500000000058</v>
      </c>
      <c r="AS28" s="24">
        <f t="shared" si="8"/>
        <v>1732.7202500000003</v>
      </c>
      <c r="AT28" s="26">
        <f t="shared" si="1"/>
        <v>5537.1202499999999</v>
      </c>
      <c r="AU28" s="33"/>
      <c r="AV28" s="28"/>
      <c r="AW28" s="29">
        <f t="shared" si="9"/>
        <v>15</v>
      </c>
      <c r="AX28" s="29">
        <f t="shared" si="10"/>
        <v>7269.8405000000002</v>
      </c>
      <c r="AY28" s="30">
        <f t="shared" si="11"/>
        <v>7269.8405000000002</v>
      </c>
      <c r="AZ28" s="30">
        <f>IFERROR(+LOOKUP(AY28,[2]TARIFAS!$A$4:$B$14,[2]TARIFAS!$A$4:$A$14),0)</f>
        <v>5081.41</v>
      </c>
      <c r="BA28" s="30">
        <f t="shared" si="12"/>
        <v>2188.4305000000004</v>
      </c>
      <c r="BB28" s="30">
        <f>IFERROR(+LOOKUP(AY28,[2]TARIFAS!$A$4:$B$14,[2]TARIFAS!$D$4:$D$14),0)</f>
        <v>21.36</v>
      </c>
      <c r="BC28" s="30">
        <f t="shared" si="13"/>
        <v>467.44875480000007</v>
      </c>
      <c r="BD28" s="30">
        <f>IFERROR(+LOOKUP(AY28,[2]TARIFAS!$A$4:$B$14,[2]TARIFAS!$C$4:$C$14),0)</f>
        <v>538.20000000000005</v>
      </c>
      <c r="BE28" s="30">
        <f t="shared" si="14"/>
        <v>1005.65</v>
      </c>
      <c r="BF28" s="30"/>
      <c r="BG28" s="30"/>
      <c r="BH28" s="30"/>
      <c r="BI28" s="29"/>
    </row>
    <row r="29" spans="1:62" s="31" customFormat="1" ht="30" customHeight="1" x14ac:dyDescent="0.2">
      <c r="A29" s="17" t="str">
        <f t="shared" si="2"/>
        <v>SEI 072</v>
      </c>
      <c r="B29" s="17" t="s">
        <v>32</v>
      </c>
      <c r="C29" s="32" t="s">
        <v>98</v>
      </c>
      <c r="D29" s="34" t="s">
        <v>99</v>
      </c>
      <c r="E29" s="20" t="s">
        <v>35</v>
      </c>
      <c r="F29" s="21" t="s">
        <v>37</v>
      </c>
      <c r="G29" s="21" t="s">
        <v>38</v>
      </c>
      <c r="H29" s="21">
        <v>15</v>
      </c>
      <c r="I29" s="21">
        <v>325.036</v>
      </c>
      <c r="J29" s="160" t="s">
        <v>150</v>
      </c>
      <c r="K29" s="21">
        <v>0</v>
      </c>
      <c r="L29" s="21" t="s">
        <v>37</v>
      </c>
      <c r="M29" s="22">
        <v>1311</v>
      </c>
      <c r="N29" s="35">
        <v>0</v>
      </c>
      <c r="O29" s="21" t="s">
        <v>37</v>
      </c>
      <c r="P29" s="22">
        <v>1713</v>
      </c>
      <c r="Q29" s="35">
        <v>0</v>
      </c>
      <c r="R29" s="35">
        <v>0</v>
      </c>
      <c r="S29" s="23">
        <f>(K29*3%)</f>
        <v>0</v>
      </c>
      <c r="T29" s="21" t="s">
        <v>37</v>
      </c>
      <c r="U29" s="22">
        <v>1712</v>
      </c>
      <c r="V29" s="24">
        <f>(R29+S29)</f>
        <v>0</v>
      </c>
      <c r="W29" s="21"/>
      <c r="X29" s="22"/>
      <c r="Y29" s="24"/>
      <c r="Z29" s="24">
        <f t="shared" si="5"/>
        <v>0</v>
      </c>
      <c r="AA29" s="21" t="s">
        <v>39</v>
      </c>
      <c r="AB29" s="22">
        <v>1431</v>
      </c>
      <c r="AC29" s="24">
        <f t="shared" si="6"/>
        <v>0</v>
      </c>
      <c r="AD29" s="21" t="s">
        <v>39</v>
      </c>
      <c r="AE29" s="25" t="s">
        <v>40</v>
      </c>
      <c r="AF29" s="35">
        <v>0</v>
      </c>
      <c r="AG29" s="21" t="s">
        <v>39</v>
      </c>
      <c r="AH29" s="25" t="s">
        <v>41</v>
      </c>
      <c r="AI29" s="23">
        <f t="shared" si="7"/>
        <v>0</v>
      </c>
      <c r="AJ29" s="21" t="s">
        <v>39</v>
      </c>
      <c r="AK29" s="25" t="s">
        <v>42</v>
      </c>
      <c r="AL29" s="23">
        <f t="shared" si="15"/>
        <v>0</v>
      </c>
      <c r="AM29" s="21" t="s">
        <v>39</v>
      </c>
      <c r="AN29" s="25" t="s">
        <v>43</v>
      </c>
      <c r="AO29" s="35">
        <v>0</v>
      </c>
      <c r="AP29" s="21" t="s">
        <v>39</v>
      </c>
      <c r="AQ29" s="25">
        <v>1431</v>
      </c>
      <c r="AR29" s="23">
        <v>0</v>
      </c>
      <c r="AS29" s="24">
        <f t="shared" si="8"/>
        <v>0</v>
      </c>
      <c r="AT29" s="26">
        <f t="shared" si="1"/>
        <v>0</v>
      </c>
      <c r="AU29" s="33"/>
      <c r="AV29" s="28"/>
      <c r="AW29" s="31">
        <f t="shared" si="9"/>
        <v>15</v>
      </c>
      <c r="AX29" s="29">
        <f t="shared" si="10"/>
        <v>0</v>
      </c>
      <c r="AY29" s="39">
        <f t="shared" si="11"/>
        <v>0</v>
      </c>
      <c r="AZ29" s="39">
        <f>IFERROR(+LOOKUP(AY29,[2]TARIFAS!$A$4:$B$14,[2]TARIFAS!$A$4:$A$14),0)</f>
        <v>0</v>
      </c>
      <c r="BA29" s="39">
        <f t="shared" si="12"/>
        <v>0</v>
      </c>
      <c r="BB29" s="39">
        <f>IFERROR(+LOOKUP(AY29,[2]TARIFAS!$A$4:$B$14,[2]TARIFAS!$D$4:$D$14),0)</f>
        <v>0</v>
      </c>
      <c r="BC29" s="39">
        <f t="shared" si="13"/>
        <v>0</v>
      </c>
      <c r="BD29" s="39">
        <f>IFERROR(+LOOKUP(AY29,[2]TARIFAS!$A$4:$B$14,[2]TARIFAS!$C$4:$C$14),0)</f>
        <v>0</v>
      </c>
      <c r="BE29" s="39">
        <f t="shared" si="14"/>
        <v>0</v>
      </c>
      <c r="BF29" s="39"/>
      <c r="BG29" s="39"/>
      <c r="BH29" s="39"/>
      <c r="BJ29" s="40" t="s">
        <v>121</v>
      </c>
    </row>
    <row r="30" spans="1:62" s="31" customFormat="1" ht="30" customHeight="1" x14ac:dyDescent="0.2">
      <c r="A30" s="17" t="str">
        <f t="shared" si="2"/>
        <v>SEI 073</v>
      </c>
      <c r="B30" s="17" t="s">
        <v>32</v>
      </c>
      <c r="C30" s="32" t="s">
        <v>101</v>
      </c>
      <c r="D30" s="34" t="s">
        <v>102</v>
      </c>
      <c r="E30" s="20" t="s">
        <v>67</v>
      </c>
      <c r="F30" s="21" t="s">
        <v>37</v>
      </c>
      <c r="G30" s="21" t="s">
        <v>38</v>
      </c>
      <c r="H30" s="21">
        <v>15</v>
      </c>
      <c r="I30" s="21">
        <v>1029.4333333333334</v>
      </c>
      <c r="J30" s="160" t="s">
        <v>146</v>
      </c>
      <c r="K30" s="21">
        <v>15441.5</v>
      </c>
      <c r="L30" s="21" t="s">
        <v>37</v>
      </c>
      <c r="M30" s="22">
        <v>1311</v>
      </c>
      <c r="N30" s="35">
        <v>0</v>
      </c>
      <c r="O30" s="21" t="s">
        <v>37</v>
      </c>
      <c r="P30" s="22">
        <v>1713</v>
      </c>
      <c r="Q30" s="35">
        <v>566.5</v>
      </c>
      <c r="R30" s="35">
        <v>835.5</v>
      </c>
      <c r="S30" s="23">
        <f t="shared" si="3"/>
        <v>463.245</v>
      </c>
      <c r="T30" s="21" t="s">
        <v>37</v>
      </c>
      <c r="U30" s="22">
        <v>1712</v>
      </c>
      <c r="V30" s="24">
        <f t="shared" si="4"/>
        <v>1298.7449999999999</v>
      </c>
      <c r="W30" s="21"/>
      <c r="X30" s="22"/>
      <c r="Y30" s="24"/>
      <c r="Z30" s="24">
        <f t="shared" si="5"/>
        <v>17306.744999999999</v>
      </c>
      <c r="AA30" s="21" t="s">
        <v>39</v>
      </c>
      <c r="AB30" s="22">
        <v>1431</v>
      </c>
      <c r="AC30" s="24">
        <f t="shared" si="6"/>
        <v>1466.9425000000001</v>
      </c>
      <c r="AD30" s="21" t="s">
        <v>39</v>
      </c>
      <c r="AE30" s="25" t="s">
        <v>40</v>
      </c>
      <c r="AF30" s="35">
        <v>0</v>
      </c>
      <c r="AG30" s="21" t="s">
        <v>39</v>
      </c>
      <c r="AH30" s="25" t="s">
        <v>41</v>
      </c>
      <c r="AI30" s="23">
        <f t="shared" si="7"/>
        <v>3376.71</v>
      </c>
      <c r="AJ30" s="21" t="s">
        <v>39</v>
      </c>
      <c r="AK30" s="25" t="s">
        <v>42</v>
      </c>
      <c r="AL30" s="23">
        <v>0</v>
      </c>
      <c r="AM30" s="21" t="s">
        <v>39</v>
      </c>
      <c r="AN30" s="25" t="s">
        <v>43</v>
      </c>
      <c r="AO30" s="35">
        <v>0</v>
      </c>
      <c r="AP30" s="21" t="s">
        <v>39</v>
      </c>
      <c r="AQ30" s="25">
        <v>1431</v>
      </c>
      <c r="AR30" s="23">
        <v>154.41500000000087</v>
      </c>
      <c r="AS30" s="24">
        <f t="shared" si="8"/>
        <v>4998.067500000001</v>
      </c>
      <c r="AT30" s="26">
        <f t="shared" si="1"/>
        <v>12308.677499999998</v>
      </c>
      <c r="AU30" s="33"/>
      <c r="AV30" s="28"/>
      <c r="AW30" s="29">
        <f t="shared" si="9"/>
        <v>15</v>
      </c>
      <c r="AX30" s="29">
        <f t="shared" si="10"/>
        <v>17306.745000000003</v>
      </c>
      <c r="AY30" s="30">
        <f t="shared" si="11"/>
        <v>17306.745000000003</v>
      </c>
      <c r="AZ30" s="30">
        <f>IFERROR(+LOOKUP(AY30,[2]TARIFAS!$A$4:$B$14,[2]TARIFAS!$A$4:$A$14),0)</f>
        <v>16153.06</v>
      </c>
      <c r="BA30" s="30">
        <f t="shared" si="12"/>
        <v>1153.6850000000031</v>
      </c>
      <c r="BB30" s="30">
        <f>IFERROR(+LOOKUP(AY30,[2]TARIFAS!$A$4:$B$14,[2]TARIFAS!$D$4:$D$14),0)</f>
        <v>30</v>
      </c>
      <c r="BC30" s="30">
        <f t="shared" si="13"/>
        <v>346.10550000000092</v>
      </c>
      <c r="BD30" s="30">
        <f>IFERROR(+LOOKUP(AY30,[2]TARIFAS!$A$4:$B$14,[2]TARIFAS!$C$4:$C$14),0)</f>
        <v>3030.6</v>
      </c>
      <c r="BE30" s="30">
        <f t="shared" si="14"/>
        <v>3376.71</v>
      </c>
      <c r="BF30" s="30"/>
      <c r="BG30" s="30"/>
      <c r="BH30" s="30"/>
      <c r="BI30" s="29"/>
    </row>
    <row r="31" spans="1:62" s="31" customFormat="1" ht="30" customHeight="1" x14ac:dyDescent="0.2">
      <c r="A31" s="17" t="str">
        <f t="shared" si="2"/>
        <v>SEI 074</v>
      </c>
      <c r="B31" s="17" t="s">
        <v>32</v>
      </c>
      <c r="C31" s="32" t="s">
        <v>103</v>
      </c>
      <c r="D31" s="34" t="s">
        <v>104</v>
      </c>
      <c r="E31" s="20" t="s">
        <v>105</v>
      </c>
      <c r="F31" s="21" t="s">
        <v>37</v>
      </c>
      <c r="G31" s="21" t="s">
        <v>38</v>
      </c>
      <c r="H31" s="21">
        <v>15</v>
      </c>
      <c r="I31" s="21">
        <v>1958.6333333333334</v>
      </c>
      <c r="J31" s="160" t="s">
        <v>148</v>
      </c>
      <c r="K31" s="21">
        <v>29379.5</v>
      </c>
      <c r="L31" s="21" t="s">
        <v>37</v>
      </c>
      <c r="M31" s="22">
        <v>1311</v>
      </c>
      <c r="N31" s="35">
        <v>0</v>
      </c>
      <c r="O31" s="21" t="s">
        <v>37</v>
      </c>
      <c r="P31" s="22">
        <v>1713</v>
      </c>
      <c r="Q31" s="36">
        <v>808.5</v>
      </c>
      <c r="R31" s="35">
        <v>1144</v>
      </c>
      <c r="S31" s="23">
        <f t="shared" si="3"/>
        <v>881.38499999999999</v>
      </c>
      <c r="T31" s="21" t="s">
        <v>37</v>
      </c>
      <c r="U31" s="22">
        <v>1712</v>
      </c>
      <c r="V31" s="24">
        <f t="shared" si="4"/>
        <v>2025.385</v>
      </c>
      <c r="W31" s="21"/>
      <c r="X31" s="22"/>
      <c r="Y31" s="24"/>
      <c r="Z31" s="24">
        <f t="shared" si="5"/>
        <v>32213.384999999998</v>
      </c>
      <c r="AA31" s="21" t="s">
        <v>39</v>
      </c>
      <c r="AB31" s="22">
        <v>1431</v>
      </c>
      <c r="AC31" s="24">
        <f t="shared" si="6"/>
        <v>2791.0525000000002</v>
      </c>
      <c r="AD31" s="21" t="s">
        <v>39</v>
      </c>
      <c r="AE31" s="25" t="s">
        <v>40</v>
      </c>
      <c r="AF31" s="35">
        <v>4897</v>
      </c>
      <c r="AG31" s="21" t="s">
        <v>39</v>
      </c>
      <c r="AH31" s="25" t="s">
        <v>41</v>
      </c>
      <c r="AI31" s="23">
        <f t="shared" si="7"/>
        <v>7876.11</v>
      </c>
      <c r="AJ31" s="21" t="s">
        <v>39</v>
      </c>
      <c r="AK31" s="25" t="s">
        <v>42</v>
      </c>
      <c r="AL31" s="23">
        <v>0</v>
      </c>
      <c r="AM31" s="21" t="s">
        <v>39</v>
      </c>
      <c r="AN31" s="25" t="s">
        <v>43</v>
      </c>
      <c r="AO31" s="35">
        <v>0</v>
      </c>
      <c r="AP31" s="21" t="s">
        <v>39</v>
      </c>
      <c r="AQ31" s="25">
        <v>1431</v>
      </c>
      <c r="AR31" s="23">
        <v>293.79499999999825</v>
      </c>
      <c r="AS31" s="24">
        <f t="shared" si="8"/>
        <v>15857.957499999997</v>
      </c>
      <c r="AT31" s="26">
        <f t="shared" si="1"/>
        <v>16355.427500000002</v>
      </c>
      <c r="AU31" s="33"/>
      <c r="AV31" s="28"/>
      <c r="AW31" s="29">
        <f t="shared" si="9"/>
        <v>15</v>
      </c>
      <c r="AX31" s="29">
        <f t="shared" si="10"/>
        <v>32213.384999999998</v>
      </c>
      <c r="AY31" s="30">
        <f t="shared" si="11"/>
        <v>32213.384999999995</v>
      </c>
      <c r="AZ31" s="30">
        <f>IFERROR(+LOOKUP(AY31,[2]TARIFAS!$A$4:$B$14,[2]TARIFAS!$A$4:$A$14),0)</f>
        <v>30838.81</v>
      </c>
      <c r="BA31" s="30">
        <f t="shared" si="12"/>
        <v>1374.5749999999935</v>
      </c>
      <c r="BB31" s="30">
        <f>IFERROR(+LOOKUP(AY31,[2]TARIFAS!$A$4:$B$14,[2]TARIFAS!$D$4:$D$14),0)</f>
        <v>32</v>
      </c>
      <c r="BC31" s="30">
        <f t="shared" si="13"/>
        <v>439.86399999999793</v>
      </c>
      <c r="BD31" s="30">
        <f>IFERROR(+LOOKUP(AY31,[2]TARIFAS!$A$4:$B$14,[2]TARIFAS!$C$4:$C$14),0)</f>
        <v>7436.25</v>
      </c>
      <c r="BE31" s="30">
        <f>ROUND(+BC31+BD31,2)</f>
        <v>7876.11</v>
      </c>
      <c r="BF31" s="30"/>
      <c r="BG31" s="30"/>
      <c r="BH31" s="30"/>
      <c r="BI31" s="29"/>
    </row>
    <row r="32" spans="1:62" s="31" customFormat="1" ht="30" customHeight="1" x14ac:dyDescent="0.2">
      <c r="A32" s="17" t="str">
        <f t="shared" si="2"/>
        <v>SEI 078</v>
      </c>
      <c r="B32" s="17" t="s">
        <v>32</v>
      </c>
      <c r="C32" s="32" t="s">
        <v>106</v>
      </c>
      <c r="D32" s="34" t="s">
        <v>107</v>
      </c>
      <c r="E32" s="20" t="s">
        <v>67</v>
      </c>
      <c r="F32" s="21" t="s">
        <v>37</v>
      </c>
      <c r="G32" s="21" t="s">
        <v>38</v>
      </c>
      <c r="H32" s="21">
        <v>15</v>
      </c>
      <c r="I32" s="21">
        <v>1029.4333333333334</v>
      </c>
      <c r="J32" s="160" t="s">
        <v>151</v>
      </c>
      <c r="K32" s="21">
        <v>15441.5</v>
      </c>
      <c r="L32" s="21" t="s">
        <v>37</v>
      </c>
      <c r="M32" s="22">
        <v>1311</v>
      </c>
      <c r="N32" s="23">
        <f>67.29+67.29</f>
        <v>134.58000000000001</v>
      </c>
      <c r="O32" s="21" t="s">
        <v>37</v>
      </c>
      <c r="P32" s="22">
        <v>1713</v>
      </c>
      <c r="Q32" s="23">
        <v>566.5</v>
      </c>
      <c r="R32" s="23">
        <v>835.5</v>
      </c>
      <c r="S32" s="23">
        <f>(K32*3%)</f>
        <v>463.245</v>
      </c>
      <c r="T32" s="21" t="s">
        <v>37</v>
      </c>
      <c r="U32" s="22">
        <v>1712</v>
      </c>
      <c r="V32" s="24">
        <f t="shared" si="4"/>
        <v>1298.7449999999999</v>
      </c>
      <c r="W32" s="21"/>
      <c r="X32" s="22"/>
      <c r="Y32" s="24"/>
      <c r="Z32" s="24">
        <f t="shared" si="5"/>
        <v>17441.325000000001</v>
      </c>
      <c r="AA32" s="21" t="s">
        <v>39</v>
      </c>
      <c r="AB32" s="22">
        <v>1431</v>
      </c>
      <c r="AC32" s="24">
        <f t="shared" si="6"/>
        <v>1466.9425000000001</v>
      </c>
      <c r="AD32" s="21" t="s">
        <v>39</v>
      </c>
      <c r="AE32" s="25" t="s">
        <v>40</v>
      </c>
      <c r="AF32" s="35">
        <v>0</v>
      </c>
      <c r="AG32" s="21" t="s">
        <v>39</v>
      </c>
      <c r="AH32" s="25" t="s">
        <v>41</v>
      </c>
      <c r="AI32" s="23">
        <f t="shared" si="7"/>
        <v>3417.08</v>
      </c>
      <c r="AJ32" s="21" t="s">
        <v>39</v>
      </c>
      <c r="AK32" s="25" t="s">
        <v>42</v>
      </c>
      <c r="AL32" s="23">
        <v>0</v>
      </c>
      <c r="AM32" s="21" t="s">
        <v>39</v>
      </c>
      <c r="AN32" s="25" t="s">
        <v>43</v>
      </c>
      <c r="AO32" s="35">
        <v>0</v>
      </c>
      <c r="AP32" s="21" t="s">
        <v>39</v>
      </c>
      <c r="AQ32" s="25">
        <v>1431</v>
      </c>
      <c r="AR32" s="23">
        <v>154.41500000000087</v>
      </c>
      <c r="AS32" s="24">
        <f t="shared" si="8"/>
        <v>5038.4375000000009</v>
      </c>
      <c r="AT32" s="26">
        <f t="shared" si="1"/>
        <v>12402.887500000001</v>
      </c>
      <c r="AU32" s="33"/>
      <c r="AV32" s="28"/>
      <c r="AW32" s="29">
        <f t="shared" si="9"/>
        <v>15</v>
      </c>
      <c r="AX32" s="29">
        <f t="shared" si="10"/>
        <v>17441.325000000001</v>
      </c>
      <c r="AY32" s="30">
        <f t="shared" si="11"/>
        <v>17441.325000000001</v>
      </c>
      <c r="AZ32" s="30">
        <f>IFERROR(+LOOKUP(AY32,[2]TARIFAS!$A$4:$B$14,[2]TARIFAS!$A$4:$A$14),0)</f>
        <v>16153.06</v>
      </c>
      <c r="BA32" s="30">
        <f t="shared" si="12"/>
        <v>1288.2650000000012</v>
      </c>
      <c r="BB32" s="30">
        <f>IFERROR(+LOOKUP(AY32,[2]TARIFAS!$A$4:$B$14,[2]TARIFAS!$D$4:$D$14),0)</f>
        <v>30</v>
      </c>
      <c r="BC32" s="30">
        <f t="shared" si="13"/>
        <v>386.47950000000043</v>
      </c>
      <c r="BD32" s="30">
        <f>IFERROR(+LOOKUP(AY32,[2]TARIFAS!$A$4:$B$14,[2]TARIFAS!$C$4:$C$14),0)</f>
        <v>3030.6</v>
      </c>
      <c r="BE32" s="30">
        <f t="shared" si="14"/>
        <v>3417.08</v>
      </c>
      <c r="BF32" s="30"/>
      <c r="BG32" s="30"/>
      <c r="BH32" s="30"/>
      <c r="BI32" s="29"/>
      <c r="BJ32" s="31" t="s">
        <v>122</v>
      </c>
    </row>
    <row r="33" spans="1:61" s="31" customFormat="1" ht="30" customHeight="1" thickBot="1" x14ac:dyDescent="0.25">
      <c r="A33" s="17" t="str">
        <f t="shared" si="2"/>
        <v>SEI 077</v>
      </c>
      <c r="B33" s="17" t="s">
        <v>32</v>
      </c>
      <c r="C33" s="32" t="s">
        <v>108</v>
      </c>
      <c r="D33" s="34" t="s">
        <v>109</v>
      </c>
      <c r="E33" s="20" t="s">
        <v>35</v>
      </c>
      <c r="F33" s="21" t="s">
        <v>37</v>
      </c>
      <c r="G33" s="21" t="s">
        <v>38</v>
      </c>
      <c r="H33" s="21">
        <v>15</v>
      </c>
      <c r="I33" s="21">
        <v>421.49</v>
      </c>
      <c r="J33" s="160" t="s">
        <v>151</v>
      </c>
      <c r="K33" s="21">
        <v>6322.35</v>
      </c>
      <c r="L33" s="21" t="s">
        <v>37</v>
      </c>
      <c r="M33" s="22">
        <v>1311</v>
      </c>
      <c r="N33" s="35">
        <v>0</v>
      </c>
      <c r="O33" s="21" t="s">
        <v>37</v>
      </c>
      <c r="P33" s="22">
        <v>1713</v>
      </c>
      <c r="Q33" s="36">
        <v>351.5</v>
      </c>
      <c r="R33" s="35">
        <v>406.32</v>
      </c>
      <c r="S33" s="23">
        <f t="shared" si="3"/>
        <v>189.6705</v>
      </c>
      <c r="T33" s="21" t="s">
        <v>37</v>
      </c>
      <c r="U33" s="22">
        <v>1712</v>
      </c>
      <c r="V33" s="24">
        <f>(R33+S33)</f>
        <v>595.9905</v>
      </c>
      <c r="W33" s="21"/>
      <c r="X33" s="22"/>
      <c r="Y33" s="24"/>
      <c r="Z33" s="24">
        <f t="shared" si="5"/>
        <v>7269.8405000000002</v>
      </c>
      <c r="AA33" s="21" t="s">
        <v>39</v>
      </c>
      <c r="AB33" s="22">
        <v>1431</v>
      </c>
      <c r="AC33" s="24">
        <f t="shared" si="6"/>
        <v>600.6232500000001</v>
      </c>
      <c r="AD33" s="21" t="s">
        <v>39</v>
      </c>
      <c r="AE33" s="25" t="s">
        <v>40</v>
      </c>
      <c r="AF33" s="35">
        <v>0</v>
      </c>
      <c r="AG33" s="21" t="s">
        <v>39</v>
      </c>
      <c r="AH33" s="25" t="s">
        <v>41</v>
      </c>
      <c r="AI33" s="23">
        <f t="shared" si="7"/>
        <v>1005.65</v>
      </c>
      <c r="AJ33" s="21" t="s">
        <v>39</v>
      </c>
      <c r="AK33" s="25" t="s">
        <v>42</v>
      </c>
      <c r="AL33" s="23">
        <v>0</v>
      </c>
      <c r="AM33" s="21" t="s">
        <v>39</v>
      </c>
      <c r="AN33" s="25" t="s">
        <v>43</v>
      </c>
      <c r="AO33" s="35">
        <v>0</v>
      </c>
      <c r="AP33" s="21" t="s">
        <v>39</v>
      </c>
      <c r="AQ33" s="25">
        <v>1431</v>
      </c>
      <c r="AR33" s="23">
        <v>63.223500000000058</v>
      </c>
      <c r="AS33" s="24">
        <f>(AC33+AF33+AI33+AL33+AO33+AR33)</f>
        <v>1669.4967500000002</v>
      </c>
      <c r="AT33" s="26">
        <f>(Z33-AS33)</f>
        <v>5600.34375</v>
      </c>
      <c r="AV33" s="28"/>
      <c r="AW33" s="29">
        <f t="shared" si="9"/>
        <v>15</v>
      </c>
      <c r="AX33" s="29">
        <f t="shared" si="10"/>
        <v>7269.8405000000002</v>
      </c>
      <c r="AY33" s="30">
        <f t="shared" si="11"/>
        <v>7269.8405000000002</v>
      </c>
      <c r="AZ33" s="30">
        <f>IFERROR(+LOOKUP(AY33,[2]TARIFAS!$A$4:$B$14,[2]TARIFAS!$A$4:$A$14),0)</f>
        <v>5081.41</v>
      </c>
      <c r="BA33" s="30">
        <f t="shared" si="12"/>
        <v>2188.4305000000004</v>
      </c>
      <c r="BB33" s="30">
        <f>IFERROR(+LOOKUP(AY33,[2]TARIFAS!$A$4:$B$14,[2]TARIFAS!$D$4:$D$14),0)</f>
        <v>21.36</v>
      </c>
      <c r="BC33" s="30">
        <f t="shared" si="13"/>
        <v>467.44875480000007</v>
      </c>
      <c r="BD33" s="30">
        <f>IFERROR(+LOOKUP(AY33,[2]TARIFAS!$A$4:$B$14,[2]TARIFAS!$C$4:$C$14),0)</f>
        <v>538.20000000000005</v>
      </c>
      <c r="BE33" s="30">
        <f t="shared" si="14"/>
        <v>1005.65</v>
      </c>
      <c r="BF33" s="30"/>
      <c r="BG33" s="30"/>
      <c r="BH33" s="30"/>
      <c r="BI33" s="29"/>
    </row>
    <row r="34" spans="1:61" s="48" customFormat="1" ht="21" customHeight="1" thickBot="1" x14ac:dyDescent="0.25">
      <c r="A34" s="41"/>
      <c r="B34" s="42"/>
      <c r="C34" s="43"/>
      <c r="D34" s="43" t="s">
        <v>110</v>
      </c>
      <c r="E34" s="43"/>
      <c r="F34" s="44"/>
      <c r="G34" s="44"/>
      <c r="H34" s="44"/>
      <c r="I34" s="44"/>
      <c r="J34" s="44"/>
      <c r="K34" s="44">
        <f>SUM(K5:K33)</f>
        <v>232028.11000000004</v>
      </c>
      <c r="L34" s="44"/>
      <c r="M34" s="44"/>
      <c r="N34" s="44">
        <f>SUM(N5:N33)</f>
        <v>2657.9549999999995</v>
      </c>
      <c r="O34" s="44"/>
      <c r="P34" s="44"/>
      <c r="Q34" s="44">
        <f>SUM(Q5:Q33)</f>
        <v>10092.759999999998</v>
      </c>
      <c r="R34" s="44">
        <f>SUM(R5:R33)</f>
        <v>13663.5</v>
      </c>
      <c r="S34" s="44">
        <f>SUM(S5:S33)</f>
        <v>6960.8433000000014</v>
      </c>
      <c r="T34" s="44"/>
      <c r="U34" s="44"/>
      <c r="V34" s="44">
        <f>SUM(V5:V33)</f>
        <v>20624.343299999997</v>
      </c>
      <c r="W34" s="44"/>
      <c r="X34" s="45"/>
      <c r="Y34" s="44">
        <f>SUM(Y5:Y32)</f>
        <v>11303.45</v>
      </c>
      <c r="Z34" s="44">
        <f>SUM(Z5:Z33)</f>
        <v>276706.61829999997</v>
      </c>
      <c r="AA34" s="44"/>
      <c r="AB34" s="45"/>
      <c r="AC34" s="44">
        <f>SUM(AC5:AC33)</f>
        <v>22042.670450000009</v>
      </c>
      <c r="AD34" s="44"/>
      <c r="AE34" s="45"/>
      <c r="AF34" s="46">
        <f>SUM(AF5:AF33)</f>
        <v>26405.85</v>
      </c>
      <c r="AG34" s="44"/>
      <c r="AH34" s="45"/>
      <c r="AI34" s="44">
        <f>SUM(AI5:AI33)</f>
        <v>46603.050000000017</v>
      </c>
      <c r="AJ34" s="44"/>
      <c r="AK34" s="45"/>
      <c r="AL34" s="46">
        <f>SUM(AL5:AL33)</f>
        <v>1058.4213000000002</v>
      </c>
      <c r="AM34" s="44"/>
      <c r="AN34" s="45"/>
      <c r="AO34" s="44">
        <f>SUM(AO5:AO33)</f>
        <v>0</v>
      </c>
      <c r="AP34" s="44"/>
      <c r="AQ34" s="45"/>
      <c r="AR34" s="44">
        <f>SUM(AR5:AR33)</f>
        <v>2320.2778000000044</v>
      </c>
      <c r="AS34" s="44">
        <f>SUM(AS5:AS33)</f>
        <v>98430.269550000012</v>
      </c>
      <c r="AT34" s="44">
        <f>SUM(AT5:AT33)</f>
        <v>178276.34875</v>
      </c>
      <c r="AU34" s="47"/>
    </row>
    <row r="35" spans="1:61" s="55" customFormat="1" ht="39.75" customHeight="1" x14ac:dyDescent="0.2">
      <c r="A35" s="49"/>
      <c r="B35" s="50"/>
      <c r="C35" s="50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2"/>
      <c r="R35" s="52"/>
      <c r="S35" s="52"/>
      <c r="T35" s="52"/>
      <c r="U35" s="53"/>
      <c r="V35" s="52"/>
      <c r="W35" s="52"/>
      <c r="X35" s="53"/>
      <c r="Y35" s="52"/>
      <c r="Z35" s="52"/>
      <c r="AA35" s="52"/>
      <c r="AB35" s="53"/>
      <c r="AC35" s="52"/>
      <c r="AD35" s="52"/>
      <c r="AE35" s="53"/>
      <c r="AF35" s="54"/>
      <c r="AG35" s="52"/>
      <c r="AH35" s="53"/>
      <c r="AI35" s="52"/>
      <c r="AJ35" s="52"/>
      <c r="AK35" s="53"/>
      <c r="AL35" s="54"/>
      <c r="AM35" s="52"/>
      <c r="AN35" s="53"/>
      <c r="AO35" s="52"/>
      <c r="AP35" s="52"/>
      <c r="AQ35" s="53"/>
      <c r="AR35" s="52"/>
      <c r="AS35" s="52"/>
      <c r="AT35" s="52"/>
      <c r="AU35" s="50"/>
    </row>
    <row r="36" spans="1:61" ht="15.75" x14ac:dyDescent="0.2">
      <c r="A36" s="56"/>
      <c r="B36" s="56"/>
      <c r="C36" s="57"/>
      <c r="D36" s="169" t="s">
        <v>111</v>
      </c>
      <c r="E36" s="169"/>
      <c r="F36" s="169"/>
      <c r="G36" s="169"/>
      <c r="H36" s="169"/>
      <c r="I36" s="169"/>
      <c r="J36" s="169"/>
      <c r="K36" s="169"/>
      <c r="L36" s="58"/>
      <c r="M36" s="58"/>
      <c r="O36" s="58"/>
      <c r="P36" s="59"/>
      <c r="Q36" s="60"/>
      <c r="R36" s="61"/>
      <c r="S36" s="169" t="s">
        <v>112</v>
      </c>
      <c r="T36" s="169"/>
      <c r="U36" s="169"/>
      <c r="V36" s="169"/>
      <c r="W36" s="169"/>
      <c r="X36" s="169"/>
      <c r="Y36" s="169"/>
      <c r="Z36" s="169"/>
      <c r="AA36" s="56"/>
      <c r="AB36" s="56"/>
      <c r="AC36" s="56"/>
      <c r="AD36" s="56"/>
      <c r="AE36" s="56"/>
      <c r="AG36" s="56"/>
      <c r="AH36" s="56"/>
      <c r="AI36" s="56"/>
      <c r="AJ36" s="56"/>
      <c r="AK36" s="56"/>
      <c r="AL36" s="169" t="s">
        <v>113</v>
      </c>
      <c r="AM36" s="169"/>
      <c r="AN36" s="169"/>
      <c r="AO36" s="169"/>
      <c r="AP36" s="169"/>
      <c r="AQ36" s="169"/>
      <c r="AR36" s="169"/>
      <c r="AS36" s="169"/>
      <c r="AT36" s="169"/>
    </row>
    <row r="37" spans="1:61" ht="22.5" customHeight="1" x14ac:dyDescent="0.2">
      <c r="A37" s="56"/>
      <c r="B37" s="56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O37" s="64"/>
      <c r="P37" s="65"/>
      <c r="Q37" s="64"/>
      <c r="R37" s="61"/>
      <c r="S37" s="61"/>
      <c r="T37" s="64"/>
      <c r="U37" s="65"/>
      <c r="W37" s="64"/>
      <c r="X37" s="65"/>
      <c r="Z37" s="61"/>
      <c r="AA37" s="64"/>
      <c r="AB37" s="65"/>
      <c r="AC37" s="56"/>
      <c r="AD37" s="64"/>
      <c r="AE37" s="65"/>
      <c r="AG37" s="64"/>
      <c r="AH37" s="65"/>
      <c r="AI37" s="56"/>
      <c r="AJ37" s="64"/>
      <c r="AK37" s="65"/>
      <c r="AL37" s="66"/>
      <c r="AM37" s="64"/>
      <c r="AN37" s="65"/>
      <c r="AO37" s="56"/>
      <c r="AP37" s="64"/>
      <c r="AQ37" s="65"/>
      <c r="AR37" s="56"/>
      <c r="AT37" s="56"/>
    </row>
    <row r="38" spans="1:61" ht="15.75" x14ac:dyDescent="0.2">
      <c r="A38" s="56"/>
      <c r="B38" s="56"/>
      <c r="C38" s="67"/>
      <c r="D38" s="169" t="s">
        <v>114</v>
      </c>
      <c r="E38" s="169"/>
      <c r="F38" s="169"/>
      <c r="G38" s="169"/>
      <c r="H38" s="169"/>
      <c r="I38" s="169"/>
      <c r="J38" s="169"/>
      <c r="K38" s="169"/>
      <c r="L38" s="58"/>
      <c r="M38" s="58"/>
      <c r="O38" s="58"/>
      <c r="P38" s="59"/>
      <c r="Q38" s="61"/>
      <c r="R38" s="61"/>
      <c r="S38" s="169" t="s">
        <v>115</v>
      </c>
      <c r="T38" s="169"/>
      <c r="U38" s="169"/>
      <c r="V38" s="169"/>
      <c r="W38" s="169"/>
      <c r="X38" s="169"/>
      <c r="Y38" s="169"/>
      <c r="Z38" s="169"/>
      <c r="AA38" s="56"/>
      <c r="AB38" s="56"/>
      <c r="AC38" s="56"/>
      <c r="AD38" s="56"/>
      <c r="AE38" s="56"/>
      <c r="AG38" s="56"/>
      <c r="AH38" s="56"/>
      <c r="AJ38" s="56"/>
      <c r="AK38" s="56"/>
      <c r="AL38" s="169" t="s">
        <v>116</v>
      </c>
      <c r="AM38" s="169"/>
      <c r="AN38" s="169"/>
      <c r="AO38" s="169"/>
      <c r="AP38" s="169"/>
      <c r="AQ38" s="169"/>
      <c r="AR38" s="169"/>
      <c r="AS38" s="169"/>
      <c r="AT38" s="169"/>
      <c r="AU38" s="56"/>
    </row>
    <row r="39" spans="1:61" ht="15.75" x14ac:dyDescent="0.2">
      <c r="A39" s="56"/>
      <c r="B39" s="56"/>
      <c r="C39" s="67"/>
      <c r="D39" s="169" t="s">
        <v>117</v>
      </c>
      <c r="E39" s="169"/>
      <c r="F39" s="169"/>
      <c r="G39" s="169"/>
      <c r="H39" s="169"/>
      <c r="I39" s="169"/>
      <c r="J39" s="169"/>
      <c r="K39" s="169"/>
      <c r="L39" s="58"/>
      <c r="M39" s="58"/>
      <c r="O39" s="58"/>
      <c r="P39" s="59"/>
      <c r="Q39" s="61"/>
      <c r="R39" s="61"/>
      <c r="S39" s="169" t="s">
        <v>118</v>
      </c>
      <c r="T39" s="169"/>
      <c r="U39" s="169"/>
      <c r="V39" s="169"/>
      <c r="W39" s="169"/>
      <c r="X39" s="169"/>
      <c r="Y39" s="169"/>
      <c r="Z39" s="169"/>
      <c r="AA39" s="56"/>
      <c r="AB39" s="56"/>
      <c r="AC39" s="56"/>
      <c r="AD39" s="56"/>
      <c r="AE39" s="56"/>
      <c r="AG39" s="56"/>
      <c r="AH39" s="56"/>
      <c r="AJ39" s="56"/>
      <c r="AK39" s="56"/>
      <c r="AL39" s="169" t="s">
        <v>119</v>
      </c>
      <c r="AM39" s="169"/>
      <c r="AN39" s="169"/>
      <c r="AO39" s="169"/>
      <c r="AP39" s="169"/>
      <c r="AQ39" s="169"/>
      <c r="AR39" s="169"/>
      <c r="AS39" s="169"/>
      <c r="AT39" s="169"/>
      <c r="AU39" s="56"/>
    </row>
    <row r="40" spans="1:61" x14ac:dyDescent="0.2">
      <c r="A40" s="56"/>
      <c r="B40" s="56"/>
      <c r="C40" s="67"/>
      <c r="D40" s="67"/>
      <c r="E40" s="6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68"/>
      <c r="Q40" s="56"/>
      <c r="T40" s="56"/>
      <c r="U40" s="68"/>
      <c r="W40" s="56"/>
      <c r="X40" s="68"/>
      <c r="Z40" s="56"/>
      <c r="AA40" s="56"/>
      <c r="AB40" s="68"/>
      <c r="AC40" s="56"/>
      <c r="AD40" s="56"/>
      <c r="AE40" s="68"/>
      <c r="AF40" s="69"/>
      <c r="AG40" s="56"/>
      <c r="AH40" s="68"/>
      <c r="AJ40" s="56"/>
      <c r="AK40" s="68"/>
      <c r="AM40" s="56"/>
      <c r="AN40" s="68"/>
      <c r="AP40" s="56"/>
      <c r="AQ40" s="68"/>
      <c r="AS40" s="56"/>
      <c r="AT40" s="56"/>
      <c r="AU40" s="56"/>
    </row>
    <row r="41" spans="1:61" x14ac:dyDescent="0.2">
      <c r="C41" s="67"/>
      <c r="D41" s="67"/>
      <c r="E41" s="67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8"/>
      <c r="Q41" s="56"/>
      <c r="R41" s="56"/>
      <c r="S41" s="56"/>
      <c r="T41" s="56"/>
      <c r="U41" s="68"/>
      <c r="V41" s="70"/>
      <c r="W41" s="56"/>
      <c r="X41" s="68"/>
      <c r="Y41" s="70"/>
      <c r="Z41" s="56"/>
      <c r="AA41" s="56"/>
      <c r="AB41" s="68"/>
      <c r="AC41" s="56"/>
      <c r="AD41" s="56"/>
      <c r="AE41" s="68"/>
      <c r="AF41" s="71"/>
      <c r="AG41" s="56"/>
      <c r="AH41" s="68"/>
      <c r="AI41" s="56"/>
      <c r="AJ41" s="56"/>
      <c r="AK41" s="68"/>
      <c r="AL41" s="71"/>
      <c r="AM41" s="56"/>
      <c r="AN41" s="68"/>
      <c r="AO41" s="56"/>
      <c r="AP41" s="56"/>
      <c r="AQ41" s="68"/>
      <c r="AR41" s="56"/>
      <c r="AS41" s="56"/>
    </row>
    <row r="42" spans="1:61" x14ac:dyDescent="0.2">
      <c r="C42" s="67"/>
      <c r="D42" s="67"/>
      <c r="E42" s="67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68"/>
      <c r="Q42" s="56"/>
      <c r="R42" s="56"/>
      <c r="S42" s="56"/>
      <c r="T42" s="56"/>
      <c r="U42" s="68"/>
      <c r="V42" s="70"/>
      <c r="W42" s="56"/>
      <c r="X42" s="68"/>
      <c r="Y42" s="70"/>
      <c r="Z42" s="56"/>
      <c r="AA42" s="56"/>
      <c r="AB42" s="68"/>
      <c r="AC42" s="56"/>
      <c r="AD42" s="56"/>
      <c r="AE42" s="68"/>
      <c r="AF42" s="71"/>
      <c r="AG42" s="56"/>
      <c r="AH42" s="68"/>
      <c r="AI42" s="56"/>
      <c r="AJ42" s="56"/>
      <c r="AK42" s="68"/>
      <c r="AL42" s="71"/>
      <c r="AM42" s="56"/>
      <c r="AN42" s="68"/>
      <c r="AO42" s="56"/>
      <c r="AP42" s="56"/>
      <c r="AQ42" s="68"/>
      <c r="AR42" s="56"/>
      <c r="AS42" s="56"/>
    </row>
    <row r="43" spans="1:61" x14ac:dyDescent="0.2">
      <c r="C43" s="67"/>
      <c r="D43" s="67"/>
      <c r="E43" s="6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8"/>
      <c r="Q43" s="56"/>
      <c r="R43" s="56"/>
      <c r="S43" s="56"/>
      <c r="T43" s="56"/>
      <c r="U43" s="68"/>
      <c r="V43" s="70"/>
      <c r="W43" s="56"/>
      <c r="X43" s="68"/>
      <c r="Y43" s="70"/>
      <c r="Z43" s="56"/>
      <c r="AA43" s="56"/>
      <c r="AB43" s="68"/>
      <c r="AC43" s="56"/>
      <c r="AD43" s="56"/>
      <c r="AE43" s="68"/>
      <c r="AF43" s="71"/>
      <c r="AG43" s="56"/>
      <c r="AH43" s="68"/>
      <c r="AI43" s="56"/>
      <c r="AJ43" s="56"/>
      <c r="AK43" s="68"/>
      <c r="AL43" s="71"/>
      <c r="AM43" s="56"/>
      <c r="AN43" s="68"/>
      <c r="AO43" s="56"/>
      <c r="AP43" s="56"/>
      <c r="AQ43" s="68"/>
      <c r="AR43" s="56"/>
      <c r="AS43" s="56"/>
      <c r="AT43" s="56"/>
    </row>
    <row r="44" spans="1:61" x14ac:dyDescent="0.2">
      <c r="C44" s="67"/>
      <c r="D44" s="67"/>
      <c r="E44" s="6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8"/>
      <c r="Q44" s="56"/>
      <c r="R44" s="56"/>
      <c r="S44" s="56"/>
      <c r="T44" s="56"/>
      <c r="U44" s="68"/>
      <c r="V44" s="70"/>
      <c r="W44" s="56"/>
      <c r="X44" s="68"/>
      <c r="Y44" s="70"/>
      <c r="Z44" s="56"/>
      <c r="AA44" s="56"/>
      <c r="AB44" s="68"/>
      <c r="AC44" s="56"/>
      <c r="AD44" s="56"/>
      <c r="AE44" s="68"/>
      <c r="AF44" s="71"/>
      <c r="AG44" s="56"/>
      <c r="AH44" s="68"/>
      <c r="AI44" s="56"/>
      <c r="AJ44" s="56"/>
      <c r="AK44" s="68"/>
      <c r="AL44" s="71"/>
      <c r="AM44" s="56"/>
      <c r="AN44" s="68"/>
      <c r="AO44" s="56"/>
      <c r="AP44" s="56"/>
      <c r="AQ44" s="68"/>
      <c r="AR44" s="56"/>
      <c r="AS44" s="56"/>
      <c r="AT44" s="56"/>
    </row>
    <row r="45" spans="1:61" x14ac:dyDescent="0.2">
      <c r="C45" s="67"/>
      <c r="D45" s="67"/>
      <c r="E45" s="67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68"/>
      <c r="Q45" s="56"/>
      <c r="R45" s="56"/>
      <c r="S45" s="56"/>
      <c r="T45" s="56"/>
      <c r="U45" s="68"/>
      <c r="V45" s="70"/>
      <c r="W45" s="56"/>
      <c r="X45" s="68"/>
      <c r="Y45" s="70"/>
      <c r="Z45" s="56"/>
      <c r="AA45" s="56"/>
      <c r="AB45" s="68"/>
      <c r="AC45" s="56"/>
      <c r="AD45" s="56"/>
      <c r="AE45" s="68"/>
      <c r="AF45" s="71"/>
      <c r="AG45" s="56"/>
      <c r="AH45" s="68"/>
      <c r="AI45" s="56"/>
      <c r="AJ45" s="56"/>
      <c r="AK45" s="68"/>
      <c r="AL45" s="71"/>
      <c r="AM45" s="56"/>
      <c r="AN45" s="68"/>
      <c r="AO45" s="56"/>
      <c r="AP45" s="56"/>
      <c r="AQ45" s="68"/>
      <c r="AR45" s="56"/>
      <c r="AS45" s="56"/>
      <c r="AT45" s="56"/>
    </row>
    <row r="46" spans="1:61" x14ac:dyDescent="0.2">
      <c r="C46" s="67"/>
      <c r="D46" s="67"/>
      <c r="E46" s="67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68"/>
      <c r="Q46" s="56"/>
      <c r="R46" s="56"/>
      <c r="S46" s="56"/>
      <c r="T46" s="56"/>
      <c r="U46" s="68"/>
      <c r="V46" s="70"/>
      <c r="W46" s="56"/>
      <c r="X46" s="68"/>
      <c r="Y46" s="70"/>
      <c r="Z46" s="56"/>
      <c r="AA46" s="56"/>
      <c r="AB46" s="68"/>
      <c r="AC46" s="56"/>
      <c r="AD46" s="56"/>
      <c r="AE46" s="68"/>
      <c r="AF46" s="71"/>
      <c r="AG46" s="56"/>
      <c r="AH46" s="68"/>
      <c r="AI46" s="56"/>
      <c r="AJ46" s="56"/>
      <c r="AK46" s="68"/>
      <c r="AL46" s="71"/>
      <c r="AM46" s="56"/>
      <c r="AN46" s="68"/>
      <c r="AO46" s="56"/>
      <c r="AP46" s="56"/>
      <c r="AQ46" s="68"/>
      <c r="AR46" s="56"/>
      <c r="AS46" s="56"/>
      <c r="AT46" s="56"/>
    </row>
    <row r="47" spans="1:61" x14ac:dyDescent="0.2">
      <c r="C47" s="67"/>
      <c r="D47" s="67"/>
      <c r="E47" s="67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68"/>
      <c r="Q47" s="56"/>
      <c r="R47" s="56"/>
      <c r="S47" s="56"/>
      <c r="T47" s="56"/>
      <c r="U47" s="68"/>
      <c r="V47" s="70"/>
      <c r="W47" s="56"/>
      <c r="X47" s="68"/>
      <c r="Y47" s="70"/>
      <c r="Z47" s="56"/>
      <c r="AA47" s="56"/>
      <c r="AB47" s="68"/>
      <c r="AC47" s="56"/>
      <c r="AD47" s="56"/>
      <c r="AE47" s="68"/>
      <c r="AF47" s="71"/>
      <c r="AG47" s="56"/>
      <c r="AH47" s="68"/>
      <c r="AI47" s="56"/>
      <c r="AJ47" s="56"/>
      <c r="AK47" s="68"/>
      <c r="AL47" s="71"/>
      <c r="AM47" s="56"/>
      <c r="AN47" s="68"/>
      <c r="AO47" s="56"/>
      <c r="AP47" s="56"/>
      <c r="AQ47" s="68"/>
      <c r="AR47" s="56"/>
      <c r="AS47" s="56"/>
    </row>
    <row r="48" spans="1:61" x14ac:dyDescent="0.2">
      <c r="C48" s="67"/>
      <c r="D48" s="67"/>
      <c r="E48" s="6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8"/>
      <c r="Q48" s="56"/>
      <c r="R48" s="56"/>
      <c r="S48" s="56"/>
      <c r="T48" s="56"/>
      <c r="U48" s="68"/>
      <c r="V48" s="70"/>
      <c r="W48" s="56"/>
      <c r="X48" s="68"/>
      <c r="Y48" s="70"/>
      <c r="Z48" s="56"/>
      <c r="AA48" s="56"/>
      <c r="AB48" s="68"/>
      <c r="AC48" s="56"/>
      <c r="AD48" s="56"/>
      <c r="AE48" s="68"/>
      <c r="AF48" s="71"/>
      <c r="AG48" s="56"/>
      <c r="AH48" s="68"/>
      <c r="AI48" s="56"/>
      <c r="AJ48" s="56"/>
      <c r="AK48" s="68"/>
      <c r="AL48" s="71"/>
      <c r="AM48" s="56"/>
      <c r="AN48" s="68"/>
      <c r="AO48" s="56"/>
      <c r="AP48" s="56"/>
      <c r="AQ48" s="68"/>
      <c r="AR48" s="56"/>
      <c r="AS48" s="56"/>
    </row>
    <row r="49" spans="3:45" x14ac:dyDescent="0.2">
      <c r="C49" s="67"/>
      <c r="D49" s="67"/>
      <c r="E49" s="67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8"/>
      <c r="Q49" s="56"/>
      <c r="R49" s="56"/>
      <c r="S49" s="56"/>
      <c r="T49" s="56"/>
      <c r="U49" s="68"/>
      <c r="V49" s="70"/>
      <c r="W49" s="56"/>
      <c r="X49" s="68"/>
      <c r="Y49" s="70"/>
      <c r="Z49" s="56"/>
      <c r="AA49" s="56"/>
      <c r="AB49" s="68"/>
      <c r="AC49" s="56"/>
      <c r="AD49" s="56"/>
      <c r="AE49" s="68"/>
      <c r="AF49" s="71"/>
      <c r="AG49" s="56"/>
      <c r="AH49" s="68"/>
      <c r="AI49" s="56"/>
      <c r="AJ49" s="56"/>
      <c r="AK49" s="68"/>
      <c r="AL49" s="71"/>
      <c r="AM49" s="56"/>
      <c r="AN49" s="68"/>
      <c r="AO49" s="56"/>
      <c r="AP49" s="56"/>
      <c r="AQ49" s="68"/>
      <c r="AR49" s="56"/>
      <c r="AS49" s="56"/>
    </row>
    <row r="50" spans="3:45" x14ac:dyDescent="0.2">
      <c r="C50" s="67"/>
      <c r="D50" s="67"/>
      <c r="E50" s="67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8"/>
      <c r="Q50" s="56"/>
      <c r="R50" s="56"/>
      <c r="S50" s="56"/>
      <c r="T50" s="56"/>
      <c r="U50" s="68"/>
      <c r="V50" s="70"/>
      <c r="W50" s="56"/>
      <c r="X50" s="68"/>
      <c r="Y50" s="70"/>
      <c r="Z50" s="56"/>
      <c r="AA50" s="56"/>
      <c r="AB50" s="68"/>
      <c r="AC50" s="56"/>
      <c r="AD50" s="56"/>
      <c r="AE50" s="68"/>
      <c r="AF50" s="71"/>
      <c r="AG50" s="56"/>
      <c r="AH50" s="68"/>
      <c r="AI50" s="56"/>
      <c r="AJ50" s="56"/>
      <c r="AK50" s="68"/>
      <c r="AL50" s="71"/>
      <c r="AM50" s="56"/>
      <c r="AN50" s="68"/>
      <c r="AO50" s="56"/>
      <c r="AP50" s="56"/>
      <c r="AQ50" s="68"/>
      <c r="AR50" s="56"/>
      <c r="AS50" s="56"/>
    </row>
    <row r="51" spans="3:45" x14ac:dyDescent="0.2">
      <c r="C51" s="67"/>
      <c r="D51" s="67"/>
      <c r="E51" s="6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8"/>
      <c r="Q51" s="56"/>
      <c r="R51" s="56"/>
      <c r="S51" s="56"/>
      <c r="T51" s="56"/>
      <c r="U51" s="68"/>
      <c r="V51" s="70"/>
      <c r="W51" s="56"/>
      <c r="X51" s="68"/>
      <c r="Y51" s="70"/>
      <c r="Z51" s="56"/>
      <c r="AA51" s="56"/>
      <c r="AB51" s="68"/>
      <c r="AC51" s="56"/>
      <c r="AD51" s="56"/>
      <c r="AE51" s="68"/>
      <c r="AF51" s="71"/>
      <c r="AG51" s="56"/>
      <c r="AH51" s="68"/>
      <c r="AI51" s="56"/>
      <c r="AJ51" s="56"/>
      <c r="AK51" s="68"/>
      <c r="AL51" s="71"/>
      <c r="AM51" s="56"/>
      <c r="AN51" s="68"/>
      <c r="AO51" s="56"/>
      <c r="AP51" s="56"/>
      <c r="AQ51" s="68"/>
      <c r="AR51" s="56"/>
      <c r="AS51" s="56"/>
    </row>
    <row r="52" spans="3:45" x14ac:dyDescent="0.2">
      <c r="C52" s="67"/>
      <c r="D52" s="67"/>
      <c r="E52" s="6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68"/>
      <c r="Q52" s="56"/>
      <c r="R52" s="56"/>
      <c r="S52" s="56"/>
      <c r="T52" s="56"/>
      <c r="U52" s="68"/>
      <c r="V52" s="70"/>
      <c r="W52" s="56"/>
      <c r="X52" s="68"/>
      <c r="Y52" s="70"/>
      <c r="Z52" s="56"/>
      <c r="AA52" s="56"/>
      <c r="AB52" s="68"/>
      <c r="AC52" s="56"/>
      <c r="AD52" s="56"/>
      <c r="AE52" s="68"/>
      <c r="AF52" s="71"/>
      <c r="AG52" s="56"/>
      <c r="AH52" s="68"/>
      <c r="AI52" s="56"/>
      <c r="AJ52" s="56"/>
      <c r="AK52" s="68"/>
      <c r="AL52" s="71"/>
      <c r="AM52" s="56"/>
      <c r="AN52" s="68"/>
      <c r="AO52" s="56"/>
      <c r="AP52" s="56"/>
      <c r="AQ52" s="68"/>
      <c r="AR52" s="56"/>
      <c r="AS52" s="56"/>
    </row>
    <row r="53" spans="3:45" x14ac:dyDescent="0.2">
      <c r="C53" s="67"/>
      <c r="D53" s="67"/>
      <c r="E53" s="6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68"/>
      <c r="Q53" s="56"/>
      <c r="R53" s="56"/>
      <c r="S53" s="56"/>
      <c r="T53" s="56"/>
      <c r="U53" s="68"/>
      <c r="V53" s="70"/>
      <c r="W53" s="56"/>
      <c r="X53" s="68"/>
      <c r="Y53" s="70"/>
      <c r="Z53" s="56"/>
      <c r="AA53" s="56"/>
      <c r="AB53" s="68"/>
      <c r="AC53" s="56"/>
      <c r="AD53" s="56"/>
      <c r="AE53" s="68"/>
      <c r="AF53" s="71"/>
      <c r="AG53" s="56"/>
      <c r="AH53" s="68"/>
      <c r="AI53" s="56"/>
      <c r="AJ53" s="56"/>
      <c r="AK53" s="68"/>
      <c r="AL53" s="71"/>
      <c r="AM53" s="56"/>
      <c r="AN53" s="68"/>
      <c r="AO53" s="56"/>
      <c r="AP53" s="56"/>
      <c r="AQ53" s="68"/>
      <c r="AR53" s="56"/>
      <c r="AS53" s="56"/>
    </row>
    <row r="54" spans="3:45" x14ac:dyDescent="0.2">
      <c r="C54" s="67"/>
      <c r="D54" s="67"/>
      <c r="E54" s="6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68"/>
      <c r="Q54" s="56"/>
      <c r="R54" s="56"/>
      <c r="S54" s="56"/>
      <c r="T54" s="56"/>
      <c r="U54" s="68"/>
      <c r="V54" s="70"/>
      <c r="W54" s="56"/>
      <c r="X54" s="68"/>
      <c r="Y54" s="70"/>
      <c r="Z54" s="56"/>
      <c r="AA54" s="56"/>
      <c r="AB54" s="68"/>
      <c r="AC54" s="56"/>
      <c r="AD54" s="56"/>
      <c r="AE54" s="68"/>
      <c r="AF54" s="71"/>
      <c r="AG54" s="56"/>
      <c r="AH54" s="68"/>
      <c r="AI54" s="56"/>
      <c r="AJ54" s="56"/>
      <c r="AK54" s="68"/>
      <c r="AL54" s="71"/>
      <c r="AM54" s="56"/>
      <c r="AN54" s="68"/>
      <c r="AO54" s="56"/>
      <c r="AP54" s="56"/>
      <c r="AQ54" s="68"/>
      <c r="AR54" s="56"/>
      <c r="AS54" s="56"/>
    </row>
    <row r="55" spans="3:45" x14ac:dyDescent="0.2">
      <c r="C55" s="67"/>
      <c r="D55" s="67"/>
      <c r="E55" s="6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68"/>
      <c r="Q55" s="56"/>
      <c r="R55" s="56"/>
      <c r="S55" s="56"/>
      <c r="T55" s="56"/>
      <c r="U55" s="68"/>
      <c r="V55" s="70"/>
      <c r="W55" s="56"/>
      <c r="X55" s="68"/>
      <c r="Y55" s="70"/>
      <c r="Z55" s="56"/>
      <c r="AA55" s="56"/>
      <c r="AB55" s="68"/>
      <c r="AC55" s="56"/>
      <c r="AD55" s="56"/>
      <c r="AE55" s="68"/>
      <c r="AF55" s="71"/>
      <c r="AG55" s="56"/>
      <c r="AH55" s="68"/>
      <c r="AI55" s="56"/>
      <c r="AJ55" s="56"/>
      <c r="AK55" s="68"/>
      <c r="AL55" s="71"/>
      <c r="AM55" s="56"/>
      <c r="AN55" s="68"/>
      <c r="AO55" s="56"/>
      <c r="AP55" s="56"/>
      <c r="AQ55" s="68"/>
      <c r="AR55" s="56"/>
      <c r="AS55" s="56"/>
    </row>
    <row r="56" spans="3:45" x14ac:dyDescent="0.2">
      <c r="C56" s="57"/>
      <c r="D56" s="72"/>
      <c r="E56" s="72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68"/>
      <c r="Q56" s="56"/>
      <c r="R56" s="56"/>
      <c r="S56" s="56"/>
      <c r="T56" s="56"/>
      <c r="U56" s="68"/>
      <c r="V56" s="70"/>
      <c r="W56" s="56"/>
      <c r="X56" s="68"/>
      <c r="Y56" s="70"/>
      <c r="Z56" s="56"/>
      <c r="AA56" s="56"/>
      <c r="AB56" s="68"/>
      <c r="AC56" s="56"/>
      <c r="AD56" s="56"/>
      <c r="AE56" s="68"/>
      <c r="AF56" s="71"/>
      <c r="AG56" s="56"/>
      <c r="AH56" s="68"/>
      <c r="AI56" s="56"/>
      <c r="AJ56" s="56"/>
      <c r="AK56" s="68"/>
      <c r="AL56" s="71"/>
      <c r="AM56" s="56"/>
      <c r="AN56" s="68"/>
      <c r="AO56" s="56"/>
      <c r="AP56" s="56"/>
      <c r="AQ56" s="68"/>
      <c r="AR56" s="56"/>
      <c r="AS56" s="56"/>
    </row>
    <row r="57" spans="3:45" x14ac:dyDescent="0.2">
      <c r="C57" s="57"/>
      <c r="D57" s="72"/>
      <c r="E57" s="72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68"/>
      <c r="Q57" s="56"/>
      <c r="R57" s="56"/>
      <c r="S57" s="56"/>
      <c r="T57" s="56"/>
      <c r="U57" s="68"/>
      <c r="V57" s="70"/>
      <c r="W57" s="56"/>
      <c r="X57" s="68"/>
      <c r="Y57" s="70"/>
      <c r="Z57" s="56"/>
      <c r="AA57" s="56"/>
      <c r="AB57" s="68"/>
      <c r="AC57" s="56"/>
      <c r="AD57" s="56"/>
      <c r="AE57" s="68"/>
      <c r="AF57" s="71"/>
      <c r="AG57" s="56"/>
      <c r="AH57" s="68"/>
      <c r="AI57" s="56"/>
      <c r="AJ57" s="56"/>
      <c r="AK57" s="68"/>
      <c r="AL57" s="71"/>
      <c r="AM57" s="56"/>
      <c r="AN57" s="68"/>
      <c r="AO57" s="56"/>
      <c r="AP57" s="56"/>
      <c r="AQ57" s="68"/>
      <c r="AR57" s="56"/>
      <c r="AS57" s="56"/>
    </row>
    <row r="58" spans="3:45" x14ac:dyDescent="0.2">
      <c r="C58" s="57"/>
      <c r="D58" s="72"/>
      <c r="E58" s="72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68"/>
      <c r="Q58" s="56"/>
      <c r="R58" s="56"/>
      <c r="S58" s="56"/>
      <c r="T58" s="56"/>
      <c r="U58" s="68"/>
      <c r="V58" s="70"/>
      <c r="W58" s="56"/>
      <c r="X58" s="68"/>
      <c r="Y58" s="70"/>
      <c r="Z58" s="56"/>
      <c r="AA58" s="56"/>
      <c r="AB58" s="68"/>
      <c r="AC58" s="56"/>
      <c r="AD58" s="56"/>
      <c r="AE58" s="68"/>
      <c r="AF58" s="71"/>
      <c r="AG58" s="56"/>
      <c r="AH58" s="68"/>
      <c r="AI58" s="56"/>
      <c r="AJ58" s="56"/>
      <c r="AK58" s="68"/>
      <c r="AL58" s="71"/>
      <c r="AM58" s="56"/>
      <c r="AN58" s="68"/>
      <c r="AO58" s="56"/>
      <c r="AP58" s="56"/>
      <c r="AQ58" s="68"/>
      <c r="AR58" s="56"/>
      <c r="AS58" s="56"/>
    </row>
    <row r="59" spans="3:45" x14ac:dyDescent="0.2">
      <c r="C59" s="57"/>
      <c r="D59" s="72"/>
      <c r="E59" s="72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68"/>
      <c r="Q59" s="56"/>
      <c r="R59" s="56"/>
      <c r="S59" s="56"/>
      <c r="T59" s="56"/>
      <c r="U59" s="68"/>
      <c r="V59" s="70"/>
      <c r="W59" s="56"/>
      <c r="X59" s="68"/>
      <c r="Y59" s="70"/>
      <c r="Z59" s="56"/>
      <c r="AA59" s="56"/>
      <c r="AB59" s="68"/>
      <c r="AC59" s="56"/>
      <c r="AD59" s="56"/>
      <c r="AE59" s="68"/>
      <c r="AF59" s="71"/>
      <c r="AG59" s="56"/>
      <c r="AH59" s="68"/>
      <c r="AI59" s="56"/>
      <c r="AJ59" s="56"/>
      <c r="AK59" s="68"/>
      <c r="AL59" s="71"/>
      <c r="AM59" s="56"/>
      <c r="AN59" s="68"/>
      <c r="AO59" s="56"/>
      <c r="AP59" s="56"/>
      <c r="AQ59" s="68"/>
      <c r="AR59" s="56"/>
      <c r="AS59" s="56"/>
    </row>
    <row r="60" spans="3:45" x14ac:dyDescent="0.2">
      <c r="C60" s="67"/>
      <c r="D60" s="67"/>
      <c r="E60" s="67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68"/>
      <c r="Q60" s="56"/>
      <c r="R60" s="56"/>
      <c r="S60" s="56"/>
      <c r="T60" s="56"/>
      <c r="U60" s="68"/>
      <c r="V60" s="70"/>
      <c r="W60" s="56"/>
      <c r="X60" s="68"/>
      <c r="Y60" s="70"/>
      <c r="Z60" s="56"/>
      <c r="AA60" s="56"/>
      <c r="AB60" s="68"/>
      <c r="AD60" s="56"/>
      <c r="AE60" s="68"/>
      <c r="AG60" s="56"/>
      <c r="AH60" s="68"/>
      <c r="AJ60" s="56"/>
      <c r="AK60" s="68"/>
      <c r="AM60" s="56"/>
      <c r="AN60" s="68"/>
      <c r="AP60" s="56"/>
      <c r="AQ60" s="68"/>
    </row>
    <row r="61" spans="3:45" x14ac:dyDescent="0.2">
      <c r="C61" s="67"/>
      <c r="D61" s="67"/>
      <c r="E61" s="67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68"/>
      <c r="Q61" s="56"/>
      <c r="R61" s="56"/>
      <c r="S61" s="56"/>
      <c r="T61" s="56"/>
      <c r="U61" s="68"/>
      <c r="V61" s="70"/>
      <c r="W61" s="56"/>
      <c r="X61" s="68"/>
      <c r="Y61" s="70"/>
      <c r="Z61" s="56"/>
      <c r="AA61" s="56"/>
      <c r="AB61" s="68"/>
      <c r="AD61" s="56"/>
      <c r="AE61" s="68"/>
      <c r="AG61" s="56"/>
      <c r="AH61" s="68"/>
      <c r="AJ61" s="56"/>
      <c r="AK61" s="68"/>
      <c r="AM61" s="56"/>
      <c r="AN61" s="68"/>
      <c r="AP61" s="56"/>
      <c r="AQ61" s="68"/>
    </row>
    <row r="62" spans="3:45" x14ac:dyDescent="0.2">
      <c r="C62" s="67"/>
      <c r="D62" s="67"/>
      <c r="E62" s="6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68"/>
      <c r="Q62" s="56"/>
      <c r="R62" s="56"/>
      <c r="S62" s="56"/>
      <c r="T62" s="56"/>
      <c r="U62" s="68"/>
      <c r="V62" s="70"/>
      <c r="W62" s="56"/>
      <c r="X62" s="68"/>
      <c r="Y62" s="70"/>
      <c r="Z62" s="56"/>
      <c r="AA62" s="56"/>
      <c r="AB62" s="68"/>
      <c r="AD62" s="56"/>
      <c r="AE62" s="68"/>
      <c r="AG62" s="56"/>
      <c r="AH62" s="68"/>
      <c r="AJ62" s="56"/>
      <c r="AK62" s="68"/>
      <c r="AM62" s="56"/>
      <c r="AN62" s="68"/>
      <c r="AP62" s="56"/>
      <c r="AQ62" s="68"/>
    </row>
    <row r="63" spans="3:45" x14ac:dyDescent="0.2">
      <c r="C63" s="67"/>
      <c r="D63" s="67"/>
      <c r="E63" s="67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8"/>
      <c r="Q63" s="56"/>
      <c r="R63" s="56"/>
      <c r="S63" s="56"/>
      <c r="T63" s="56"/>
      <c r="U63" s="68"/>
      <c r="V63" s="70"/>
      <c r="W63" s="56"/>
      <c r="X63" s="68"/>
      <c r="Y63" s="70"/>
      <c r="Z63" s="56"/>
      <c r="AA63" s="56"/>
      <c r="AB63" s="68"/>
      <c r="AD63" s="56"/>
      <c r="AE63" s="68"/>
      <c r="AG63" s="56"/>
      <c r="AH63" s="68"/>
      <c r="AJ63" s="56"/>
      <c r="AK63" s="68"/>
      <c r="AM63" s="56"/>
      <c r="AN63" s="68"/>
      <c r="AP63" s="56"/>
      <c r="AQ63" s="68"/>
    </row>
    <row r="64" spans="3:45" x14ac:dyDescent="0.2">
      <c r="C64" s="67"/>
      <c r="D64" s="67"/>
      <c r="E64" s="67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68"/>
      <c r="Q64" s="56"/>
      <c r="R64" s="56"/>
      <c r="S64" s="56"/>
      <c r="T64" s="56"/>
      <c r="U64" s="68"/>
      <c r="V64" s="70"/>
      <c r="W64" s="56"/>
      <c r="X64" s="68"/>
      <c r="Y64" s="70"/>
      <c r="Z64" s="56"/>
      <c r="AA64" s="56"/>
      <c r="AB64" s="68"/>
      <c r="AD64" s="56"/>
      <c r="AE64" s="68"/>
      <c r="AG64" s="56"/>
      <c r="AH64" s="68"/>
      <c r="AJ64" s="56"/>
      <c r="AK64" s="68"/>
      <c r="AM64" s="56"/>
      <c r="AN64" s="68"/>
      <c r="AP64" s="56"/>
      <c r="AQ64" s="68"/>
    </row>
    <row r="65" spans="3:46" x14ac:dyDescent="0.2">
      <c r="C65" s="67"/>
      <c r="D65" s="67"/>
      <c r="E65" s="67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68"/>
      <c r="Q65" s="56"/>
      <c r="R65" s="56"/>
      <c r="S65" s="56"/>
      <c r="T65" s="56"/>
      <c r="U65" s="68"/>
      <c r="V65" s="70"/>
      <c r="W65" s="56"/>
      <c r="X65" s="68"/>
      <c r="Y65" s="70"/>
      <c r="Z65" s="56"/>
      <c r="AA65" s="56"/>
      <c r="AB65" s="68"/>
      <c r="AD65" s="56"/>
      <c r="AE65" s="68"/>
      <c r="AG65" s="56"/>
      <c r="AH65" s="68"/>
      <c r="AJ65" s="56"/>
      <c r="AK65" s="68"/>
      <c r="AM65" s="56"/>
      <c r="AN65" s="68"/>
      <c r="AP65" s="56"/>
      <c r="AQ65" s="68"/>
    </row>
    <row r="66" spans="3:46" ht="13.5" x14ac:dyDescent="0.2">
      <c r="C66" s="63"/>
      <c r="D66" s="63"/>
      <c r="E66" s="63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68"/>
      <c r="Q66" s="70"/>
      <c r="R66" s="56"/>
      <c r="S66" s="70"/>
      <c r="T66" s="56"/>
      <c r="U66" s="68"/>
      <c r="V66" s="70"/>
      <c r="W66" s="56"/>
      <c r="X66" s="68"/>
      <c r="Y66" s="70"/>
      <c r="Z66" s="56"/>
      <c r="AA66" s="56"/>
      <c r="AB66" s="68"/>
      <c r="AC66" s="56"/>
      <c r="AD66" s="56"/>
      <c r="AE66" s="68"/>
      <c r="AF66" s="71"/>
      <c r="AG66" s="56"/>
      <c r="AH66" s="68"/>
      <c r="AI66" s="56"/>
      <c r="AJ66" s="56"/>
      <c r="AK66" s="68"/>
      <c r="AL66" s="71"/>
      <c r="AM66" s="56"/>
      <c r="AN66" s="68"/>
      <c r="AO66" s="56"/>
      <c r="AP66" s="56"/>
      <c r="AQ66" s="68"/>
      <c r="AR66" s="56"/>
      <c r="AS66" s="56"/>
    </row>
    <row r="67" spans="3:46" x14ac:dyDescent="0.2">
      <c r="C67" s="67"/>
      <c r="D67" s="67"/>
      <c r="E67" s="6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68"/>
      <c r="Q67" s="56"/>
      <c r="R67" s="56"/>
      <c r="S67" s="56"/>
      <c r="T67" s="56"/>
      <c r="U67" s="68"/>
      <c r="V67" s="56"/>
      <c r="W67" s="56"/>
      <c r="X67" s="68"/>
      <c r="Y67" s="56"/>
      <c r="Z67" s="56"/>
      <c r="AA67" s="56"/>
      <c r="AB67" s="68"/>
      <c r="AC67" s="56"/>
      <c r="AD67" s="56"/>
      <c r="AE67" s="68"/>
      <c r="AF67" s="71"/>
      <c r="AG67" s="56"/>
      <c r="AH67" s="68"/>
      <c r="AI67" s="56"/>
      <c r="AJ67" s="56"/>
      <c r="AK67" s="68"/>
      <c r="AL67" s="71"/>
      <c r="AM67" s="56"/>
      <c r="AN67" s="68"/>
      <c r="AO67" s="56"/>
      <c r="AP67" s="56"/>
      <c r="AQ67" s="68"/>
      <c r="AR67" s="56"/>
      <c r="AS67" s="56"/>
    </row>
    <row r="68" spans="3:46" x14ac:dyDescent="0.2">
      <c r="C68" s="57"/>
      <c r="D68" s="67"/>
      <c r="E68" s="67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8"/>
      <c r="Q68" s="56"/>
      <c r="R68" s="56"/>
      <c r="S68" s="56"/>
      <c r="T68" s="56"/>
      <c r="U68" s="68"/>
      <c r="V68" s="56"/>
      <c r="W68" s="56"/>
      <c r="X68" s="68"/>
      <c r="Y68" s="56"/>
      <c r="Z68" s="56"/>
      <c r="AA68" s="56"/>
      <c r="AB68" s="68"/>
      <c r="AC68" s="56"/>
      <c r="AD68" s="56"/>
      <c r="AE68" s="68"/>
      <c r="AF68" s="71"/>
      <c r="AG68" s="56"/>
      <c r="AH68" s="68"/>
      <c r="AI68" s="56"/>
      <c r="AJ68" s="56"/>
      <c r="AK68" s="68"/>
      <c r="AL68" s="71"/>
      <c r="AM68" s="56"/>
      <c r="AN68" s="68"/>
      <c r="AO68" s="56"/>
      <c r="AP68" s="56"/>
      <c r="AQ68" s="68"/>
      <c r="AR68" s="56"/>
      <c r="AS68" s="56"/>
    </row>
    <row r="69" spans="3:46" x14ac:dyDescent="0.2">
      <c r="C69" s="67"/>
      <c r="D69" s="67"/>
      <c r="E69" s="6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68"/>
      <c r="Q69" s="56"/>
      <c r="R69" s="56"/>
      <c r="S69" s="56"/>
      <c r="T69" s="56"/>
      <c r="U69" s="68"/>
      <c r="V69" s="56"/>
      <c r="W69" s="56"/>
      <c r="X69" s="68"/>
      <c r="Y69" s="56"/>
      <c r="Z69" s="56"/>
      <c r="AA69" s="56"/>
      <c r="AB69" s="68"/>
      <c r="AC69" s="56"/>
      <c r="AD69" s="56"/>
      <c r="AE69" s="68"/>
      <c r="AF69" s="71"/>
      <c r="AG69" s="56"/>
      <c r="AH69" s="68"/>
      <c r="AI69" s="56"/>
      <c r="AJ69" s="56"/>
      <c r="AK69" s="68"/>
      <c r="AL69" s="71"/>
      <c r="AM69" s="56"/>
      <c r="AN69" s="68"/>
      <c r="AO69" s="56"/>
      <c r="AP69" s="56"/>
      <c r="AQ69" s="68"/>
      <c r="AR69" s="56"/>
      <c r="AS69" s="56"/>
    </row>
    <row r="70" spans="3:46" x14ac:dyDescent="0.2">
      <c r="C70" s="67"/>
      <c r="D70" s="67"/>
      <c r="E70" s="67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68"/>
      <c r="Q70" s="56"/>
      <c r="R70" s="56"/>
      <c r="S70" s="56"/>
      <c r="T70" s="56"/>
      <c r="U70" s="68"/>
      <c r="V70" s="56"/>
      <c r="W70" s="56"/>
      <c r="X70" s="68"/>
      <c r="Y70" s="56"/>
      <c r="Z70" s="56"/>
      <c r="AA70" s="56"/>
      <c r="AB70" s="68"/>
      <c r="AC70" s="56"/>
      <c r="AD70" s="56"/>
      <c r="AE70" s="68"/>
      <c r="AF70" s="71"/>
      <c r="AG70" s="56"/>
      <c r="AH70" s="68"/>
      <c r="AI70" s="56"/>
      <c r="AJ70" s="56"/>
      <c r="AK70" s="68"/>
      <c r="AL70" s="71"/>
      <c r="AM70" s="56"/>
      <c r="AN70" s="68"/>
      <c r="AO70" s="56"/>
      <c r="AP70" s="56"/>
      <c r="AQ70" s="68"/>
      <c r="AR70" s="56"/>
      <c r="AS70" s="56"/>
    </row>
    <row r="71" spans="3:46" x14ac:dyDescent="0.2">
      <c r="C71" s="67"/>
      <c r="D71" s="67"/>
      <c r="E71" s="6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68"/>
      <c r="Q71" s="56"/>
      <c r="R71" s="56"/>
      <c r="S71" s="56"/>
      <c r="T71" s="56"/>
      <c r="U71" s="68"/>
      <c r="V71" s="56"/>
      <c r="W71" s="56"/>
      <c r="X71" s="68"/>
      <c r="Y71" s="56"/>
      <c r="Z71" s="56"/>
      <c r="AA71" s="56"/>
      <c r="AB71" s="68"/>
      <c r="AC71" s="56"/>
      <c r="AD71" s="56"/>
      <c r="AE71" s="68"/>
      <c r="AF71" s="71"/>
      <c r="AG71" s="56"/>
      <c r="AH71" s="68"/>
      <c r="AI71" s="56"/>
      <c r="AJ71" s="56"/>
      <c r="AK71" s="68"/>
      <c r="AL71" s="71"/>
      <c r="AM71" s="56"/>
      <c r="AN71" s="68"/>
      <c r="AO71" s="56"/>
      <c r="AP71" s="56"/>
      <c r="AQ71" s="68"/>
      <c r="AR71" s="56"/>
      <c r="AS71" s="56"/>
    </row>
    <row r="72" spans="3:46" x14ac:dyDescent="0.2">
      <c r="C72" s="67"/>
      <c r="D72" s="67"/>
      <c r="E72" s="67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68"/>
      <c r="Q72" s="56"/>
      <c r="R72" s="73"/>
      <c r="S72" s="56"/>
      <c r="T72" s="56"/>
      <c r="U72" s="68"/>
      <c r="V72" s="56"/>
      <c r="W72" s="56"/>
      <c r="X72" s="68"/>
      <c r="Y72" s="56"/>
      <c r="Z72" s="56"/>
      <c r="AA72" s="56"/>
      <c r="AB72" s="68"/>
      <c r="AC72" s="56"/>
      <c r="AD72" s="56"/>
      <c r="AE72" s="68"/>
      <c r="AF72" s="71"/>
      <c r="AG72" s="56"/>
      <c r="AH72" s="68"/>
      <c r="AI72" s="56"/>
      <c r="AJ72" s="56"/>
      <c r="AK72" s="68"/>
      <c r="AL72" s="71"/>
      <c r="AM72" s="56"/>
      <c r="AN72" s="68"/>
      <c r="AO72" s="56"/>
      <c r="AP72" s="56"/>
      <c r="AQ72" s="68"/>
      <c r="AR72" s="56"/>
      <c r="AS72" s="56"/>
    </row>
    <row r="73" spans="3:46" x14ac:dyDescent="0.2">
      <c r="C73" s="67"/>
      <c r="D73" s="67"/>
      <c r="E73" s="67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68"/>
      <c r="Q73" s="56"/>
      <c r="R73" s="73"/>
      <c r="S73" s="56"/>
      <c r="T73" s="56"/>
      <c r="U73" s="68"/>
      <c r="V73" s="56"/>
      <c r="W73" s="56"/>
      <c r="X73" s="68"/>
      <c r="Y73" s="56"/>
      <c r="Z73" s="56"/>
      <c r="AA73" s="56"/>
      <c r="AB73" s="68"/>
      <c r="AC73" s="56"/>
      <c r="AD73" s="56"/>
      <c r="AE73" s="68"/>
      <c r="AF73" s="71"/>
      <c r="AG73" s="56"/>
      <c r="AH73" s="68"/>
      <c r="AI73" s="56"/>
      <c r="AJ73" s="56"/>
      <c r="AK73" s="68"/>
      <c r="AL73" s="71"/>
      <c r="AM73" s="56"/>
      <c r="AN73" s="68"/>
      <c r="AO73" s="56"/>
      <c r="AP73" s="56"/>
      <c r="AQ73" s="68"/>
      <c r="AR73" s="56"/>
      <c r="AS73" s="56"/>
    </row>
    <row r="74" spans="3:46" x14ac:dyDescent="0.2">
      <c r="C74" s="67"/>
      <c r="D74" s="67"/>
      <c r="E74" s="67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68"/>
      <c r="Q74" s="56"/>
      <c r="R74" s="73"/>
      <c r="S74" s="56"/>
      <c r="T74" s="56"/>
      <c r="U74" s="68"/>
      <c r="V74" s="56"/>
      <c r="W74" s="56"/>
      <c r="X74" s="68"/>
      <c r="Y74" s="56"/>
      <c r="Z74" s="56"/>
      <c r="AA74" s="56"/>
      <c r="AB74" s="68"/>
      <c r="AC74" s="56"/>
      <c r="AD74" s="56"/>
      <c r="AE74" s="68"/>
      <c r="AF74" s="71"/>
      <c r="AG74" s="56"/>
      <c r="AH74" s="68"/>
      <c r="AI74" s="56"/>
      <c r="AJ74" s="56"/>
      <c r="AK74" s="68"/>
      <c r="AL74" s="71"/>
      <c r="AM74" s="56"/>
      <c r="AN74" s="68"/>
      <c r="AO74" s="56"/>
      <c r="AP74" s="56"/>
      <c r="AQ74" s="68"/>
      <c r="AR74" s="56"/>
      <c r="AS74" s="56"/>
    </row>
    <row r="75" spans="3:46" x14ac:dyDescent="0.2">
      <c r="C75" s="67"/>
      <c r="D75" s="67"/>
      <c r="E75" s="67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68"/>
      <c r="Q75" s="56"/>
      <c r="R75" s="73"/>
      <c r="S75" s="56"/>
      <c r="T75" s="56"/>
      <c r="U75" s="68"/>
      <c r="V75" s="56"/>
      <c r="W75" s="56"/>
      <c r="X75" s="68"/>
      <c r="Y75" s="56"/>
      <c r="Z75" s="56"/>
      <c r="AA75" s="56"/>
      <c r="AB75" s="68"/>
      <c r="AC75" s="56"/>
      <c r="AD75" s="56"/>
      <c r="AE75" s="68"/>
      <c r="AF75" s="71"/>
      <c r="AG75" s="56"/>
      <c r="AH75" s="68"/>
      <c r="AI75" s="56"/>
      <c r="AJ75" s="56"/>
      <c r="AK75" s="68"/>
      <c r="AL75" s="71"/>
      <c r="AM75" s="56"/>
      <c r="AN75" s="68"/>
      <c r="AO75" s="56"/>
      <c r="AP75" s="56"/>
      <c r="AQ75" s="68"/>
      <c r="AR75" s="56"/>
      <c r="AS75" s="56"/>
      <c r="AT75" s="56"/>
    </row>
    <row r="76" spans="3:46" x14ac:dyDescent="0.2">
      <c r="C76" s="67"/>
      <c r="D76" s="67"/>
      <c r="E76" s="67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68"/>
      <c r="Q76" s="56"/>
      <c r="R76" s="73"/>
      <c r="S76" s="56"/>
      <c r="T76" s="56"/>
      <c r="U76" s="68"/>
      <c r="V76" s="56"/>
      <c r="W76" s="56"/>
      <c r="X76" s="68"/>
      <c r="Y76" s="56"/>
      <c r="Z76" s="56"/>
      <c r="AA76" s="56"/>
      <c r="AB76" s="68"/>
      <c r="AC76" s="56"/>
      <c r="AD76" s="56"/>
      <c r="AE76" s="68"/>
      <c r="AF76" s="71"/>
      <c r="AG76" s="56"/>
      <c r="AH76" s="68"/>
      <c r="AI76" s="56"/>
      <c r="AJ76" s="56"/>
      <c r="AK76" s="68"/>
      <c r="AL76" s="71"/>
      <c r="AM76" s="56"/>
      <c r="AN76" s="68"/>
      <c r="AO76" s="56"/>
      <c r="AP76" s="56"/>
      <c r="AQ76" s="68"/>
      <c r="AR76" s="56"/>
      <c r="AS76" s="56"/>
      <c r="AT76" s="56"/>
    </row>
    <row r="77" spans="3:46" x14ac:dyDescent="0.2">
      <c r="C77" s="67"/>
      <c r="D77" s="67"/>
      <c r="E77" s="67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68"/>
      <c r="Q77" s="56"/>
      <c r="R77" s="73"/>
      <c r="S77" s="56"/>
      <c r="T77" s="56"/>
      <c r="U77" s="68"/>
      <c r="V77" s="56"/>
      <c r="W77" s="56"/>
      <c r="X77" s="68"/>
      <c r="Y77" s="56"/>
      <c r="Z77" s="56"/>
      <c r="AA77" s="56"/>
      <c r="AB77" s="68"/>
      <c r="AD77" s="56"/>
      <c r="AE77" s="68"/>
      <c r="AG77" s="56"/>
      <c r="AH77" s="68"/>
      <c r="AJ77" s="56"/>
      <c r="AK77" s="68"/>
      <c r="AM77" s="56"/>
      <c r="AN77" s="68"/>
      <c r="AP77" s="56"/>
      <c r="AQ77" s="68"/>
      <c r="AT77" s="56"/>
    </row>
    <row r="78" spans="3:46" x14ac:dyDescent="0.2">
      <c r="C78" s="67"/>
      <c r="D78" s="67"/>
      <c r="E78" s="67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68"/>
      <c r="Q78" s="56"/>
      <c r="R78" s="73"/>
      <c r="S78" s="56"/>
      <c r="T78" s="56"/>
      <c r="U78" s="68"/>
      <c r="V78" s="56"/>
      <c r="W78" s="56"/>
      <c r="X78" s="68"/>
      <c r="Y78" s="56"/>
      <c r="Z78" s="56"/>
      <c r="AA78" s="56"/>
      <c r="AB78" s="68"/>
      <c r="AD78" s="56"/>
      <c r="AE78" s="68"/>
      <c r="AG78" s="56"/>
      <c r="AH78" s="68"/>
      <c r="AJ78" s="56"/>
      <c r="AK78" s="68"/>
      <c r="AM78" s="56"/>
      <c r="AN78" s="68"/>
      <c r="AP78" s="56"/>
      <c r="AQ78" s="68"/>
      <c r="AT78" s="56"/>
    </row>
    <row r="79" spans="3:46" x14ac:dyDescent="0.2">
      <c r="C79" s="67"/>
      <c r="D79" s="67"/>
      <c r="E79" s="67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68"/>
      <c r="Q79" s="56"/>
      <c r="R79" s="73"/>
      <c r="S79" s="56"/>
      <c r="T79" s="56"/>
      <c r="U79" s="68"/>
      <c r="V79" s="56"/>
      <c r="W79" s="56"/>
      <c r="X79" s="68"/>
      <c r="Y79" s="56"/>
      <c r="Z79" s="56"/>
      <c r="AA79" s="56"/>
      <c r="AB79" s="68"/>
      <c r="AD79" s="56"/>
      <c r="AE79" s="68"/>
      <c r="AG79" s="56"/>
      <c r="AH79" s="68"/>
      <c r="AJ79" s="56"/>
      <c r="AK79" s="68"/>
      <c r="AM79" s="56"/>
      <c r="AN79" s="68"/>
      <c r="AP79" s="56"/>
      <c r="AQ79" s="68"/>
    </row>
    <row r="80" spans="3:46" x14ac:dyDescent="0.2">
      <c r="C80" s="67"/>
      <c r="D80" s="67"/>
      <c r="E80" s="67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68"/>
      <c r="Q80" s="56"/>
      <c r="R80" s="73"/>
      <c r="S80" s="56"/>
      <c r="T80" s="56"/>
      <c r="U80" s="68"/>
      <c r="V80" s="56"/>
      <c r="W80" s="56"/>
      <c r="X80" s="68"/>
      <c r="Y80" s="56"/>
      <c r="Z80" s="74"/>
      <c r="AA80" s="56"/>
      <c r="AB80" s="68"/>
      <c r="AC80" s="74"/>
      <c r="AD80" s="56"/>
      <c r="AE80" s="68"/>
      <c r="AF80" s="75"/>
      <c r="AG80" s="56"/>
      <c r="AH80" s="68"/>
      <c r="AI80" s="74"/>
      <c r="AJ80" s="56"/>
      <c r="AK80" s="68"/>
      <c r="AL80" s="75"/>
      <c r="AM80" s="56"/>
      <c r="AN80" s="68"/>
      <c r="AO80" s="74"/>
      <c r="AP80" s="56"/>
      <c r="AQ80" s="68"/>
      <c r="AR80" s="74"/>
      <c r="AS80" s="74"/>
      <c r="AT80" s="74"/>
    </row>
    <row r="81" spans="3:46" x14ac:dyDescent="0.2">
      <c r="C81" s="67"/>
      <c r="D81" s="67"/>
      <c r="E81" s="67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68"/>
      <c r="Q81" s="56"/>
      <c r="R81" s="73"/>
      <c r="S81" s="56"/>
      <c r="T81" s="56"/>
      <c r="U81" s="68"/>
      <c r="V81" s="56"/>
      <c r="W81" s="56"/>
      <c r="X81" s="68"/>
      <c r="Y81" s="56"/>
      <c r="Z81" s="56"/>
      <c r="AA81" s="56"/>
      <c r="AB81" s="68"/>
      <c r="AC81" s="56"/>
      <c r="AD81" s="56"/>
      <c r="AE81" s="68"/>
      <c r="AF81" s="71"/>
      <c r="AG81" s="56"/>
      <c r="AH81" s="68"/>
      <c r="AI81" s="56"/>
      <c r="AJ81" s="56"/>
      <c r="AK81" s="68"/>
      <c r="AL81" s="71"/>
      <c r="AM81" s="56"/>
      <c r="AN81" s="68"/>
      <c r="AO81" s="56"/>
      <c r="AP81" s="56"/>
      <c r="AQ81" s="68"/>
      <c r="AR81" s="56"/>
      <c r="AS81" s="56"/>
      <c r="AT81" s="56"/>
    </row>
    <row r="82" spans="3:46" ht="13.5" x14ac:dyDescent="0.2">
      <c r="C82" s="63"/>
      <c r="D82" s="63"/>
      <c r="E82" s="63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68"/>
      <c r="Q82" s="56"/>
      <c r="R82" s="73"/>
      <c r="S82" s="56"/>
      <c r="T82" s="56"/>
      <c r="U82" s="68"/>
      <c r="V82" s="56"/>
      <c r="W82" s="56"/>
      <c r="X82" s="68"/>
      <c r="Y82" s="56"/>
      <c r="Z82" s="56"/>
      <c r="AA82" s="56"/>
      <c r="AB82" s="68"/>
      <c r="AC82" s="56"/>
      <c r="AD82" s="56"/>
      <c r="AE82" s="68"/>
      <c r="AF82" s="71"/>
      <c r="AG82" s="56"/>
      <c r="AH82" s="68"/>
      <c r="AI82" s="56"/>
      <c r="AJ82" s="56"/>
      <c r="AK82" s="68"/>
      <c r="AL82" s="71"/>
      <c r="AM82" s="56"/>
      <c r="AN82" s="68"/>
      <c r="AO82" s="56"/>
      <c r="AP82" s="56"/>
      <c r="AQ82" s="68"/>
      <c r="AR82" s="56"/>
      <c r="AS82" s="56"/>
      <c r="AT82" s="56"/>
    </row>
    <row r="83" spans="3:46" x14ac:dyDescent="0.2">
      <c r="C83" s="67"/>
      <c r="D83" s="67"/>
      <c r="E83" s="67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68"/>
      <c r="Q83" s="56"/>
      <c r="R83" s="73"/>
      <c r="S83" s="56"/>
      <c r="T83" s="56"/>
      <c r="U83" s="68"/>
      <c r="V83" s="56"/>
      <c r="W83" s="56"/>
      <c r="X83" s="68"/>
      <c r="Y83" s="56"/>
      <c r="Z83" s="56"/>
      <c r="AA83" s="56"/>
      <c r="AB83" s="68"/>
      <c r="AC83" s="56"/>
      <c r="AD83" s="56"/>
      <c r="AE83" s="68"/>
      <c r="AF83" s="71"/>
      <c r="AG83" s="56"/>
      <c r="AH83" s="68"/>
      <c r="AI83" s="56"/>
      <c r="AJ83" s="56"/>
      <c r="AK83" s="68"/>
      <c r="AL83" s="71"/>
      <c r="AM83" s="56"/>
      <c r="AN83" s="68"/>
      <c r="AO83" s="56"/>
      <c r="AP83" s="56"/>
      <c r="AQ83" s="68"/>
      <c r="AR83" s="56"/>
      <c r="AS83" s="56"/>
      <c r="AT83" s="56"/>
    </row>
    <row r="84" spans="3:46" x14ac:dyDescent="0.2">
      <c r="C84" s="67"/>
      <c r="D84" s="67"/>
      <c r="E84" s="67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68"/>
      <c r="Q84" s="56"/>
      <c r="R84" s="73"/>
      <c r="S84" s="56"/>
      <c r="T84" s="56"/>
      <c r="U84" s="68"/>
      <c r="V84" s="56"/>
      <c r="W84" s="56"/>
      <c r="X84" s="68"/>
      <c r="Y84" s="56"/>
      <c r="Z84" s="56"/>
      <c r="AA84" s="56"/>
      <c r="AB84" s="68"/>
      <c r="AC84" s="56"/>
      <c r="AD84" s="56"/>
      <c r="AE84" s="68"/>
      <c r="AF84" s="71"/>
      <c r="AG84" s="56"/>
      <c r="AH84" s="68"/>
      <c r="AI84" s="56"/>
      <c r="AJ84" s="56"/>
      <c r="AK84" s="68"/>
      <c r="AL84" s="71"/>
      <c r="AM84" s="56"/>
      <c r="AN84" s="68"/>
      <c r="AO84" s="56"/>
      <c r="AP84" s="56"/>
      <c r="AQ84" s="68"/>
      <c r="AR84" s="56"/>
      <c r="AS84" s="56"/>
      <c r="AT84" s="56"/>
    </row>
    <row r="85" spans="3:46" x14ac:dyDescent="0.2">
      <c r="C85" s="67"/>
      <c r="D85" s="67"/>
      <c r="E85" s="67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68"/>
      <c r="Q85" s="56"/>
      <c r="R85" s="73"/>
      <c r="S85" s="56"/>
      <c r="T85" s="56"/>
      <c r="U85" s="68"/>
      <c r="V85" s="56"/>
      <c r="W85" s="56"/>
      <c r="X85" s="68"/>
      <c r="Y85" s="56"/>
      <c r="Z85" s="56"/>
      <c r="AA85" s="56"/>
      <c r="AB85" s="68"/>
      <c r="AC85" s="56"/>
      <c r="AD85" s="56"/>
      <c r="AE85" s="68"/>
      <c r="AF85" s="71"/>
      <c r="AG85" s="56"/>
      <c r="AH85" s="68"/>
      <c r="AI85" s="56"/>
      <c r="AJ85" s="56"/>
      <c r="AK85" s="68"/>
      <c r="AL85" s="71"/>
      <c r="AM85" s="56"/>
      <c r="AN85" s="68"/>
      <c r="AO85" s="56"/>
      <c r="AP85" s="56"/>
      <c r="AQ85" s="68"/>
      <c r="AR85" s="56"/>
      <c r="AS85" s="56"/>
      <c r="AT85" s="56"/>
    </row>
    <row r="86" spans="3:46" x14ac:dyDescent="0.2">
      <c r="C86" s="67"/>
      <c r="D86" s="67"/>
      <c r="E86" s="67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68"/>
      <c r="Q86" s="56"/>
      <c r="R86" s="73"/>
      <c r="S86" s="56"/>
      <c r="T86" s="56"/>
      <c r="U86" s="68"/>
      <c r="V86" s="56"/>
      <c r="W86" s="56"/>
      <c r="X86" s="68"/>
      <c r="Y86" s="56"/>
      <c r="Z86" s="56"/>
      <c r="AA86" s="56"/>
      <c r="AB86" s="68"/>
      <c r="AC86" s="56"/>
      <c r="AD86" s="56"/>
      <c r="AE86" s="68"/>
      <c r="AF86" s="71"/>
      <c r="AG86" s="56"/>
      <c r="AH86" s="68"/>
      <c r="AI86" s="56"/>
      <c r="AJ86" s="56"/>
      <c r="AK86" s="68"/>
      <c r="AL86" s="71"/>
      <c r="AM86" s="56"/>
      <c r="AN86" s="68"/>
      <c r="AO86" s="56"/>
      <c r="AP86" s="56"/>
      <c r="AQ86" s="68"/>
      <c r="AR86" s="56"/>
      <c r="AS86" s="56"/>
      <c r="AT86" s="56"/>
    </row>
    <row r="87" spans="3:46" x14ac:dyDescent="0.2">
      <c r="C87" s="67"/>
      <c r="D87" s="67"/>
      <c r="E87" s="67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68"/>
      <c r="Q87" s="56"/>
      <c r="R87" s="73"/>
      <c r="S87" s="56"/>
      <c r="T87" s="56"/>
      <c r="U87" s="68"/>
      <c r="V87" s="56"/>
      <c r="W87" s="56"/>
      <c r="X87" s="68"/>
      <c r="Y87" s="56"/>
      <c r="Z87" s="56"/>
      <c r="AA87" s="56"/>
      <c r="AB87" s="68"/>
      <c r="AC87" s="56"/>
      <c r="AD87" s="56"/>
      <c r="AE87" s="68"/>
      <c r="AF87" s="71"/>
      <c r="AG87" s="56"/>
      <c r="AH87" s="68"/>
      <c r="AI87" s="56"/>
      <c r="AJ87" s="56"/>
      <c r="AK87" s="68"/>
      <c r="AL87" s="71"/>
      <c r="AM87" s="56"/>
      <c r="AN87" s="68"/>
      <c r="AO87" s="56"/>
      <c r="AP87" s="56"/>
      <c r="AQ87" s="68"/>
      <c r="AR87" s="56"/>
      <c r="AS87" s="56"/>
      <c r="AT87" s="56"/>
    </row>
    <row r="88" spans="3:46" x14ac:dyDescent="0.2">
      <c r="C88" s="67"/>
      <c r="D88" s="67"/>
      <c r="E88" s="67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68"/>
      <c r="Q88" s="56"/>
      <c r="R88" s="73"/>
      <c r="S88" s="56"/>
      <c r="T88" s="56"/>
      <c r="U88" s="68"/>
      <c r="V88" s="56"/>
      <c r="W88" s="56"/>
      <c r="X88" s="68"/>
      <c r="Y88" s="56"/>
      <c r="Z88" s="56"/>
      <c r="AA88" s="56"/>
      <c r="AB88" s="68"/>
      <c r="AC88" s="56"/>
      <c r="AD88" s="56"/>
      <c r="AE88" s="68"/>
      <c r="AF88" s="71"/>
      <c r="AG88" s="56"/>
      <c r="AH88" s="68"/>
      <c r="AI88" s="56"/>
      <c r="AJ88" s="56"/>
      <c r="AK88" s="68"/>
      <c r="AL88" s="71"/>
      <c r="AM88" s="56"/>
      <c r="AN88" s="68"/>
      <c r="AO88" s="56"/>
      <c r="AP88" s="56"/>
      <c r="AQ88" s="68"/>
      <c r="AR88" s="56"/>
      <c r="AS88" s="56"/>
      <c r="AT88" s="56"/>
    </row>
    <row r="89" spans="3:46" x14ac:dyDescent="0.2">
      <c r="C89" s="67"/>
      <c r="D89" s="67"/>
      <c r="E89" s="67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68"/>
      <c r="Q89" s="56"/>
      <c r="R89" s="73"/>
      <c r="S89" s="56"/>
      <c r="T89" s="56"/>
      <c r="U89" s="68"/>
      <c r="V89" s="56"/>
      <c r="W89" s="56"/>
      <c r="X89" s="68"/>
      <c r="Y89" s="56"/>
      <c r="Z89" s="56"/>
      <c r="AA89" s="56"/>
      <c r="AB89" s="68"/>
      <c r="AC89" s="56"/>
      <c r="AD89" s="56"/>
      <c r="AE89" s="68"/>
      <c r="AF89" s="71"/>
      <c r="AG89" s="56"/>
      <c r="AH89" s="68"/>
      <c r="AI89" s="56"/>
      <c r="AJ89" s="56"/>
      <c r="AK89" s="68"/>
      <c r="AL89" s="71"/>
      <c r="AM89" s="56"/>
      <c r="AN89" s="68"/>
      <c r="AO89" s="56"/>
      <c r="AP89" s="56"/>
      <c r="AQ89" s="68"/>
      <c r="AR89" s="56"/>
      <c r="AS89" s="56"/>
      <c r="AT89" s="56"/>
    </row>
    <row r="90" spans="3:46" x14ac:dyDescent="0.2">
      <c r="C90" s="67"/>
      <c r="D90" s="67"/>
      <c r="E90" s="6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68"/>
      <c r="Q90" s="56"/>
      <c r="R90" s="73"/>
      <c r="S90" s="56"/>
      <c r="T90" s="56"/>
      <c r="U90" s="68"/>
      <c r="V90" s="56"/>
      <c r="W90" s="56"/>
      <c r="X90" s="68"/>
      <c r="Y90" s="56"/>
      <c r="Z90" s="56"/>
      <c r="AA90" s="56"/>
      <c r="AB90" s="68"/>
      <c r="AC90" s="56"/>
      <c r="AD90" s="56"/>
      <c r="AE90" s="68"/>
      <c r="AF90" s="71"/>
      <c r="AG90" s="56"/>
      <c r="AH90" s="68"/>
      <c r="AI90" s="56"/>
      <c r="AJ90" s="56"/>
      <c r="AK90" s="68"/>
      <c r="AL90" s="71"/>
      <c r="AM90" s="56"/>
      <c r="AN90" s="68"/>
      <c r="AO90" s="56"/>
      <c r="AP90" s="56"/>
      <c r="AQ90" s="68"/>
      <c r="AR90" s="56"/>
      <c r="AS90" s="56"/>
      <c r="AT90" s="56"/>
    </row>
    <row r="91" spans="3:46" x14ac:dyDescent="0.2">
      <c r="C91" s="67"/>
      <c r="D91" s="67"/>
      <c r="E91" s="67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68"/>
      <c r="Q91" s="56"/>
      <c r="R91" s="73"/>
      <c r="S91" s="56"/>
      <c r="T91" s="56"/>
      <c r="U91" s="68"/>
      <c r="V91" s="56"/>
      <c r="W91" s="56"/>
      <c r="X91" s="68"/>
      <c r="Y91" s="56"/>
      <c r="Z91" s="56"/>
      <c r="AA91" s="56"/>
      <c r="AB91" s="68"/>
      <c r="AC91" s="56"/>
      <c r="AD91" s="56"/>
      <c r="AE91" s="68"/>
      <c r="AF91" s="71"/>
      <c r="AG91" s="56"/>
      <c r="AH91" s="68"/>
      <c r="AI91" s="56"/>
      <c r="AJ91" s="56"/>
      <c r="AK91" s="68"/>
      <c r="AL91" s="71"/>
      <c r="AM91" s="56"/>
      <c r="AN91" s="68"/>
      <c r="AO91" s="56"/>
      <c r="AP91" s="56"/>
      <c r="AQ91" s="68"/>
      <c r="AR91" s="56"/>
      <c r="AS91" s="56"/>
      <c r="AT91" s="56"/>
    </row>
    <row r="92" spans="3:46" x14ac:dyDescent="0.2">
      <c r="C92" s="67"/>
      <c r="D92" s="67"/>
      <c r="E92" s="67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68"/>
      <c r="Q92" s="56"/>
      <c r="R92" s="73"/>
      <c r="S92" s="56"/>
      <c r="T92" s="56"/>
      <c r="U92" s="68"/>
      <c r="V92" s="56"/>
      <c r="W92" s="56"/>
      <c r="X92" s="68"/>
      <c r="Y92" s="56"/>
      <c r="Z92" s="56"/>
      <c r="AA92" s="56"/>
      <c r="AB92" s="68"/>
      <c r="AC92" s="56"/>
      <c r="AD92" s="56"/>
      <c r="AE92" s="68"/>
      <c r="AF92" s="71"/>
      <c r="AG92" s="56"/>
      <c r="AH92" s="68"/>
      <c r="AI92" s="56"/>
      <c r="AJ92" s="56"/>
      <c r="AK92" s="68"/>
      <c r="AL92" s="71"/>
      <c r="AM92" s="56"/>
      <c r="AN92" s="68"/>
      <c r="AO92" s="56"/>
      <c r="AP92" s="56"/>
      <c r="AQ92" s="68"/>
      <c r="AR92" s="56"/>
      <c r="AS92" s="56"/>
      <c r="AT92" s="56"/>
    </row>
    <row r="93" spans="3:46" x14ac:dyDescent="0.2">
      <c r="C93" s="67"/>
      <c r="D93" s="67"/>
      <c r="E93" s="67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68"/>
      <c r="Q93" s="56"/>
      <c r="R93" s="73"/>
      <c r="S93" s="56"/>
      <c r="T93" s="56"/>
      <c r="U93" s="68"/>
      <c r="V93" s="56"/>
      <c r="W93" s="56"/>
      <c r="X93" s="68"/>
      <c r="Y93" s="56"/>
      <c r="Z93" s="56"/>
      <c r="AA93" s="56"/>
      <c r="AB93" s="68"/>
      <c r="AC93" s="56"/>
      <c r="AD93" s="56"/>
      <c r="AE93" s="68"/>
      <c r="AF93" s="71"/>
      <c r="AG93" s="56"/>
      <c r="AH93" s="68"/>
      <c r="AI93" s="56"/>
      <c r="AJ93" s="56"/>
      <c r="AK93" s="68"/>
      <c r="AL93" s="71"/>
      <c r="AM93" s="56"/>
      <c r="AN93" s="68"/>
      <c r="AO93" s="56"/>
      <c r="AP93" s="56"/>
      <c r="AQ93" s="68"/>
      <c r="AR93" s="56"/>
      <c r="AS93" s="56"/>
      <c r="AT93" s="56"/>
    </row>
    <row r="94" spans="3:46" x14ac:dyDescent="0.2">
      <c r="C94" s="67"/>
      <c r="D94" s="67"/>
      <c r="E94" s="67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68"/>
      <c r="Q94" s="56"/>
      <c r="R94" s="56"/>
      <c r="S94" s="56"/>
      <c r="T94" s="56"/>
      <c r="U94" s="68"/>
      <c r="V94" s="56"/>
      <c r="W94" s="56"/>
      <c r="X94" s="68"/>
      <c r="Y94" s="56"/>
      <c r="Z94" s="56"/>
      <c r="AA94" s="56"/>
      <c r="AB94" s="68"/>
      <c r="AC94" s="56"/>
      <c r="AD94" s="56"/>
      <c r="AE94" s="68"/>
      <c r="AF94" s="71"/>
      <c r="AG94" s="56"/>
      <c r="AH94" s="68"/>
      <c r="AI94" s="56"/>
      <c r="AJ94" s="56"/>
      <c r="AK94" s="68"/>
      <c r="AL94" s="71"/>
      <c r="AM94" s="56"/>
      <c r="AN94" s="68"/>
      <c r="AO94" s="56"/>
      <c r="AP94" s="56"/>
      <c r="AQ94" s="68"/>
      <c r="AR94" s="56"/>
      <c r="AS94" s="56"/>
      <c r="AT94" s="56"/>
    </row>
    <row r="95" spans="3:46" x14ac:dyDescent="0.2">
      <c r="C95" s="67"/>
      <c r="D95" s="67"/>
      <c r="E95" s="67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68"/>
      <c r="Q95" s="56"/>
      <c r="R95" s="56"/>
      <c r="S95" s="56"/>
      <c r="T95" s="56"/>
      <c r="U95" s="68"/>
      <c r="V95" s="56"/>
      <c r="W95" s="56"/>
      <c r="X95" s="68"/>
      <c r="Y95" s="56"/>
      <c r="Z95" s="56"/>
      <c r="AA95" s="56"/>
      <c r="AB95" s="68"/>
      <c r="AC95" s="56"/>
      <c r="AD95" s="56"/>
      <c r="AE95" s="68"/>
      <c r="AF95" s="71"/>
      <c r="AG95" s="56"/>
      <c r="AH95" s="68"/>
      <c r="AI95" s="56"/>
      <c r="AJ95" s="56"/>
      <c r="AK95" s="68"/>
      <c r="AL95" s="71"/>
      <c r="AM95" s="56"/>
      <c r="AN95" s="68"/>
      <c r="AO95" s="56"/>
      <c r="AP95" s="56"/>
      <c r="AQ95" s="68"/>
      <c r="AR95" s="56"/>
      <c r="AS95" s="56"/>
      <c r="AT95" s="56"/>
    </row>
    <row r="96" spans="3:46" x14ac:dyDescent="0.2">
      <c r="C96" s="67"/>
      <c r="D96" s="67"/>
      <c r="E96" s="67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68"/>
      <c r="Q96" s="56"/>
      <c r="R96" s="56"/>
      <c r="S96" s="56"/>
      <c r="T96" s="56"/>
      <c r="U96" s="68"/>
      <c r="V96" s="56"/>
      <c r="W96" s="56"/>
      <c r="X96" s="68"/>
      <c r="Y96" s="56"/>
      <c r="Z96" s="56"/>
      <c r="AA96" s="56"/>
      <c r="AB96" s="68"/>
      <c r="AC96" s="56"/>
      <c r="AD96" s="56"/>
      <c r="AE96" s="68"/>
      <c r="AF96" s="71"/>
      <c r="AG96" s="56"/>
      <c r="AH96" s="68"/>
      <c r="AI96" s="56"/>
      <c r="AJ96" s="56"/>
      <c r="AK96" s="68"/>
      <c r="AL96" s="71"/>
      <c r="AM96" s="56"/>
      <c r="AN96" s="68"/>
      <c r="AO96" s="56"/>
      <c r="AP96" s="56"/>
      <c r="AQ96" s="68"/>
      <c r="AR96" s="56"/>
      <c r="AS96" s="56"/>
      <c r="AT96" s="56"/>
    </row>
    <row r="97" spans="1:47" x14ac:dyDescent="0.2">
      <c r="C97" s="67"/>
      <c r="D97" s="67"/>
      <c r="E97" s="67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68"/>
      <c r="Q97" s="56"/>
      <c r="R97" s="56"/>
      <c r="S97" s="56"/>
      <c r="T97" s="56"/>
      <c r="U97" s="68"/>
      <c r="V97" s="56"/>
      <c r="W97" s="56"/>
      <c r="X97" s="68"/>
      <c r="Y97" s="56"/>
      <c r="Z97" s="56"/>
      <c r="AA97" s="56"/>
      <c r="AB97" s="68"/>
      <c r="AC97" s="56"/>
      <c r="AD97" s="56"/>
      <c r="AE97" s="68"/>
      <c r="AF97" s="71"/>
      <c r="AG97" s="56"/>
      <c r="AH97" s="68"/>
      <c r="AI97" s="56"/>
      <c r="AJ97" s="56"/>
      <c r="AK97" s="68"/>
      <c r="AL97" s="71"/>
      <c r="AM97" s="56"/>
      <c r="AN97" s="68"/>
      <c r="AO97" s="56"/>
      <c r="AP97" s="56"/>
      <c r="AQ97" s="68"/>
      <c r="AR97" s="56"/>
      <c r="AS97" s="56"/>
      <c r="AT97" s="56"/>
      <c r="AU97" s="76"/>
    </row>
    <row r="98" spans="1:47" x14ac:dyDescent="0.2">
      <c r="C98" s="67"/>
      <c r="D98" s="67"/>
      <c r="E98" s="67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68"/>
      <c r="Q98" s="56"/>
      <c r="R98" s="56"/>
      <c r="S98" s="56"/>
      <c r="T98" s="56"/>
      <c r="U98" s="68"/>
      <c r="V98" s="56"/>
      <c r="W98" s="56"/>
      <c r="X98" s="68"/>
      <c r="Y98" s="56"/>
      <c r="Z98" s="56"/>
      <c r="AA98" s="56"/>
      <c r="AB98" s="68"/>
      <c r="AC98" s="56"/>
      <c r="AD98" s="56"/>
      <c r="AE98" s="68"/>
      <c r="AF98" s="71"/>
      <c r="AG98" s="56"/>
      <c r="AH98" s="68"/>
      <c r="AI98" s="56"/>
      <c r="AJ98" s="56"/>
      <c r="AK98" s="68"/>
      <c r="AL98" s="71"/>
      <c r="AM98" s="56"/>
      <c r="AN98" s="68"/>
      <c r="AO98" s="56"/>
      <c r="AP98" s="56"/>
      <c r="AQ98" s="68"/>
      <c r="AR98" s="56"/>
      <c r="AS98" s="56"/>
      <c r="AT98" s="56"/>
    </row>
    <row r="99" spans="1:47" x14ac:dyDescent="0.2">
      <c r="C99" s="67"/>
      <c r="D99" s="67"/>
      <c r="E99" s="67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68"/>
      <c r="Q99" s="56"/>
      <c r="R99" s="56"/>
      <c r="S99" s="56"/>
      <c r="T99" s="56"/>
      <c r="U99" s="68"/>
      <c r="V99" s="56"/>
      <c r="W99" s="56"/>
      <c r="X99" s="68"/>
      <c r="Y99" s="56"/>
      <c r="Z99" s="56"/>
      <c r="AA99" s="56"/>
      <c r="AB99" s="68"/>
      <c r="AC99" s="56"/>
      <c r="AD99" s="56"/>
      <c r="AE99" s="68"/>
      <c r="AF99" s="71"/>
      <c r="AG99" s="56"/>
      <c r="AH99" s="68"/>
      <c r="AI99" s="56"/>
      <c r="AJ99" s="56"/>
      <c r="AK99" s="68"/>
      <c r="AL99" s="71"/>
      <c r="AM99" s="56"/>
      <c r="AN99" s="68"/>
      <c r="AO99" s="56"/>
      <c r="AP99" s="56"/>
      <c r="AQ99" s="68"/>
      <c r="AR99" s="56"/>
      <c r="AS99" s="56"/>
      <c r="AT99" s="56"/>
    </row>
    <row r="100" spans="1:47" x14ac:dyDescent="0.2">
      <c r="C100" s="67"/>
      <c r="D100" s="67"/>
      <c r="E100" s="67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68"/>
      <c r="Q100" s="56"/>
      <c r="R100" s="56"/>
      <c r="S100" s="56"/>
      <c r="T100" s="56"/>
      <c r="U100" s="68"/>
      <c r="V100" s="56"/>
      <c r="W100" s="56"/>
      <c r="X100" s="68"/>
      <c r="Y100" s="56"/>
      <c r="Z100" s="56"/>
      <c r="AA100" s="56"/>
      <c r="AB100" s="68"/>
      <c r="AC100" s="56"/>
      <c r="AD100" s="56"/>
      <c r="AE100" s="68"/>
      <c r="AF100" s="71"/>
      <c r="AG100" s="56"/>
      <c r="AH100" s="68"/>
      <c r="AI100" s="56"/>
      <c r="AJ100" s="56"/>
      <c r="AK100" s="68"/>
      <c r="AL100" s="71"/>
      <c r="AM100" s="56"/>
      <c r="AN100" s="68"/>
      <c r="AO100" s="56"/>
      <c r="AP100" s="56"/>
      <c r="AQ100" s="68"/>
      <c r="AR100" s="56"/>
      <c r="AS100" s="56"/>
      <c r="AT100" s="56"/>
    </row>
    <row r="101" spans="1:47" x14ac:dyDescent="0.2">
      <c r="C101" s="67"/>
      <c r="D101" s="67"/>
      <c r="E101" s="67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68"/>
      <c r="Q101" s="56"/>
      <c r="R101" s="56"/>
      <c r="S101" s="56"/>
      <c r="T101" s="56"/>
      <c r="U101" s="68"/>
      <c r="V101" s="56"/>
      <c r="W101" s="56"/>
      <c r="X101" s="68"/>
      <c r="Y101" s="56"/>
      <c r="Z101" s="56"/>
      <c r="AA101" s="56"/>
      <c r="AB101" s="68"/>
      <c r="AC101" s="56"/>
      <c r="AD101" s="56"/>
      <c r="AE101" s="68"/>
      <c r="AF101" s="71"/>
      <c r="AG101" s="56"/>
      <c r="AH101" s="68"/>
      <c r="AI101" s="56"/>
      <c r="AJ101" s="56"/>
      <c r="AK101" s="68"/>
      <c r="AL101" s="71"/>
      <c r="AM101" s="56"/>
      <c r="AN101" s="68"/>
      <c r="AO101" s="56"/>
      <c r="AP101" s="56"/>
      <c r="AQ101" s="68"/>
      <c r="AR101" s="56"/>
      <c r="AS101" s="56"/>
      <c r="AT101" s="56"/>
    </row>
    <row r="102" spans="1:47" x14ac:dyDescent="0.2">
      <c r="C102" s="67"/>
      <c r="D102" s="67"/>
      <c r="E102" s="67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68"/>
      <c r="Q102" s="56"/>
      <c r="R102" s="56"/>
      <c r="S102" s="56"/>
      <c r="T102" s="56"/>
      <c r="U102" s="68"/>
      <c r="V102" s="56"/>
      <c r="W102" s="56"/>
      <c r="X102" s="68"/>
      <c r="Y102" s="56"/>
      <c r="Z102" s="56"/>
      <c r="AA102" s="56"/>
      <c r="AB102" s="68"/>
      <c r="AD102" s="56"/>
      <c r="AE102" s="68"/>
      <c r="AG102" s="56"/>
      <c r="AH102" s="68"/>
      <c r="AJ102" s="56"/>
      <c r="AK102" s="68"/>
      <c r="AM102" s="56"/>
      <c r="AN102" s="68"/>
      <c r="AP102" s="56"/>
      <c r="AQ102" s="68"/>
      <c r="AT102" s="56"/>
    </row>
    <row r="103" spans="1:47" x14ac:dyDescent="0.2">
      <c r="C103" s="67"/>
      <c r="D103" s="67"/>
      <c r="E103" s="67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68"/>
      <c r="Q103" s="56"/>
      <c r="R103" s="56"/>
      <c r="S103" s="56"/>
      <c r="T103" s="56"/>
      <c r="U103" s="68"/>
      <c r="V103" s="56"/>
      <c r="W103" s="56"/>
      <c r="X103" s="68"/>
      <c r="Y103" s="56"/>
      <c r="Z103" s="56"/>
      <c r="AA103" s="56"/>
      <c r="AB103" s="68"/>
      <c r="AD103" s="56"/>
      <c r="AE103" s="68"/>
      <c r="AG103" s="56"/>
      <c r="AH103" s="68"/>
      <c r="AJ103" s="56"/>
      <c r="AK103" s="68"/>
      <c r="AM103" s="56"/>
      <c r="AN103" s="68"/>
      <c r="AP103" s="56"/>
      <c r="AQ103" s="68"/>
      <c r="AT103" s="56"/>
    </row>
    <row r="104" spans="1:47" x14ac:dyDescent="0.2">
      <c r="C104" s="67"/>
      <c r="D104" s="67"/>
      <c r="E104" s="67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68"/>
      <c r="Q104" s="56"/>
      <c r="R104" s="56"/>
      <c r="S104" s="56"/>
      <c r="T104" s="56"/>
      <c r="U104" s="68"/>
      <c r="V104" s="56"/>
      <c r="W104" s="56"/>
      <c r="X104" s="68"/>
      <c r="Y104" s="56"/>
      <c r="Z104" s="56"/>
      <c r="AA104" s="56"/>
      <c r="AB104" s="68"/>
      <c r="AD104" s="56"/>
      <c r="AE104" s="68"/>
      <c r="AG104" s="56"/>
      <c r="AH104" s="68"/>
      <c r="AJ104" s="56"/>
      <c r="AK104" s="68"/>
      <c r="AM104" s="56"/>
      <c r="AN104" s="68"/>
      <c r="AP104" s="56"/>
      <c r="AQ104" s="68"/>
      <c r="AT104" s="56"/>
    </row>
    <row r="105" spans="1:47" x14ac:dyDescent="0.2">
      <c r="C105" s="67"/>
      <c r="D105" s="67"/>
      <c r="E105" s="67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68"/>
      <c r="Q105" s="56"/>
      <c r="R105" s="56"/>
      <c r="S105" s="56"/>
      <c r="T105" s="56"/>
      <c r="U105" s="68"/>
      <c r="V105" s="56"/>
      <c r="W105" s="56"/>
      <c r="X105" s="68"/>
      <c r="Y105" s="56"/>
      <c r="Z105" s="56"/>
      <c r="AA105" s="56"/>
      <c r="AB105" s="68"/>
      <c r="AD105" s="56"/>
      <c r="AE105" s="68"/>
      <c r="AG105" s="56"/>
      <c r="AH105" s="68"/>
      <c r="AJ105" s="56"/>
      <c r="AK105" s="68"/>
      <c r="AM105" s="56"/>
      <c r="AN105" s="68"/>
      <c r="AP105" s="56"/>
      <c r="AQ105" s="68"/>
    </row>
    <row r="106" spans="1:47" x14ac:dyDescent="0.2">
      <c r="C106" s="67"/>
      <c r="D106" s="67"/>
      <c r="E106" s="67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68"/>
      <c r="Q106" s="56"/>
      <c r="R106" s="56"/>
      <c r="S106" s="56"/>
      <c r="T106" s="56"/>
      <c r="U106" s="68"/>
      <c r="V106" s="56"/>
      <c r="W106" s="56"/>
      <c r="X106" s="68"/>
      <c r="Y106" s="56"/>
      <c r="Z106" s="56"/>
      <c r="AA106" s="56"/>
      <c r="AB106" s="68"/>
      <c r="AD106" s="56"/>
      <c r="AE106" s="68"/>
      <c r="AG106" s="56"/>
      <c r="AH106" s="68"/>
      <c r="AJ106" s="56"/>
      <c r="AK106" s="68"/>
      <c r="AM106" s="56"/>
      <c r="AN106" s="68"/>
      <c r="AP106" s="56"/>
      <c r="AQ106" s="68"/>
    </row>
    <row r="107" spans="1:47" x14ac:dyDescent="0.2">
      <c r="C107" s="67"/>
      <c r="D107" s="67"/>
      <c r="E107" s="67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68"/>
      <c r="Q107" s="56"/>
      <c r="R107" s="56"/>
      <c r="S107" s="56"/>
      <c r="T107" s="56"/>
      <c r="U107" s="68"/>
      <c r="V107" s="56"/>
      <c r="W107" s="56"/>
      <c r="X107" s="68"/>
      <c r="Y107" s="56"/>
      <c r="Z107" s="56"/>
      <c r="AA107" s="56"/>
      <c r="AB107" s="68"/>
      <c r="AD107" s="56"/>
      <c r="AE107" s="68"/>
      <c r="AG107" s="56"/>
      <c r="AH107" s="68"/>
      <c r="AJ107" s="56"/>
      <c r="AK107" s="68"/>
      <c r="AM107" s="56"/>
      <c r="AN107" s="68"/>
      <c r="AP107" s="56"/>
      <c r="AQ107" s="68"/>
    </row>
    <row r="108" spans="1:47" x14ac:dyDescent="0.2">
      <c r="C108" s="67"/>
      <c r="D108" s="67"/>
      <c r="E108" s="67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68"/>
      <c r="Q108" s="56"/>
      <c r="R108" s="56"/>
      <c r="S108" s="56"/>
      <c r="T108" s="56"/>
      <c r="U108" s="68"/>
      <c r="V108" s="56"/>
      <c r="W108" s="56"/>
      <c r="X108" s="68"/>
      <c r="Y108" s="56"/>
      <c r="Z108" s="56"/>
      <c r="AA108" s="56"/>
      <c r="AB108" s="68"/>
      <c r="AD108" s="56"/>
      <c r="AE108" s="68"/>
      <c r="AG108" s="56"/>
      <c r="AH108" s="68"/>
      <c r="AJ108" s="56"/>
      <c r="AK108" s="68"/>
      <c r="AM108" s="56"/>
      <c r="AN108" s="68"/>
      <c r="AP108" s="56"/>
      <c r="AQ108" s="68"/>
    </row>
    <row r="109" spans="1:47" x14ac:dyDescent="0.2">
      <c r="C109" s="67"/>
      <c r="D109" s="67"/>
      <c r="E109" s="67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68"/>
      <c r="Q109" s="56"/>
      <c r="R109" s="56"/>
      <c r="S109" s="56"/>
      <c r="T109" s="56"/>
      <c r="U109" s="68"/>
      <c r="V109" s="56"/>
      <c r="W109" s="56"/>
      <c r="X109" s="68"/>
      <c r="Y109" s="56"/>
      <c r="Z109" s="56"/>
      <c r="AA109" s="56"/>
      <c r="AB109" s="68"/>
      <c r="AD109" s="56"/>
      <c r="AE109" s="68"/>
      <c r="AG109" s="56"/>
      <c r="AH109" s="68"/>
      <c r="AJ109" s="56"/>
      <c r="AK109" s="68"/>
      <c r="AM109" s="56"/>
      <c r="AN109" s="68"/>
      <c r="AP109" s="56"/>
      <c r="AQ109" s="68"/>
    </row>
    <row r="110" spans="1:47" x14ac:dyDescent="0.2">
      <c r="A110" s="76"/>
      <c r="B110" s="76"/>
      <c r="C110" s="67"/>
      <c r="D110" s="67"/>
      <c r="E110" s="67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68"/>
      <c r="Q110" s="56"/>
      <c r="R110" s="56"/>
      <c r="S110" s="56"/>
      <c r="T110" s="56"/>
      <c r="U110" s="68"/>
      <c r="V110" s="56"/>
      <c r="W110" s="56"/>
      <c r="X110" s="68"/>
      <c r="Y110" s="56"/>
      <c r="Z110" s="56"/>
      <c r="AA110" s="56"/>
      <c r="AB110" s="68"/>
      <c r="AD110" s="56"/>
      <c r="AE110" s="68"/>
      <c r="AG110" s="56"/>
      <c r="AH110" s="68"/>
      <c r="AJ110" s="56"/>
      <c r="AK110" s="68"/>
      <c r="AM110" s="56"/>
      <c r="AN110" s="68"/>
      <c r="AP110" s="56"/>
      <c r="AQ110" s="68"/>
    </row>
    <row r="111" spans="1:47" x14ac:dyDescent="0.2">
      <c r="C111" s="67"/>
      <c r="D111" s="67"/>
      <c r="E111" s="67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68"/>
      <c r="Q111" s="56"/>
      <c r="R111" s="56"/>
      <c r="S111" s="56"/>
      <c r="T111" s="56"/>
      <c r="U111" s="68"/>
      <c r="V111" s="56"/>
      <c r="W111" s="56"/>
      <c r="X111" s="68"/>
      <c r="Y111" s="56"/>
      <c r="Z111" s="56"/>
      <c r="AA111" s="56"/>
      <c r="AB111" s="68"/>
      <c r="AD111" s="56"/>
      <c r="AE111" s="68"/>
      <c r="AG111" s="56"/>
      <c r="AH111" s="68"/>
      <c r="AJ111" s="56"/>
      <c r="AK111" s="68"/>
      <c r="AM111" s="56"/>
      <c r="AN111" s="68"/>
      <c r="AP111" s="56"/>
      <c r="AQ111" s="68"/>
    </row>
    <row r="112" spans="1:47" x14ac:dyDescent="0.2">
      <c r="C112" s="67"/>
      <c r="D112" s="67"/>
      <c r="E112" s="67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68"/>
      <c r="Q112" s="56"/>
      <c r="R112" s="56"/>
      <c r="S112" s="56"/>
      <c r="T112" s="56"/>
      <c r="U112" s="68"/>
      <c r="V112" s="56"/>
      <c r="W112" s="56"/>
      <c r="X112" s="68"/>
      <c r="Y112" s="56"/>
      <c r="Z112" s="56"/>
      <c r="AA112" s="56"/>
      <c r="AB112" s="68"/>
      <c r="AD112" s="56"/>
      <c r="AE112" s="68"/>
      <c r="AG112" s="56"/>
      <c r="AH112" s="68"/>
      <c r="AJ112" s="56"/>
      <c r="AK112" s="68"/>
      <c r="AM112" s="56"/>
      <c r="AN112" s="68"/>
      <c r="AP112" s="56"/>
      <c r="AQ112" s="68"/>
    </row>
    <row r="113" spans="1:48" s="76" customFormat="1" x14ac:dyDescent="0.2">
      <c r="A113" s="1"/>
      <c r="B113" s="1"/>
      <c r="C113" s="67"/>
      <c r="D113" s="67"/>
      <c r="E113" s="67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68"/>
      <c r="Q113" s="56"/>
      <c r="R113" s="56"/>
      <c r="S113" s="56"/>
      <c r="T113" s="56"/>
      <c r="U113" s="68"/>
      <c r="V113" s="56"/>
      <c r="W113" s="56"/>
      <c r="X113" s="68"/>
      <c r="Y113" s="56"/>
      <c r="Z113" s="56"/>
      <c r="AA113" s="56"/>
      <c r="AB113" s="68"/>
      <c r="AC113" s="1"/>
      <c r="AD113" s="56"/>
      <c r="AE113" s="68"/>
      <c r="AF113" s="62"/>
      <c r="AG113" s="56"/>
      <c r="AH113" s="68"/>
      <c r="AI113" s="1"/>
      <c r="AJ113" s="56"/>
      <c r="AK113" s="68"/>
      <c r="AL113" s="62"/>
      <c r="AM113" s="56"/>
      <c r="AN113" s="68"/>
      <c r="AO113" s="1"/>
      <c r="AP113" s="56"/>
      <c r="AQ113" s="68"/>
      <c r="AR113" s="1"/>
      <c r="AS113" s="1"/>
      <c r="AT113" s="1"/>
      <c r="AU113" s="1"/>
      <c r="AV113" s="1"/>
    </row>
    <row r="114" spans="1:48" x14ac:dyDescent="0.2">
      <c r="C114" s="67"/>
      <c r="D114" s="67"/>
      <c r="E114" s="67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68"/>
      <c r="Q114" s="56"/>
      <c r="R114" s="56"/>
      <c r="S114" s="56"/>
      <c r="T114" s="56"/>
      <c r="U114" s="68"/>
      <c r="V114" s="56"/>
      <c r="W114" s="56"/>
      <c r="X114" s="68"/>
      <c r="Y114" s="56"/>
      <c r="Z114" s="56"/>
      <c r="AA114" s="56"/>
      <c r="AB114" s="68"/>
      <c r="AD114" s="56"/>
      <c r="AE114" s="68"/>
      <c r="AG114" s="56"/>
      <c r="AH114" s="68"/>
      <c r="AJ114" s="56"/>
      <c r="AK114" s="68"/>
      <c r="AM114" s="56"/>
      <c r="AN114" s="68"/>
      <c r="AP114" s="56"/>
      <c r="AQ114" s="68"/>
    </row>
    <row r="115" spans="1:48" x14ac:dyDescent="0.2">
      <c r="C115" s="67"/>
      <c r="D115" s="67"/>
      <c r="E115" s="67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68"/>
      <c r="Q115" s="56"/>
      <c r="R115" s="56"/>
      <c r="S115" s="56"/>
      <c r="T115" s="56"/>
      <c r="U115" s="68"/>
      <c r="V115" s="56"/>
      <c r="W115" s="56"/>
      <c r="X115" s="68"/>
      <c r="Y115" s="56"/>
      <c r="Z115" s="56"/>
      <c r="AA115" s="56"/>
      <c r="AB115" s="68"/>
      <c r="AD115" s="56"/>
      <c r="AE115" s="68"/>
      <c r="AG115" s="56"/>
      <c r="AH115" s="68"/>
      <c r="AJ115" s="56"/>
      <c r="AK115" s="68"/>
      <c r="AM115" s="56"/>
      <c r="AN115" s="68"/>
      <c r="AP115" s="56"/>
      <c r="AQ115" s="68"/>
    </row>
    <row r="116" spans="1:48" x14ac:dyDescent="0.2">
      <c r="C116" s="67"/>
      <c r="D116" s="67"/>
      <c r="E116" s="67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68"/>
      <c r="Q116" s="56"/>
      <c r="R116" s="56"/>
      <c r="S116" s="56"/>
      <c r="T116" s="56"/>
      <c r="U116" s="68"/>
      <c r="V116" s="56"/>
      <c r="W116" s="56"/>
      <c r="X116" s="68"/>
      <c r="Y116" s="56"/>
      <c r="Z116" s="56"/>
      <c r="AA116" s="56"/>
      <c r="AB116" s="68"/>
      <c r="AD116" s="56"/>
      <c r="AE116" s="68"/>
      <c r="AG116" s="56"/>
      <c r="AH116" s="68"/>
      <c r="AJ116" s="56"/>
      <c r="AK116" s="68"/>
      <c r="AM116" s="56"/>
      <c r="AN116" s="68"/>
      <c r="AP116" s="56"/>
      <c r="AQ116" s="68"/>
    </row>
    <row r="117" spans="1:48" x14ac:dyDescent="0.2">
      <c r="C117" s="67"/>
      <c r="D117" s="67"/>
      <c r="E117" s="67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68"/>
      <c r="Q117" s="56"/>
      <c r="R117" s="56"/>
      <c r="S117" s="56"/>
      <c r="T117" s="56"/>
      <c r="U117" s="68"/>
      <c r="V117" s="56"/>
      <c r="W117" s="56"/>
      <c r="X117" s="68"/>
      <c r="Y117" s="56"/>
      <c r="Z117" s="56"/>
      <c r="AA117" s="56"/>
      <c r="AB117" s="68"/>
      <c r="AD117" s="56"/>
      <c r="AE117" s="68"/>
      <c r="AG117" s="56"/>
      <c r="AH117" s="68"/>
      <c r="AJ117" s="56"/>
      <c r="AK117" s="68"/>
      <c r="AM117" s="56"/>
      <c r="AN117" s="68"/>
      <c r="AP117" s="56"/>
      <c r="AQ117" s="68"/>
    </row>
    <row r="118" spans="1:48" x14ac:dyDescent="0.2">
      <c r="C118" s="67"/>
      <c r="D118" s="67"/>
      <c r="E118" s="6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68"/>
      <c r="Q118" s="56"/>
      <c r="R118" s="56"/>
      <c r="S118" s="56"/>
      <c r="T118" s="56"/>
      <c r="U118" s="68"/>
      <c r="V118" s="56"/>
      <c r="W118" s="56"/>
      <c r="X118" s="68"/>
      <c r="Y118" s="56"/>
      <c r="Z118" s="56"/>
      <c r="AA118" s="56"/>
      <c r="AB118" s="68"/>
      <c r="AD118" s="56"/>
      <c r="AE118" s="68"/>
      <c r="AG118" s="56"/>
      <c r="AH118" s="68"/>
      <c r="AJ118" s="56"/>
      <c r="AK118" s="68"/>
      <c r="AM118" s="56"/>
      <c r="AN118" s="68"/>
      <c r="AP118" s="56"/>
      <c r="AQ118" s="68"/>
    </row>
    <row r="119" spans="1:48" x14ac:dyDescent="0.2">
      <c r="C119" s="67"/>
      <c r="D119" s="67"/>
      <c r="E119" s="67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68"/>
      <c r="Q119" s="56"/>
      <c r="R119" s="56"/>
      <c r="S119" s="56"/>
      <c r="T119" s="56"/>
      <c r="U119" s="68"/>
      <c r="V119" s="56"/>
      <c r="W119" s="56"/>
      <c r="X119" s="68"/>
      <c r="Y119" s="56"/>
      <c r="Z119" s="56"/>
      <c r="AA119" s="56"/>
      <c r="AB119" s="68"/>
      <c r="AD119" s="56"/>
      <c r="AE119" s="68"/>
      <c r="AG119" s="56"/>
      <c r="AH119" s="68"/>
      <c r="AJ119" s="56"/>
      <c r="AK119" s="68"/>
      <c r="AM119" s="56"/>
      <c r="AN119" s="68"/>
      <c r="AP119" s="56"/>
      <c r="AQ119" s="68"/>
    </row>
    <row r="120" spans="1:48" x14ac:dyDescent="0.2">
      <c r="C120" s="67"/>
      <c r="D120" s="67"/>
      <c r="E120" s="67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68"/>
      <c r="Q120" s="56"/>
      <c r="R120" s="56"/>
      <c r="S120" s="56"/>
      <c r="T120" s="56"/>
      <c r="U120" s="68"/>
      <c r="V120" s="56"/>
      <c r="W120" s="56"/>
      <c r="X120" s="68"/>
      <c r="Y120" s="56"/>
      <c r="Z120" s="56"/>
      <c r="AA120" s="56"/>
      <c r="AB120" s="68"/>
      <c r="AD120" s="56"/>
      <c r="AE120" s="68"/>
      <c r="AG120" s="56"/>
      <c r="AH120" s="68"/>
      <c r="AJ120" s="56"/>
      <c r="AK120" s="68"/>
      <c r="AM120" s="56"/>
      <c r="AN120" s="68"/>
      <c r="AP120" s="56"/>
      <c r="AQ120" s="68"/>
    </row>
    <row r="121" spans="1:48" x14ac:dyDescent="0.2">
      <c r="C121" s="67"/>
      <c r="D121" s="67"/>
      <c r="E121" s="67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68"/>
      <c r="Q121" s="56"/>
      <c r="R121" s="56"/>
      <c r="S121" s="56"/>
      <c r="T121" s="56"/>
      <c r="U121" s="68"/>
      <c r="V121" s="56"/>
      <c r="W121" s="56"/>
      <c r="X121" s="68"/>
      <c r="Y121" s="56"/>
      <c r="Z121" s="56"/>
      <c r="AA121" s="56"/>
      <c r="AB121" s="68"/>
      <c r="AD121" s="56"/>
      <c r="AE121" s="68"/>
      <c r="AG121" s="56"/>
      <c r="AH121" s="68"/>
      <c r="AJ121" s="56"/>
      <c r="AK121" s="68"/>
      <c r="AM121" s="56"/>
      <c r="AN121" s="68"/>
      <c r="AP121" s="56"/>
      <c r="AQ121" s="68"/>
    </row>
    <row r="122" spans="1:48" x14ac:dyDescent="0.2">
      <c r="C122" s="67"/>
      <c r="D122" s="67"/>
      <c r="E122" s="67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68"/>
      <c r="Q122" s="56"/>
      <c r="R122" s="56"/>
      <c r="S122" s="56"/>
      <c r="T122" s="56"/>
      <c r="U122" s="68"/>
      <c r="V122" s="56"/>
      <c r="W122" s="56"/>
      <c r="X122" s="68"/>
      <c r="Y122" s="56"/>
      <c r="Z122" s="56"/>
      <c r="AA122" s="56"/>
      <c r="AB122" s="68"/>
      <c r="AD122" s="56"/>
      <c r="AE122" s="68"/>
      <c r="AG122" s="56"/>
      <c r="AH122" s="68"/>
      <c r="AJ122" s="56"/>
      <c r="AK122" s="68"/>
      <c r="AM122" s="56"/>
      <c r="AN122" s="68"/>
      <c r="AP122" s="56"/>
      <c r="AQ122" s="68"/>
    </row>
    <row r="123" spans="1:48" x14ac:dyDescent="0.2">
      <c r="C123" s="67"/>
      <c r="D123" s="67"/>
      <c r="E123" s="67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68"/>
      <c r="Q123" s="56"/>
      <c r="R123" s="56"/>
      <c r="S123" s="56"/>
      <c r="T123" s="56"/>
      <c r="U123" s="68"/>
      <c r="V123" s="56"/>
      <c r="W123" s="56"/>
      <c r="X123" s="68"/>
      <c r="Y123" s="56"/>
      <c r="Z123" s="56"/>
      <c r="AA123" s="56"/>
      <c r="AB123" s="68"/>
      <c r="AD123" s="56"/>
      <c r="AE123" s="68"/>
      <c r="AG123" s="56"/>
      <c r="AH123" s="68"/>
      <c r="AJ123" s="56"/>
      <c r="AK123" s="68"/>
      <c r="AM123" s="56"/>
      <c r="AN123" s="68"/>
      <c r="AP123" s="56"/>
      <c r="AQ123" s="68"/>
    </row>
    <row r="124" spans="1:48" x14ac:dyDescent="0.2">
      <c r="C124" s="67"/>
      <c r="D124" s="67"/>
      <c r="E124" s="67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68"/>
      <c r="Q124" s="56"/>
      <c r="R124" s="56"/>
      <c r="S124" s="56"/>
      <c r="T124" s="56"/>
      <c r="U124" s="68"/>
      <c r="V124" s="56"/>
      <c r="W124" s="56"/>
      <c r="X124" s="68"/>
      <c r="Y124" s="56"/>
      <c r="Z124" s="56"/>
      <c r="AA124" s="56"/>
      <c r="AB124" s="68"/>
      <c r="AD124" s="56"/>
      <c r="AE124" s="68"/>
      <c r="AG124" s="56"/>
      <c r="AH124" s="68"/>
      <c r="AJ124" s="56"/>
      <c r="AK124" s="68"/>
      <c r="AM124" s="56"/>
      <c r="AN124" s="68"/>
      <c r="AP124" s="56"/>
      <c r="AQ124" s="68"/>
    </row>
    <row r="125" spans="1:48" x14ac:dyDescent="0.2">
      <c r="C125" s="67"/>
      <c r="D125" s="67"/>
      <c r="E125" s="67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68"/>
      <c r="Q125" s="56"/>
      <c r="R125" s="56"/>
      <c r="S125" s="56"/>
      <c r="T125" s="56"/>
      <c r="U125" s="68"/>
      <c r="V125" s="56"/>
      <c r="W125" s="56"/>
      <c r="X125" s="68"/>
      <c r="Y125" s="56"/>
      <c r="Z125" s="56"/>
      <c r="AA125" s="56"/>
      <c r="AB125" s="68"/>
      <c r="AD125" s="56"/>
      <c r="AE125" s="68"/>
      <c r="AG125" s="56"/>
      <c r="AH125" s="68"/>
      <c r="AJ125" s="56"/>
      <c r="AK125" s="68"/>
      <c r="AM125" s="56"/>
      <c r="AN125" s="68"/>
      <c r="AP125" s="56"/>
      <c r="AQ125" s="68"/>
    </row>
    <row r="126" spans="1:48" x14ac:dyDescent="0.2">
      <c r="C126" s="67"/>
      <c r="D126" s="67"/>
      <c r="E126" s="67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68"/>
      <c r="Q126" s="56"/>
      <c r="R126" s="56"/>
      <c r="S126" s="56"/>
      <c r="T126" s="56"/>
      <c r="U126" s="68"/>
      <c r="V126" s="56"/>
      <c r="W126" s="56"/>
      <c r="X126" s="68"/>
      <c r="Y126" s="56"/>
      <c r="Z126" s="56"/>
      <c r="AA126" s="56"/>
      <c r="AB126" s="68"/>
      <c r="AD126" s="56"/>
      <c r="AE126" s="68"/>
      <c r="AG126" s="56"/>
      <c r="AH126" s="68"/>
      <c r="AJ126" s="56"/>
      <c r="AK126" s="68"/>
      <c r="AM126" s="56"/>
      <c r="AN126" s="68"/>
      <c r="AP126" s="56"/>
      <c r="AQ126" s="68"/>
    </row>
    <row r="127" spans="1:48" x14ac:dyDescent="0.2">
      <c r="C127" s="67"/>
      <c r="D127" s="67"/>
      <c r="E127" s="6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68"/>
      <c r="Q127" s="56"/>
      <c r="R127" s="56"/>
      <c r="S127" s="56"/>
      <c r="T127" s="56"/>
      <c r="U127" s="68"/>
      <c r="V127" s="56"/>
      <c r="W127" s="56"/>
      <c r="X127" s="68"/>
      <c r="Y127" s="56"/>
      <c r="Z127" s="56"/>
      <c r="AA127" s="56"/>
      <c r="AB127" s="68"/>
      <c r="AD127" s="56"/>
      <c r="AE127" s="68"/>
      <c r="AG127" s="56"/>
      <c r="AH127" s="68"/>
      <c r="AJ127" s="56"/>
      <c r="AK127" s="68"/>
      <c r="AM127" s="56"/>
      <c r="AN127" s="68"/>
      <c r="AP127" s="56"/>
      <c r="AQ127" s="68"/>
    </row>
    <row r="128" spans="1:48" x14ac:dyDescent="0.2">
      <c r="C128" s="67"/>
      <c r="D128" s="67"/>
      <c r="E128" s="67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68"/>
      <c r="Q128" s="56"/>
      <c r="R128" s="56"/>
      <c r="S128" s="56"/>
      <c r="T128" s="56"/>
      <c r="U128" s="68"/>
      <c r="V128" s="56"/>
      <c r="W128" s="56"/>
      <c r="X128" s="68"/>
      <c r="Y128" s="56"/>
      <c r="Z128" s="56"/>
      <c r="AA128" s="56"/>
      <c r="AB128" s="68"/>
      <c r="AD128" s="56"/>
      <c r="AE128" s="68"/>
      <c r="AG128" s="56"/>
      <c r="AH128" s="68"/>
      <c r="AJ128" s="56"/>
      <c r="AK128" s="68"/>
      <c r="AM128" s="56"/>
      <c r="AN128" s="68"/>
      <c r="AP128" s="56"/>
      <c r="AQ128" s="68"/>
    </row>
    <row r="129" spans="3:43" x14ac:dyDescent="0.2">
      <c r="C129" s="67"/>
      <c r="D129" s="67"/>
      <c r="E129" s="67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68"/>
      <c r="Q129" s="56"/>
      <c r="R129" s="56"/>
      <c r="S129" s="56"/>
      <c r="T129" s="56"/>
      <c r="U129" s="68"/>
      <c r="V129" s="56"/>
      <c r="W129" s="56"/>
      <c r="X129" s="68"/>
      <c r="Y129" s="56"/>
      <c r="Z129" s="56"/>
      <c r="AA129" s="56"/>
      <c r="AB129" s="68"/>
      <c r="AD129" s="56"/>
      <c r="AE129" s="68"/>
      <c r="AG129" s="56"/>
      <c r="AH129" s="68"/>
      <c r="AJ129" s="56"/>
      <c r="AK129" s="68"/>
      <c r="AM129" s="56"/>
      <c r="AN129" s="68"/>
      <c r="AP129" s="56"/>
      <c r="AQ129" s="68"/>
    </row>
    <row r="130" spans="3:43" x14ac:dyDescent="0.2">
      <c r="C130" s="67"/>
      <c r="D130" s="67"/>
      <c r="E130" s="67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68"/>
      <c r="Q130" s="56"/>
      <c r="R130" s="56"/>
      <c r="S130" s="56"/>
      <c r="T130" s="56"/>
      <c r="U130" s="68"/>
      <c r="V130" s="56"/>
      <c r="W130" s="56"/>
      <c r="X130" s="68"/>
      <c r="Y130" s="56"/>
      <c r="Z130" s="56"/>
      <c r="AA130" s="56"/>
      <c r="AB130" s="68"/>
      <c r="AD130" s="56"/>
      <c r="AE130" s="68"/>
      <c r="AG130" s="56"/>
      <c r="AH130" s="68"/>
      <c r="AJ130" s="56"/>
      <c r="AK130" s="68"/>
      <c r="AM130" s="56"/>
      <c r="AN130" s="68"/>
      <c r="AP130" s="56"/>
      <c r="AQ130" s="68"/>
    </row>
    <row r="131" spans="3:43" x14ac:dyDescent="0.2">
      <c r="C131" s="67"/>
      <c r="D131" s="67"/>
      <c r="E131" s="67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68"/>
      <c r="Q131" s="56"/>
      <c r="R131" s="56"/>
      <c r="S131" s="56"/>
      <c r="T131" s="56"/>
      <c r="U131" s="68"/>
      <c r="V131" s="56"/>
      <c r="W131" s="56"/>
      <c r="X131" s="68"/>
      <c r="Y131" s="56"/>
      <c r="Z131" s="56"/>
      <c r="AA131" s="56"/>
      <c r="AB131" s="68"/>
      <c r="AD131" s="56"/>
      <c r="AE131" s="68"/>
      <c r="AG131" s="56"/>
      <c r="AH131" s="68"/>
      <c r="AJ131" s="56"/>
      <c r="AK131" s="68"/>
      <c r="AM131" s="56"/>
      <c r="AN131" s="68"/>
      <c r="AP131" s="56"/>
      <c r="AQ131" s="68"/>
    </row>
    <row r="132" spans="3:43" x14ac:dyDescent="0.2">
      <c r="C132" s="67"/>
      <c r="D132" s="67"/>
      <c r="E132" s="67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68"/>
      <c r="Q132" s="56"/>
      <c r="R132" s="56"/>
      <c r="S132" s="56"/>
      <c r="T132" s="56"/>
      <c r="U132" s="68"/>
      <c r="V132" s="56"/>
      <c r="W132" s="56"/>
      <c r="X132" s="68"/>
      <c r="Y132" s="56"/>
      <c r="Z132" s="56"/>
      <c r="AA132" s="56"/>
      <c r="AB132" s="68"/>
      <c r="AD132" s="56"/>
      <c r="AE132" s="68"/>
      <c r="AG132" s="56"/>
      <c r="AH132" s="68"/>
      <c r="AJ132" s="56"/>
      <c r="AK132" s="68"/>
      <c r="AM132" s="56"/>
      <c r="AN132" s="68"/>
      <c r="AP132" s="56"/>
      <c r="AQ132" s="68"/>
    </row>
    <row r="133" spans="3:43" x14ac:dyDescent="0.2">
      <c r="C133" s="67"/>
      <c r="D133" s="67"/>
      <c r="E133" s="67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68"/>
      <c r="Q133" s="56"/>
      <c r="R133" s="56"/>
      <c r="S133" s="56"/>
      <c r="T133" s="56"/>
      <c r="U133" s="68"/>
      <c r="V133" s="56"/>
      <c r="W133" s="56"/>
      <c r="X133" s="68"/>
      <c r="Y133" s="56"/>
      <c r="Z133" s="56"/>
      <c r="AA133" s="56"/>
      <c r="AB133" s="68"/>
      <c r="AD133" s="56"/>
      <c r="AE133" s="68"/>
      <c r="AG133" s="56"/>
      <c r="AH133" s="68"/>
      <c r="AJ133" s="56"/>
      <c r="AK133" s="68"/>
      <c r="AM133" s="56"/>
      <c r="AN133" s="68"/>
      <c r="AP133" s="56"/>
      <c r="AQ133" s="68"/>
    </row>
    <row r="134" spans="3:43" x14ac:dyDescent="0.2">
      <c r="C134" s="67"/>
      <c r="D134" s="67"/>
      <c r="E134" s="67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68"/>
      <c r="Q134" s="56"/>
      <c r="R134" s="56"/>
      <c r="S134" s="56"/>
      <c r="T134" s="56"/>
      <c r="U134" s="68"/>
      <c r="V134" s="56"/>
      <c r="W134" s="56"/>
      <c r="X134" s="68"/>
      <c r="Y134" s="56"/>
      <c r="Z134" s="56"/>
      <c r="AA134" s="56"/>
      <c r="AB134" s="68"/>
      <c r="AD134" s="56"/>
      <c r="AE134" s="68"/>
      <c r="AG134" s="56"/>
      <c r="AH134" s="68"/>
      <c r="AJ134" s="56"/>
      <c r="AK134" s="68"/>
      <c r="AM134" s="56"/>
      <c r="AN134" s="68"/>
      <c r="AP134" s="56"/>
      <c r="AQ134" s="68"/>
    </row>
    <row r="135" spans="3:43" x14ac:dyDescent="0.2">
      <c r="C135" s="67"/>
      <c r="D135" s="67"/>
      <c r="E135" s="67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68"/>
      <c r="Q135" s="56"/>
      <c r="R135" s="56"/>
      <c r="S135" s="56"/>
      <c r="T135" s="56"/>
      <c r="U135" s="68"/>
      <c r="V135" s="56"/>
      <c r="W135" s="56"/>
      <c r="X135" s="68"/>
      <c r="Y135" s="56"/>
      <c r="Z135" s="56"/>
      <c r="AA135" s="56"/>
      <c r="AB135" s="68"/>
      <c r="AD135" s="56"/>
      <c r="AE135" s="68"/>
      <c r="AG135" s="56"/>
      <c r="AH135" s="68"/>
      <c r="AJ135" s="56"/>
      <c r="AK135" s="68"/>
      <c r="AM135" s="56"/>
      <c r="AN135" s="68"/>
      <c r="AP135" s="56"/>
      <c r="AQ135" s="68"/>
    </row>
    <row r="136" spans="3:43" x14ac:dyDescent="0.2">
      <c r="C136" s="67"/>
      <c r="D136" s="67"/>
      <c r="E136" s="67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68"/>
      <c r="Q136" s="56"/>
      <c r="R136" s="56"/>
      <c r="S136" s="56"/>
      <c r="T136" s="56"/>
      <c r="U136" s="68"/>
      <c r="V136" s="56"/>
      <c r="W136" s="56"/>
      <c r="X136" s="68"/>
      <c r="Y136" s="56"/>
      <c r="Z136" s="56"/>
      <c r="AA136" s="56"/>
      <c r="AB136" s="68"/>
      <c r="AD136" s="56"/>
      <c r="AE136" s="68"/>
      <c r="AG136" s="56"/>
      <c r="AH136" s="68"/>
      <c r="AJ136" s="56"/>
      <c r="AK136" s="68"/>
      <c r="AM136" s="56"/>
      <c r="AN136" s="68"/>
      <c r="AP136" s="56"/>
      <c r="AQ136" s="68"/>
    </row>
    <row r="137" spans="3:43" x14ac:dyDescent="0.2">
      <c r="C137" s="67"/>
      <c r="D137" s="67"/>
      <c r="E137" s="67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68"/>
      <c r="Q137" s="56"/>
      <c r="R137" s="56"/>
      <c r="S137" s="56"/>
      <c r="T137" s="56"/>
      <c r="U137" s="68"/>
      <c r="V137" s="56"/>
      <c r="W137" s="56"/>
      <c r="X137" s="68"/>
      <c r="Y137" s="56"/>
      <c r="Z137" s="56"/>
      <c r="AA137" s="56"/>
      <c r="AB137" s="68"/>
      <c r="AD137" s="56"/>
      <c r="AE137" s="68"/>
      <c r="AG137" s="56"/>
      <c r="AH137" s="68"/>
      <c r="AJ137" s="56"/>
      <c r="AK137" s="68"/>
      <c r="AM137" s="56"/>
      <c r="AN137" s="68"/>
      <c r="AP137" s="56"/>
      <c r="AQ137" s="68"/>
    </row>
    <row r="138" spans="3:43" x14ac:dyDescent="0.2">
      <c r="C138" s="67"/>
      <c r="D138" s="67"/>
      <c r="E138" s="67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68"/>
      <c r="Q138" s="56"/>
      <c r="R138" s="56"/>
      <c r="S138" s="56"/>
      <c r="T138" s="56"/>
      <c r="U138" s="68"/>
      <c r="V138" s="56"/>
      <c r="W138" s="56"/>
      <c r="X138" s="68"/>
      <c r="Y138" s="56"/>
      <c r="Z138" s="56"/>
      <c r="AA138" s="56"/>
      <c r="AB138" s="68"/>
      <c r="AD138" s="56"/>
      <c r="AE138" s="68"/>
      <c r="AG138" s="56"/>
      <c r="AH138" s="68"/>
      <c r="AJ138" s="56"/>
      <c r="AK138" s="68"/>
      <c r="AM138" s="56"/>
      <c r="AN138" s="68"/>
      <c r="AP138" s="56"/>
      <c r="AQ138" s="68"/>
    </row>
    <row r="139" spans="3:43" x14ac:dyDescent="0.2">
      <c r="C139" s="67"/>
      <c r="D139" s="67"/>
      <c r="E139" s="67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68"/>
      <c r="Q139" s="56"/>
      <c r="R139" s="56"/>
      <c r="S139" s="56"/>
      <c r="T139" s="56"/>
      <c r="U139" s="68"/>
      <c r="V139" s="56"/>
      <c r="W139" s="56"/>
      <c r="X139" s="68"/>
      <c r="Y139" s="56"/>
      <c r="Z139" s="56"/>
      <c r="AA139" s="56"/>
      <c r="AB139" s="68"/>
      <c r="AD139" s="56"/>
      <c r="AE139" s="68"/>
      <c r="AG139" s="56"/>
      <c r="AH139" s="68"/>
      <c r="AJ139" s="56"/>
      <c r="AK139" s="68"/>
      <c r="AM139" s="56"/>
      <c r="AN139" s="68"/>
      <c r="AP139" s="56"/>
      <c r="AQ139" s="68"/>
    </row>
    <row r="140" spans="3:43" x14ac:dyDescent="0.2">
      <c r="C140" s="67"/>
      <c r="D140" s="67"/>
      <c r="E140" s="67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68"/>
      <c r="Q140" s="56"/>
      <c r="R140" s="56"/>
      <c r="S140" s="56"/>
      <c r="T140" s="56"/>
      <c r="U140" s="68"/>
      <c r="V140" s="56"/>
      <c r="W140" s="56"/>
      <c r="X140" s="68"/>
      <c r="Y140" s="56"/>
      <c r="Z140" s="56"/>
      <c r="AA140" s="56"/>
      <c r="AB140" s="68"/>
      <c r="AD140" s="56"/>
      <c r="AE140" s="68"/>
      <c r="AG140" s="56"/>
      <c r="AH140" s="68"/>
      <c r="AJ140" s="56"/>
      <c r="AK140" s="68"/>
      <c r="AM140" s="56"/>
      <c r="AN140" s="68"/>
      <c r="AP140" s="56"/>
      <c r="AQ140" s="68"/>
    </row>
    <row r="141" spans="3:43" x14ac:dyDescent="0.2">
      <c r="C141" s="67"/>
      <c r="D141" s="67"/>
      <c r="E141" s="67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68"/>
      <c r="Q141" s="56"/>
      <c r="R141" s="56"/>
      <c r="S141" s="56"/>
      <c r="T141" s="56"/>
      <c r="U141" s="68"/>
      <c r="V141" s="56"/>
      <c r="W141" s="56"/>
      <c r="X141" s="68"/>
      <c r="Y141" s="56"/>
      <c r="Z141" s="56"/>
      <c r="AA141" s="56"/>
      <c r="AB141" s="68"/>
      <c r="AD141" s="56"/>
      <c r="AE141" s="68"/>
      <c r="AG141" s="56"/>
      <c r="AH141" s="68"/>
      <c r="AJ141" s="56"/>
      <c r="AK141" s="68"/>
      <c r="AM141" s="56"/>
      <c r="AN141" s="68"/>
      <c r="AP141" s="56"/>
      <c r="AQ141" s="68"/>
    </row>
    <row r="142" spans="3:43" x14ac:dyDescent="0.2">
      <c r="C142" s="67"/>
      <c r="D142" s="67"/>
      <c r="E142" s="67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68"/>
      <c r="Q142" s="56"/>
      <c r="R142" s="56"/>
      <c r="S142" s="56"/>
      <c r="T142" s="56"/>
      <c r="U142" s="68"/>
      <c r="V142" s="56"/>
      <c r="W142" s="56"/>
      <c r="X142" s="68"/>
      <c r="Y142" s="56"/>
      <c r="Z142" s="56"/>
      <c r="AA142" s="56"/>
      <c r="AB142" s="68"/>
      <c r="AD142" s="56"/>
      <c r="AE142" s="68"/>
      <c r="AG142" s="56"/>
      <c r="AH142" s="68"/>
      <c r="AJ142" s="56"/>
      <c r="AK142" s="68"/>
      <c r="AM142" s="56"/>
      <c r="AN142" s="68"/>
      <c r="AP142" s="56"/>
      <c r="AQ142" s="68"/>
    </row>
    <row r="143" spans="3:43" x14ac:dyDescent="0.2">
      <c r="C143" s="67"/>
      <c r="D143" s="67"/>
      <c r="E143" s="67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68"/>
      <c r="Q143" s="56"/>
      <c r="R143" s="56"/>
      <c r="S143" s="56"/>
      <c r="T143" s="56"/>
      <c r="U143" s="68"/>
      <c r="V143" s="56"/>
      <c r="W143" s="56"/>
      <c r="X143" s="68"/>
      <c r="Y143" s="56"/>
      <c r="Z143" s="56"/>
      <c r="AA143" s="56"/>
      <c r="AB143" s="68"/>
      <c r="AD143" s="56"/>
      <c r="AE143" s="68"/>
      <c r="AG143" s="56"/>
      <c r="AH143" s="68"/>
      <c r="AJ143" s="56"/>
      <c r="AK143" s="68"/>
      <c r="AM143" s="56"/>
      <c r="AN143" s="68"/>
      <c r="AP143" s="56"/>
      <c r="AQ143" s="68"/>
    </row>
    <row r="144" spans="3:43" x14ac:dyDescent="0.2">
      <c r="C144" s="67"/>
      <c r="D144" s="67"/>
      <c r="E144" s="67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68"/>
      <c r="Q144" s="56"/>
      <c r="R144" s="56"/>
      <c r="S144" s="56"/>
      <c r="T144" s="56"/>
      <c r="U144" s="68"/>
      <c r="V144" s="56"/>
      <c r="W144" s="56"/>
      <c r="X144" s="68"/>
      <c r="Y144" s="56"/>
      <c r="Z144" s="56"/>
      <c r="AA144" s="56"/>
      <c r="AB144" s="68"/>
      <c r="AD144" s="56"/>
      <c r="AE144" s="68"/>
      <c r="AG144" s="56"/>
      <c r="AH144" s="68"/>
      <c r="AJ144" s="56"/>
      <c r="AK144" s="68"/>
      <c r="AM144" s="56"/>
      <c r="AN144" s="68"/>
      <c r="AP144" s="56"/>
      <c r="AQ144" s="68"/>
    </row>
    <row r="145" spans="3:43" x14ac:dyDescent="0.2">
      <c r="C145" s="67"/>
      <c r="D145" s="67"/>
      <c r="E145" s="67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68"/>
      <c r="Q145" s="56"/>
      <c r="R145" s="56"/>
      <c r="S145" s="56"/>
      <c r="T145" s="56"/>
      <c r="U145" s="68"/>
      <c r="V145" s="56"/>
      <c r="W145" s="56"/>
      <c r="X145" s="68"/>
      <c r="Y145" s="56"/>
      <c r="Z145" s="56"/>
      <c r="AA145" s="56"/>
      <c r="AB145" s="68"/>
      <c r="AD145" s="56"/>
      <c r="AE145" s="68"/>
      <c r="AG145" s="56"/>
      <c r="AH145" s="68"/>
      <c r="AJ145" s="56"/>
      <c r="AK145" s="68"/>
      <c r="AM145" s="56"/>
      <c r="AN145" s="68"/>
      <c r="AP145" s="56"/>
      <c r="AQ145" s="68"/>
    </row>
    <row r="146" spans="3:43" x14ac:dyDescent="0.2">
      <c r="C146" s="67"/>
      <c r="D146" s="67"/>
      <c r="E146" s="67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68"/>
      <c r="Q146" s="56"/>
      <c r="R146" s="56"/>
      <c r="S146" s="56"/>
      <c r="T146" s="56"/>
      <c r="U146" s="68"/>
      <c r="V146" s="56"/>
      <c r="W146" s="56"/>
      <c r="X146" s="68"/>
      <c r="Y146" s="56"/>
      <c r="Z146" s="56"/>
      <c r="AA146" s="56"/>
      <c r="AB146" s="68"/>
      <c r="AD146" s="56"/>
      <c r="AE146" s="68"/>
      <c r="AG146" s="56"/>
      <c r="AH146" s="68"/>
      <c r="AJ146" s="56"/>
      <c r="AK146" s="68"/>
      <c r="AM146" s="56"/>
      <c r="AN146" s="68"/>
      <c r="AP146" s="56"/>
      <c r="AQ146" s="68"/>
    </row>
    <row r="147" spans="3:43" x14ac:dyDescent="0.2">
      <c r="C147" s="67"/>
      <c r="D147" s="67"/>
      <c r="E147" s="6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68"/>
      <c r="Q147" s="56"/>
      <c r="R147" s="56"/>
      <c r="S147" s="56"/>
      <c r="T147" s="56"/>
      <c r="U147" s="68"/>
      <c r="V147" s="56"/>
      <c r="W147" s="56"/>
      <c r="X147" s="68"/>
      <c r="Y147" s="56"/>
      <c r="Z147" s="56"/>
      <c r="AA147" s="56"/>
      <c r="AB147" s="68"/>
      <c r="AD147" s="56"/>
      <c r="AE147" s="68"/>
      <c r="AG147" s="56"/>
      <c r="AH147" s="68"/>
      <c r="AJ147" s="56"/>
      <c r="AK147" s="68"/>
      <c r="AM147" s="56"/>
      <c r="AN147" s="68"/>
      <c r="AP147" s="56"/>
      <c r="AQ147" s="68"/>
    </row>
    <row r="148" spans="3:43" x14ac:dyDescent="0.2">
      <c r="C148" s="67"/>
      <c r="D148" s="67"/>
      <c r="E148" s="6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68"/>
      <c r="Q148" s="56"/>
      <c r="R148" s="56"/>
      <c r="S148" s="56"/>
      <c r="T148" s="56"/>
      <c r="U148" s="68"/>
      <c r="V148" s="56"/>
      <c r="W148" s="56"/>
      <c r="X148" s="68"/>
      <c r="Y148" s="56"/>
      <c r="Z148" s="56"/>
      <c r="AA148" s="56"/>
      <c r="AB148" s="68"/>
      <c r="AD148" s="56"/>
      <c r="AE148" s="68"/>
      <c r="AG148" s="56"/>
      <c r="AH148" s="68"/>
      <c r="AJ148" s="56"/>
      <c r="AK148" s="68"/>
      <c r="AM148" s="56"/>
      <c r="AN148" s="68"/>
      <c r="AP148" s="56"/>
      <c r="AQ148" s="68"/>
    </row>
    <row r="149" spans="3:43" x14ac:dyDescent="0.2">
      <c r="C149" s="67"/>
      <c r="D149" s="67"/>
      <c r="E149" s="67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68"/>
      <c r="Q149" s="56"/>
      <c r="R149" s="56"/>
      <c r="S149" s="56"/>
      <c r="T149" s="56"/>
      <c r="U149" s="68"/>
      <c r="V149" s="56"/>
      <c r="W149" s="56"/>
      <c r="X149" s="68"/>
      <c r="Y149" s="56"/>
      <c r="Z149" s="56"/>
      <c r="AA149" s="56"/>
      <c r="AB149" s="68"/>
      <c r="AD149" s="56"/>
      <c r="AE149" s="68"/>
      <c r="AG149" s="56"/>
      <c r="AH149" s="68"/>
      <c r="AJ149" s="56"/>
      <c r="AK149" s="68"/>
      <c r="AM149" s="56"/>
      <c r="AN149" s="68"/>
      <c r="AP149" s="56"/>
      <c r="AQ149" s="68"/>
    </row>
    <row r="150" spans="3:43" x14ac:dyDescent="0.2">
      <c r="C150" s="67"/>
      <c r="D150" s="67"/>
      <c r="E150" s="67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68"/>
      <c r="Q150" s="56"/>
      <c r="R150" s="56"/>
      <c r="S150" s="56"/>
      <c r="T150" s="56"/>
      <c r="U150" s="68"/>
      <c r="V150" s="56"/>
      <c r="W150" s="56"/>
      <c r="X150" s="68"/>
      <c r="Y150" s="56"/>
      <c r="Z150" s="56"/>
      <c r="AA150" s="56"/>
      <c r="AB150" s="68"/>
      <c r="AD150" s="56"/>
      <c r="AE150" s="68"/>
      <c r="AG150" s="56"/>
      <c r="AH150" s="68"/>
      <c r="AJ150" s="56"/>
      <c r="AK150" s="68"/>
      <c r="AM150" s="56"/>
      <c r="AN150" s="68"/>
      <c r="AP150" s="56"/>
      <c r="AQ150" s="68"/>
    </row>
    <row r="151" spans="3:43" x14ac:dyDescent="0.2">
      <c r="C151" s="67"/>
      <c r="D151" s="67"/>
      <c r="E151" s="67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68"/>
      <c r="Q151" s="56"/>
      <c r="R151" s="56"/>
      <c r="S151" s="56"/>
      <c r="T151" s="56"/>
      <c r="U151" s="68"/>
      <c r="V151" s="56"/>
      <c r="W151" s="56"/>
      <c r="X151" s="68"/>
      <c r="Y151" s="56"/>
      <c r="Z151" s="56"/>
      <c r="AA151" s="56"/>
      <c r="AB151" s="68"/>
      <c r="AD151" s="56"/>
      <c r="AE151" s="68"/>
      <c r="AG151" s="56"/>
      <c r="AH151" s="68"/>
      <c r="AJ151" s="56"/>
      <c r="AK151" s="68"/>
      <c r="AM151" s="56"/>
      <c r="AN151" s="68"/>
      <c r="AP151" s="56"/>
      <c r="AQ151" s="68"/>
    </row>
    <row r="152" spans="3:43" x14ac:dyDescent="0.2">
      <c r="C152" s="67"/>
      <c r="D152" s="67"/>
      <c r="E152" s="6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68"/>
      <c r="Q152" s="56"/>
      <c r="R152" s="56"/>
      <c r="S152" s="56"/>
      <c r="T152" s="56"/>
      <c r="U152" s="68"/>
      <c r="V152" s="56"/>
      <c r="W152" s="56"/>
      <c r="X152" s="68"/>
      <c r="Y152" s="56"/>
      <c r="Z152" s="56"/>
      <c r="AA152" s="56"/>
      <c r="AB152" s="68"/>
      <c r="AD152" s="56"/>
      <c r="AE152" s="68"/>
      <c r="AG152" s="56"/>
      <c r="AH152" s="68"/>
      <c r="AJ152" s="56"/>
      <c r="AK152" s="68"/>
      <c r="AM152" s="56"/>
      <c r="AN152" s="68"/>
      <c r="AP152" s="56"/>
      <c r="AQ152" s="68"/>
    </row>
    <row r="153" spans="3:43" x14ac:dyDescent="0.2">
      <c r="C153" s="67"/>
      <c r="D153" s="67"/>
      <c r="E153" s="67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68"/>
      <c r="Q153" s="56"/>
      <c r="R153" s="56"/>
      <c r="S153" s="56"/>
      <c r="T153" s="56"/>
      <c r="U153" s="68"/>
      <c r="V153" s="56"/>
      <c r="W153" s="56"/>
      <c r="X153" s="68"/>
      <c r="Y153" s="56"/>
      <c r="Z153" s="56"/>
      <c r="AA153" s="56"/>
      <c r="AB153" s="68"/>
      <c r="AD153" s="56"/>
      <c r="AE153" s="68"/>
      <c r="AG153" s="56"/>
      <c r="AH153" s="68"/>
      <c r="AJ153" s="56"/>
      <c r="AK153" s="68"/>
      <c r="AM153" s="56"/>
      <c r="AN153" s="68"/>
      <c r="AP153" s="56"/>
      <c r="AQ153" s="68"/>
    </row>
    <row r="154" spans="3:43" x14ac:dyDescent="0.2">
      <c r="C154" s="67"/>
      <c r="D154" s="67"/>
      <c r="E154" s="67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68"/>
      <c r="Q154" s="56"/>
      <c r="R154" s="56"/>
      <c r="S154" s="56"/>
      <c r="T154" s="56"/>
      <c r="U154" s="68"/>
      <c r="V154" s="56"/>
      <c r="W154" s="56"/>
      <c r="X154" s="68"/>
      <c r="Y154" s="56"/>
      <c r="Z154" s="56"/>
      <c r="AA154" s="56"/>
      <c r="AB154" s="68"/>
      <c r="AD154" s="56"/>
      <c r="AE154" s="68"/>
      <c r="AG154" s="56"/>
      <c r="AH154" s="68"/>
      <c r="AJ154" s="56"/>
      <c r="AK154" s="68"/>
      <c r="AM154" s="56"/>
      <c r="AN154" s="68"/>
      <c r="AP154" s="56"/>
      <c r="AQ154" s="68"/>
    </row>
    <row r="155" spans="3:43" x14ac:dyDescent="0.2">
      <c r="C155" s="67"/>
      <c r="D155" s="67"/>
      <c r="E155" s="67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68"/>
      <c r="Q155" s="56"/>
      <c r="R155" s="56"/>
      <c r="S155" s="56"/>
      <c r="T155" s="56"/>
      <c r="U155" s="68"/>
      <c r="V155" s="56"/>
      <c r="W155" s="56"/>
      <c r="X155" s="68"/>
      <c r="Y155" s="56"/>
      <c r="Z155" s="56"/>
      <c r="AA155" s="56"/>
      <c r="AB155" s="68"/>
      <c r="AD155" s="56"/>
      <c r="AE155" s="68"/>
      <c r="AG155" s="56"/>
      <c r="AH155" s="68"/>
      <c r="AJ155" s="56"/>
      <c r="AK155" s="68"/>
      <c r="AM155" s="56"/>
      <c r="AN155" s="68"/>
      <c r="AP155" s="56"/>
      <c r="AQ155" s="68"/>
    </row>
    <row r="156" spans="3:43" x14ac:dyDescent="0.2">
      <c r="C156" s="67"/>
      <c r="D156" s="67"/>
      <c r="E156" s="67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68"/>
      <c r="Q156" s="56"/>
      <c r="R156" s="56"/>
      <c r="S156" s="56"/>
      <c r="T156" s="56"/>
      <c r="U156" s="68"/>
      <c r="V156" s="56"/>
      <c r="W156" s="56"/>
      <c r="X156" s="68"/>
      <c r="Y156" s="56"/>
      <c r="Z156" s="56"/>
      <c r="AA156" s="56"/>
      <c r="AB156" s="68"/>
      <c r="AD156" s="56"/>
      <c r="AE156" s="68"/>
      <c r="AG156" s="56"/>
      <c r="AH156" s="68"/>
      <c r="AJ156" s="56"/>
      <c r="AK156" s="68"/>
      <c r="AM156" s="56"/>
      <c r="AN156" s="68"/>
      <c r="AP156" s="56"/>
      <c r="AQ156" s="68"/>
    </row>
    <row r="157" spans="3:43" x14ac:dyDescent="0.2">
      <c r="C157" s="67"/>
      <c r="D157" s="67"/>
      <c r="E157" s="67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68"/>
      <c r="Q157" s="56"/>
      <c r="R157" s="56"/>
      <c r="S157" s="56"/>
      <c r="T157" s="56"/>
      <c r="U157" s="68"/>
      <c r="V157" s="56"/>
      <c r="W157" s="56"/>
      <c r="X157" s="68"/>
      <c r="Y157" s="56"/>
      <c r="Z157" s="56"/>
      <c r="AA157" s="56"/>
      <c r="AB157" s="68"/>
      <c r="AD157" s="56"/>
      <c r="AE157" s="68"/>
      <c r="AG157" s="56"/>
      <c r="AH157" s="68"/>
      <c r="AJ157" s="56"/>
      <c r="AK157" s="68"/>
      <c r="AM157" s="56"/>
      <c r="AN157" s="68"/>
      <c r="AP157" s="56"/>
      <c r="AQ157" s="68"/>
    </row>
    <row r="158" spans="3:43" x14ac:dyDescent="0.2">
      <c r="C158" s="67"/>
      <c r="D158" s="67"/>
      <c r="E158" s="67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68"/>
      <c r="Q158" s="56"/>
      <c r="R158" s="56"/>
      <c r="S158" s="56"/>
      <c r="T158" s="56"/>
      <c r="U158" s="68"/>
      <c r="V158" s="56"/>
      <c r="W158" s="56"/>
      <c r="X158" s="68"/>
      <c r="Y158" s="56"/>
      <c r="Z158" s="56"/>
      <c r="AA158" s="56"/>
      <c r="AB158" s="68"/>
      <c r="AD158" s="56"/>
      <c r="AE158" s="68"/>
      <c r="AG158" s="56"/>
      <c r="AH158" s="68"/>
      <c r="AJ158" s="56"/>
      <c r="AK158" s="68"/>
      <c r="AM158" s="56"/>
      <c r="AN158" s="68"/>
      <c r="AP158" s="56"/>
      <c r="AQ158" s="68"/>
    </row>
    <row r="159" spans="3:43" x14ac:dyDescent="0.2">
      <c r="C159" s="67"/>
      <c r="D159" s="67"/>
      <c r="E159" s="67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68"/>
      <c r="Q159" s="56"/>
      <c r="R159" s="56"/>
      <c r="S159" s="56"/>
      <c r="T159" s="56"/>
      <c r="U159" s="68"/>
      <c r="V159" s="56"/>
      <c r="W159" s="56"/>
      <c r="X159" s="68"/>
      <c r="Y159" s="56"/>
      <c r="Z159" s="56"/>
      <c r="AA159" s="56"/>
      <c r="AB159" s="68"/>
      <c r="AD159" s="56"/>
      <c r="AE159" s="68"/>
      <c r="AG159" s="56"/>
      <c r="AH159" s="68"/>
      <c r="AJ159" s="56"/>
      <c r="AK159" s="68"/>
      <c r="AM159" s="56"/>
      <c r="AN159" s="68"/>
      <c r="AP159" s="56"/>
      <c r="AQ159" s="68"/>
    </row>
    <row r="160" spans="3:43" x14ac:dyDescent="0.2">
      <c r="C160" s="67"/>
      <c r="D160" s="67"/>
      <c r="E160" s="67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68"/>
      <c r="Q160" s="56"/>
      <c r="R160" s="56"/>
      <c r="S160" s="56"/>
      <c r="T160" s="56"/>
      <c r="U160" s="68"/>
      <c r="V160" s="56"/>
      <c r="W160" s="56"/>
      <c r="X160" s="68"/>
      <c r="Y160" s="56"/>
      <c r="Z160" s="56"/>
      <c r="AA160" s="56"/>
      <c r="AB160" s="68"/>
      <c r="AD160" s="56"/>
      <c r="AE160" s="68"/>
      <c r="AG160" s="56"/>
      <c r="AH160" s="68"/>
      <c r="AJ160" s="56"/>
      <c r="AK160" s="68"/>
      <c r="AM160" s="56"/>
      <c r="AN160" s="68"/>
      <c r="AP160" s="56"/>
      <c r="AQ160" s="68"/>
    </row>
    <row r="161" spans="3:43" x14ac:dyDescent="0.2">
      <c r="C161" s="67"/>
      <c r="D161" s="67"/>
      <c r="E161" s="67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68"/>
      <c r="Q161" s="56"/>
      <c r="R161" s="56"/>
      <c r="S161" s="56"/>
      <c r="T161" s="56"/>
      <c r="U161" s="68"/>
      <c r="V161" s="56"/>
      <c r="W161" s="56"/>
      <c r="X161" s="68"/>
      <c r="Y161" s="56"/>
      <c r="Z161" s="56"/>
      <c r="AA161" s="56"/>
      <c r="AB161" s="68"/>
      <c r="AD161" s="56"/>
      <c r="AE161" s="68"/>
      <c r="AG161" s="56"/>
      <c r="AH161" s="68"/>
      <c r="AJ161" s="56"/>
      <c r="AK161" s="68"/>
      <c r="AM161" s="56"/>
      <c r="AN161" s="68"/>
      <c r="AP161" s="56"/>
      <c r="AQ161" s="68"/>
    </row>
    <row r="162" spans="3:43" x14ac:dyDescent="0.2">
      <c r="C162" s="67"/>
      <c r="D162" s="67"/>
      <c r="E162" s="67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68"/>
      <c r="Q162" s="56"/>
      <c r="R162" s="56"/>
      <c r="S162" s="56"/>
      <c r="T162" s="56"/>
      <c r="U162" s="68"/>
      <c r="V162" s="56"/>
      <c r="W162" s="56"/>
      <c r="X162" s="68"/>
      <c r="Y162" s="56"/>
      <c r="Z162" s="56"/>
      <c r="AA162" s="56"/>
      <c r="AB162" s="68"/>
      <c r="AD162" s="56"/>
      <c r="AE162" s="68"/>
      <c r="AG162" s="56"/>
      <c r="AH162" s="68"/>
      <c r="AJ162" s="56"/>
      <c r="AK162" s="68"/>
      <c r="AM162" s="56"/>
      <c r="AN162" s="68"/>
      <c r="AP162" s="56"/>
      <c r="AQ162" s="68"/>
    </row>
    <row r="163" spans="3:43" x14ac:dyDescent="0.2">
      <c r="C163" s="67"/>
      <c r="D163" s="67"/>
      <c r="E163" s="67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68"/>
      <c r="Q163" s="56"/>
      <c r="R163" s="56"/>
      <c r="S163" s="56"/>
      <c r="T163" s="56"/>
      <c r="U163" s="68"/>
      <c r="V163" s="56"/>
      <c r="W163" s="56"/>
      <c r="X163" s="68"/>
      <c r="Y163" s="56"/>
      <c r="Z163" s="56"/>
      <c r="AA163" s="56"/>
      <c r="AB163" s="68"/>
      <c r="AD163" s="56"/>
      <c r="AE163" s="68"/>
      <c r="AG163" s="56"/>
      <c r="AH163" s="68"/>
      <c r="AJ163" s="56"/>
      <c r="AK163" s="68"/>
      <c r="AM163" s="56"/>
      <c r="AN163" s="68"/>
      <c r="AP163" s="56"/>
      <c r="AQ163" s="68"/>
    </row>
    <row r="164" spans="3:43" x14ac:dyDescent="0.2">
      <c r="C164" s="67"/>
      <c r="D164" s="67"/>
      <c r="E164" s="67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68"/>
      <c r="Q164" s="56"/>
      <c r="R164" s="56"/>
      <c r="S164" s="56"/>
      <c r="T164" s="56"/>
      <c r="U164" s="68"/>
      <c r="V164" s="56"/>
      <c r="W164" s="56"/>
      <c r="X164" s="68"/>
      <c r="Y164" s="56"/>
      <c r="Z164" s="56"/>
      <c r="AA164" s="56"/>
      <c r="AB164" s="68"/>
      <c r="AD164" s="56"/>
      <c r="AE164" s="68"/>
      <c r="AG164" s="56"/>
      <c r="AH164" s="68"/>
      <c r="AJ164" s="56"/>
      <c r="AK164" s="68"/>
      <c r="AM164" s="56"/>
      <c r="AN164" s="68"/>
      <c r="AP164" s="56"/>
      <c r="AQ164" s="68"/>
    </row>
    <row r="165" spans="3:43" x14ac:dyDescent="0.2">
      <c r="C165" s="67"/>
      <c r="D165" s="67"/>
      <c r="E165" s="67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68"/>
      <c r="Q165" s="56"/>
      <c r="R165" s="56"/>
      <c r="S165" s="56"/>
      <c r="T165" s="56"/>
      <c r="U165" s="68"/>
      <c r="V165" s="56"/>
      <c r="W165" s="56"/>
      <c r="X165" s="68"/>
      <c r="Y165" s="56"/>
      <c r="Z165" s="56"/>
      <c r="AA165" s="56"/>
      <c r="AB165" s="68"/>
      <c r="AD165" s="56"/>
      <c r="AE165" s="68"/>
      <c r="AG165" s="56"/>
      <c r="AH165" s="68"/>
      <c r="AJ165" s="56"/>
      <c r="AK165" s="68"/>
      <c r="AM165" s="56"/>
      <c r="AN165" s="68"/>
      <c r="AP165" s="56"/>
      <c r="AQ165" s="68"/>
    </row>
    <row r="166" spans="3:43" x14ac:dyDescent="0.2">
      <c r="C166" s="67"/>
      <c r="D166" s="67"/>
      <c r="E166" s="67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68"/>
      <c r="Q166" s="56"/>
      <c r="R166" s="56"/>
      <c r="S166" s="56"/>
      <c r="T166" s="56"/>
      <c r="U166" s="68"/>
      <c r="V166" s="56"/>
      <c r="W166" s="56"/>
      <c r="X166" s="68"/>
      <c r="Y166" s="56"/>
      <c r="Z166" s="56"/>
      <c r="AA166" s="56"/>
      <c r="AB166" s="68"/>
      <c r="AD166" s="56"/>
      <c r="AE166" s="68"/>
      <c r="AG166" s="56"/>
      <c r="AH166" s="68"/>
      <c r="AJ166" s="56"/>
      <c r="AK166" s="68"/>
      <c r="AM166" s="56"/>
      <c r="AN166" s="68"/>
      <c r="AP166" s="56"/>
      <c r="AQ166" s="68"/>
    </row>
    <row r="167" spans="3:43" x14ac:dyDescent="0.2">
      <c r="C167" s="67"/>
      <c r="D167" s="67"/>
      <c r="E167" s="67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68"/>
      <c r="Q167" s="56"/>
      <c r="R167" s="56"/>
      <c r="S167" s="56"/>
      <c r="T167" s="56"/>
      <c r="U167" s="68"/>
      <c r="V167" s="56"/>
      <c r="W167" s="56"/>
      <c r="X167" s="68"/>
      <c r="Y167" s="56"/>
      <c r="Z167" s="56"/>
      <c r="AA167" s="56"/>
      <c r="AB167" s="68"/>
      <c r="AD167" s="56"/>
      <c r="AE167" s="68"/>
      <c r="AG167" s="56"/>
      <c r="AH167" s="68"/>
      <c r="AJ167" s="56"/>
      <c r="AK167" s="68"/>
      <c r="AM167" s="56"/>
      <c r="AN167" s="68"/>
      <c r="AP167" s="56"/>
      <c r="AQ167" s="68"/>
    </row>
    <row r="168" spans="3:43" x14ac:dyDescent="0.2">
      <c r="C168" s="67"/>
      <c r="D168" s="67"/>
      <c r="E168" s="67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68"/>
      <c r="Q168" s="56"/>
      <c r="R168" s="56"/>
      <c r="S168" s="56"/>
      <c r="T168" s="56"/>
      <c r="U168" s="68"/>
      <c r="V168" s="56"/>
      <c r="W168" s="56"/>
      <c r="X168" s="68"/>
      <c r="Y168" s="56"/>
      <c r="Z168" s="56"/>
      <c r="AA168" s="56"/>
      <c r="AB168" s="68"/>
      <c r="AD168" s="56"/>
      <c r="AE168" s="68"/>
      <c r="AG168" s="56"/>
      <c r="AH168" s="68"/>
      <c r="AJ168" s="56"/>
      <c r="AK168" s="68"/>
      <c r="AM168" s="56"/>
      <c r="AN168" s="68"/>
      <c r="AP168" s="56"/>
      <c r="AQ168" s="68"/>
    </row>
    <row r="169" spans="3:43" x14ac:dyDescent="0.2">
      <c r="C169" s="67"/>
      <c r="D169" s="67"/>
      <c r="E169" s="67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68"/>
      <c r="Q169" s="56"/>
      <c r="R169" s="56"/>
      <c r="S169" s="56"/>
      <c r="T169" s="56"/>
      <c r="U169" s="68"/>
      <c r="V169" s="56"/>
      <c r="W169" s="56"/>
      <c r="X169" s="68"/>
      <c r="Y169" s="56"/>
      <c r="Z169" s="56"/>
      <c r="AA169" s="56"/>
      <c r="AB169" s="68"/>
      <c r="AD169" s="56"/>
      <c r="AE169" s="68"/>
      <c r="AG169" s="56"/>
      <c r="AH169" s="68"/>
      <c r="AJ169" s="56"/>
      <c r="AK169" s="68"/>
      <c r="AM169" s="56"/>
      <c r="AN169" s="68"/>
      <c r="AP169" s="56"/>
      <c r="AQ169" s="68"/>
    </row>
    <row r="170" spans="3:43" x14ac:dyDescent="0.2">
      <c r="C170" s="67"/>
      <c r="D170" s="67"/>
      <c r="E170" s="67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68"/>
      <c r="Q170" s="56"/>
      <c r="R170" s="56"/>
      <c r="S170" s="56"/>
      <c r="T170" s="56"/>
      <c r="U170" s="68"/>
      <c r="V170" s="56"/>
      <c r="W170" s="56"/>
      <c r="X170" s="68"/>
      <c r="Y170" s="56"/>
      <c r="Z170" s="56"/>
      <c r="AA170" s="56"/>
      <c r="AB170" s="68"/>
      <c r="AD170" s="56"/>
      <c r="AE170" s="68"/>
      <c r="AG170" s="56"/>
      <c r="AH170" s="68"/>
      <c r="AJ170" s="56"/>
      <c r="AK170" s="68"/>
      <c r="AM170" s="56"/>
      <c r="AN170" s="68"/>
      <c r="AP170" s="56"/>
      <c r="AQ170" s="68"/>
    </row>
    <row r="171" spans="3:43" x14ac:dyDescent="0.2">
      <c r="C171" s="67"/>
      <c r="D171" s="67"/>
      <c r="E171" s="67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68"/>
      <c r="Q171" s="56"/>
      <c r="R171" s="56"/>
      <c r="S171" s="56"/>
      <c r="T171" s="56"/>
      <c r="U171" s="68"/>
      <c r="V171" s="56"/>
      <c r="W171" s="56"/>
      <c r="X171" s="68"/>
      <c r="Y171" s="56"/>
      <c r="Z171" s="56"/>
      <c r="AA171" s="56"/>
      <c r="AB171" s="68"/>
      <c r="AD171" s="56"/>
      <c r="AE171" s="68"/>
      <c r="AG171" s="56"/>
      <c r="AH171" s="68"/>
      <c r="AJ171" s="56"/>
      <c r="AK171" s="68"/>
      <c r="AM171" s="56"/>
      <c r="AN171" s="68"/>
      <c r="AP171" s="56"/>
      <c r="AQ171" s="68"/>
    </row>
    <row r="172" spans="3:43" x14ac:dyDescent="0.2">
      <c r="C172" s="67"/>
      <c r="D172" s="67"/>
      <c r="E172" s="67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68"/>
      <c r="Q172" s="56"/>
      <c r="R172" s="56"/>
      <c r="S172" s="56"/>
      <c r="T172" s="56"/>
      <c r="U172" s="68"/>
      <c r="V172" s="56"/>
      <c r="W172" s="56"/>
      <c r="X172" s="68"/>
      <c r="Y172" s="56"/>
      <c r="Z172" s="56"/>
      <c r="AA172" s="56"/>
      <c r="AB172" s="68"/>
      <c r="AD172" s="56"/>
      <c r="AE172" s="68"/>
      <c r="AG172" s="56"/>
      <c r="AH172" s="68"/>
      <c r="AJ172" s="56"/>
      <c r="AK172" s="68"/>
      <c r="AM172" s="56"/>
      <c r="AN172" s="68"/>
      <c r="AP172" s="56"/>
      <c r="AQ172" s="68"/>
    </row>
    <row r="173" spans="3:43" x14ac:dyDescent="0.2">
      <c r="C173" s="67"/>
      <c r="D173" s="67"/>
      <c r="E173" s="67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68"/>
      <c r="Q173" s="56"/>
      <c r="R173" s="56"/>
      <c r="S173" s="56"/>
      <c r="T173" s="56"/>
      <c r="U173" s="68"/>
      <c r="V173" s="56"/>
      <c r="W173" s="56"/>
      <c r="X173" s="68"/>
      <c r="Y173" s="56"/>
      <c r="Z173" s="56"/>
      <c r="AA173" s="56"/>
      <c r="AB173" s="68"/>
      <c r="AD173" s="56"/>
      <c r="AE173" s="68"/>
      <c r="AG173" s="56"/>
      <c r="AH173" s="68"/>
      <c r="AJ173" s="56"/>
      <c r="AK173" s="68"/>
      <c r="AM173" s="56"/>
      <c r="AN173" s="68"/>
      <c r="AP173" s="56"/>
      <c r="AQ173" s="68"/>
    </row>
    <row r="174" spans="3:43" x14ac:dyDescent="0.2">
      <c r="C174" s="67"/>
      <c r="D174" s="67"/>
      <c r="E174" s="67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68"/>
      <c r="Q174" s="56"/>
      <c r="R174" s="56"/>
      <c r="S174" s="56"/>
      <c r="T174" s="56"/>
      <c r="U174" s="68"/>
      <c r="V174" s="56"/>
      <c r="W174" s="56"/>
      <c r="X174" s="68"/>
      <c r="Y174" s="56"/>
      <c r="Z174" s="56"/>
      <c r="AA174" s="56"/>
      <c r="AB174" s="68"/>
      <c r="AD174" s="56"/>
      <c r="AE174" s="68"/>
      <c r="AG174" s="56"/>
      <c r="AH174" s="68"/>
      <c r="AJ174" s="56"/>
      <c r="AK174" s="68"/>
      <c r="AM174" s="56"/>
      <c r="AN174" s="68"/>
      <c r="AP174" s="56"/>
      <c r="AQ174" s="68"/>
    </row>
    <row r="175" spans="3:43" x14ac:dyDescent="0.2">
      <c r="C175" s="67"/>
      <c r="D175" s="67"/>
      <c r="E175" s="67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68"/>
      <c r="Q175" s="56"/>
      <c r="R175" s="56"/>
      <c r="S175" s="56"/>
      <c r="T175" s="56"/>
      <c r="U175" s="68"/>
      <c r="V175" s="56"/>
      <c r="W175" s="56"/>
      <c r="X175" s="68"/>
      <c r="Y175" s="56"/>
      <c r="Z175" s="56"/>
      <c r="AA175" s="56"/>
      <c r="AB175" s="68"/>
      <c r="AD175" s="56"/>
      <c r="AE175" s="68"/>
      <c r="AG175" s="56"/>
      <c r="AH175" s="68"/>
      <c r="AJ175" s="56"/>
      <c r="AK175" s="68"/>
      <c r="AM175" s="56"/>
      <c r="AN175" s="68"/>
      <c r="AP175" s="56"/>
      <c r="AQ175" s="68"/>
    </row>
    <row r="176" spans="3:43" x14ac:dyDescent="0.2">
      <c r="C176" s="67"/>
      <c r="D176" s="67"/>
      <c r="E176" s="67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68"/>
      <c r="Q176" s="56"/>
      <c r="R176" s="56"/>
      <c r="S176" s="56"/>
      <c r="T176" s="56"/>
      <c r="U176" s="68"/>
      <c r="V176" s="56"/>
      <c r="W176" s="56"/>
      <c r="X176" s="68"/>
      <c r="Y176" s="56"/>
      <c r="Z176" s="56"/>
      <c r="AA176" s="56"/>
      <c r="AB176" s="68"/>
      <c r="AD176" s="56"/>
      <c r="AE176" s="68"/>
      <c r="AG176" s="56"/>
      <c r="AH176" s="68"/>
      <c r="AJ176" s="56"/>
      <c r="AK176" s="68"/>
      <c r="AM176" s="56"/>
      <c r="AN176" s="68"/>
      <c r="AP176" s="56"/>
      <c r="AQ176" s="68"/>
    </row>
    <row r="177" spans="3:43" x14ac:dyDescent="0.2">
      <c r="C177" s="67"/>
      <c r="D177" s="67"/>
      <c r="E177" s="67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68"/>
      <c r="Q177" s="56"/>
      <c r="R177" s="56"/>
      <c r="S177" s="56"/>
      <c r="T177" s="56"/>
      <c r="U177" s="68"/>
      <c r="V177" s="56"/>
      <c r="W177" s="56"/>
      <c r="X177" s="68"/>
      <c r="Y177" s="56"/>
      <c r="Z177" s="56"/>
      <c r="AA177" s="56"/>
      <c r="AB177" s="68"/>
      <c r="AD177" s="56"/>
      <c r="AE177" s="68"/>
      <c r="AG177" s="56"/>
      <c r="AH177" s="68"/>
      <c r="AJ177" s="56"/>
      <c r="AK177" s="68"/>
      <c r="AM177" s="56"/>
      <c r="AN177" s="68"/>
      <c r="AP177" s="56"/>
      <c r="AQ177" s="68"/>
    </row>
    <row r="178" spans="3:43" x14ac:dyDescent="0.2">
      <c r="C178" s="67"/>
      <c r="D178" s="67"/>
      <c r="E178" s="67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68"/>
      <c r="Q178" s="56"/>
      <c r="R178" s="56"/>
      <c r="S178" s="56"/>
      <c r="T178" s="56"/>
      <c r="U178" s="68"/>
      <c r="V178" s="56"/>
      <c r="W178" s="56"/>
      <c r="X178" s="68"/>
      <c r="Y178" s="56"/>
      <c r="Z178" s="56"/>
      <c r="AA178" s="56"/>
      <c r="AB178" s="68"/>
      <c r="AD178" s="56"/>
      <c r="AE178" s="68"/>
      <c r="AG178" s="56"/>
      <c r="AH178" s="68"/>
      <c r="AJ178" s="56"/>
      <c r="AK178" s="68"/>
      <c r="AM178" s="56"/>
      <c r="AN178" s="68"/>
      <c r="AP178" s="56"/>
      <c r="AQ178" s="68"/>
    </row>
    <row r="179" spans="3:43" x14ac:dyDescent="0.2">
      <c r="C179" s="67"/>
      <c r="D179" s="67"/>
      <c r="E179" s="67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68"/>
      <c r="Q179" s="56"/>
      <c r="R179" s="56"/>
      <c r="S179" s="56"/>
      <c r="T179" s="56"/>
      <c r="U179" s="68"/>
      <c r="V179" s="56"/>
      <c r="W179" s="56"/>
      <c r="X179" s="68"/>
      <c r="Y179" s="56"/>
      <c r="Z179" s="56"/>
      <c r="AA179" s="56"/>
      <c r="AB179" s="68"/>
      <c r="AD179" s="56"/>
      <c r="AE179" s="68"/>
      <c r="AG179" s="56"/>
      <c r="AH179" s="68"/>
      <c r="AJ179" s="56"/>
      <c r="AK179" s="68"/>
      <c r="AM179" s="56"/>
      <c r="AN179" s="68"/>
      <c r="AP179" s="56"/>
      <c r="AQ179" s="68"/>
    </row>
    <row r="180" spans="3:43" x14ac:dyDescent="0.2">
      <c r="C180" s="67"/>
      <c r="D180" s="67"/>
      <c r="E180" s="67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68"/>
      <c r="Q180" s="56"/>
      <c r="R180" s="56"/>
      <c r="S180" s="56"/>
      <c r="T180" s="56"/>
      <c r="U180" s="68"/>
      <c r="V180" s="56"/>
      <c r="W180" s="56"/>
      <c r="X180" s="68"/>
      <c r="Y180" s="56"/>
      <c r="Z180" s="56"/>
      <c r="AA180" s="56"/>
      <c r="AB180" s="68"/>
      <c r="AD180" s="56"/>
      <c r="AE180" s="68"/>
      <c r="AG180" s="56"/>
      <c r="AH180" s="68"/>
      <c r="AJ180" s="56"/>
      <c r="AK180" s="68"/>
      <c r="AM180" s="56"/>
      <c r="AN180" s="68"/>
      <c r="AP180" s="56"/>
      <c r="AQ180" s="68"/>
    </row>
    <row r="181" spans="3:43" x14ac:dyDescent="0.2">
      <c r="C181" s="67"/>
      <c r="D181" s="67"/>
      <c r="E181" s="67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68"/>
      <c r="Q181" s="56"/>
      <c r="R181" s="56"/>
      <c r="S181" s="56"/>
      <c r="T181" s="56"/>
      <c r="U181" s="68"/>
      <c r="V181" s="56"/>
      <c r="W181" s="56"/>
      <c r="X181" s="68"/>
      <c r="Y181" s="56"/>
      <c r="Z181" s="56"/>
      <c r="AA181" s="56"/>
      <c r="AB181" s="68"/>
      <c r="AD181" s="56"/>
      <c r="AE181" s="68"/>
      <c r="AG181" s="56"/>
      <c r="AH181" s="68"/>
      <c r="AJ181" s="56"/>
      <c r="AK181" s="68"/>
      <c r="AM181" s="56"/>
      <c r="AN181" s="68"/>
      <c r="AP181" s="56"/>
      <c r="AQ181" s="68"/>
    </row>
    <row r="182" spans="3:43" x14ac:dyDescent="0.2">
      <c r="C182" s="67"/>
      <c r="D182" s="67"/>
      <c r="E182" s="67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68"/>
      <c r="Q182" s="56"/>
      <c r="R182" s="56"/>
      <c r="S182" s="56"/>
      <c r="T182" s="56"/>
      <c r="U182" s="68"/>
      <c r="V182" s="56"/>
      <c r="W182" s="56"/>
      <c r="X182" s="68"/>
      <c r="Y182" s="56"/>
      <c r="Z182" s="56"/>
      <c r="AA182" s="56"/>
      <c r="AB182" s="68"/>
      <c r="AD182" s="56"/>
      <c r="AE182" s="68"/>
      <c r="AG182" s="56"/>
      <c r="AH182" s="68"/>
      <c r="AJ182" s="56"/>
      <c r="AK182" s="68"/>
      <c r="AM182" s="56"/>
      <c r="AN182" s="68"/>
      <c r="AP182" s="56"/>
      <c r="AQ182" s="68"/>
    </row>
    <row r="183" spans="3:43" x14ac:dyDescent="0.2">
      <c r="C183" s="67"/>
      <c r="D183" s="67"/>
      <c r="E183" s="67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68"/>
      <c r="Q183" s="56"/>
      <c r="R183" s="56"/>
      <c r="S183" s="56"/>
      <c r="T183" s="56"/>
      <c r="U183" s="68"/>
      <c r="V183" s="56"/>
      <c r="W183" s="56"/>
      <c r="X183" s="68"/>
      <c r="Y183" s="56"/>
      <c r="Z183" s="56"/>
      <c r="AA183" s="56"/>
      <c r="AB183" s="68"/>
      <c r="AD183" s="56"/>
      <c r="AE183" s="68"/>
      <c r="AG183" s="56"/>
      <c r="AH183" s="68"/>
      <c r="AJ183" s="56"/>
      <c r="AK183" s="68"/>
      <c r="AM183" s="56"/>
      <c r="AN183" s="68"/>
      <c r="AP183" s="56"/>
      <c r="AQ183" s="68"/>
    </row>
    <row r="184" spans="3:43" x14ac:dyDescent="0.2">
      <c r="C184" s="67"/>
      <c r="D184" s="67"/>
      <c r="E184" s="67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68"/>
      <c r="Q184" s="56"/>
      <c r="R184" s="56"/>
      <c r="S184" s="56"/>
      <c r="T184" s="56"/>
      <c r="U184" s="68"/>
      <c r="V184" s="56"/>
      <c r="W184" s="56"/>
      <c r="X184" s="68"/>
      <c r="Y184" s="56"/>
      <c r="Z184" s="56"/>
      <c r="AA184" s="56"/>
      <c r="AB184" s="68"/>
      <c r="AD184" s="56"/>
      <c r="AE184" s="68"/>
      <c r="AG184" s="56"/>
      <c r="AH184" s="68"/>
      <c r="AJ184" s="56"/>
      <c r="AK184" s="68"/>
      <c r="AM184" s="56"/>
      <c r="AN184" s="68"/>
      <c r="AP184" s="56"/>
      <c r="AQ184" s="68"/>
    </row>
    <row r="185" spans="3:43" x14ac:dyDescent="0.2">
      <c r="C185" s="67"/>
      <c r="D185" s="67"/>
      <c r="E185" s="67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68"/>
      <c r="Q185" s="56"/>
      <c r="R185" s="56"/>
      <c r="S185" s="56"/>
      <c r="T185" s="56"/>
      <c r="U185" s="68"/>
      <c r="V185" s="56"/>
      <c r="W185" s="56"/>
      <c r="X185" s="68"/>
      <c r="Y185" s="56"/>
      <c r="Z185" s="56"/>
      <c r="AA185" s="56"/>
      <c r="AB185" s="68"/>
      <c r="AD185" s="56"/>
      <c r="AE185" s="68"/>
      <c r="AG185" s="56"/>
      <c r="AH185" s="68"/>
      <c r="AJ185" s="56"/>
      <c r="AK185" s="68"/>
      <c r="AM185" s="56"/>
      <c r="AN185" s="68"/>
      <c r="AP185" s="56"/>
      <c r="AQ185" s="68"/>
    </row>
    <row r="186" spans="3:43" x14ac:dyDescent="0.2">
      <c r="C186" s="67"/>
      <c r="D186" s="67"/>
      <c r="E186" s="67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68"/>
      <c r="Q186" s="56"/>
      <c r="R186" s="56"/>
      <c r="S186" s="56"/>
      <c r="T186" s="56"/>
      <c r="U186" s="68"/>
      <c r="V186" s="56"/>
      <c r="W186" s="56"/>
      <c r="X186" s="68"/>
      <c r="Y186" s="56"/>
      <c r="Z186" s="56"/>
      <c r="AA186" s="56"/>
      <c r="AB186" s="68"/>
      <c r="AD186" s="56"/>
      <c r="AE186" s="68"/>
      <c r="AG186" s="56"/>
      <c r="AH186" s="68"/>
      <c r="AJ186" s="56"/>
      <c r="AK186" s="68"/>
      <c r="AM186" s="56"/>
      <c r="AN186" s="68"/>
      <c r="AP186" s="56"/>
      <c r="AQ186" s="68"/>
    </row>
    <row r="187" spans="3:43" x14ac:dyDescent="0.2">
      <c r="C187" s="67"/>
      <c r="D187" s="67"/>
      <c r="E187" s="67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68"/>
      <c r="Q187" s="56"/>
      <c r="R187" s="56"/>
      <c r="S187" s="56"/>
      <c r="T187" s="56"/>
      <c r="U187" s="68"/>
      <c r="V187" s="56"/>
      <c r="W187" s="56"/>
      <c r="X187" s="68"/>
      <c r="Y187" s="56"/>
      <c r="Z187" s="56"/>
      <c r="AA187" s="56"/>
      <c r="AB187" s="68"/>
      <c r="AD187" s="56"/>
      <c r="AE187" s="68"/>
      <c r="AG187" s="56"/>
      <c r="AH187" s="68"/>
      <c r="AJ187" s="56"/>
      <c r="AK187" s="68"/>
      <c r="AM187" s="56"/>
      <c r="AN187" s="68"/>
      <c r="AP187" s="56"/>
      <c r="AQ187" s="68"/>
    </row>
    <row r="188" spans="3:43" x14ac:dyDescent="0.2">
      <c r="C188" s="67"/>
      <c r="D188" s="67"/>
      <c r="E188" s="67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68"/>
      <c r="Q188" s="56"/>
      <c r="R188" s="56"/>
      <c r="S188" s="56"/>
      <c r="T188" s="56"/>
      <c r="U188" s="68"/>
      <c r="V188" s="56"/>
      <c r="W188" s="56"/>
      <c r="X188" s="68"/>
      <c r="Y188" s="56"/>
      <c r="Z188" s="56"/>
      <c r="AA188" s="56"/>
      <c r="AB188" s="68"/>
      <c r="AD188" s="56"/>
      <c r="AE188" s="68"/>
      <c r="AG188" s="56"/>
      <c r="AH188" s="68"/>
      <c r="AJ188" s="56"/>
      <c r="AK188" s="68"/>
      <c r="AM188" s="56"/>
      <c r="AN188" s="68"/>
      <c r="AP188" s="56"/>
      <c r="AQ188" s="68"/>
    </row>
    <row r="189" spans="3:43" x14ac:dyDescent="0.2">
      <c r="C189" s="67"/>
      <c r="D189" s="67"/>
      <c r="E189" s="67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68"/>
      <c r="Q189" s="56"/>
      <c r="R189" s="56"/>
      <c r="S189" s="56"/>
      <c r="T189" s="56"/>
      <c r="U189" s="68"/>
      <c r="V189" s="56"/>
      <c r="W189" s="56"/>
      <c r="X189" s="68"/>
      <c r="Y189" s="56"/>
      <c r="Z189" s="56"/>
      <c r="AA189" s="56"/>
      <c r="AB189" s="68"/>
      <c r="AD189" s="56"/>
      <c r="AE189" s="68"/>
      <c r="AG189" s="56"/>
      <c r="AH189" s="68"/>
      <c r="AJ189" s="56"/>
      <c r="AK189" s="68"/>
      <c r="AM189" s="56"/>
      <c r="AN189" s="68"/>
      <c r="AP189" s="56"/>
      <c r="AQ189" s="68"/>
    </row>
    <row r="190" spans="3:43" x14ac:dyDescent="0.2">
      <c r="C190" s="67"/>
      <c r="D190" s="67"/>
      <c r="E190" s="67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68"/>
      <c r="Q190" s="56"/>
      <c r="R190" s="56"/>
      <c r="S190" s="56"/>
      <c r="T190" s="56"/>
      <c r="U190" s="68"/>
      <c r="V190" s="56"/>
      <c r="W190" s="56"/>
      <c r="X190" s="68"/>
      <c r="Y190" s="56"/>
      <c r="Z190" s="56"/>
      <c r="AA190" s="56"/>
      <c r="AB190" s="68"/>
      <c r="AD190" s="56"/>
      <c r="AE190" s="68"/>
      <c r="AG190" s="56"/>
      <c r="AH190" s="68"/>
      <c r="AJ190" s="56"/>
      <c r="AK190" s="68"/>
      <c r="AM190" s="56"/>
      <c r="AN190" s="68"/>
      <c r="AP190" s="56"/>
      <c r="AQ190" s="68"/>
    </row>
    <row r="191" spans="3:43" x14ac:dyDescent="0.2">
      <c r="C191" s="67"/>
      <c r="D191" s="67"/>
      <c r="E191" s="67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68"/>
      <c r="Q191" s="56"/>
      <c r="R191" s="56"/>
      <c r="S191" s="56"/>
      <c r="T191" s="56"/>
      <c r="U191" s="68"/>
      <c r="V191" s="56"/>
      <c r="W191" s="56"/>
      <c r="X191" s="68"/>
      <c r="Y191" s="56"/>
      <c r="Z191" s="56"/>
      <c r="AA191" s="56"/>
      <c r="AB191" s="68"/>
      <c r="AD191" s="56"/>
      <c r="AE191" s="68"/>
      <c r="AG191" s="56"/>
      <c r="AH191" s="68"/>
      <c r="AJ191" s="56"/>
      <c r="AK191" s="68"/>
      <c r="AM191" s="56"/>
      <c r="AN191" s="68"/>
      <c r="AP191" s="56"/>
      <c r="AQ191" s="68"/>
    </row>
    <row r="192" spans="3:43" x14ac:dyDescent="0.2">
      <c r="C192" s="67"/>
      <c r="D192" s="67"/>
      <c r="E192" s="67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68"/>
      <c r="Q192" s="56"/>
      <c r="R192" s="56"/>
      <c r="S192" s="56"/>
      <c r="T192" s="56"/>
      <c r="U192" s="68"/>
      <c r="V192" s="56"/>
      <c r="W192" s="56"/>
      <c r="X192" s="68"/>
      <c r="Y192" s="56"/>
      <c r="Z192" s="56"/>
      <c r="AA192" s="56"/>
      <c r="AB192" s="68"/>
      <c r="AD192" s="56"/>
      <c r="AE192" s="68"/>
      <c r="AG192" s="56"/>
      <c r="AH192" s="68"/>
      <c r="AJ192" s="56"/>
      <c r="AK192" s="68"/>
      <c r="AM192" s="56"/>
      <c r="AN192" s="68"/>
      <c r="AP192" s="56"/>
      <c r="AQ192" s="68"/>
    </row>
    <row r="193" spans="3:43" x14ac:dyDescent="0.2">
      <c r="C193" s="67"/>
      <c r="D193" s="67"/>
      <c r="E193" s="67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68"/>
      <c r="Q193" s="56"/>
      <c r="R193" s="56"/>
      <c r="S193" s="56"/>
      <c r="T193" s="56"/>
      <c r="U193" s="68"/>
      <c r="V193" s="56"/>
      <c r="W193" s="56"/>
      <c r="X193" s="68"/>
      <c r="Y193" s="56"/>
      <c r="Z193" s="56"/>
      <c r="AA193" s="56"/>
      <c r="AB193" s="68"/>
      <c r="AD193" s="56"/>
      <c r="AE193" s="68"/>
      <c r="AG193" s="56"/>
      <c r="AH193" s="68"/>
      <c r="AJ193" s="56"/>
      <c r="AK193" s="68"/>
      <c r="AM193" s="56"/>
      <c r="AN193" s="68"/>
      <c r="AP193" s="56"/>
      <c r="AQ193" s="68"/>
    </row>
    <row r="194" spans="3:43" x14ac:dyDescent="0.2">
      <c r="C194" s="67"/>
      <c r="D194" s="67"/>
      <c r="E194" s="67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68"/>
      <c r="Q194" s="56"/>
      <c r="R194" s="56"/>
      <c r="S194" s="56"/>
      <c r="T194" s="56"/>
      <c r="U194" s="68"/>
      <c r="V194" s="56"/>
      <c r="W194" s="56"/>
      <c r="X194" s="68"/>
      <c r="Y194" s="56"/>
      <c r="Z194" s="56"/>
      <c r="AA194" s="56"/>
      <c r="AB194" s="68"/>
      <c r="AD194" s="56"/>
      <c r="AE194" s="68"/>
      <c r="AG194" s="56"/>
      <c r="AH194" s="68"/>
      <c r="AJ194" s="56"/>
      <c r="AK194" s="68"/>
      <c r="AM194" s="56"/>
      <c r="AN194" s="68"/>
      <c r="AP194" s="56"/>
      <c r="AQ194" s="68"/>
    </row>
    <row r="195" spans="3:43" x14ac:dyDescent="0.2">
      <c r="C195" s="67"/>
      <c r="D195" s="67"/>
      <c r="E195" s="67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68"/>
      <c r="Q195" s="56"/>
      <c r="R195" s="56"/>
      <c r="S195" s="56"/>
      <c r="T195" s="56"/>
      <c r="U195" s="68"/>
      <c r="V195" s="56"/>
      <c r="W195" s="56"/>
      <c r="X195" s="68"/>
      <c r="Y195" s="56"/>
      <c r="Z195" s="56"/>
      <c r="AA195" s="56"/>
      <c r="AB195" s="68"/>
      <c r="AD195" s="56"/>
      <c r="AE195" s="68"/>
      <c r="AG195" s="56"/>
      <c r="AH195" s="68"/>
      <c r="AJ195" s="56"/>
      <c r="AK195" s="68"/>
      <c r="AM195" s="56"/>
      <c r="AN195" s="68"/>
      <c r="AP195" s="56"/>
      <c r="AQ195" s="68"/>
    </row>
    <row r="196" spans="3:43" x14ac:dyDescent="0.2">
      <c r="C196" s="67"/>
      <c r="D196" s="67"/>
      <c r="E196" s="67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68"/>
      <c r="Q196" s="56"/>
      <c r="R196" s="56"/>
      <c r="S196" s="56"/>
      <c r="T196" s="56"/>
      <c r="U196" s="68"/>
      <c r="V196" s="56"/>
      <c r="W196" s="56"/>
      <c r="X196" s="68"/>
      <c r="Y196" s="56"/>
      <c r="Z196" s="56"/>
      <c r="AA196" s="56"/>
      <c r="AB196" s="68"/>
      <c r="AD196" s="56"/>
      <c r="AE196" s="68"/>
      <c r="AG196" s="56"/>
      <c r="AH196" s="68"/>
      <c r="AJ196" s="56"/>
      <c r="AK196" s="68"/>
      <c r="AM196" s="56"/>
      <c r="AN196" s="68"/>
      <c r="AP196" s="56"/>
      <c r="AQ196" s="68"/>
    </row>
    <row r="197" spans="3:43" x14ac:dyDescent="0.2">
      <c r="C197" s="67"/>
      <c r="D197" s="67"/>
      <c r="E197" s="67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68"/>
      <c r="Q197" s="56"/>
      <c r="R197" s="56"/>
      <c r="S197" s="56"/>
      <c r="T197" s="56"/>
      <c r="U197" s="68"/>
      <c r="V197" s="56"/>
      <c r="W197" s="56"/>
      <c r="X197" s="68"/>
      <c r="Y197" s="56"/>
      <c r="Z197" s="56"/>
      <c r="AA197" s="56"/>
      <c r="AB197" s="68"/>
      <c r="AD197" s="56"/>
      <c r="AE197" s="68"/>
      <c r="AG197" s="56"/>
      <c r="AH197" s="68"/>
      <c r="AJ197" s="56"/>
      <c r="AK197" s="68"/>
      <c r="AM197" s="56"/>
      <c r="AN197" s="68"/>
      <c r="AP197" s="56"/>
      <c r="AQ197" s="68"/>
    </row>
    <row r="198" spans="3:43" x14ac:dyDescent="0.2">
      <c r="C198" s="67"/>
      <c r="D198" s="67"/>
      <c r="E198" s="67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68"/>
      <c r="Q198" s="56"/>
      <c r="R198" s="56"/>
      <c r="S198" s="56"/>
      <c r="T198" s="56"/>
      <c r="U198" s="68"/>
      <c r="V198" s="56"/>
      <c r="W198" s="56"/>
      <c r="X198" s="68"/>
      <c r="Y198" s="56"/>
      <c r="Z198" s="56"/>
      <c r="AA198" s="56"/>
      <c r="AB198" s="68"/>
      <c r="AD198" s="56"/>
      <c r="AE198" s="68"/>
      <c r="AG198" s="56"/>
      <c r="AH198" s="68"/>
      <c r="AJ198" s="56"/>
      <c r="AK198" s="68"/>
      <c r="AM198" s="56"/>
      <c r="AN198" s="68"/>
      <c r="AP198" s="56"/>
      <c r="AQ198" s="68"/>
    </row>
    <row r="199" spans="3:43" x14ac:dyDescent="0.2">
      <c r="C199" s="67"/>
      <c r="D199" s="67"/>
      <c r="E199" s="67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68"/>
      <c r="Q199" s="56"/>
      <c r="R199" s="56"/>
      <c r="S199" s="56"/>
      <c r="T199" s="56"/>
      <c r="U199" s="68"/>
      <c r="V199" s="56"/>
      <c r="W199" s="56"/>
      <c r="X199" s="68"/>
      <c r="Y199" s="56"/>
      <c r="Z199" s="56"/>
      <c r="AA199" s="56"/>
      <c r="AB199" s="68"/>
      <c r="AD199" s="56"/>
      <c r="AE199" s="68"/>
      <c r="AG199" s="56"/>
      <c r="AH199" s="68"/>
      <c r="AJ199" s="56"/>
      <c r="AK199" s="68"/>
      <c r="AM199" s="56"/>
      <c r="AN199" s="68"/>
      <c r="AP199" s="56"/>
      <c r="AQ199" s="68"/>
    </row>
    <row r="200" spans="3:43" x14ac:dyDescent="0.2">
      <c r="C200" s="67"/>
      <c r="D200" s="67"/>
      <c r="E200" s="67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68"/>
      <c r="Q200" s="56"/>
      <c r="R200" s="56"/>
      <c r="S200" s="56"/>
      <c r="T200" s="56"/>
      <c r="U200" s="68"/>
      <c r="V200" s="56"/>
      <c r="W200" s="56"/>
      <c r="X200" s="68"/>
      <c r="Y200" s="56"/>
      <c r="Z200" s="56"/>
      <c r="AA200" s="56"/>
      <c r="AB200" s="68"/>
      <c r="AD200" s="56"/>
      <c r="AE200" s="68"/>
      <c r="AG200" s="56"/>
      <c r="AH200" s="68"/>
      <c r="AJ200" s="56"/>
      <c r="AK200" s="68"/>
      <c r="AM200" s="56"/>
      <c r="AN200" s="68"/>
      <c r="AP200" s="56"/>
      <c r="AQ200" s="68"/>
    </row>
    <row r="201" spans="3:43" x14ac:dyDescent="0.2">
      <c r="C201" s="67"/>
      <c r="D201" s="67"/>
      <c r="E201" s="67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68"/>
      <c r="Q201" s="56"/>
      <c r="R201" s="56"/>
      <c r="S201" s="56"/>
      <c r="T201" s="56"/>
      <c r="U201" s="68"/>
      <c r="V201" s="56"/>
      <c r="W201" s="56"/>
      <c r="X201" s="68"/>
      <c r="Y201" s="56"/>
      <c r="Z201" s="56"/>
      <c r="AA201" s="56"/>
      <c r="AB201" s="68"/>
      <c r="AD201" s="56"/>
      <c r="AE201" s="68"/>
      <c r="AG201" s="56"/>
      <c r="AH201" s="68"/>
      <c r="AJ201" s="56"/>
      <c r="AK201" s="68"/>
      <c r="AM201" s="56"/>
      <c r="AN201" s="68"/>
      <c r="AP201" s="56"/>
      <c r="AQ201" s="68"/>
    </row>
    <row r="202" spans="3:43" x14ac:dyDescent="0.2">
      <c r="C202" s="67"/>
      <c r="D202" s="67"/>
      <c r="E202" s="67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68"/>
      <c r="Q202" s="56"/>
      <c r="R202" s="56"/>
      <c r="S202" s="56"/>
      <c r="T202" s="56"/>
      <c r="U202" s="68"/>
      <c r="V202" s="56"/>
      <c r="W202" s="56"/>
      <c r="X202" s="68"/>
      <c r="Y202" s="56"/>
      <c r="Z202" s="56"/>
      <c r="AA202" s="56"/>
      <c r="AB202" s="68"/>
      <c r="AD202" s="56"/>
      <c r="AE202" s="68"/>
      <c r="AG202" s="56"/>
      <c r="AH202" s="68"/>
      <c r="AJ202" s="56"/>
      <c r="AK202" s="68"/>
      <c r="AM202" s="56"/>
      <c r="AN202" s="68"/>
      <c r="AP202" s="56"/>
      <c r="AQ202" s="68"/>
    </row>
    <row r="203" spans="3:43" x14ac:dyDescent="0.2">
      <c r="C203" s="67"/>
      <c r="D203" s="67"/>
      <c r="E203" s="67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68"/>
      <c r="Q203" s="56"/>
      <c r="R203" s="56"/>
      <c r="S203" s="56"/>
      <c r="T203" s="56"/>
      <c r="U203" s="68"/>
      <c r="V203" s="56"/>
      <c r="W203" s="56"/>
      <c r="X203" s="68"/>
      <c r="Y203" s="56"/>
      <c r="Z203" s="56"/>
      <c r="AA203" s="56"/>
      <c r="AB203" s="68"/>
      <c r="AD203" s="56"/>
      <c r="AE203" s="68"/>
      <c r="AG203" s="56"/>
      <c r="AH203" s="68"/>
      <c r="AJ203" s="56"/>
      <c r="AK203" s="68"/>
      <c r="AM203" s="56"/>
      <c r="AN203" s="68"/>
      <c r="AP203" s="56"/>
      <c r="AQ203" s="68"/>
    </row>
    <row r="204" spans="3:43" x14ac:dyDescent="0.2">
      <c r="C204" s="67"/>
      <c r="D204" s="67"/>
      <c r="E204" s="67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68"/>
      <c r="Q204" s="56"/>
      <c r="R204" s="56"/>
      <c r="S204" s="56"/>
      <c r="T204" s="56"/>
      <c r="U204" s="68"/>
      <c r="V204" s="56"/>
      <c r="W204" s="56"/>
      <c r="X204" s="68"/>
      <c r="Y204" s="56"/>
      <c r="Z204" s="56"/>
      <c r="AA204" s="56"/>
      <c r="AB204" s="68"/>
      <c r="AD204" s="56"/>
      <c r="AE204" s="68"/>
      <c r="AG204" s="56"/>
      <c r="AH204" s="68"/>
      <c r="AJ204" s="56"/>
      <c r="AK204" s="68"/>
      <c r="AM204" s="56"/>
      <c r="AN204" s="68"/>
      <c r="AP204" s="56"/>
      <c r="AQ204" s="68"/>
    </row>
    <row r="205" spans="3:43" x14ac:dyDescent="0.2">
      <c r="C205" s="67"/>
      <c r="D205" s="67"/>
      <c r="E205" s="67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68"/>
      <c r="Q205" s="56"/>
      <c r="R205" s="56"/>
      <c r="S205" s="56"/>
      <c r="T205" s="56"/>
      <c r="U205" s="68"/>
      <c r="V205" s="56"/>
      <c r="W205" s="56"/>
      <c r="X205" s="68"/>
      <c r="Y205" s="56"/>
      <c r="Z205" s="56"/>
      <c r="AA205" s="56"/>
      <c r="AB205" s="68"/>
      <c r="AD205" s="56"/>
      <c r="AE205" s="68"/>
      <c r="AG205" s="56"/>
      <c r="AH205" s="68"/>
      <c r="AJ205" s="56"/>
      <c r="AK205" s="68"/>
      <c r="AM205" s="56"/>
      <c r="AN205" s="68"/>
      <c r="AP205" s="56"/>
      <c r="AQ205" s="68"/>
    </row>
    <row r="206" spans="3:43" x14ac:dyDescent="0.2">
      <c r="C206" s="67"/>
      <c r="D206" s="67"/>
      <c r="E206" s="67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68"/>
      <c r="Q206" s="56"/>
      <c r="R206" s="56"/>
      <c r="S206" s="56"/>
      <c r="T206" s="56"/>
      <c r="U206" s="68"/>
      <c r="V206" s="56"/>
      <c r="W206" s="56"/>
      <c r="X206" s="68"/>
      <c r="Y206" s="56"/>
      <c r="Z206" s="56"/>
      <c r="AA206" s="56"/>
      <c r="AB206" s="68"/>
      <c r="AD206" s="56"/>
      <c r="AE206" s="68"/>
      <c r="AG206" s="56"/>
      <c r="AH206" s="68"/>
      <c r="AJ206" s="56"/>
      <c r="AK206" s="68"/>
      <c r="AM206" s="56"/>
      <c r="AN206" s="68"/>
      <c r="AP206" s="56"/>
      <c r="AQ206" s="68"/>
    </row>
    <row r="207" spans="3:43" x14ac:dyDescent="0.2">
      <c r="C207" s="67"/>
      <c r="D207" s="67"/>
      <c r="E207" s="67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68"/>
      <c r="Q207" s="56"/>
      <c r="R207" s="56"/>
      <c r="S207" s="56"/>
      <c r="T207" s="56"/>
      <c r="U207" s="68"/>
      <c r="V207" s="56"/>
      <c r="W207" s="56"/>
      <c r="X207" s="68"/>
      <c r="Y207" s="56"/>
      <c r="Z207" s="56"/>
      <c r="AA207" s="56"/>
      <c r="AB207" s="68"/>
      <c r="AD207" s="56"/>
      <c r="AE207" s="68"/>
      <c r="AG207" s="56"/>
      <c r="AH207" s="68"/>
      <c r="AJ207" s="56"/>
      <c r="AK207" s="68"/>
      <c r="AM207" s="56"/>
      <c r="AN207" s="68"/>
      <c r="AP207" s="56"/>
      <c r="AQ207" s="68"/>
    </row>
    <row r="208" spans="3:43" x14ac:dyDescent="0.2">
      <c r="C208" s="67"/>
      <c r="D208" s="67"/>
      <c r="E208" s="67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68"/>
      <c r="Q208" s="56"/>
      <c r="R208" s="56"/>
      <c r="S208" s="56"/>
      <c r="T208" s="56"/>
      <c r="U208" s="68"/>
      <c r="V208" s="56"/>
      <c r="W208" s="56"/>
      <c r="X208" s="68"/>
      <c r="Y208" s="56"/>
      <c r="Z208" s="56"/>
      <c r="AA208" s="56"/>
      <c r="AB208" s="68"/>
      <c r="AD208" s="56"/>
      <c r="AE208" s="68"/>
      <c r="AG208" s="56"/>
      <c r="AH208" s="68"/>
      <c r="AJ208" s="56"/>
      <c r="AK208" s="68"/>
      <c r="AM208" s="56"/>
      <c r="AN208" s="68"/>
      <c r="AP208" s="56"/>
      <c r="AQ208" s="68"/>
    </row>
    <row r="209" spans="3:43" x14ac:dyDescent="0.2">
      <c r="C209" s="67"/>
      <c r="D209" s="67"/>
      <c r="E209" s="67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68"/>
      <c r="Q209" s="56"/>
      <c r="R209" s="56"/>
      <c r="S209" s="56"/>
      <c r="T209" s="56"/>
      <c r="U209" s="68"/>
      <c r="V209" s="56"/>
      <c r="W209" s="56"/>
      <c r="X209" s="68"/>
      <c r="Y209" s="56"/>
      <c r="Z209" s="56"/>
      <c r="AA209" s="56"/>
      <c r="AB209" s="68"/>
      <c r="AD209" s="56"/>
      <c r="AE209" s="68"/>
      <c r="AG209" s="56"/>
      <c r="AH209" s="68"/>
      <c r="AJ209" s="56"/>
      <c r="AK209" s="68"/>
      <c r="AM209" s="56"/>
      <c r="AN209" s="68"/>
      <c r="AP209" s="56"/>
      <c r="AQ209" s="68"/>
    </row>
    <row r="210" spans="3:43" x14ac:dyDescent="0.2">
      <c r="C210" s="67"/>
      <c r="D210" s="67"/>
      <c r="E210" s="67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68"/>
      <c r="Q210" s="56"/>
      <c r="R210" s="56"/>
      <c r="S210" s="56"/>
      <c r="T210" s="56"/>
      <c r="U210" s="68"/>
      <c r="V210" s="56"/>
      <c r="W210" s="56"/>
      <c r="X210" s="68"/>
      <c r="Y210" s="56"/>
      <c r="Z210" s="56"/>
      <c r="AA210" s="56"/>
      <c r="AB210" s="68"/>
      <c r="AD210" s="56"/>
      <c r="AE210" s="68"/>
      <c r="AG210" s="56"/>
      <c r="AH210" s="68"/>
      <c r="AJ210" s="56"/>
      <c r="AK210" s="68"/>
      <c r="AM210" s="56"/>
      <c r="AN210" s="68"/>
      <c r="AP210" s="56"/>
      <c r="AQ210" s="68"/>
    </row>
    <row r="211" spans="3:43" x14ac:dyDescent="0.2">
      <c r="C211" s="67"/>
      <c r="D211" s="67"/>
      <c r="E211" s="67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68"/>
      <c r="Q211" s="56"/>
      <c r="R211" s="56"/>
      <c r="S211" s="56"/>
      <c r="T211" s="56"/>
      <c r="U211" s="68"/>
      <c r="V211" s="56"/>
      <c r="W211" s="56"/>
      <c r="X211" s="68"/>
      <c r="Y211" s="56"/>
      <c r="Z211" s="56"/>
      <c r="AA211" s="56"/>
      <c r="AB211" s="68"/>
      <c r="AD211" s="56"/>
      <c r="AE211" s="68"/>
      <c r="AG211" s="56"/>
      <c r="AH211" s="68"/>
      <c r="AJ211" s="56"/>
      <c r="AK211" s="68"/>
      <c r="AM211" s="56"/>
      <c r="AN211" s="68"/>
      <c r="AP211" s="56"/>
      <c r="AQ211" s="68"/>
    </row>
    <row r="212" spans="3:43" x14ac:dyDescent="0.2">
      <c r="C212" s="67"/>
      <c r="D212" s="67"/>
      <c r="E212" s="67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68"/>
      <c r="Q212" s="56"/>
      <c r="R212" s="56"/>
      <c r="S212" s="56"/>
      <c r="T212" s="56"/>
      <c r="U212" s="68"/>
      <c r="V212" s="56"/>
      <c r="W212" s="56"/>
      <c r="X212" s="68"/>
      <c r="Y212" s="56"/>
      <c r="Z212" s="56"/>
      <c r="AA212" s="56"/>
      <c r="AB212" s="68"/>
      <c r="AD212" s="56"/>
      <c r="AE212" s="68"/>
      <c r="AG212" s="56"/>
      <c r="AH212" s="68"/>
      <c r="AJ212" s="56"/>
      <c r="AK212" s="68"/>
      <c r="AM212" s="56"/>
      <c r="AN212" s="68"/>
      <c r="AP212" s="56"/>
      <c r="AQ212" s="68"/>
    </row>
    <row r="213" spans="3:43" x14ac:dyDescent="0.2">
      <c r="C213" s="67"/>
      <c r="D213" s="67"/>
      <c r="E213" s="67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68"/>
      <c r="Q213" s="56"/>
      <c r="R213" s="56"/>
      <c r="S213" s="56"/>
      <c r="T213" s="56"/>
      <c r="U213" s="68"/>
      <c r="V213" s="56"/>
      <c r="W213" s="56"/>
      <c r="X213" s="68"/>
      <c r="Y213" s="56"/>
      <c r="Z213" s="56"/>
      <c r="AA213" s="56"/>
      <c r="AB213" s="68"/>
      <c r="AD213" s="56"/>
      <c r="AE213" s="68"/>
      <c r="AG213" s="56"/>
      <c r="AH213" s="68"/>
      <c r="AJ213" s="56"/>
      <c r="AK213" s="68"/>
      <c r="AM213" s="56"/>
      <c r="AN213" s="68"/>
      <c r="AP213" s="56"/>
      <c r="AQ213" s="68"/>
    </row>
    <row r="214" spans="3:43" x14ac:dyDescent="0.2">
      <c r="C214" s="67"/>
      <c r="D214" s="67"/>
      <c r="E214" s="67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68"/>
      <c r="Q214" s="56"/>
      <c r="R214" s="56"/>
      <c r="S214" s="56"/>
      <c r="T214" s="56"/>
      <c r="U214" s="68"/>
      <c r="V214" s="56"/>
      <c r="W214" s="56"/>
      <c r="X214" s="68"/>
      <c r="Y214" s="56"/>
      <c r="Z214" s="56"/>
      <c r="AA214" s="56"/>
      <c r="AB214" s="68"/>
      <c r="AD214" s="56"/>
      <c r="AE214" s="68"/>
      <c r="AG214" s="56"/>
      <c r="AH214" s="68"/>
      <c r="AJ214" s="56"/>
      <c r="AK214" s="68"/>
      <c r="AM214" s="56"/>
      <c r="AN214" s="68"/>
      <c r="AP214" s="56"/>
      <c r="AQ214" s="68"/>
    </row>
    <row r="215" spans="3:43" x14ac:dyDescent="0.2">
      <c r="C215" s="67"/>
      <c r="D215" s="67"/>
      <c r="E215" s="67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68"/>
      <c r="Q215" s="56"/>
      <c r="R215" s="56"/>
      <c r="S215" s="56"/>
      <c r="T215" s="56"/>
      <c r="U215" s="68"/>
      <c r="V215" s="56"/>
      <c r="W215" s="56"/>
      <c r="X215" s="68"/>
      <c r="Y215" s="56"/>
      <c r="Z215" s="56"/>
      <c r="AA215" s="56"/>
      <c r="AB215" s="68"/>
      <c r="AD215" s="56"/>
      <c r="AE215" s="68"/>
      <c r="AG215" s="56"/>
      <c r="AH215" s="68"/>
      <c r="AJ215" s="56"/>
      <c r="AK215" s="68"/>
      <c r="AM215" s="56"/>
      <c r="AN215" s="68"/>
      <c r="AP215" s="56"/>
      <c r="AQ215" s="68"/>
    </row>
    <row r="216" spans="3:43" x14ac:dyDescent="0.2">
      <c r="C216" s="67"/>
      <c r="D216" s="67"/>
      <c r="E216" s="67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68"/>
      <c r="Q216" s="56"/>
      <c r="R216" s="56"/>
      <c r="S216" s="56"/>
      <c r="T216" s="56"/>
      <c r="U216" s="68"/>
      <c r="V216" s="56"/>
      <c r="W216" s="56"/>
      <c r="X216" s="68"/>
      <c r="Y216" s="56"/>
      <c r="Z216" s="56"/>
      <c r="AA216" s="56"/>
      <c r="AB216" s="68"/>
      <c r="AD216" s="56"/>
      <c r="AE216" s="68"/>
      <c r="AG216" s="56"/>
      <c r="AH216" s="68"/>
      <c r="AJ216" s="56"/>
      <c r="AK216" s="68"/>
      <c r="AM216" s="56"/>
      <c r="AN216" s="68"/>
      <c r="AP216" s="56"/>
      <c r="AQ216" s="68"/>
    </row>
    <row r="217" spans="3:43" x14ac:dyDescent="0.2">
      <c r="C217" s="67"/>
      <c r="D217" s="67"/>
      <c r="E217" s="67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68"/>
      <c r="Q217" s="56"/>
      <c r="R217" s="56"/>
      <c r="S217" s="56"/>
      <c r="T217" s="56"/>
      <c r="U217" s="68"/>
      <c r="V217" s="56"/>
      <c r="W217" s="56"/>
      <c r="X217" s="68"/>
      <c r="Y217" s="56"/>
      <c r="Z217" s="56"/>
      <c r="AA217" s="56"/>
      <c r="AB217" s="68"/>
      <c r="AD217" s="56"/>
      <c r="AE217" s="68"/>
      <c r="AG217" s="56"/>
      <c r="AH217" s="68"/>
      <c r="AJ217" s="56"/>
      <c r="AK217" s="68"/>
      <c r="AM217" s="56"/>
      <c r="AN217" s="68"/>
      <c r="AP217" s="56"/>
      <c r="AQ217" s="68"/>
    </row>
    <row r="218" spans="3:43" x14ac:dyDescent="0.2">
      <c r="C218" s="67"/>
      <c r="D218" s="67"/>
      <c r="E218" s="67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68"/>
      <c r="Q218" s="56"/>
      <c r="R218" s="56"/>
      <c r="S218" s="56"/>
      <c r="T218" s="56"/>
      <c r="U218" s="68"/>
      <c r="V218" s="56"/>
      <c r="W218" s="56"/>
      <c r="X218" s="68"/>
      <c r="Y218" s="56"/>
      <c r="Z218" s="56"/>
      <c r="AA218" s="56"/>
      <c r="AB218" s="68"/>
      <c r="AD218" s="56"/>
      <c r="AE218" s="68"/>
      <c r="AG218" s="56"/>
      <c r="AH218" s="68"/>
      <c r="AJ218" s="56"/>
      <c r="AK218" s="68"/>
      <c r="AM218" s="56"/>
      <c r="AN218" s="68"/>
      <c r="AP218" s="56"/>
      <c r="AQ218" s="68"/>
    </row>
    <row r="219" spans="3:43" x14ac:dyDescent="0.2">
      <c r="C219" s="67"/>
      <c r="D219" s="67"/>
      <c r="E219" s="67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68"/>
      <c r="Q219" s="56"/>
      <c r="R219" s="56"/>
      <c r="S219" s="56"/>
      <c r="T219" s="56"/>
      <c r="U219" s="68"/>
      <c r="V219" s="56"/>
      <c r="W219" s="56"/>
      <c r="X219" s="68"/>
      <c r="Y219" s="56"/>
      <c r="Z219" s="56"/>
      <c r="AA219" s="56"/>
      <c r="AB219" s="68"/>
      <c r="AD219" s="56"/>
      <c r="AE219" s="68"/>
      <c r="AG219" s="56"/>
      <c r="AH219" s="68"/>
      <c r="AJ219" s="56"/>
      <c r="AK219" s="68"/>
      <c r="AM219" s="56"/>
      <c r="AN219" s="68"/>
      <c r="AP219" s="56"/>
      <c r="AQ219" s="68"/>
    </row>
    <row r="220" spans="3:43" x14ac:dyDescent="0.2">
      <c r="C220" s="67"/>
      <c r="D220" s="67"/>
      <c r="E220" s="67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68"/>
      <c r="Q220" s="56"/>
      <c r="R220" s="56"/>
      <c r="S220" s="56"/>
      <c r="T220" s="56"/>
      <c r="U220" s="68"/>
      <c r="V220" s="56"/>
      <c r="W220" s="56"/>
      <c r="X220" s="68"/>
      <c r="Y220" s="56"/>
      <c r="Z220" s="56"/>
      <c r="AA220" s="56"/>
      <c r="AB220" s="68"/>
      <c r="AD220" s="56"/>
      <c r="AE220" s="68"/>
      <c r="AG220" s="56"/>
      <c r="AH220" s="68"/>
      <c r="AJ220" s="56"/>
      <c r="AK220" s="68"/>
      <c r="AM220" s="56"/>
      <c r="AN220" s="68"/>
      <c r="AP220" s="56"/>
      <c r="AQ220" s="68"/>
    </row>
    <row r="221" spans="3:43" x14ac:dyDescent="0.2">
      <c r="C221" s="67"/>
      <c r="D221" s="67"/>
      <c r="E221" s="67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68"/>
      <c r="Q221" s="56"/>
      <c r="R221" s="56"/>
      <c r="S221" s="56"/>
      <c r="T221" s="56"/>
      <c r="U221" s="68"/>
      <c r="V221" s="56"/>
      <c r="W221" s="56"/>
      <c r="X221" s="68"/>
      <c r="Y221" s="56"/>
      <c r="Z221" s="56"/>
      <c r="AA221" s="56"/>
      <c r="AB221" s="68"/>
      <c r="AD221" s="56"/>
      <c r="AE221" s="68"/>
      <c r="AG221" s="56"/>
      <c r="AH221" s="68"/>
      <c r="AJ221" s="56"/>
      <c r="AK221" s="68"/>
      <c r="AM221" s="56"/>
      <c r="AN221" s="68"/>
      <c r="AP221" s="56"/>
      <c r="AQ221" s="68"/>
    </row>
    <row r="222" spans="3:43" x14ac:dyDescent="0.2">
      <c r="C222" s="67"/>
      <c r="D222" s="67"/>
      <c r="E222" s="67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68"/>
      <c r="Q222" s="56"/>
      <c r="R222" s="56"/>
      <c r="S222" s="56"/>
      <c r="T222" s="56"/>
      <c r="U222" s="68"/>
      <c r="V222" s="56"/>
      <c r="W222" s="56"/>
      <c r="X222" s="68"/>
      <c r="Y222" s="56"/>
      <c r="Z222" s="56"/>
      <c r="AA222" s="56"/>
      <c r="AB222" s="68"/>
      <c r="AD222" s="56"/>
      <c r="AE222" s="68"/>
      <c r="AG222" s="56"/>
      <c r="AH222" s="68"/>
      <c r="AJ222" s="56"/>
      <c r="AK222" s="68"/>
      <c r="AM222" s="56"/>
      <c r="AN222" s="68"/>
      <c r="AP222" s="56"/>
      <c r="AQ222" s="68"/>
    </row>
    <row r="223" spans="3:43" x14ac:dyDescent="0.2">
      <c r="C223" s="67"/>
      <c r="D223" s="67"/>
      <c r="E223" s="67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68"/>
      <c r="Q223" s="56"/>
      <c r="R223" s="56"/>
      <c r="S223" s="56"/>
      <c r="T223" s="56"/>
      <c r="U223" s="68"/>
      <c r="V223" s="56"/>
      <c r="W223" s="56"/>
      <c r="X223" s="68"/>
      <c r="Y223" s="56"/>
      <c r="Z223" s="56"/>
      <c r="AA223" s="56"/>
      <c r="AB223" s="68"/>
      <c r="AD223" s="56"/>
      <c r="AE223" s="68"/>
      <c r="AG223" s="56"/>
      <c r="AH223" s="68"/>
      <c r="AJ223" s="56"/>
      <c r="AK223" s="68"/>
      <c r="AM223" s="56"/>
      <c r="AN223" s="68"/>
      <c r="AP223" s="56"/>
      <c r="AQ223" s="68"/>
    </row>
    <row r="224" spans="3:43" x14ac:dyDescent="0.2">
      <c r="C224" s="67"/>
      <c r="D224" s="67"/>
      <c r="E224" s="67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68"/>
      <c r="Q224" s="56"/>
      <c r="R224" s="56"/>
      <c r="S224" s="56"/>
      <c r="T224" s="56"/>
      <c r="U224" s="68"/>
      <c r="V224" s="56"/>
      <c r="W224" s="56"/>
      <c r="X224" s="68"/>
      <c r="Y224" s="56"/>
      <c r="Z224" s="56"/>
      <c r="AA224" s="56"/>
      <c r="AB224" s="68"/>
      <c r="AD224" s="56"/>
      <c r="AE224" s="68"/>
      <c r="AG224" s="56"/>
      <c r="AH224" s="68"/>
      <c r="AJ224" s="56"/>
      <c r="AK224" s="68"/>
      <c r="AM224" s="56"/>
      <c r="AN224" s="68"/>
      <c r="AP224" s="56"/>
      <c r="AQ224" s="68"/>
    </row>
    <row r="225" spans="3:43" x14ac:dyDescent="0.2">
      <c r="C225" s="67"/>
      <c r="D225" s="67"/>
      <c r="E225" s="67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68"/>
      <c r="Q225" s="56"/>
      <c r="R225" s="56"/>
      <c r="S225" s="56"/>
      <c r="T225" s="56"/>
      <c r="U225" s="68"/>
      <c r="V225" s="56"/>
      <c r="W225" s="56"/>
      <c r="X225" s="68"/>
      <c r="Y225" s="56"/>
      <c r="Z225" s="56"/>
      <c r="AA225" s="56"/>
      <c r="AB225" s="68"/>
      <c r="AD225" s="56"/>
      <c r="AE225" s="68"/>
      <c r="AG225" s="56"/>
      <c r="AH225" s="68"/>
      <c r="AJ225" s="56"/>
      <c r="AK225" s="68"/>
      <c r="AM225" s="56"/>
      <c r="AN225" s="68"/>
      <c r="AP225" s="56"/>
      <c r="AQ225" s="68"/>
    </row>
    <row r="226" spans="3:43" x14ac:dyDescent="0.2">
      <c r="C226" s="67"/>
      <c r="D226" s="67"/>
      <c r="E226" s="67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68"/>
      <c r="Q226" s="56"/>
      <c r="R226" s="56"/>
      <c r="S226" s="56"/>
      <c r="T226" s="56"/>
      <c r="U226" s="68"/>
      <c r="V226" s="56"/>
      <c r="W226" s="56"/>
      <c r="X226" s="68"/>
      <c r="Y226" s="56"/>
      <c r="Z226" s="56"/>
      <c r="AA226" s="56"/>
      <c r="AB226" s="68"/>
      <c r="AD226" s="56"/>
      <c r="AE226" s="68"/>
      <c r="AG226" s="56"/>
      <c r="AH226" s="68"/>
      <c r="AJ226" s="56"/>
      <c r="AK226" s="68"/>
      <c r="AM226" s="56"/>
      <c r="AN226" s="68"/>
      <c r="AP226" s="56"/>
      <c r="AQ226" s="68"/>
    </row>
    <row r="227" spans="3:43" x14ac:dyDescent="0.2">
      <c r="C227" s="67"/>
      <c r="D227" s="67"/>
      <c r="E227" s="67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68"/>
      <c r="Q227" s="56"/>
      <c r="R227" s="56"/>
      <c r="S227" s="56"/>
      <c r="T227" s="56"/>
      <c r="U227" s="68"/>
      <c r="V227" s="56"/>
      <c r="W227" s="56"/>
      <c r="X227" s="68"/>
      <c r="Y227" s="56"/>
      <c r="Z227" s="56"/>
      <c r="AA227" s="56"/>
      <c r="AB227" s="68"/>
      <c r="AD227" s="56"/>
      <c r="AE227" s="68"/>
      <c r="AG227" s="56"/>
      <c r="AH227" s="68"/>
      <c r="AJ227" s="56"/>
      <c r="AK227" s="68"/>
      <c r="AM227" s="56"/>
      <c r="AN227" s="68"/>
      <c r="AP227" s="56"/>
      <c r="AQ227" s="68"/>
    </row>
    <row r="228" spans="3:43" x14ac:dyDescent="0.2">
      <c r="C228" s="67"/>
      <c r="D228" s="67"/>
      <c r="E228" s="67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68"/>
      <c r="Q228" s="56"/>
      <c r="R228" s="56"/>
      <c r="S228" s="56"/>
      <c r="T228" s="56"/>
      <c r="U228" s="68"/>
      <c r="V228" s="56"/>
      <c r="W228" s="56"/>
      <c r="X228" s="68"/>
      <c r="Y228" s="56"/>
      <c r="Z228" s="56"/>
      <c r="AA228" s="56"/>
      <c r="AB228" s="68"/>
      <c r="AD228" s="56"/>
      <c r="AE228" s="68"/>
      <c r="AG228" s="56"/>
      <c r="AH228" s="68"/>
      <c r="AJ228" s="56"/>
      <c r="AK228" s="68"/>
      <c r="AM228" s="56"/>
      <c r="AN228" s="68"/>
      <c r="AP228" s="56"/>
      <c r="AQ228" s="68"/>
    </row>
    <row r="229" spans="3:43" x14ac:dyDescent="0.2">
      <c r="C229" s="67"/>
      <c r="D229" s="67"/>
      <c r="E229" s="67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68"/>
      <c r="Q229" s="56"/>
      <c r="R229" s="56"/>
      <c r="S229" s="56"/>
      <c r="T229" s="56"/>
      <c r="U229" s="68"/>
      <c r="V229" s="56"/>
      <c r="W229" s="56"/>
      <c r="X229" s="68"/>
      <c r="Y229" s="56"/>
      <c r="Z229" s="56"/>
      <c r="AA229" s="56"/>
      <c r="AB229" s="68"/>
      <c r="AD229" s="56"/>
      <c r="AE229" s="68"/>
      <c r="AG229" s="56"/>
      <c r="AH229" s="68"/>
      <c r="AJ229" s="56"/>
      <c r="AK229" s="68"/>
      <c r="AM229" s="56"/>
      <c r="AN229" s="68"/>
      <c r="AP229" s="56"/>
      <c r="AQ229" s="68"/>
    </row>
    <row r="230" spans="3:43" x14ac:dyDescent="0.2">
      <c r="C230" s="67"/>
      <c r="D230" s="67"/>
      <c r="E230" s="67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68"/>
      <c r="Q230" s="56"/>
      <c r="R230" s="56"/>
      <c r="S230" s="56"/>
      <c r="T230" s="56"/>
      <c r="U230" s="68"/>
      <c r="V230" s="56"/>
      <c r="W230" s="56"/>
      <c r="X230" s="68"/>
      <c r="Y230" s="56"/>
      <c r="Z230" s="56"/>
      <c r="AA230" s="56"/>
      <c r="AB230" s="68"/>
      <c r="AD230" s="56"/>
      <c r="AE230" s="68"/>
      <c r="AG230" s="56"/>
      <c r="AH230" s="68"/>
      <c r="AJ230" s="56"/>
      <c r="AK230" s="68"/>
      <c r="AM230" s="56"/>
      <c r="AN230" s="68"/>
      <c r="AP230" s="56"/>
      <c r="AQ230" s="68"/>
    </row>
    <row r="231" spans="3:43" x14ac:dyDescent="0.2">
      <c r="C231" s="67"/>
      <c r="D231" s="67"/>
      <c r="E231" s="67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68"/>
      <c r="Q231" s="56"/>
      <c r="R231" s="56"/>
      <c r="S231" s="56"/>
      <c r="T231" s="56"/>
      <c r="U231" s="68"/>
      <c r="V231" s="56"/>
      <c r="W231" s="56"/>
      <c r="X231" s="68"/>
      <c r="Y231" s="56"/>
      <c r="Z231" s="56"/>
      <c r="AA231" s="56"/>
      <c r="AB231" s="68"/>
      <c r="AD231" s="56"/>
      <c r="AE231" s="68"/>
      <c r="AG231" s="56"/>
      <c r="AH231" s="68"/>
      <c r="AJ231" s="56"/>
      <c r="AK231" s="68"/>
      <c r="AM231" s="56"/>
      <c r="AN231" s="68"/>
      <c r="AP231" s="56"/>
      <c r="AQ231" s="68"/>
    </row>
    <row r="232" spans="3:43" x14ac:dyDescent="0.2">
      <c r="C232" s="67"/>
      <c r="D232" s="67"/>
      <c r="E232" s="67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68"/>
      <c r="Q232" s="56"/>
      <c r="R232" s="56"/>
      <c r="S232" s="56"/>
      <c r="T232" s="56"/>
      <c r="U232" s="68"/>
      <c r="V232" s="56"/>
      <c r="W232" s="56"/>
      <c r="X232" s="68"/>
      <c r="Y232" s="56"/>
      <c r="Z232" s="56"/>
      <c r="AA232" s="56"/>
      <c r="AB232" s="68"/>
      <c r="AD232" s="56"/>
      <c r="AE232" s="68"/>
      <c r="AG232" s="56"/>
      <c r="AH232" s="68"/>
      <c r="AJ232" s="56"/>
      <c r="AK232" s="68"/>
      <c r="AM232" s="56"/>
      <c r="AN232" s="68"/>
      <c r="AP232" s="56"/>
      <c r="AQ232" s="68"/>
    </row>
    <row r="233" spans="3:43" x14ac:dyDescent="0.2">
      <c r="C233" s="67"/>
      <c r="D233" s="67"/>
      <c r="E233" s="67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68"/>
      <c r="Q233" s="56"/>
      <c r="R233" s="56"/>
      <c r="S233" s="56"/>
      <c r="T233" s="56"/>
      <c r="U233" s="68"/>
      <c r="V233" s="56"/>
      <c r="W233" s="56"/>
      <c r="X233" s="68"/>
      <c r="Y233" s="56"/>
      <c r="Z233" s="56"/>
      <c r="AA233" s="56"/>
      <c r="AB233" s="68"/>
      <c r="AD233" s="56"/>
      <c r="AE233" s="68"/>
      <c r="AG233" s="56"/>
      <c r="AH233" s="68"/>
      <c r="AJ233" s="56"/>
      <c r="AK233" s="68"/>
      <c r="AM233" s="56"/>
      <c r="AN233" s="68"/>
      <c r="AP233" s="56"/>
      <c r="AQ233" s="68"/>
    </row>
    <row r="234" spans="3:43" x14ac:dyDescent="0.2">
      <c r="C234" s="67"/>
      <c r="D234" s="67"/>
      <c r="E234" s="67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68"/>
      <c r="Q234" s="56"/>
      <c r="R234" s="56"/>
      <c r="S234" s="56"/>
      <c r="T234" s="56"/>
      <c r="U234" s="68"/>
      <c r="V234" s="56"/>
      <c r="W234" s="56"/>
      <c r="X234" s="68"/>
      <c r="Y234" s="56"/>
      <c r="Z234" s="56"/>
      <c r="AA234" s="56"/>
      <c r="AB234" s="68"/>
      <c r="AD234" s="56"/>
      <c r="AE234" s="68"/>
      <c r="AG234" s="56"/>
      <c r="AH234" s="68"/>
      <c r="AJ234" s="56"/>
      <c r="AK234" s="68"/>
      <c r="AM234" s="56"/>
      <c r="AN234" s="68"/>
      <c r="AP234" s="56"/>
      <c r="AQ234" s="68"/>
    </row>
    <row r="235" spans="3:43" x14ac:dyDescent="0.2">
      <c r="C235" s="67"/>
      <c r="D235" s="67"/>
      <c r="E235" s="67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68"/>
      <c r="Q235" s="56"/>
      <c r="R235" s="56"/>
      <c r="S235" s="56"/>
      <c r="T235" s="56"/>
      <c r="U235" s="68"/>
      <c r="V235" s="56"/>
      <c r="W235" s="56"/>
      <c r="X235" s="68"/>
      <c r="Y235" s="56"/>
      <c r="Z235" s="56"/>
      <c r="AA235" s="56"/>
      <c r="AB235" s="68"/>
      <c r="AD235" s="56"/>
      <c r="AE235" s="68"/>
      <c r="AG235" s="56"/>
      <c r="AH235" s="68"/>
      <c r="AJ235" s="56"/>
      <c r="AK235" s="68"/>
      <c r="AM235" s="56"/>
      <c r="AN235" s="68"/>
      <c r="AP235" s="56"/>
      <c r="AQ235" s="68"/>
    </row>
    <row r="236" spans="3:43" x14ac:dyDescent="0.2">
      <c r="C236" s="67"/>
      <c r="D236" s="67"/>
      <c r="E236" s="67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68"/>
      <c r="Q236" s="56"/>
      <c r="R236" s="56"/>
      <c r="S236" s="56"/>
      <c r="T236" s="56"/>
      <c r="U236" s="68"/>
      <c r="V236" s="56"/>
      <c r="W236" s="56"/>
      <c r="X236" s="68"/>
      <c r="Y236" s="56"/>
      <c r="Z236" s="56"/>
      <c r="AA236" s="56"/>
      <c r="AB236" s="68"/>
      <c r="AD236" s="56"/>
      <c r="AE236" s="68"/>
      <c r="AG236" s="56"/>
      <c r="AH236" s="68"/>
      <c r="AJ236" s="56"/>
      <c r="AK236" s="68"/>
      <c r="AM236" s="56"/>
      <c r="AN236" s="68"/>
      <c r="AP236" s="56"/>
      <c r="AQ236" s="68"/>
    </row>
    <row r="237" spans="3:43" x14ac:dyDescent="0.2">
      <c r="C237" s="67"/>
      <c r="D237" s="67"/>
      <c r="E237" s="67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68"/>
      <c r="Q237" s="56"/>
      <c r="R237" s="56"/>
      <c r="S237" s="56"/>
      <c r="T237" s="56"/>
      <c r="U237" s="68"/>
      <c r="V237" s="56"/>
      <c r="W237" s="56"/>
      <c r="X237" s="68"/>
      <c r="Y237" s="56"/>
      <c r="Z237" s="56"/>
      <c r="AA237" s="56"/>
      <c r="AB237" s="68"/>
      <c r="AD237" s="56"/>
      <c r="AE237" s="68"/>
      <c r="AG237" s="56"/>
      <c r="AH237" s="68"/>
      <c r="AJ237" s="56"/>
      <c r="AK237" s="68"/>
      <c r="AM237" s="56"/>
      <c r="AN237" s="68"/>
      <c r="AP237" s="56"/>
      <c r="AQ237" s="68"/>
    </row>
    <row r="238" spans="3:43" x14ac:dyDescent="0.2">
      <c r="C238" s="67"/>
      <c r="D238" s="67"/>
      <c r="E238" s="67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68"/>
      <c r="Q238" s="56"/>
      <c r="R238" s="56"/>
      <c r="S238" s="56"/>
      <c r="T238" s="56"/>
      <c r="U238" s="68"/>
      <c r="V238" s="56"/>
      <c r="W238" s="56"/>
      <c r="X238" s="68"/>
      <c r="Y238" s="56"/>
      <c r="Z238" s="56"/>
      <c r="AA238" s="56"/>
      <c r="AB238" s="68"/>
      <c r="AD238" s="56"/>
      <c r="AE238" s="68"/>
      <c r="AG238" s="56"/>
      <c r="AH238" s="68"/>
      <c r="AJ238" s="56"/>
      <c r="AK238" s="68"/>
      <c r="AM238" s="56"/>
      <c r="AN238" s="68"/>
      <c r="AP238" s="56"/>
      <c r="AQ238" s="68"/>
    </row>
    <row r="239" spans="3:43" x14ac:dyDescent="0.2">
      <c r="C239" s="67"/>
      <c r="D239" s="67"/>
      <c r="E239" s="67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68"/>
      <c r="Q239" s="56"/>
      <c r="R239" s="56"/>
      <c r="S239" s="56"/>
      <c r="T239" s="56"/>
      <c r="U239" s="68"/>
      <c r="V239" s="56"/>
      <c r="W239" s="56"/>
      <c r="X239" s="68"/>
      <c r="Y239" s="56"/>
      <c r="Z239" s="56"/>
      <c r="AA239" s="56"/>
      <c r="AB239" s="68"/>
      <c r="AD239" s="56"/>
      <c r="AE239" s="68"/>
      <c r="AG239" s="56"/>
      <c r="AH239" s="68"/>
      <c r="AJ239" s="56"/>
      <c r="AK239" s="68"/>
      <c r="AM239" s="56"/>
      <c r="AN239" s="68"/>
      <c r="AP239" s="56"/>
      <c r="AQ239" s="68"/>
    </row>
    <row r="240" spans="3:43" x14ac:dyDescent="0.2">
      <c r="C240" s="67"/>
      <c r="D240" s="67"/>
      <c r="E240" s="67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68"/>
      <c r="Q240" s="56"/>
      <c r="R240" s="56"/>
      <c r="S240" s="56"/>
      <c r="T240" s="56"/>
      <c r="U240" s="68"/>
      <c r="V240" s="56"/>
      <c r="W240" s="56"/>
      <c r="X240" s="68"/>
      <c r="Y240" s="56"/>
      <c r="Z240" s="56"/>
      <c r="AA240" s="56"/>
      <c r="AB240" s="68"/>
      <c r="AD240" s="56"/>
      <c r="AE240" s="68"/>
      <c r="AG240" s="56"/>
      <c r="AH240" s="68"/>
      <c r="AJ240" s="56"/>
      <c r="AK240" s="68"/>
      <c r="AM240" s="56"/>
      <c r="AN240" s="68"/>
      <c r="AP240" s="56"/>
      <c r="AQ240" s="68"/>
    </row>
    <row r="241" spans="3:43" x14ac:dyDescent="0.2">
      <c r="C241" s="67"/>
      <c r="D241" s="67"/>
      <c r="E241" s="6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68"/>
      <c r="Q241" s="56"/>
      <c r="R241" s="56"/>
      <c r="S241" s="56"/>
      <c r="T241" s="56"/>
      <c r="U241" s="68"/>
      <c r="V241" s="56"/>
      <c r="W241" s="56"/>
      <c r="X241" s="68"/>
      <c r="Y241" s="56"/>
      <c r="Z241" s="56"/>
      <c r="AA241" s="56"/>
      <c r="AB241" s="68"/>
      <c r="AD241" s="56"/>
      <c r="AE241" s="68"/>
      <c r="AG241" s="56"/>
      <c r="AH241" s="68"/>
      <c r="AJ241" s="56"/>
      <c r="AK241" s="68"/>
      <c r="AM241" s="56"/>
      <c r="AN241" s="68"/>
      <c r="AP241" s="56"/>
      <c r="AQ241" s="68"/>
    </row>
    <row r="242" spans="3:43" x14ac:dyDescent="0.2">
      <c r="C242" s="67"/>
      <c r="D242" s="67"/>
      <c r="E242" s="67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68"/>
      <c r="Q242" s="56"/>
      <c r="R242" s="56"/>
      <c r="S242" s="56"/>
      <c r="T242" s="56"/>
      <c r="U242" s="68"/>
      <c r="V242" s="56"/>
      <c r="W242" s="56"/>
      <c r="X242" s="68"/>
      <c r="Y242" s="56"/>
      <c r="Z242" s="56"/>
      <c r="AA242" s="56"/>
      <c r="AB242" s="68"/>
      <c r="AD242" s="56"/>
      <c r="AE242" s="68"/>
      <c r="AG242" s="56"/>
      <c r="AH242" s="68"/>
      <c r="AJ242" s="56"/>
      <c r="AK242" s="68"/>
      <c r="AM242" s="56"/>
      <c r="AN242" s="68"/>
      <c r="AP242" s="56"/>
      <c r="AQ242" s="68"/>
    </row>
    <row r="243" spans="3:43" x14ac:dyDescent="0.2">
      <c r="C243" s="67"/>
      <c r="D243" s="67"/>
      <c r="E243" s="67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68"/>
      <c r="Q243" s="56"/>
      <c r="R243" s="56"/>
      <c r="S243" s="56"/>
      <c r="T243" s="56"/>
      <c r="U243" s="68"/>
      <c r="V243" s="56"/>
      <c r="W243" s="56"/>
      <c r="X243" s="68"/>
      <c r="Y243" s="56"/>
      <c r="Z243" s="56"/>
      <c r="AA243" s="56"/>
      <c r="AB243" s="68"/>
      <c r="AD243" s="56"/>
      <c r="AE243" s="68"/>
      <c r="AG243" s="56"/>
      <c r="AH243" s="68"/>
      <c r="AJ243" s="56"/>
      <c r="AK243" s="68"/>
      <c r="AM243" s="56"/>
      <c r="AN243" s="68"/>
      <c r="AP243" s="56"/>
      <c r="AQ243" s="68"/>
    </row>
    <row r="244" spans="3:43" x14ac:dyDescent="0.2">
      <c r="C244" s="67"/>
      <c r="D244" s="67"/>
      <c r="E244" s="67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68"/>
      <c r="Q244" s="56"/>
      <c r="R244" s="56"/>
      <c r="S244" s="56"/>
      <c r="T244" s="56"/>
      <c r="U244" s="68"/>
      <c r="V244" s="56"/>
      <c r="W244" s="56"/>
      <c r="X244" s="68"/>
      <c r="Y244" s="56"/>
      <c r="Z244" s="56"/>
      <c r="AA244" s="56"/>
      <c r="AB244" s="68"/>
      <c r="AD244" s="56"/>
      <c r="AE244" s="68"/>
      <c r="AG244" s="56"/>
      <c r="AH244" s="68"/>
      <c r="AJ244" s="56"/>
      <c r="AK244" s="68"/>
      <c r="AM244" s="56"/>
      <c r="AN244" s="68"/>
      <c r="AP244" s="56"/>
      <c r="AQ244" s="68"/>
    </row>
    <row r="245" spans="3:43" x14ac:dyDescent="0.2">
      <c r="C245" s="67"/>
      <c r="D245" s="67"/>
      <c r="E245" s="67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68"/>
      <c r="Q245" s="56"/>
      <c r="R245" s="56"/>
      <c r="S245" s="56"/>
      <c r="T245" s="56"/>
      <c r="U245" s="68"/>
      <c r="V245" s="56"/>
      <c r="W245" s="56"/>
      <c r="X245" s="68"/>
      <c r="Y245" s="56"/>
      <c r="Z245" s="56"/>
      <c r="AA245" s="56"/>
      <c r="AB245" s="68"/>
      <c r="AD245" s="56"/>
      <c r="AE245" s="68"/>
      <c r="AG245" s="56"/>
      <c r="AH245" s="68"/>
      <c r="AJ245" s="56"/>
      <c r="AK245" s="68"/>
      <c r="AM245" s="56"/>
      <c r="AN245" s="68"/>
      <c r="AP245" s="56"/>
      <c r="AQ245" s="68"/>
    </row>
  </sheetData>
  <mergeCells count="11">
    <mergeCell ref="D39:K39"/>
    <mergeCell ref="S39:Z39"/>
    <mergeCell ref="AL39:AT39"/>
    <mergeCell ref="C2:AU2"/>
    <mergeCell ref="B4:C4"/>
    <mergeCell ref="D36:K36"/>
    <mergeCell ref="S36:Z36"/>
    <mergeCell ref="AL36:AT36"/>
    <mergeCell ref="D38:K38"/>
    <mergeCell ref="S38:Z38"/>
    <mergeCell ref="AL38:AT38"/>
  </mergeCells>
  <printOptions horizontalCentered="1" verticalCentered="1"/>
  <pageMargins left="0" right="7.874015748031496E-2" top="0.78740157480314965" bottom="0.19685039370078741" header="0.39370078740157483" footer="0"/>
  <pageSetup scale="50" fitToWidth="0" orientation="landscape" r:id="rId1"/>
  <headerFooter differentOddEven="1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245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T2"/>
    </sheetView>
  </sheetViews>
  <sheetFormatPr baseColWidth="10" defaultRowHeight="12.75" x14ac:dyDescent="0.2"/>
  <cols>
    <col min="1" max="1" width="8" style="1" customWidth="1"/>
    <col min="2" max="2" width="5.7109375" style="1" hidden="1" customWidth="1"/>
    <col min="3" max="3" width="4" style="77" hidden="1" customWidth="1"/>
    <col min="4" max="4" width="39.5703125" style="77" customWidth="1"/>
    <col min="5" max="6" width="5.7109375" style="1" hidden="1" customWidth="1"/>
    <col min="7" max="8" width="14.28515625" style="1" hidden="1" customWidth="1"/>
    <col min="9" max="9" width="35.85546875" style="1" customWidth="1"/>
    <col min="10" max="10" width="14.140625" style="1" customWidth="1"/>
    <col min="11" max="11" width="5.7109375" style="1" hidden="1" customWidth="1"/>
    <col min="12" max="12" width="7" style="1" hidden="1" customWidth="1"/>
    <col min="13" max="13" width="16" style="1" bestFit="1" customWidth="1"/>
    <col min="14" max="14" width="5.85546875" style="1" hidden="1" customWidth="1"/>
    <col min="15" max="15" width="11.28515625" style="78" hidden="1" customWidth="1"/>
    <col min="16" max="16" width="17.42578125" style="1" customWidth="1"/>
    <col min="17" max="17" width="14" style="1" bestFit="1" customWidth="1"/>
    <col min="18" max="18" width="14.140625" style="1" customWidth="1"/>
    <col min="19" max="19" width="5.7109375" style="1" hidden="1" customWidth="1"/>
    <col min="20" max="20" width="11.28515625" style="78" hidden="1" customWidth="1"/>
    <col min="21" max="21" width="13.85546875" style="1" customWidth="1"/>
    <col min="22" max="22" width="5.7109375" style="1" hidden="1" customWidth="1"/>
    <col min="23" max="23" width="11.28515625" style="78" hidden="1" customWidth="1"/>
    <col min="24" max="24" width="20.5703125" style="1" bestFit="1" customWidth="1"/>
    <col min="25" max="25" width="19.140625" style="1" customWidth="1"/>
    <col min="26" max="26" width="5.7109375" style="1" hidden="1" customWidth="1"/>
    <col min="27" max="27" width="11.28515625" style="78" hidden="1" customWidth="1"/>
    <col min="28" max="28" width="14.28515625" style="1" customWidth="1"/>
    <col min="29" max="29" width="5.7109375" style="1" hidden="1" customWidth="1"/>
    <col min="30" max="30" width="11.28515625" style="78" hidden="1" customWidth="1"/>
    <col min="31" max="31" width="17.5703125" style="62" customWidth="1"/>
    <col min="32" max="32" width="7.7109375" style="1" hidden="1" customWidth="1"/>
    <col min="33" max="33" width="11.28515625" style="78" hidden="1" customWidth="1"/>
    <col min="34" max="34" width="13.85546875" style="1" customWidth="1"/>
    <col min="35" max="35" width="5.85546875" style="1" hidden="1" customWidth="1"/>
    <col min="36" max="36" width="5.85546875" style="78" hidden="1" customWidth="1"/>
    <col min="37" max="37" width="13" style="62" customWidth="1"/>
    <col min="38" max="38" width="5.7109375" style="1" hidden="1" customWidth="1"/>
    <col min="39" max="39" width="11.28515625" style="78" hidden="1" customWidth="1"/>
    <col min="40" max="40" width="14.85546875" style="1" hidden="1" customWidth="1"/>
    <col min="41" max="41" width="5.7109375" style="1" hidden="1" customWidth="1"/>
    <col min="42" max="42" width="11.28515625" style="78" hidden="1" customWidth="1"/>
    <col min="43" max="43" width="15.5703125" style="1" hidden="1" customWidth="1"/>
    <col min="44" max="44" width="18.5703125" style="1" customWidth="1"/>
    <col min="45" max="45" width="22.5703125" style="1" customWidth="1"/>
    <col min="46" max="46" width="46.28515625" style="1" customWidth="1"/>
    <col min="47" max="47" width="13.42578125" style="1" hidden="1" customWidth="1"/>
    <col min="48" max="59" width="11.42578125" style="1" hidden="1" customWidth="1"/>
    <col min="60" max="60" width="10" style="1" hidden="1" customWidth="1"/>
    <col min="61" max="61" width="45.85546875" style="1" hidden="1" customWidth="1"/>
    <col min="62" max="64" width="11.42578125" style="1" customWidth="1"/>
    <col min="65" max="16384" width="11.42578125" style="1"/>
  </cols>
  <sheetData>
    <row r="2" spans="1:61" ht="35.25" customHeight="1" x14ac:dyDescent="0.2">
      <c r="C2" s="170" t="s">
        <v>123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</row>
    <row r="3" spans="1:61" s="2" customFormat="1" ht="9" thickBot="1" x14ac:dyDescent="0.25">
      <c r="A3" s="2">
        <v>1</v>
      </c>
      <c r="B3" s="2">
        <f>+A3+1</f>
        <v>2</v>
      </c>
      <c r="C3" s="2">
        <f t="shared" ref="C3:AS3" si="0">+B3+1</f>
        <v>3</v>
      </c>
      <c r="D3" s="2">
        <f t="shared" si="0"/>
        <v>4</v>
      </c>
      <c r="E3" s="2" t="e">
        <f>+#REF!+1</f>
        <v>#REF!</v>
      </c>
      <c r="F3" s="2" t="e">
        <f t="shared" si="0"/>
        <v>#REF!</v>
      </c>
      <c r="G3" s="2" t="e">
        <f t="shared" si="0"/>
        <v>#REF!</v>
      </c>
      <c r="H3" s="2" t="e">
        <f t="shared" si="0"/>
        <v>#REF!</v>
      </c>
      <c r="J3" s="2" t="e">
        <f>+H3+1</f>
        <v>#REF!</v>
      </c>
      <c r="K3" s="2" t="e">
        <f t="shared" si="0"/>
        <v>#REF!</v>
      </c>
      <c r="L3" s="2" t="e">
        <f t="shared" si="0"/>
        <v>#REF!</v>
      </c>
      <c r="M3" s="2" t="e">
        <f t="shared" si="0"/>
        <v>#REF!</v>
      </c>
      <c r="N3" s="2" t="e">
        <f t="shared" si="0"/>
        <v>#REF!</v>
      </c>
      <c r="O3" s="2" t="e">
        <f t="shared" si="0"/>
        <v>#REF!</v>
      </c>
      <c r="P3" s="2" t="e">
        <f t="shared" si="0"/>
        <v>#REF!</v>
      </c>
      <c r="Q3" s="2" t="e">
        <f t="shared" si="0"/>
        <v>#REF!</v>
      </c>
      <c r="R3" s="2" t="e">
        <f t="shared" si="0"/>
        <v>#REF!</v>
      </c>
      <c r="S3" s="2" t="e">
        <f t="shared" si="0"/>
        <v>#REF!</v>
      </c>
      <c r="T3" s="2" t="e">
        <f t="shared" si="0"/>
        <v>#REF!</v>
      </c>
      <c r="U3" s="2" t="e">
        <f t="shared" si="0"/>
        <v>#REF!</v>
      </c>
      <c r="V3" s="2" t="e">
        <f t="shared" si="0"/>
        <v>#REF!</v>
      </c>
      <c r="W3" s="2" t="e">
        <f t="shared" si="0"/>
        <v>#REF!</v>
      </c>
      <c r="X3" s="2" t="e">
        <f t="shared" si="0"/>
        <v>#REF!</v>
      </c>
      <c r="Y3" s="2" t="e">
        <f t="shared" si="0"/>
        <v>#REF!</v>
      </c>
      <c r="Z3" s="2" t="e">
        <f t="shared" si="0"/>
        <v>#REF!</v>
      </c>
      <c r="AA3" s="2" t="e">
        <f t="shared" si="0"/>
        <v>#REF!</v>
      </c>
      <c r="AB3" s="2" t="e">
        <f t="shared" si="0"/>
        <v>#REF!</v>
      </c>
      <c r="AC3" s="2" t="e">
        <f t="shared" si="0"/>
        <v>#REF!</v>
      </c>
      <c r="AD3" s="2" t="e">
        <f t="shared" si="0"/>
        <v>#REF!</v>
      </c>
      <c r="AE3" s="3" t="e">
        <f t="shared" si="0"/>
        <v>#REF!</v>
      </c>
      <c r="AF3" s="2" t="e">
        <f t="shared" si="0"/>
        <v>#REF!</v>
      </c>
      <c r="AG3" s="2" t="e">
        <f t="shared" si="0"/>
        <v>#REF!</v>
      </c>
      <c r="AH3" s="2" t="e">
        <f t="shared" si="0"/>
        <v>#REF!</v>
      </c>
      <c r="AI3" s="2" t="e">
        <f t="shared" si="0"/>
        <v>#REF!</v>
      </c>
      <c r="AJ3" s="2" t="e">
        <f t="shared" si="0"/>
        <v>#REF!</v>
      </c>
      <c r="AK3" s="3" t="e">
        <f t="shared" si="0"/>
        <v>#REF!</v>
      </c>
      <c r="AL3" s="2" t="e">
        <f t="shared" si="0"/>
        <v>#REF!</v>
      </c>
      <c r="AM3" s="2" t="e">
        <f t="shared" si="0"/>
        <v>#REF!</v>
      </c>
      <c r="AN3" s="2" t="e">
        <f t="shared" si="0"/>
        <v>#REF!</v>
      </c>
      <c r="AO3" s="2" t="e">
        <f t="shared" si="0"/>
        <v>#REF!</v>
      </c>
      <c r="AP3" s="2" t="e">
        <f t="shared" si="0"/>
        <v>#REF!</v>
      </c>
      <c r="AQ3" s="2" t="e">
        <f t="shared" si="0"/>
        <v>#REF!</v>
      </c>
      <c r="AR3" s="2" t="e">
        <f t="shared" si="0"/>
        <v>#REF!</v>
      </c>
      <c r="AS3" s="2" t="e">
        <f t="shared" si="0"/>
        <v>#REF!</v>
      </c>
    </row>
    <row r="4" spans="1:61" s="4" customFormat="1" ht="44.25" customHeight="1" thickBot="1" x14ac:dyDescent="0.25">
      <c r="A4" s="4" t="s">
        <v>1</v>
      </c>
      <c r="B4" s="171" t="s">
        <v>1</v>
      </c>
      <c r="C4" s="172"/>
      <c r="D4" s="5" t="s">
        <v>2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145</v>
      </c>
      <c r="J4" s="7" t="s">
        <v>9</v>
      </c>
      <c r="K4" s="7" t="s">
        <v>5</v>
      </c>
      <c r="L4" s="7" t="s">
        <v>6</v>
      </c>
      <c r="M4" s="8" t="s">
        <v>10</v>
      </c>
      <c r="N4" s="8" t="s">
        <v>5</v>
      </c>
      <c r="O4" s="9" t="s">
        <v>6</v>
      </c>
      <c r="P4" s="8" t="s">
        <v>11</v>
      </c>
      <c r="Q4" s="8" t="s">
        <v>12</v>
      </c>
      <c r="R4" s="8" t="s">
        <v>13</v>
      </c>
      <c r="S4" s="7" t="s">
        <v>5</v>
      </c>
      <c r="T4" s="10" t="s">
        <v>6</v>
      </c>
      <c r="U4" s="7" t="s">
        <v>14</v>
      </c>
      <c r="V4" s="11" t="s">
        <v>5</v>
      </c>
      <c r="W4" s="12" t="s">
        <v>6</v>
      </c>
      <c r="X4" s="8" t="s">
        <v>15</v>
      </c>
      <c r="Y4" s="7" t="s">
        <v>152</v>
      </c>
      <c r="Z4" s="7" t="s">
        <v>5</v>
      </c>
      <c r="AA4" s="10" t="s">
        <v>6</v>
      </c>
      <c r="AB4" s="7" t="s">
        <v>16</v>
      </c>
      <c r="AC4" s="7" t="s">
        <v>5</v>
      </c>
      <c r="AD4" s="10" t="s">
        <v>6</v>
      </c>
      <c r="AE4" s="8" t="s">
        <v>21</v>
      </c>
      <c r="AF4" s="7" t="s">
        <v>5</v>
      </c>
      <c r="AG4" s="10" t="s">
        <v>6</v>
      </c>
      <c r="AH4" s="7" t="s">
        <v>18</v>
      </c>
      <c r="AI4" s="7" t="s">
        <v>5</v>
      </c>
      <c r="AJ4" s="10" t="s">
        <v>6</v>
      </c>
      <c r="AK4" s="8" t="s">
        <v>19</v>
      </c>
      <c r="AL4" s="7" t="s">
        <v>5</v>
      </c>
      <c r="AM4" s="10" t="s">
        <v>6</v>
      </c>
      <c r="AN4" s="7" t="s">
        <v>20</v>
      </c>
      <c r="AO4" s="11" t="s">
        <v>5</v>
      </c>
      <c r="AP4" s="12" t="s">
        <v>6</v>
      </c>
      <c r="AQ4" s="8" t="s">
        <v>21</v>
      </c>
      <c r="AR4" s="7" t="s">
        <v>153</v>
      </c>
      <c r="AS4" s="7" t="s">
        <v>154</v>
      </c>
      <c r="AT4" s="13" t="s">
        <v>22</v>
      </c>
      <c r="AV4" s="14"/>
      <c r="AW4" s="14" t="s">
        <v>23</v>
      </c>
      <c r="AX4" s="15" t="s">
        <v>24</v>
      </c>
      <c r="AY4" s="15" t="s">
        <v>25</v>
      </c>
      <c r="AZ4" s="15" t="s">
        <v>26</v>
      </c>
      <c r="BA4" s="15" t="s">
        <v>27</v>
      </c>
      <c r="BB4" s="15" t="s">
        <v>28</v>
      </c>
      <c r="BC4" s="15" t="s">
        <v>29</v>
      </c>
      <c r="BD4" s="15" t="s">
        <v>30</v>
      </c>
      <c r="BE4" s="16"/>
      <c r="BF4" s="16"/>
      <c r="BG4" s="16"/>
      <c r="BH4" s="14"/>
      <c r="BI4" s="13" t="s">
        <v>31</v>
      </c>
    </row>
    <row r="5" spans="1:61" s="31" customFormat="1" ht="30" customHeight="1" x14ac:dyDescent="0.2">
      <c r="A5" s="17" t="str">
        <f>B5&amp;" "&amp;C5</f>
        <v>SEI 004</v>
      </c>
      <c r="B5" s="18" t="s">
        <v>32</v>
      </c>
      <c r="C5" s="19" t="s">
        <v>33</v>
      </c>
      <c r="D5" s="20" t="s">
        <v>34</v>
      </c>
      <c r="E5" s="21" t="s">
        <v>37</v>
      </c>
      <c r="F5" s="21" t="s">
        <v>38</v>
      </c>
      <c r="G5" s="21">
        <v>15</v>
      </c>
      <c r="H5" s="21">
        <v>421.49</v>
      </c>
      <c r="I5" s="160" t="s">
        <v>146</v>
      </c>
      <c r="J5" s="21">
        <v>6322.35</v>
      </c>
      <c r="K5" s="21" t="s">
        <v>37</v>
      </c>
      <c r="L5" s="22">
        <v>1311</v>
      </c>
      <c r="M5" s="23">
        <v>134.58000000000001</v>
      </c>
      <c r="N5" s="21" t="s">
        <v>37</v>
      </c>
      <c r="O5" s="22">
        <v>1713</v>
      </c>
      <c r="P5" s="21">
        <v>351.5</v>
      </c>
      <c r="Q5" s="23">
        <v>406.32</v>
      </c>
      <c r="R5" s="23">
        <f>(J5*3%)</f>
        <v>189.6705</v>
      </c>
      <c r="S5" s="21" t="s">
        <v>37</v>
      </c>
      <c r="T5" s="22">
        <v>1712</v>
      </c>
      <c r="U5" s="24">
        <f>(Q5+R5)</f>
        <v>595.9905</v>
      </c>
      <c r="V5" s="21" t="s">
        <v>37</v>
      </c>
      <c r="W5" s="22">
        <v>1345</v>
      </c>
      <c r="X5" s="24">
        <v>11303.45</v>
      </c>
      <c r="Y5" s="24">
        <f>J5+M5+P5+U5+X5</f>
        <v>18707.870500000001</v>
      </c>
      <c r="Z5" s="21" t="s">
        <v>39</v>
      </c>
      <c r="AA5" s="22">
        <v>1431</v>
      </c>
      <c r="AB5" s="24">
        <f>(J5*9.5%)</f>
        <v>600.6232500000001</v>
      </c>
      <c r="AC5" s="21" t="s">
        <v>39</v>
      </c>
      <c r="AD5" s="25" t="s">
        <v>40</v>
      </c>
      <c r="AE5" s="23">
        <v>306</v>
      </c>
      <c r="AF5" s="21" t="s">
        <v>39</v>
      </c>
      <c r="AG5" s="25" t="s">
        <v>41</v>
      </c>
      <c r="AH5" s="23">
        <f>+BD5</f>
        <v>3797.04</v>
      </c>
      <c r="AI5" s="21" t="s">
        <v>39</v>
      </c>
      <c r="AJ5" s="25" t="s">
        <v>42</v>
      </c>
      <c r="AK5" s="23">
        <f>(J5*0%)</f>
        <v>0</v>
      </c>
      <c r="AL5" s="21" t="s">
        <v>39</v>
      </c>
      <c r="AM5" s="25" t="s">
        <v>43</v>
      </c>
      <c r="AN5" s="23">
        <v>0</v>
      </c>
      <c r="AO5" s="21" t="s">
        <v>39</v>
      </c>
      <c r="AP5" s="25">
        <v>1431</v>
      </c>
      <c r="AQ5" s="23">
        <v>0</v>
      </c>
      <c r="AR5" s="24">
        <f>(AB5+AE5+AH5+AK5+AN5+AQ5)</f>
        <v>4703.6632499999996</v>
      </c>
      <c r="AS5" s="26">
        <f t="shared" ref="AS5:AS32" si="1">(Y5-AR5)</f>
        <v>14004.207250000001</v>
      </c>
      <c r="AT5" s="27"/>
      <c r="AU5" s="28"/>
      <c r="AV5" s="29">
        <f>+G5</f>
        <v>15</v>
      </c>
      <c r="AW5" s="29">
        <f>+J5+R5+M5+P5+Q5+X5</f>
        <v>18707.870500000001</v>
      </c>
      <c r="AX5" s="30">
        <f>IFERROR(+AW5/AV5,0)*AV5</f>
        <v>18707.870500000001</v>
      </c>
      <c r="AY5" s="30">
        <f>IFERROR(+LOOKUP(AX5,[3]TARIFAS!$A$4:$B$14,[3]TARIFAS!$A$4:$A$14),0)</f>
        <v>16153.06</v>
      </c>
      <c r="AZ5" s="30">
        <f>+AX5-AY5</f>
        <v>2554.8105000000014</v>
      </c>
      <c r="BA5" s="30">
        <f>IFERROR(+LOOKUP(AX5,[3]TARIFAS!$A$4:$B$14,[3]TARIFAS!$D$4:$D$14),0)</f>
        <v>30</v>
      </c>
      <c r="BB5" s="30">
        <f>(+AZ5*BA5)/100</f>
        <v>766.44315000000051</v>
      </c>
      <c r="BC5" s="30">
        <f>IFERROR(+LOOKUP(AX5,[3]TARIFAS!$A$4:$B$14,[3]TARIFAS!$C$4:$C$14),0)</f>
        <v>3030.6</v>
      </c>
      <c r="BD5" s="30">
        <f>ROUND(+BB5+BC5,2)</f>
        <v>3797.04</v>
      </c>
      <c r="BE5" s="30"/>
      <c r="BF5" s="30"/>
      <c r="BG5" s="30"/>
      <c r="BH5" s="29"/>
    </row>
    <row r="6" spans="1:61" s="31" customFormat="1" ht="29.25" customHeight="1" x14ac:dyDescent="0.2">
      <c r="A6" s="17" t="str">
        <f t="shared" ref="A6:A33" si="2">B6&amp;" "&amp;C6</f>
        <v>SEI 006</v>
      </c>
      <c r="B6" s="17" t="s">
        <v>32</v>
      </c>
      <c r="C6" s="32" t="s">
        <v>45</v>
      </c>
      <c r="D6" s="20" t="s">
        <v>46</v>
      </c>
      <c r="E6" s="21" t="s">
        <v>37</v>
      </c>
      <c r="F6" s="21" t="s">
        <v>38</v>
      </c>
      <c r="G6" s="21">
        <v>15</v>
      </c>
      <c r="H6" s="21">
        <v>421.49</v>
      </c>
      <c r="I6" s="160" t="s">
        <v>147</v>
      </c>
      <c r="J6" s="21">
        <v>6322.35</v>
      </c>
      <c r="K6" s="21" t="s">
        <v>37</v>
      </c>
      <c r="L6" s="22">
        <v>1311</v>
      </c>
      <c r="M6" s="23">
        <v>168.22500000000002</v>
      </c>
      <c r="N6" s="21" t="s">
        <v>37</v>
      </c>
      <c r="O6" s="22">
        <v>1713</v>
      </c>
      <c r="P6" s="21">
        <v>351.5</v>
      </c>
      <c r="Q6" s="23">
        <v>406.32</v>
      </c>
      <c r="R6" s="23">
        <f t="shared" ref="R6:R33" si="3">(J6*3%)</f>
        <v>189.6705</v>
      </c>
      <c r="S6" s="21" t="s">
        <v>37</v>
      </c>
      <c r="T6" s="22">
        <v>1712</v>
      </c>
      <c r="U6" s="24">
        <f t="shared" ref="U6:U32" si="4">(Q6+R6)</f>
        <v>595.9905</v>
      </c>
      <c r="V6" s="21"/>
      <c r="W6" s="22"/>
      <c r="X6" s="24"/>
      <c r="Y6" s="24">
        <f t="shared" ref="Y6:Y33" si="5">J6+M6+P6+U6+X6</f>
        <v>7438.0655000000006</v>
      </c>
      <c r="Z6" s="21" t="s">
        <v>39</v>
      </c>
      <c r="AA6" s="22">
        <v>1431</v>
      </c>
      <c r="AB6" s="24">
        <f t="shared" ref="AB6:AB33" si="6">(J6*9.5%)</f>
        <v>600.6232500000001</v>
      </c>
      <c r="AC6" s="21" t="s">
        <v>39</v>
      </c>
      <c r="AD6" s="25" t="s">
        <v>40</v>
      </c>
      <c r="AE6" s="23">
        <v>2108</v>
      </c>
      <c r="AF6" s="21" t="s">
        <v>39</v>
      </c>
      <c r="AG6" s="25" t="s">
        <v>41</v>
      </c>
      <c r="AH6" s="23">
        <f t="shared" ref="AH6:AH33" si="7">+BD6</f>
        <v>1041.58</v>
      </c>
      <c r="AI6" s="21" t="s">
        <v>39</v>
      </c>
      <c r="AJ6" s="25" t="s">
        <v>42</v>
      </c>
      <c r="AK6" s="23">
        <f>(J6*1%)</f>
        <v>63.223500000000008</v>
      </c>
      <c r="AL6" s="21" t="s">
        <v>39</v>
      </c>
      <c r="AM6" s="25" t="s">
        <v>43</v>
      </c>
      <c r="AN6" s="23">
        <v>0</v>
      </c>
      <c r="AO6" s="21" t="s">
        <v>39</v>
      </c>
      <c r="AP6" s="25">
        <v>1431</v>
      </c>
      <c r="AQ6" s="23">
        <v>0</v>
      </c>
      <c r="AR6" s="24">
        <f t="shared" ref="AR6:AR32" si="8">(AB6+AE6+AH6+AK6+AN6+AQ6)</f>
        <v>3813.4267500000001</v>
      </c>
      <c r="AS6" s="26">
        <f t="shared" si="1"/>
        <v>3624.6387500000005</v>
      </c>
      <c r="AT6" s="33"/>
      <c r="AU6" s="28"/>
      <c r="AV6" s="29">
        <f t="shared" ref="AV6:AV33" si="9">+G6</f>
        <v>15</v>
      </c>
      <c r="AW6" s="29">
        <f t="shared" ref="AW6:AW33" si="10">+J6+R6+M6+P6+Q6+X6</f>
        <v>7438.0655000000006</v>
      </c>
      <c r="AX6" s="30">
        <f t="shared" ref="AX6:AX33" si="11">IFERROR(+AW6/AV6,0)*AV6</f>
        <v>7438.0655000000006</v>
      </c>
      <c r="AY6" s="30">
        <f>IFERROR(+LOOKUP(AX6,[3]TARIFAS!$A$4:$B$14,[3]TARIFAS!$A$4:$A$14),0)</f>
        <v>5081.41</v>
      </c>
      <c r="AZ6" s="30">
        <f t="shared" ref="AZ6:AZ33" si="12">+AX6-AY6</f>
        <v>2356.6555000000008</v>
      </c>
      <c r="BA6" s="30">
        <f>IFERROR(+LOOKUP(AX6,[3]TARIFAS!$A$4:$B$14,[3]TARIFAS!$D$4:$D$14),0)</f>
        <v>21.36</v>
      </c>
      <c r="BB6" s="30">
        <f t="shared" ref="BB6:BB33" si="13">(+AZ6*BA6)/100</f>
        <v>503.38161480000019</v>
      </c>
      <c r="BC6" s="30">
        <f>IFERROR(+LOOKUP(AX6,[3]TARIFAS!$A$4:$B$14,[3]TARIFAS!$C$4:$C$14),0)</f>
        <v>538.20000000000005</v>
      </c>
      <c r="BD6" s="30">
        <f t="shared" ref="BD6:BD33" si="14">ROUND(+BB6+BC6,2)</f>
        <v>1041.58</v>
      </c>
      <c r="BE6" s="30"/>
      <c r="BF6" s="30"/>
      <c r="BG6" s="30"/>
      <c r="BH6" s="29"/>
    </row>
    <row r="7" spans="1:61" s="31" customFormat="1" ht="30" customHeight="1" x14ac:dyDescent="0.2">
      <c r="A7" s="17" t="str">
        <f t="shared" si="2"/>
        <v>SEI 007</v>
      </c>
      <c r="B7" s="17" t="s">
        <v>32</v>
      </c>
      <c r="C7" s="32" t="s">
        <v>48</v>
      </c>
      <c r="D7" s="20" t="s">
        <v>49</v>
      </c>
      <c r="E7" s="21" t="s">
        <v>37</v>
      </c>
      <c r="F7" s="21" t="s">
        <v>38</v>
      </c>
      <c r="G7" s="21">
        <v>15</v>
      </c>
      <c r="H7" s="21">
        <v>504.21533333333332</v>
      </c>
      <c r="I7" s="160" t="s">
        <v>147</v>
      </c>
      <c r="J7" s="21">
        <v>7563.23</v>
      </c>
      <c r="K7" s="21" t="s">
        <v>37</v>
      </c>
      <c r="L7" s="22">
        <v>1311</v>
      </c>
      <c r="M7" s="23">
        <v>168.22500000000002</v>
      </c>
      <c r="N7" s="21" t="s">
        <v>37</v>
      </c>
      <c r="O7" s="22">
        <v>1713</v>
      </c>
      <c r="P7" s="21">
        <v>282.08999999999997</v>
      </c>
      <c r="Q7" s="23">
        <v>418.44</v>
      </c>
      <c r="R7" s="23">
        <f t="shared" si="3"/>
        <v>226.89689999999999</v>
      </c>
      <c r="S7" s="21" t="s">
        <v>37</v>
      </c>
      <c r="T7" s="22">
        <v>1712</v>
      </c>
      <c r="U7" s="24">
        <f t="shared" si="4"/>
        <v>645.33690000000001</v>
      </c>
      <c r="V7" s="21"/>
      <c r="W7" s="22"/>
      <c r="X7" s="24"/>
      <c r="Y7" s="24">
        <f t="shared" si="5"/>
        <v>8658.8819000000003</v>
      </c>
      <c r="Z7" s="21" t="s">
        <v>39</v>
      </c>
      <c r="AA7" s="22">
        <v>1431</v>
      </c>
      <c r="AB7" s="24">
        <f t="shared" si="6"/>
        <v>718.50684999999999</v>
      </c>
      <c r="AC7" s="21" t="s">
        <v>39</v>
      </c>
      <c r="AD7" s="25" t="s">
        <v>40</v>
      </c>
      <c r="AE7" s="23">
        <v>1158.5</v>
      </c>
      <c r="AF7" s="21" t="s">
        <v>39</v>
      </c>
      <c r="AG7" s="25" t="s">
        <v>41</v>
      </c>
      <c r="AH7" s="23">
        <f t="shared" si="7"/>
        <v>1302.3499999999999</v>
      </c>
      <c r="AI7" s="21" t="s">
        <v>39</v>
      </c>
      <c r="AJ7" s="25" t="s">
        <v>42</v>
      </c>
      <c r="AK7" s="23">
        <f>(J7*1%)</f>
        <v>75.632300000000001</v>
      </c>
      <c r="AL7" s="21" t="s">
        <v>39</v>
      </c>
      <c r="AM7" s="25" t="s">
        <v>43</v>
      </c>
      <c r="AN7" s="23">
        <v>0</v>
      </c>
      <c r="AO7" s="21" t="s">
        <v>39</v>
      </c>
      <c r="AP7" s="25">
        <v>1431</v>
      </c>
      <c r="AQ7" s="23">
        <v>0</v>
      </c>
      <c r="AR7" s="24">
        <f t="shared" si="8"/>
        <v>3254.9891500000003</v>
      </c>
      <c r="AS7" s="26">
        <f t="shared" si="1"/>
        <v>5403.89275</v>
      </c>
      <c r="AT7" s="33"/>
      <c r="AU7" s="28"/>
      <c r="AV7" s="29">
        <f t="shared" si="9"/>
        <v>15</v>
      </c>
      <c r="AW7" s="29">
        <f t="shared" si="10"/>
        <v>8658.8819000000003</v>
      </c>
      <c r="AX7" s="30">
        <f t="shared" si="11"/>
        <v>8658.8819000000003</v>
      </c>
      <c r="AY7" s="30">
        <f>IFERROR(+LOOKUP(AX7,[3]TARIFAS!$A$4:$B$14,[3]TARIFAS!$A$4:$A$14),0)</f>
        <v>5081.41</v>
      </c>
      <c r="AZ7" s="30">
        <f t="shared" si="12"/>
        <v>3577.4719000000005</v>
      </c>
      <c r="BA7" s="30">
        <f>IFERROR(+LOOKUP(AX7,[3]TARIFAS!$A$4:$B$14,[3]TARIFAS!$D$4:$D$14),0)</f>
        <v>21.36</v>
      </c>
      <c r="BB7" s="30">
        <f t="shared" si="13"/>
        <v>764.14799784000002</v>
      </c>
      <c r="BC7" s="30">
        <f>IFERROR(+LOOKUP(AX7,[3]TARIFAS!$A$4:$B$14,[3]TARIFAS!$C$4:$C$14),0)</f>
        <v>538.20000000000005</v>
      </c>
      <c r="BD7" s="30">
        <f t="shared" si="14"/>
        <v>1302.3499999999999</v>
      </c>
      <c r="BE7" s="30"/>
      <c r="BF7" s="30"/>
      <c r="BG7" s="30"/>
      <c r="BH7" s="29"/>
    </row>
    <row r="8" spans="1:61" s="31" customFormat="1" ht="30" customHeight="1" x14ac:dyDescent="0.2">
      <c r="A8" s="17" t="str">
        <f t="shared" si="2"/>
        <v>SEI 008</v>
      </c>
      <c r="B8" s="17" t="s">
        <v>32</v>
      </c>
      <c r="C8" s="32" t="s">
        <v>51</v>
      </c>
      <c r="D8" s="20" t="s">
        <v>52</v>
      </c>
      <c r="E8" s="21" t="s">
        <v>37</v>
      </c>
      <c r="F8" s="21" t="s">
        <v>38</v>
      </c>
      <c r="G8" s="21">
        <v>15</v>
      </c>
      <c r="H8" s="21">
        <v>421.49</v>
      </c>
      <c r="I8" s="160" t="s">
        <v>148</v>
      </c>
      <c r="J8" s="21">
        <v>6322.35</v>
      </c>
      <c r="K8" s="21" t="s">
        <v>37</v>
      </c>
      <c r="L8" s="22">
        <v>1311</v>
      </c>
      <c r="M8" s="23">
        <v>201.87</v>
      </c>
      <c r="N8" s="21" t="s">
        <v>37</v>
      </c>
      <c r="O8" s="22">
        <v>1713</v>
      </c>
      <c r="P8" s="21">
        <v>351.5</v>
      </c>
      <c r="Q8" s="23">
        <v>406.32</v>
      </c>
      <c r="R8" s="23">
        <f t="shared" si="3"/>
        <v>189.6705</v>
      </c>
      <c r="S8" s="21" t="s">
        <v>37</v>
      </c>
      <c r="T8" s="22">
        <v>1712</v>
      </c>
      <c r="U8" s="24">
        <f t="shared" si="4"/>
        <v>595.9905</v>
      </c>
      <c r="V8" s="21"/>
      <c r="W8" s="22"/>
      <c r="X8" s="24"/>
      <c r="Y8" s="24">
        <f t="shared" si="5"/>
        <v>7471.7105000000001</v>
      </c>
      <c r="Z8" s="21" t="s">
        <v>39</v>
      </c>
      <c r="AA8" s="22">
        <v>1431</v>
      </c>
      <c r="AB8" s="24">
        <f t="shared" si="6"/>
        <v>600.6232500000001</v>
      </c>
      <c r="AC8" s="21" t="s">
        <v>39</v>
      </c>
      <c r="AD8" s="25" t="s">
        <v>40</v>
      </c>
      <c r="AE8" s="23">
        <v>1542</v>
      </c>
      <c r="AF8" s="21" t="s">
        <v>39</v>
      </c>
      <c r="AG8" s="25" t="s">
        <v>41</v>
      </c>
      <c r="AH8" s="23">
        <f t="shared" si="7"/>
        <v>1048.77</v>
      </c>
      <c r="AI8" s="21" t="s">
        <v>39</v>
      </c>
      <c r="AJ8" s="25" t="s">
        <v>42</v>
      </c>
      <c r="AK8" s="23">
        <f>(J8*1%)</f>
        <v>63.223500000000008</v>
      </c>
      <c r="AL8" s="21" t="s">
        <v>39</v>
      </c>
      <c r="AM8" s="25" t="s">
        <v>43</v>
      </c>
      <c r="AN8" s="23">
        <v>0</v>
      </c>
      <c r="AO8" s="21" t="s">
        <v>39</v>
      </c>
      <c r="AP8" s="25">
        <v>1431</v>
      </c>
      <c r="AQ8" s="23">
        <v>0</v>
      </c>
      <c r="AR8" s="24">
        <f t="shared" si="8"/>
        <v>3254.6167500000001</v>
      </c>
      <c r="AS8" s="26">
        <f t="shared" si="1"/>
        <v>4217.09375</v>
      </c>
      <c r="AT8" s="33"/>
      <c r="AU8" s="28"/>
      <c r="AV8" s="29">
        <f t="shared" si="9"/>
        <v>15</v>
      </c>
      <c r="AW8" s="29">
        <f t="shared" si="10"/>
        <v>7471.7105000000001</v>
      </c>
      <c r="AX8" s="30">
        <f>IFERROR(+AW8/AV8,0)*AV8</f>
        <v>7471.7105000000001</v>
      </c>
      <c r="AY8" s="30">
        <f>IFERROR(+LOOKUP(AX8,[3]TARIFAS!$A$4:$B$14,[3]TARIFAS!$A$4:$A$14),0)</f>
        <v>5081.41</v>
      </c>
      <c r="AZ8" s="30">
        <f t="shared" si="12"/>
        <v>2390.3005000000003</v>
      </c>
      <c r="BA8" s="30">
        <f>IFERROR(+LOOKUP(AX8,[3]TARIFAS!$A$4:$B$14,[3]TARIFAS!$D$4:$D$14),0)</f>
        <v>21.36</v>
      </c>
      <c r="BB8" s="30">
        <f t="shared" si="13"/>
        <v>510.56818680000003</v>
      </c>
      <c r="BC8" s="30">
        <f>IFERROR(+LOOKUP(AX8,[3]TARIFAS!$A$4:$B$14,[3]TARIFAS!$C$4:$C$14),0)</f>
        <v>538.20000000000005</v>
      </c>
      <c r="BD8" s="30">
        <f t="shared" si="14"/>
        <v>1048.77</v>
      </c>
      <c r="BE8" s="30"/>
      <c r="BF8" s="30"/>
      <c r="BG8" s="30"/>
      <c r="BH8" s="29"/>
    </row>
    <row r="9" spans="1:61" s="31" customFormat="1" ht="30" customHeight="1" x14ac:dyDescent="0.2">
      <c r="A9" s="17" t="str">
        <f t="shared" si="2"/>
        <v>SEI 009</v>
      </c>
      <c r="B9" s="17" t="s">
        <v>32</v>
      </c>
      <c r="C9" s="32" t="s">
        <v>54</v>
      </c>
      <c r="D9" s="20" t="s">
        <v>55</v>
      </c>
      <c r="E9" s="21" t="s">
        <v>37</v>
      </c>
      <c r="F9" s="21" t="s">
        <v>38</v>
      </c>
      <c r="G9" s="21">
        <v>15</v>
      </c>
      <c r="H9" s="21">
        <v>504.21533333333332</v>
      </c>
      <c r="I9" s="160" t="s">
        <v>147</v>
      </c>
      <c r="J9" s="21">
        <v>7563.23</v>
      </c>
      <c r="K9" s="21" t="s">
        <v>37</v>
      </c>
      <c r="L9" s="22">
        <v>1311</v>
      </c>
      <c r="M9" s="23">
        <v>168.22500000000002</v>
      </c>
      <c r="N9" s="21" t="s">
        <v>37</v>
      </c>
      <c r="O9" s="22">
        <v>1713</v>
      </c>
      <c r="P9" s="21">
        <v>282.08999999999997</v>
      </c>
      <c r="Q9" s="23">
        <v>418.44</v>
      </c>
      <c r="R9" s="23">
        <f t="shared" si="3"/>
        <v>226.89689999999999</v>
      </c>
      <c r="S9" s="21" t="s">
        <v>37</v>
      </c>
      <c r="T9" s="22">
        <v>1712</v>
      </c>
      <c r="U9" s="24">
        <f t="shared" si="4"/>
        <v>645.33690000000001</v>
      </c>
      <c r="V9" s="21"/>
      <c r="W9" s="22"/>
      <c r="X9" s="24"/>
      <c r="Y9" s="24">
        <f t="shared" si="5"/>
        <v>8658.8819000000003</v>
      </c>
      <c r="Z9" s="21" t="s">
        <v>39</v>
      </c>
      <c r="AA9" s="22">
        <v>1431</v>
      </c>
      <c r="AB9" s="24">
        <f t="shared" si="6"/>
        <v>718.50684999999999</v>
      </c>
      <c r="AC9" s="21" t="s">
        <v>39</v>
      </c>
      <c r="AD9" s="25" t="s">
        <v>40</v>
      </c>
      <c r="AE9" s="23">
        <v>0</v>
      </c>
      <c r="AF9" s="21" t="s">
        <v>39</v>
      </c>
      <c r="AG9" s="25" t="s">
        <v>41</v>
      </c>
      <c r="AH9" s="23">
        <f t="shared" si="7"/>
        <v>1302.3499999999999</v>
      </c>
      <c r="AI9" s="21" t="s">
        <v>39</v>
      </c>
      <c r="AJ9" s="25" t="s">
        <v>42</v>
      </c>
      <c r="AK9" s="23">
        <f>(J9*1%)</f>
        <v>75.632300000000001</v>
      </c>
      <c r="AL9" s="21" t="s">
        <v>39</v>
      </c>
      <c r="AM9" s="25" t="s">
        <v>43</v>
      </c>
      <c r="AN9" s="23">
        <v>0</v>
      </c>
      <c r="AO9" s="21" t="s">
        <v>39</v>
      </c>
      <c r="AP9" s="25">
        <v>1431</v>
      </c>
      <c r="AQ9" s="23">
        <v>0</v>
      </c>
      <c r="AR9" s="24">
        <f t="shared" si="8"/>
        <v>2096.4891499999999</v>
      </c>
      <c r="AS9" s="26">
        <f t="shared" si="1"/>
        <v>6562.3927500000009</v>
      </c>
      <c r="AT9" s="33"/>
      <c r="AU9" s="28"/>
      <c r="AV9" s="29">
        <f t="shared" si="9"/>
        <v>15</v>
      </c>
      <c r="AW9" s="29">
        <f t="shared" si="10"/>
        <v>8658.8819000000003</v>
      </c>
      <c r="AX9" s="30">
        <f>IFERROR(+AW9/AV9,0)*AV9</f>
        <v>8658.8819000000003</v>
      </c>
      <c r="AY9" s="30">
        <f>IFERROR(+LOOKUP(AX9,[3]TARIFAS!$A$4:$B$14,[3]TARIFAS!$A$4:$A$14),0)</f>
        <v>5081.41</v>
      </c>
      <c r="AZ9" s="30">
        <f t="shared" si="12"/>
        <v>3577.4719000000005</v>
      </c>
      <c r="BA9" s="30">
        <f>IFERROR(+LOOKUP(AX9,[3]TARIFAS!$A$4:$B$14,[3]TARIFAS!$D$4:$D$14),0)</f>
        <v>21.36</v>
      </c>
      <c r="BB9" s="30">
        <f t="shared" si="13"/>
        <v>764.14799784000002</v>
      </c>
      <c r="BC9" s="30">
        <f>IFERROR(+LOOKUP(AX9,[3]TARIFAS!$A$4:$B$14,[3]TARIFAS!$C$4:$C$14),0)</f>
        <v>538.20000000000005</v>
      </c>
      <c r="BD9" s="30">
        <f t="shared" si="14"/>
        <v>1302.3499999999999</v>
      </c>
      <c r="BE9" s="30"/>
      <c r="BF9" s="30"/>
      <c r="BG9" s="30"/>
      <c r="BH9" s="29"/>
    </row>
    <row r="10" spans="1:61" s="31" customFormat="1" ht="30" customHeight="1" x14ac:dyDescent="0.2">
      <c r="A10" s="17" t="str">
        <f t="shared" si="2"/>
        <v>SEI 010</v>
      </c>
      <c r="B10" s="17" t="s">
        <v>32</v>
      </c>
      <c r="C10" s="32" t="s">
        <v>56</v>
      </c>
      <c r="D10" s="20" t="s">
        <v>57</v>
      </c>
      <c r="E10" s="21" t="s">
        <v>37</v>
      </c>
      <c r="F10" s="21" t="s">
        <v>38</v>
      </c>
      <c r="G10" s="21">
        <v>15</v>
      </c>
      <c r="H10" s="21">
        <v>421.49</v>
      </c>
      <c r="I10" s="160" t="s">
        <v>147</v>
      </c>
      <c r="J10" s="21">
        <v>6322.35</v>
      </c>
      <c r="K10" s="21" t="s">
        <v>37</v>
      </c>
      <c r="L10" s="22">
        <v>1311</v>
      </c>
      <c r="M10" s="23">
        <v>201.87</v>
      </c>
      <c r="N10" s="21" t="s">
        <v>37</v>
      </c>
      <c r="O10" s="22">
        <v>1713</v>
      </c>
      <c r="P10" s="21">
        <v>351.5</v>
      </c>
      <c r="Q10" s="23">
        <v>406.32</v>
      </c>
      <c r="R10" s="23">
        <f t="shared" si="3"/>
        <v>189.6705</v>
      </c>
      <c r="S10" s="21" t="s">
        <v>37</v>
      </c>
      <c r="T10" s="22">
        <v>1712</v>
      </c>
      <c r="U10" s="24">
        <f t="shared" si="4"/>
        <v>595.9905</v>
      </c>
      <c r="V10" s="21"/>
      <c r="W10" s="22"/>
      <c r="X10" s="24"/>
      <c r="Y10" s="24">
        <f t="shared" si="5"/>
        <v>7471.7105000000001</v>
      </c>
      <c r="Z10" s="21" t="s">
        <v>39</v>
      </c>
      <c r="AA10" s="22">
        <v>1431</v>
      </c>
      <c r="AB10" s="24">
        <f t="shared" si="6"/>
        <v>600.6232500000001</v>
      </c>
      <c r="AC10" s="21" t="s">
        <v>39</v>
      </c>
      <c r="AD10" s="25" t="s">
        <v>40</v>
      </c>
      <c r="AE10" s="23">
        <v>2108</v>
      </c>
      <c r="AF10" s="21" t="s">
        <v>39</v>
      </c>
      <c r="AG10" s="25" t="s">
        <v>41</v>
      </c>
      <c r="AH10" s="23">
        <f t="shared" si="7"/>
        <v>1048.77</v>
      </c>
      <c r="AI10" s="21" t="s">
        <v>39</v>
      </c>
      <c r="AJ10" s="25" t="s">
        <v>42</v>
      </c>
      <c r="AK10" s="23">
        <f>(J10*1%)</f>
        <v>63.223500000000008</v>
      </c>
      <c r="AL10" s="21" t="s">
        <v>39</v>
      </c>
      <c r="AM10" s="25" t="s">
        <v>43</v>
      </c>
      <c r="AN10" s="23">
        <v>0</v>
      </c>
      <c r="AO10" s="21" t="s">
        <v>39</v>
      </c>
      <c r="AP10" s="25">
        <v>1431</v>
      </c>
      <c r="AQ10" s="23">
        <v>0</v>
      </c>
      <c r="AR10" s="24">
        <f t="shared" si="8"/>
        <v>3820.6167500000001</v>
      </c>
      <c r="AS10" s="26">
        <f t="shared" si="1"/>
        <v>3651.09375</v>
      </c>
      <c r="AT10" s="33"/>
      <c r="AU10" s="28"/>
      <c r="AV10" s="29">
        <f t="shared" si="9"/>
        <v>15</v>
      </c>
      <c r="AW10" s="29">
        <f t="shared" si="10"/>
        <v>7471.7105000000001</v>
      </c>
      <c r="AX10" s="30">
        <f>IFERROR(+AW10/AV10,0)*AV10</f>
        <v>7471.7105000000001</v>
      </c>
      <c r="AY10" s="30">
        <f>IFERROR(+LOOKUP(AX10,[3]TARIFAS!$A$4:$B$14,[3]TARIFAS!$A$4:$A$14),0)</f>
        <v>5081.41</v>
      </c>
      <c r="AZ10" s="30">
        <f t="shared" si="12"/>
        <v>2390.3005000000003</v>
      </c>
      <c r="BA10" s="30">
        <f>IFERROR(+LOOKUP(AX10,[3]TARIFAS!$A$4:$B$14,[3]TARIFAS!$D$4:$D$14),0)</f>
        <v>21.36</v>
      </c>
      <c r="BB10" s="30">
        <f t="shared" si="13"/>
        <v>510.56818680000003</v>
      </c>
      <c r="BC10" s="30">
        <f>IFERROR(+LOOKUP(AX10,[3]TARIFAS!$A$4:$B$14,[3]TARIFAS!$C$4:$C$14),0)</f>
        <v>538.20000000000005</v>
      </c>
      <c r="BD10" s="30">
        <f t="shared" si="14"/>
        <v>1048.77</v>
      </c>
      <c r="BE10" s="30"/>
      <c r="BF10" s="30"/>
      <c r="BG10" s="30"/>
      <c r="BH10" s="29"/>
    </row>
    <row r="11" spans="1:61" s="31" customFormat="1" ht="30" customHeight="1" x14ac:dyDescent="0.2">
      <c r="A11" s="17" t="str">
        <f t="shared" si="2"/>
        <v>SEI 013</v>
      </c>
      <c r="B11" s="17" t="s">
        <v>32</v>
      </c>
      <c r="C11" s="32" t="s">
        <v>58</v>
      </c>
      <c r="D11" s="20" t="s">
        <v>59</v>
      </c>
      <c r="E11" s="21" t="s">
        <v>37</v>
      </c>
      <c r="F11" s="21" t="s">
        <v>38</v>
      </c>
      <c r="G11" s="21">
        <v>15</v>
      </c>
      <c r="H11" s="21">
        <v>325.036</v>
      </c>
      <c r="I11" s="160" t="s">
        <v>149</v>
      </c>
      <c r="J11" s="21">
        <v>4875.54</v>
      </c>
      <c r="K11" s="21" t="s">
        <v>37</v>
      </c>
      <c r="L11" s="22">
        <v>1311</v>
      </c>
      <c r="M11" s="23">
        <v>235.51499999999999</v>
      </c>
      <c r="N11" s="21" t="s">
        <v>37</v>
      </c>
      <c r="O11" s="22">
        <v>1713</v>
      </c>
      <c r="P11" s="21">
        <v>207.91</v>
      </c>
      <c r="Q11" s="23">
        <v>371.02</v>
      </c>
      <c r="R11" s="23">
        <f t="shared" si="3"/>
        <v>146.2662</v>
      </c>
      <c r="S11" s="21" t="s">
        <v>37</v>
      </c>
      <c r="T11" s="22">
        <v>1712</v>
      </c>
      <c r="U11" s="24">
        <f t="shared" si="4"/>
        <v>517.28620000000001</v>
      </c>
      <c r="V11" s="21"/>
      <c r="W11" s="22"/>
      <c r="X11" s="24"/>
      <c r="Y11" s="24">
        <f t="shared" si="5"/>
        <v>5836.2512000000006</v>
      </c>
      <c r="Z11" s="21" t="s">
        <v>39</v>
      </c>
      <c r="AA11" s="22">
        <v>1431</v>
      </c>
      <c r="AB11" s="24">
        <f t="shared" si="6"/>
        <v>463.17630000000003</v>
      </c>
      <c r="AC11" s="21" t="s">
        <v>39</v>
      </c>
      <c r="AD11" s="25" t="s">
        <v>40</v>
      </c>
      <c r="AE11" s="23">
        <v>0</v>
      </c>
      <c r="AF11" s="21" t="s">
        <v>39</v>
      </c>
      <c r="AG11" s="25" t="s">
        <v>41</v>
      </c>
      <c r="AH11" s="23">
        <f t="shared" si="7"/>
        <v>699.43</v>
      </c>
      <c r="AI11" s="21" t="s">
        <v>39</v>
      </c>
      <c r="AJ11" s="25" t="s">
        <v>42</v>
      </c>
      <c r="AK11" s="23">
        <v>0</v>
      </c>
      <c r="AL11" s="21" t="s">
        <v>39</v>
      </c>
      <c r="AM11" s="25" t="s">
        <v>43</v>
      </c>
      <c r="AN11" s="23">
        <v>0</v>
      </c>
      <c r="AO11" s="21" t="s">
        <v>39</v>
      </c>
      <c r="AP11" s="25">
        <v>1431</v>
      </c>
      <c r="AQ11" s="23">
        <v>0</v>
      </c>
      <c r="AR11" s="24">
        <f t="shared" si="8"/>
        <v>1162.6062999999999</v>
      </c>
      <c r="AS11" s="26">
        <f t="shared" si="1"/>
        <v>4673.6449000000011</v>
      </c>
      <c r="AT11" s="33"/>
      <c r="AU11" s="28"/>
      <c r="AV11" s="29">
        <f t="shared" si="9"/>
        <v>15</v>
      </c>
      <c r="AW11" s="29">
        <f t="shared" si="10"/>
        <v>5836.2512000000006</v>
      </c>
      <c r="AX11" s="30">
        <f t="shared" si="11"/>
        <v>5836.2512000000006</v>
      </c>
      <c r="AY11" s="30">
        <f>IFERROR(+LOOKUP(AX11,[3]TARIFAS!$A$4:$B$14,[3]TARIFAS!$A$4:$A$14),0)</f>
        <v>5081.41</v>
      </c>
      <c r="AZ11" s="30">
        <f t="shared" si="12"/>
        <v>754.84120000000075</v>
      </c>
      <c r="BA11" s="30">
        <f>IFERROR(+LOOKUP(AX11,[3]TARIFAS!$A$4:$B$14,[3]TARIFAS!$D$4:$D$14),0)</f>
        <v>21.36</v>
      </c>
      <c r="BB11" s="30">
        <f t="shared" si="13"/>
        <v>161.23408032000015</v>
      </c>
      <c r="BC11" s="30">
        <f>IFERROR(+LOOKUP(AX11,[3]TARIFAS!$A$4:$B$14,[3]TARIFAS!$C$4:$C$14),0)</f>
        <v>538.20000000000005</v>
      </c>
      <c r="BD11" s="30">
        <f t="shared" si="14"/>
        <v>699.43</v>
      </c>
      <c r="BE11" s="30"/>
      <c r="BF11" s="30"/>
      <c r="BG11" s="30"/>
      <c r="BH11" s="29"/>
    </row>
    <row r="12" spans="1:61" s="31" customFormat="1" ht="30" customHeight="1" x14ac:dyDescent="0.2">
      <c r="A12" s="17" t="str">
        <f t="shared" si="2"/>
        <v>SEI 016</v>
      </c>
      <c r="B12" s="17" t="s">
        <v>32</v>
      </c>
      <c r="C12" s="32" t="s">
        <v>61</v>
      </c>
      <c r="D12" s="20" t="s">
        <v>62</v>
      </c>
      <c r="E12" s="21" t="s">
        <v>37</v>
      </c>
      <c r="F12" s="21" t="s">
        <v>38</v>
      </c>
      <c r="G12" s="21">
        <v>15</v>
      </c>
      <c r="H12" s="21">
        <v>325.036</v>
      </c>
      <c r="I12" s="160" t="s">
        <v>149</v>
      </c>
      <c r="J12" s="21">
        <v>4875.54</v>
      </c>
      <c r="K12" s="21" t="s">
        <v>37</v>
      </c>
      <c r="L12" s="22">
        <v>1311</v>
      </c>
      <c r="M12" s="23">
        <v>201.87</v>
      </c>
      <c r="N12" s="21" t="s">
        <v>37</v>
      </c>
      <c r="O12" s="22">
        <v>1713</v>
      </c>
      <c r="P12" s="21">
        <v>207.91</v>
      </c>
      <c r="Q12" s="23">
        <v>371.02</v>
      </c>
      <c r="R12" s="23">
        <f t="shared" si="3"/>
        <v>146.2662</v>
      </c>
      <c r="S12" s="21" t="s">
        <v>37</v>
      </c>
      <c r="T12" s="22">
        <v>1712</v>
      </c>
      <c r="U12" s="24">
        <f t="shared" si="4"/>
        <v>517.28620000000001</v>
      </c>
      <c r="V12" s="21"/>
      <c r="W12" s="22"/>
      <c r="X12" s="24"/>
      <c r="Y12" s="24">
        <f t="shared" si="5"/>
        <v>5802.6062000000002</v>
      </c>
      <c r="Z12" s="21" t="s">
        <v>39</v>
      </c>
      <c r="AA12" s="22">
        <v>1431</v>
      </c>
      <c r="AB12" s="24">
        <f t="shared" si="6"/>
        <v>463.17630000000003</v>
      </c>
      <c r="AC12" s="21" t="s">
        <v>39</v>
      </c>
      <c r="AD12" s="25" t="s">
        <v>40</v>
      </c>
      <c r="AE12" s="23">
        <v>0</v>
      </c>
      <c r="AF12" s="21" t="s">
        <v>39</v>
      </c>
      <c r="AG12" s="25" t="s">
        <v>41</v>
      </c>
      <c r="AH12" s="23">
        <f t="shared" si="7"/>
        <v>692.25</v>
      </c>
      <c r="AI12" s="21" t="s">
        <v>39</v>
      </c>
      <c r="AJ12" s="25" t="s">
        <v>42</v>
      </c>
      <c r="AK12" s="23">
        <v>0</v>
      </c>
      <c r="AL12" s="21" t="s">
        <v>39</v>
      </c>
      <c r="AM12" s="25" t="s">
        <v>43</v>
      </c>
      <c r="AN12" s="23">
        <v>0</v>
      </c>
      <c r="AO12" s="21" t="s">
        <v>39</v>
      </c>
      <c r="AP12" s="25">
        <v>1431</v>
      </c>
      <c r="AQ12" s="23">
        <v>0</v>
      </c>
      <c r="AR12" s="24">
        <f t="shared" si="8"/>
        <v>1155.4263000000001</v>
      </c>
      <c r="AS12" s="26">
        <f t="shared" si="1"/>
        <v>4647.1799000000001</v>
      </c>
      <c r="AT12" s="33"/>
      <c r="AU12" s="28"/>
      <c r="AV12" s="29">
        <f t="shared" si="9"/>
        <v>15</v>
      </c>
      <c r="AW12" s="29">
        <f t="shared" si="10"/>
        <v>5802.6062000000002</v>
      </c>
      <c r="AX12" s="30">
        <f t="shared" si="11"/>
        <v>5802.6062000000002</v>
      </c>
      <c r="AY12" s="30">
        <f>IFERROR(+LOOKUP(AX12,[3]TARIFAS!$A$4:$B$14,[3]TARIFAS!$A$4:$A$14),0)</f>
        <v>5081.41</v>
      </c>
      <c r="AZ12" s="30">
        <f t="shared" si="12"/>
        <v>721.19620000000032</v>
      </c>
      <c r="BA12" s="30">
        <f>IFERROR(+LOOKUP(AX12,[3]TARIFAS!$A$4:$B$14,[3]TARIFAS!$D$4:$D$14),0)</f>
        <v>21.36</v>
      </c>
      <c r="BB12" s="30">
        <f t="shared" si="13"/>
        <v>154.04750832000008</v>
      </c>
      <c r="BC12" s="30">
        <f>IFERROR(+LOOKUP(AX12,[3]TARIFAS!$A$4:$B$14,[3]TARIFAS!$C$4:$C$14),0)</f>
        <v>538.20000000000005</v>
      </c>
      <c r="BD12" s="30">
        <f t="shared" si="14"/>
        <v>692.25</v>
      </c>
      <c r="BE12" s="30"/>
      <c r="BF12" s="30"/>
      <c r="BG12" s="30"/>
      <c r="BH12" s="29"/>
    </row>
    <row r="13" spans="1:61" s="31" customFormat="1" ht="30" customHeight="1" x14ac:dyDescent="0.2">
      <c r="A13" s="17" t="str">
        <f t="shared" si="2"/>
        <v>SEI 017</v>
      </c>
      <c r="B13" s="17" t="s">
        <v>32</v>
      </c>
      <c r="C13" s="32" t="s">
        <v>63</v>
      </c>
      <c r="D13" s="20" t="s">
        <v>64</v>
      </c>
      <c r="E13" s="21" t="s">
        <v>37</v>
      </c>
      <c r="F13" s="21" t="s">
        <v>38</v>
      </c>
      <c r="G13" s="21">
        <v>15</v>
      </c>
      <c r="H13" s="21">
        <v>421.49</v>
      </c>
      <c r="I13" s="160" t="s">
        <v>149</v>
      </c>
      <c r="J13" s="21">
        <v>6322.35</v>
      </c>
      <c r="K13" s="21" t="s">
        <v>37</v>
      </c>
      <c r="L13" s="22">
        <v>1311</v>
      </c>
      <c r="M13" s="23">
        <v>235.51499999999999</v>
      </c>
      <c r="N13" s="21" t="s">
        <v>37</v>
      </c>
      <c r="O13" s="22">
        <v>1713</v>
      </c>
      <c r="P13" s="21">
        <v>351.5</v>
      </c>
      <c r="Q13" s="23">
        <v>406.32</v>
      </c>
      <c r="R13" s="23">
        <f t="shared" si="3"/>
        <v>189.6705</v>
      </c>
      <c r="S13" s="21" t="s">
        <v>37</v>
      </c>
      <c r="T13" s="22">
        <v>1712</v>
      </c>
      <c r="U13" s="24">
        <f t="shared" si="4"/>
        <v>595.9905</v>
      </c>
      <c r="V13" s="21"/>
      <c r="W13" s="22"/>
      <c r="X13" s="24"/>
      <c r="Y13" s="24">
        <f t="shared" si="5"/>
        <v>7505.3555000000006</v>
      </c>
      <c r="Z13" s="21" t="s">
        <v>39</v>
      </c>
      <c r="AA13" s="22">
        <v>1431</v>
      </c>
      <c r="AB13" s="24">
        <f t="shared" si="6"/>
        <v>600.6232500000001</v>
      </c>
      <c r="AC13" s="21" t="s">
        <v>39</v>
      </c>
      <c r="AD13" s="25" t="s">
        <v>40</v>
      </c>
      <c r="AE13" s="23">
        <v>0</v>
      </c>
      <c r="AF13" s="21" t="s">
        <v>39</v>
      </c>
      <c r="AG13" s="25" t="s">
        <v>41</v>
      </c>
      <c r="AH13" s="23">
        <f t="shared" si="7"/>
        <v>1055.95</v>
      </c>
      <c r="AI13" s="21" t="s">
        <v>39</v>
      </c>
      <c r="AJ13" s="25" t="s">
        <v>42</v>
      </c>
      <c r="AK13" s="23">
        <v>0</v>
      </c>
      <c r="AL13" s="21" t="s">
        <v>39</v>
      </c>
      <c r="AM13" s="25" t="s">
        <v>43</v>
      </c>
      <c r="AN13" s="23">
        <v>0</v>
      </c>
      <c r="AO13" s="21" t="s">
        <v>39</v>
      </c>
      <c r="AP13" s="25">
        <v>1431</v>
      </c>
      <c r="AQ13" s="23">
        <v>0</v>
      </c>
      <c r="AR13" s="24">
        <f t="shared" si="8"/>
        <v>1656.5732500000001</v>
      </c>
      <c r="AS13" s="26">
        <f t="shared" si="1"/>
        <v>5848.7822500000002</v>
      </c>
      <c r="AT13" s="33"/>
      <c r="AU13" s="28"/>
      <c r="AV13" s="29">
        <f t="shared" si="9"/>
        <v>15</v>
      </c>
      <c r="AW13" s="29">
        <f t="shared" si="10"/>
        <v>7505.3555000000006</v>
      </c>
      <c r="AX13" s="30">
        <f t="shared" si="11"/>
        <v>7505.3555000000006</v>
      </c>
      <c r="AY13" s="30">
        <f>IFERROR(+LOOKUP(AX13,[3]TARIFAS!$A$4:$B$14,[3]TARIFAS!$A$4:$A$14),0)</f>
        <v>5081.41</v>
      </c>
      <c r="AZ13" s="30">
        <f t="shared" si="12"/>
        <v>2423.9455000000007</v>
      </c>
      <c r="BA13" s="30">
        <f>IFERROR(+LOOKUP(AX13,[3]TARIFAS!$A$4:$B$14,[3]TARIFAS!$D$4:$D$14),0)</f>
        <v>21.36</v>
      </c>
      <c r="BB13" s="30">
        <f t="shared" si="13"/>
        <v>517.7547588000001</v>
      </c>
      <c r="BC13" s="30">
        <f>IFERROR(+LOOKUP(AX13,[3]TARIFAS!$A$4:$B$14,[3]TARIFAS!$C$4:$C$14),0)</f>
        <v>538.20000000000005</v>
      </c>
      <c r="BD13" s="30">
        <f t="shared" si="14"/>
        <v>1055.95</v>
      </c>
      <c r="BE13" s="30"/>
      <c r="BF13" s="30"/>
      <c r="BG13" s="30"/>
      <c r="BH13" s="29"/>
    </row>
    <row r="14" spans="1:61" s="31" customFormat="1" ht="30" customHeight="1" x14ac:dyDescent="0.2">
      <c r="A14" s="17" t="str">
        <f t="shared" si="2"/>
        <v>SEI 030</v>
      </c>
      <c r="B14" s="17" t="s">
        <v>32</v>
      </c>
      <c r="C14" s="32" t="s">
        <v>65</v>
      </c>
      <c r="D14" s="20" t="s">
        <v>66</v>
      </c>
      <c r="E14" s="21" t="s">
        <v>37</v>
      </c>
      <c r="F14" s="21" t="s">
        <v>38</v>
      </c>
      <c r="G14" s="21">
        <v>15</v>
      </c>
      <c r="H14" s="21">
        <v>1029.4333333333334</v>
      </c>
      <c r="I14" s="160" t="s">
        <v>147</v>
      </c>
      <c r="J14" s="21">
        <v>15441.5</v>
      </c>
      <c r="K14" s="21" t="s">
        <v>37</v>
      </c>
      <c r="L14" s="22">
        <v>1311</v>
      </c>
      <c r="M14" s="23">
        <v>0</v>
      </c>
      <c r="N14" s="21" t="s">
        <v>37</v>
      </c>
      <c r="O14" s="22">
        <v>1713</v>
      </c>
      <c r="P14" s="23">
        <v>566.5</v>
      </c>
      <c r="Q14" s="23">
        <v>835.5</v>
      </c>
      <c r="R14" s="23">
        <f t="shared" si="3"/>
        <v>463.245</v>
      </c>
      <c r="S14" s="21" t="s">
        <v>37</v>
      </c>
      <c r="T14" s="22">
        <v>1712</v>
      </c>
      <c r="U14" s="24">
        <f t="shared" si="4"/>
        <v>1298.7449999999999</v>
      </c>
      <c r="V14" s="21"/>
      <c r="W14" s="22"/>
      <c r="X14" s="24"/>
      <c r="Y14" s="24">
        <f t="shared" si="5"/>
        <v>17306.744999999999</v>
      </c>
      <c r="Z14" s="21" t="s">
        <v>39</v>
      </c>
      <c r="AA14" s="22">
        <v>1431</v>
      </c>
      <c r="AB14" s="24">
        <f t="shared" si="6"/>
        <v>1466.9425000000001</v>
      </c>
      <c r="AC14" s="21" t="s">
        <v>39</v>
      </c>
      <c r="AD14" s="25" t="s">
        <v>40</v>
      </c>
      <c r="AE14" s="23">
        <v>0</v>
      </c>
      <c r="AF14" s="21" t="s">
        <v>39</v>
      </c>
      <c r="AG14" s="25" t="s">
        <v>41</v>
      </c>
      <c r="AH14" s="23">
        <f t="shared" si="7"/>
        <v>3376.71</v>
      </c>
      <c r="AI14" s="21" t="s">
        <v>39</v>
      </c>
      <c r="AJ14" s="25" t="s">
        <v>42</v>
      </c>
      <c r="AK14" s="23">
        <v>0</v>
      </c>
      <c r="AL14" s="21" t="s">
        <v>39</v>
      </c>
      <c r="AM14" s="25" t="s">
        <v>43</v>
      </c>
      <c r="AN14" s="23">
        <v>0</v>
      </c>
      <c r="AO14" s="21" t="s">
        <v>39</v>
      </c>
      <c r="AP14" s="25">
        <v>1431</v>
      </c>
      <c r="AQ14" s="23">
        <v>0</v>
      </c>
      <c r="AR14" s="24">
        <f t="shared" si="8"/>
        <v>4843.6525000000001</v>
      </c>
      <c r="AS14" s="26">
        <f t="shared" si="1"/>
        <v>12463.092499999999</v>
      </c>
      <c r="AT14" s="33"/>
      <c r="AU14" s="28"/>
      <c r="AV14" s="29">
        <f t="shared" si="9"/>
        <v>15</v>
      </c>
      <c r="AW14" s="29">
        <f t="shared" si="10"/>
        <v>17306.745000000003</v>
      </c>
      <c r="AX14" s="30">
        <f t="shared" si="11"/>
        <v>17306.745000000003</v>
      </c>
      <c r="AY14" s="30">
        <f>IFERROR(+LOOKUP(AX14,[3]TARIFAS!$A$4:$B$14,[3]TARIFAS!$A$4:$A$14),0)</f>
        <v>16153.06</v>
      </c>
      <c r="AZ14" s="30">
        <f t="shared" si="12"/>
        <v>1153.6850000000031</v>
      </c>
      <c r="BA14" s="30">
        <f>IFERROR(+LOOKUP(AX14,[3]TARIFAS!$A$4:$B$14,[3]TARIFAS!$D$4:$D$14),0)</f>
        <v>30</v>
      </c>
      <c r="BB14" s="30">
        <f t="shared" si="13"/>
        <v>346.10550000000092</v>
      </c>
      <c r="BC14" s="30">
        <f>IFERROR(+LOOKUP(AX14,[3]TARIFAS!$A$4:$B$14,[3]TARIFAS!$C$4:$C$14),0)</f>
        <v>3030.6</v>
      </c>
      <c r="BD14" s="30">
        <f t="shared" si="14"/>
        <v>3376.71</v>
      </c>
      <c r="BE14" s="30"/>
      <c r="BF14" s="30"/>
      <c r="BG14" s="30"/>
      <c r="BH14" s="29"/>
    </row>
    <row r="15" spans="1:61" s="31" customFormat="1" ht="30" customHeight="1" x14ac:dyDescent="0.2">
      <c r="A15" s="17" t="str">
        <f t="shared" si="2"/>
        <v>SEI 034</v>
      </c>
      <c r="B15" s="17" t="s">
        <v>32</v>
      </c>
      <c r="C15" s="32" t="s">
        <v>68</v>
      </c>
      <c r="D15" s="34" t="s">
        <v>69</v>
      </c>
      <c r="E15" s="21" t="s">
        <v>37</v>
      </c>
      <c r="F15" s="21" t="s">
        <v>38</v>
      </c>
      <c r="G15" s="21">
        <v>15</v>
      </c>
      <c r="H15" s="21">
        <v>325.036</v>
      </c>
      <c r="I15" s="160" t="s">
        <v>147</v>
      </c>
      <c r="J15" s="21">
        <v>4875.54</v>
      </c>
      <c r="K15" s="21" t="s">
        <v>37</v>
      </c>
      <c r="L15" s="22">
        <v>1311</v>
      </c>
      <c r="M15" s="35">
        <v>100.935</v>
      </c>
      <c r="N15" s="21" t="s">
        <v>37</v>
      </c>
      <c r="O15" s="22">
        <v>1713</v>
      </c>
      <c r="P15" s="36">
        <v>207.91</v>
      </c>
      <c r="Q15" s="35">
        <v>371.02</v>
      </c>
      <c r="R15" s="23">
        <f t="shared" si="3"/>
        <v>146.2662</v>
      </c>
      <c r="S15" s="21" t="s">
        <v>37</v>
      </c>
      <c r="T15" s="22">
        <v>1712</v>
      </c>
      <c r="U15" s="24">
        <f t="shared" si="4"/>
        <v>517.28620000000001</v>
      </c>
      <c r="V15" s="21"/>
      <c r="W15" s="22"/>
      <c r="X15" s="24"/>
      <c r="Y15" s="24">
        <f t="shared" si="5"/>
        <v>5701.6712000000007</v>
      </c>
      <c r="Z15" s="21" t="s">
        <v>39</v>
      </c>
      <c r="AA15" s="22">
        <v>1431</v>
      </c>
      <c r="AB15" s="24">
        <f t="shared" si="6"/>
        <v>463.17630000000003</v>
      </c>
      <c r="AC15" s="21" t="s">
        <v>39</v>
      </c>
      <c r="AD15" s="25" t="s">
        <v>40</v>
      </c>
      <c r="AE15" s="35">
        <v>0</v>
      </c>
      <c r="AF15" s="21" t="s">
        <v>39</v>
      </c>
      <c r="AG15" s="25" t="s">
        <v>41</v>
      </c>
      <c r="AH15" s="23">
        <f t="shared" si="7"/>
        <v>670.69</v>
      </c>
      <c r="AI15" s="21" t="s">
        <v>39</v>
      </c>
      <c r="AJ15" s="25" t="s">
        <v>42</v>
      </c>
      <c r="AK15" s="23">
        <f>(J15*1%)</f>
        <v>48.755400000000002</v>
      </c>
      <c r="AL15" s="21" t="s">
        <v>39</v>
      </c>
      <c r="AM15" s="25" t="s">
        <v>43</v>
      </c>
      <c r="AN15" s="35">
        <v>0</v>
      </c>
      <c r="AO15" s="21" t="s">
        <v>39</v>
      </c>
      <c r="AP15" s="25">
        <v>1431</v>
      </c>
      <c r="AQ15" s="23">
        <v>0</v>
      </c>
      <c r="AR15" s="24">
        <f t="shared" si="8"/>
        <v>1182.6217000000001</v>
      </c>
      <c r="AS15" s="26">
        <f t="shared" si="1"/>
        <v>4519.049500000001</v>
      </c>
      <c r="AT15" s="37"/>
      <c r="AU15" s="28"/>
      <c r="AV15" s="29">
        <f t="shared" si="9"/>
        <v>15</v>
      </c>
      <c r="AW15" s="29">
        <f t="shared" si="10"/>
        <v>5701.6712000000007</v>
      </c>
      <c r="AX15" s="30">
        <f t="shared" si="11"/>
        <v>5701.6712000000007</v>
      </c>
      <c r="AY15" s="30">
        <f>IFERROR(+LOOKUP(AX15,[3]TARIFAS!$A$4:$B$14,[3]TARIFAS!$A$4:$A$14),0)</f>
        <v>5081.41</v>
      </c>
      <c r="AZ15" s="30">
        <f t="shared" si="12"/>
        <v>620.26120000000083</v>
      </c>
      <c r="BA15" s="30">
        <f>IFERROR(+LOOKUP(AX15,[3]TARIFAS!$A$4:$B$14,[3]TARIFAS!$D$4:$D$14),0)</f>
        <v>21.36</v>
      </c>
      <c r="BB15" s="30">
        <f t="shared" si="13"/>
        <v>132.48779232000018</v>
      </c>
      <c r="BC15" s="30">
        <f>IFERROR(+LOOKUP(AX15,[3]TARIFAS!$A$4:$B$14,[3]TARIFAS!$C$4:$C$14),0)</f>
        <v>538.20000000000005</v>
      </c>
      <c r="BD15" s="30">
        <f t="shared" si="14"/>
        <v>670.69</v>
      </c>
      <c r="BE15" s="30"/>
      <c r="BF15" s="30"/>
      <c r="BG15" s="30"/>
      <c r="BH15" s="29"/>
    </row>
    <row r="16" spans="1:61" s="31" customFormat="1" ht="30" customHeight="1" x14ac:dyDescent="0.2">
      <c r="A16" s="17" t="str">
        <f t="shared" si="2"/>
        <v>SEI 040</v>
      </c>
      <c r="B16" s="17" t="s">
        <v>32</v>
      </c>
      <c r="C16" s="32" t="s">
        <v>70</v>
      </c>
      <c r="D16" s="20" t="s">
        <v>71</v>
      </c>
      <c r="E16" s="21" t="s">
        <v>37</v>
      </c>
      <c r="F16" s="21" t="s">
        <v>38</v>
      </c>
      <c r="G16" s="21">
        <v>15</v>
      </c>
      <c r="H16" s="21">
        <v>421.49</v>
      </c>
      <c r="I16" s="160" t="s">
        <v>147</v>
      </c>
      <c r="J16" s="21">
        <v>6322.35</v>
      </c>
      <c r="K16" s="21" t="s">
        <v>37</v>
      </c>
      <c r="L16" s="22">
        <v>1311</v>
      </c>
      <c r="M16" s="23">
        <v>100.935</v>
      </c>
      <c r="N16" s="21" t="s">
        <v>37</v>
      </c>
      <c r="O16" s="22">
        <v>1713</v>
      </c>
      <c r="P16" s="21">
        <v>351.5</v>
      </c>
      <c r="Q16" s="23">
        <v>406.32</v>
      </c>
      <c r="R16" s="23">
        <f t="shared" si="3"/>
        <v>189.6705</v>
      </c>
      <c r="S16" s="21" t="s">
        <v>37</v>
      </c>
      <c r="T16" s="22">
        <v>1712</v>
      </c>
      <c r="U16" s="24">
        <f t="shared" si="4"/>
        <v>595.9905</v>
      </c>
      <c r="V16" s="21"/>
      <c r="W16" s="22"/>
      <c r="X16" s="24"/>
      <c r="Y16" s="24">
        <f t="shared" si="5"/>
        <v>7370.7755000000006</v>
      </c>
      <c r="Z16" s="21" t="s">
        <v>39</v>
      </c>
      <c r="AA16" s="22">
        <v>1431</v>
      </c>
      <c r="AB16" s="24">
        <f t="shared" si="6"/>
        <v>600.6232500000001</v>
      </c>
      <c r="AC16" s="21" t="s">
        <v>39</v>
      </c>
      <c r="AD16" s="25" t="s">
        <v>40</v>
      </c>
      <c r="AE16" s="23">
        <v>411</v>
      </c>
      <c r="AF16" s="21" t="s">
        <v>39</v>
      </c>
      <c r="AG16" s="25" t="s">
        <v>41</v>
      </c>
      <c r="AH16" s="23">
        <f t="shared" si="7"/>
        <v>1027.21</v>
      </c>
      <c r="AI16" s="21" t="s">
        <v>39</v>
      </c>
      <c r="AJ16" s="25" t="s">
        <v>42</v>
      </c>
      <c r="AK16" s="23">
        <f>(J16*1%)</f>
        <v>63.223500000000008</v>
      </c>
      <c r="AL16" s="21" t="s">
        <v>39</v>
      </c>
      <c r="AM16" s="25" t="s">
        <v>43</v>
      </c>
      <c r="AN16" s="23">
        <v>0</v>
      </c>
      <c r="AO16" s="21" t="s">
        <v>39</v>
      </c>
      <c r="AP16" s="25">
        <v>1431</v>
      </c>
      <c r="AQ16" s="23">
        <v>0</v>
      </c>
      <c r="AR16" s="24">
        <f t="shared" si="8"/>
        <v>2102.0567500000002</v>
      </c>
      <c r="AS16" s="26">
        <f t="shared" si="1"/>
        <v>5268.71875</v>
      </c>
      <c r="AT16" s="33"/>
      <c r="AU16" s="28"/>
      <c r="AV16" s="29">
        <f t="shared" si="9"/>
        <v>15</v>
      </c>
      <c r="AW16" s="29">
        <f t="shared" si="10"/>
        <v>7370.7755000000006</v>
      </c>
      <c r="AX16" s="30">
        <f t="shared" si="11"/>
        <v>7370.7755000000006</v>
      </c>
      <c r="AY16" s="30">
        <f>IFERROR(+LOOKUP(AX16,[3]TARIFAS!$A$4:$B$14,[3]TARIFAS!$A$4:$A$14),0)</f>
        <v>5081.41</v>
      </c>
      <c r="AZ16" s="30">
        <f t="shared" si="12"/>
        <v>2289.3655000000008</v>
      </c>
      <c r="BA16" s="30">
        <f>IFERROR(+LOOKUP(AX16,[3]TARIFAS!$A$4:$B$14,[3]TARIFAS!$D$4:$D$14),0)</f>
        <v>21.36</v>
      </c>
      <c r="BB16" s="30">
        <f t="shared" si="13"/>
        <v>489.00847080000017</v>
      </c>
      <c r="BC16" s="30">
        <f>IFERROR(+LOOKUP(AX16,[3]TARIFAS!$A$4:$B$14,[3]TARIFAS!$C$4:$C$14),0)</f>
        <v>538.20000000000005</v>
      </c>
      <c r="BD16" s="30">
        <f t="shared" si="14"/>
        <v>1027.21</v>
      </c>
      <c r="BE16" s="30"/>
      <c r="BF16" s="30"/>
      <c r="BG16" s="30"/>
      <c r="BH16" s="29"/>
    </row>
    <row r="17" spans="1:61" s="31" customFormat="1" ht="30" customHeight="1" x14ac:dyDescent="0.2">
      <c r="A17" s="17" t="str">
        <f t="shared" si="2"/>
        <v>SEI 048</v>
      </c>
      <c r="B17" s="17" t="s">
        <v>32</v>
      </c>
      <c r="C17" s="32" t="s">
        <v>72</v>
      </c>
      <c r="D17" s="38" t="s">
        <v>73</v>
      </c>
      <c r="E17" s="21" t="s">
        <v>37</v>
      </c>
      <c r="F17" s="21" t="s">
        <v>38</v>
      </c>
      <c r="G17" s="21">
        <v>15</v>
      </c>
      <c r="H17" s="21">
        <v>421.49</v>
      </c>
      <c r="I17" s="160" t="s">
        <v>149</v>
      </c>
      <c r="J17" s="21">
        <v>6322.35</v>
      </c>
      <c r="K17" s="21" t="s">
        <v>37</v>
      </c>
      <c r="L17" s="22">
        <v>1311</v>
      </c>
      <c r="M17" s="23">
        <v>100.935</v>
      </c>
      <c r="N17" s="21" t="s">
        <v>37</v>
      </c>
      <c r="O17" s="22">
        <v>1713</v>
      </c>
      <c r="P17" s="21">
        <v>351.5</v>
      </c>
      <c r="Q17" s="23">
        <v>406.32</v>
      </c>
      <c r="R17" s="23">
        <f t="shared" si="3"/>
        <v>189.6705</v>
      </c>
      <c r="S17" s="21" t="s">
        <v>37</v>
      </c>
      <c r="T17" s="22">
        <v>1712</v>
      </c>
      <c r="U17" s="24">
        <f t="shared" si="4"/>
        <v>595.9905</v>
      </c>
      <c r="V17" s="21"/>
      <c r="W17" s="22"/>
      <c r="X17" s="24"/>
      <c r="Y17" s="24">
        <f t="shared" si="5"/>
        <v>7370.7755000000006</v>
      </c>
      <c r="Z17" s="21" t="s">
        <v>39</v>
      </c>
      <c r="AA17" s="22">
        <v>1431</v>
      </c>
      <c r="AB17" s="24">
        <f t="shared" si="6"/>
        <v>600.6232500000001</v>
      </c>
      <c r="AC17" s="21" t="s">
        <v>39</v>
      </c>
      <c r="AD17" s="25" t="s">
        <v>40</v>
      </c>
      <c r="AE17" s="23">
        <v>0</v>
      </c>
      <c r="AF17" s="21" t="s">
        <v>39</v>
      </c>
      <c r="AG17" s="25" t="s">
        <v>41</v>
      </c>
      <c r="AH17" s="23">
        <f t="shared" si="7"/>
        <v>1027.21</v>
      </c>
      <c r="AI17" s="21" t="s">
        <v>39</v>
      </c>
      <c r="AJ17" s="25" t="s">
        <v>42</v>
      </c>
      <c r="AK17" s="23">
        <f>(J17*1%)</f>
        <v>63.223500000000008</v>
      </c>
      <c r="AL17" s="21" t="s">
        <v>39</v>
      </c>
      <c r="AM17" s="25" t="s">
        <v>43</v>
      </c>
      <c r="AN17" s="23">
        <v>0</v>
      </c>
      <c r="AO17" s="21" t="s">
        <v>39</v>
      </c>
      <c r="AP17" s="25">
        <v>1431</v>
      </c>
      <c r="AQ17" s="23">
        <v>0</v>
      </c>
      <c r="AR17" s="24">
        <f t="shared" si="8"/>
        <v>1691.0567500000002</v>
      </c>
      <c r="AS17" s="26">
        <f t="shared" si="1"/>
        <v>5679.71875</v>
      </c>
      <c r="AT17" s="33"/>
      <c r="AU17" s="28"/>
      <c r="AV17" s="29">
        <f t="shared" si="9"/>
        <v>15</v>
      </c>
      <c r="AW17" s="29">
        <f t="shared" si="10"/>
        <v>7370.7755000000006</v>
      </c>
      <c r="AX17" s="30">
        <f t="shared" si="11"/>
        <v>7370.7755000000006</v>
      </c>
      <c r="AY17" s="30">
        <f>IFERROR(+LOOKUP(AX17,[3]TARIFAS!$A$4:$B$14,[3]TARIFAS!$A$4:$A$14),0)</f>
        <v>5081.41</v>
      </c>
      <c r="AZ17" s="30">
        <f t="shared" si="12"/>
        <v>2289.3655000000008</v>
      </c>
      <c r="BA17" s="30">
        <f>IFERROR(+LOOKUP(AX17,[3]TARIFAS!$A$4:$B$14,[3]TARIFAS!$D$4:$D$14),0)</f>
        <v>21.36</v>
      </c>
      <c r="BB17" s="30">
        <f t="shared" si="13"/>
        <v>489.00847080000017</v>
      </c>
      <c r="BC17" s="30">
        <f>IFERROR(+LOOKUP(AX17,[3]TARIFAS!$A$4:$B$14,[3]TARIFAS!$C$4:$C$14),0)</f>
        <v>538.20000000000005</v>
      </c>
      <c r="BD17" s="30">
        <f t="shared" si="14"/>
        <v>1027.21</v>
      </c>
      <c r="BE17" s="30"/>
      <c r="BF17" s="30"/>
      <c r="BG17" s="30"/>
      <c r="BH17" s="29"/>
    </row>
    <row r="18" spans="1:61" s="31" customFormat="1" ht="30" customHeight="1" x14ac:dyDescent="0.2">
      <c r="A18" s="17" t="str">
        <f t="shared" si="2"/>
        <v>SEI 050</v>
      </c>
      <c r="B18" s="17" t="s">
        <v>32</v>
      </c>
      <c r="C18" s="32" t="s">
        <v>74</v>
      </c>
      <c r="D18" s="38" t="s">
        <v>75</v>
      </c>
      <c r="E18" s="21" t="s">
        <v>37</v>
      </c>
      <c r="F18" s="21" t="s">
        <v>38</v>
      </c>
      <c r="G18" s="21">
        <v>15</v>
      </c>
      <c r="H18" s="21">
        <v>1029.4333333333334</v>
      </c>
      <c r="I18" s="160" t="s">
        <v>149</v>
      </c>
      <c r="J18" s="21">
        <v>15441.5</v>
      </c>
      <c r="K18" s="21" t="s">
        <v>37</v>
      </c>
      <c r="L18" s="22">
        <v>1311</v>
      </c>
      <c r="M18" s="23">
        <v>100.935</v>
      </c>
      <c r="N18" s="21" t="s">
        <v>37</v>
      </c>
      <c r="O18" s="22">
        <v>1713</v>
      </c>
      <c r="P18" s="21">
        <v>566.5</v>
      </c>
      <c r="Q18" s="23">
        <v>835.5</v>
      </c>
      <c r="R18" s="23">
        <f t="shared" si="3"/>
        <v>463.245</v>
      </c>
      <c r="S18" s="21" t="s">
        <v>37</v>
      </c>
      <c r="T18" s="22">
        <v>1712</v>
      </c>
      <c r="U18" s="24">
        <f t="shared" si="4"/>
        <v>1298.7449999999999</v>
      </c>
      <c r="V18" s="21"/>
      <c r="W18" s="22"/>
      <c r="X18" s="24"/>
      <c r="Y18" s="24">
        <f t="shared" si="5"/>
        <v>17407.68</v>
      </c>
      <c r="Z18" s="21" t="s">
        <v>39</v>
      </c>
      <c r="AA18" s="22">
        <v>1431</v>
      </c>
      <c r="AB18" s="24">
        <f t="shared" si="6"/>
        <v>1466.9425000000001</v>
      </c>
      <c r="AC18" s="21" t="s">
        <v>39</v>
      </c>
      <c r="AD18" s="25" t="s">
        <v>40</v>
      </c>
      <c r="AE18" s="23">
        <v>3953.67</v>
      </c>
      <c r="AF18" s="21" t="s">
        <v>39</v>
      </c>
      <c r="AG18" s="25" t="s">
        <v>41</v>
      </c>
      <c r="AH18" s="23">
        <f t="shared" si="7"/>
        <v>3406.99</v>
      </c>
      <c r="AI18" s="21" t="s">
        <v>39</v>
      </c>
      <c r="AJ18" s="25" t="s">
        <v>42</v>
      </c>
      <c r="AK18" s="23">
        <v>0</v>
      </c>
      <c r="AL18" s="21" t="s">
        <v>39</v>
      </c>
      <c r="AM18" s="25" t="s">
        <v>43</v>
      </c>
      <c r="AN18" s="23">
        <v>0</v>
      </c>
      <c r="AO18" s="21" t="s">
        <v>39</v>
      </c>
      <c r="AP18" s="25">
        <v>1431</v>
      </c>
      <c r="AQ18" s="23">
        <v>0</v>
      </c>
      <c r="AR18" s="24">
        <f t="shared" si="8"/>
        <v>8827.6025000000009</v>
      </c>
      <c r="AS18" s="26">
        <f t="shared" si="1"/>
        <v>8580.0774999999994</v>
      </c>
      <c r="AT18" s="33"/>
      <c r="AU18" s="28"/>
      <c r="AV18" s="29">
        <f t="shared" si="9"/>
        <v>15</v>
      </c>
      <c r="AW18" s="29">
        <f t="shared" si="10"/>
        <v>17407.68</v>
      </c>
      <c r="AX18" s="30">
        <f t="shared" si="11"/>
        <v>17407.68</v>
      </c>
      <c r="AY18" s="30">
        <f>IFERROR(+LOOKUP(AX18,[3]TARIFAS!$A$4:$B$14,[3]TARIFAS!$A$4:$A$14),0)</f>
        <v>16153.06</v>
      </c>
      <c r="AZ18" s="30">
        <f t="shared" si="12"/>
        <v>1254.6200000000008</v>
      </c>
      <c r="BA18" s="30">
        <f>IFERROR(+LOOKUP(AX18,[3]TARIFAS!$A$4:$B$14,[3]TARIFAS!$D$4:$D$14),0)</f>
        <v>30</v>
      </c>
      <c r="BB18" s="30">
        <f t="shared" si="13"/>
        <v>376.38600000000019</v>
      </c>
      <c r="BC18" s="30">
        <f>IFERROR(+LOOKUP(AX18,[3]TARIFAS!$A$4:$B$14,[3]TARIFAS!$C$4:$C$14),0)</f>
        <v>3030.6</v>
      </c>
      <c r="BD18" s="30">
        <f t="shared" si="14"/>
        <v>3406.99</v>
      </c>
      <c r="BE18" s="30"/>
      <c r="BF18" s="30"/>
      <c r="BG18" s="30"/>
      <c r="BH18" s="29"/>
    </row>
    <row r="19" spans="1:61" s="31" customFormat="1" ht="30" customHeight="1" x14ac:dyDescent="0.2">
      <c r="A19" s="17" t="str">
        <f t="shared" si="2"/>
        <v>SEI 053</v>
      </c>
      <c r="B19" s="17" t="s">
        <v>32</v>
      </c>
      <c r="C19" s="32" t="s">
        <v>76</v>
      </c>
      <c r="D19" s="20" t="s">
        <v>77</v>
      </c>
      <c r="E19" s="21" t="s">
        <v>37</v>
      </c>
      <c r="F19" s="21" t="s">
        <v>38</v>
      </c>
      <c r="G19" s="21">
        <v>15</v>
      </c>
      <c r="H19" s="21">
        <v>504.21533333333332</v>
      </c>
      <c r="I19" s="160" t="s">
        <v>150</v>
      </c>
      <c r="J19" s="21">
        <v>7563.23</v>
      </c>
      <c r="K19" s="21" t="s">
        <v>37</v>
      </c>
      <c r="L19" s="22">
        <v>1311</v>
      </c>
      <c r="M19" s="23">
        <v>100.935</v>
      </c>
      <c r="N19" s="21" t="s">
        <v>37</v>
      </c>
      <c r="O19" s="22">
        <v>1713</v>
      </c>
      <c r="P19" s="23">
        <v>282.08999999999997</v>
      </c>
      <c r="Q19" s="23">
        <v>418.44</v>
      </c>
      <c r="R19" s="23">
        <f t="shared" si="3"/>
        <v>226.89689999999999</v>
      </c>
      <c r="S19" s="21" t="s">
        <v>37</v>
      </c>
      <c r="T19" s="22">
        <v>1712</v>
      </c>
      <c r="U19" s="24">
        <f t="shared" si="4"/>
        <v>645.33690000000001</v>
      </c>
      <c r="V19" s="21"/>
      <c r="W19" s="22"/>
      <c r="X19" s="24"/>
      <c r="Y19" s="24">
        <f t="shared" si="5"/>
        <v>8591.5918999999994</v>
      </c>
      <c r="Z19" s="21" t="s">
        <v>39</v>
      </c>
      <c r="AA19" s="22">
        <v>1431</v>
      </c>
      <c r="AB19" s="24">
        <f t="shared" si="6"/>
        <v>718.50684999999999</v>
      </c>
      <c r="AC19" s="21" t="s">
        <v>39</v>
      </c>
      <c r="AD19" s="25" t="s">
        <v>40</v>
      </c>
      <c r="AE19" s="24">
        <f>523.61+10.13+3666.74+151.2</f>
        <v>4351.6799999999994</v>
      </c>
      <c r="AF19" s="21" t="s">
        <v>39</v>
      </c>
      <c r="AG19" s="25" t="s">
        <v>41</v>
      </c>
      <c r="AH19" s="23">
        <f t="shared" si="7"/>
        <v>1287.97</v>
      </c>
      <c r="AI19" s="21" t="s">
        <v>39</v>
      </c>
      <c r="AJ19" s="25" t="s">
        <v>42</v>
      </c>
      <c r="AK19" s="23">
        <f>(J19*1%)</f>
        <v>75.632300000000001</v>
      </c>
      <c r="AL19" s="21" t="s">
        <v>39</v>
      </c>
      <c r="AM19" s="25" t="s">
        <v>43</v>
      </c>
      <c r="AN19" s="23">
        <v>0</v>
      </c>
      <c r="AO19" s="21" t="s">
        <v>39</v>
      </c>
      <c r="AP19" s="25">
        <v>1431</v>
      </c>
      <c r="AQ19" s="23">
        <v>0</v>
      </c>
      <c r="AR19" s="24">
        <f t="shared" si="8"/>
        <v>6433.7891499999996</v>
      </c>
      <c r="AS19" s="26">
        <f t="shared" si="1"/>
        <v>2157.8027499999998</v>
      </c>
      <c r="AT19" s="33"/>
      <c r="AU19" s="28"/>
      <c r="AV19" s="29">
        <f t="shared" si="9"/>
        <v>15</v>
      </c>
      <c r="AW19" s="29">
        <f t="shared" si="10"/>
        <v>8591.5918999999994</v>
      </c>
      <c r="AX19" s="30">
        <f t="shared" si="11"/>
        <v>8591.5918999999994</v>
      </c>
      <c r="AY19" s="30">
        <f>IFERROR(+LOOKUP(AX19,[3]TARIFAS!$A$4:$B$14,[3]TARIFAS!$A$4:$A$14),0)</f>
        <v>5081.41</v>
      </c>
      <c r="AZ19" s="30">
        <f t="shared" si="12"/>
        <v>3510.1818999999996</v>
      </c>
      <c r="BA19" s="30">
        <f>IFERROR(+LOOKUP(AX19,[3]TARIFAS!$A$4:$B$14,[3]TARIFAS!$D$4:$D$14),0)</f>
        <v>21.36</v>
      </c>
      <c r="BB19" s="30">
        <f t="shared" si="13"/>
        <v>749.77485383999988</v>
      </c>
      <c r="BC19" s="30">
        <f>IFERROR(+LOOKUP(AX19,[3]TARIFAS!$A$4:$B$14,[3]TARIFAS!$C$4:$C$14),0)</f>
        <v>538.20000000000005</v>
      </c>
      <c r="BD19" s="30">
        <f t="shared" si="14"/>
        <v>1287.97</v>
      </c>
      <c r="BE19" s="30"/>
      <c r="BF19" s="30"/>
      <c r="BG19" s="30"/>
      <c r="BH19" s="29"/>
    </row>
    <row r="20" spans="1:61" s="31" customFormat="1" ht="30" customHeight="1" x14ac:dyDescent="0.2">
      <c r="A20" s="17" t="str">
        <f t="shared" si="2"/>
        <v>SEI 056</v>
      </c>
      <c r="B20" s="17" t="s">
        <v>32</v>
      </c>
      <c r="C20" s="32" t="s">
        <v>79</v>
      </c>
      <c r="D20" s="20" t="s">
        <v>80</v>
      </c>
      <c r="E20" s="21" t="s">
        <v>37</v>
      </c>
      <c r="F20" s="21" t="s">
        <v>38</v>
      </c>
      <c r="G20" s="21">
        <v>15</v>
      </c>
      <c r="H20" s="21">
        <v>421.49</v>
      </c>
      <c r="I20" s="160" t="s">
        <v>146</v>
      </c>
      <c r="J20" s="21">
        <v>6322.35</v>
      </c>
      <c r="K20" s="21" t="s">
        <v>37</v>
      </c>
      <c r="L20" s="22">
        <v>1311</v>
      </c>
      <c r="M20" s="23">
        <v>67.290000000000006</v>
      </c>
      <c r="N20" s="21" t="s">
        <v>37</v>
      </c>
      <c r="O20" s="22">
        <v>1713</v>
      </c>
      <c r="P20" s="23">
        <v>351.5</v>
      </c>
      <c r="Q20" s="23">
        <v>406.32</v>
      </c>
      <c r="R20" s="23">
        <f t="shared" si="3"/>
        <v>189.6705</v>
      </c>
      <c r="S20" s="21" t="s">
        <v>37</v>
      </c>
      <c r="T20" s="22">
        <v>1712</v>
      </c>
      <c r="U20" s="24">
        <f t="shared" si="4"/>
        <v>595.9905</v>
      </c>
      <c r="V20" s="21"/>
      <c r="W20" s="22"/>
      <c r="X20" s="24"/>
      <c r="Y20" s="24">
        <f t="shared" si="5"/>
        <v>7337.1305000000002</v>
      </c>
      <c r="Z20" s="21" t="s">
        <v>39</v>
      </c>
      <c r="AA20" s="22">
        <v>1431</v>
      </c>
      <c r="AB20" s="24">
        <f t="shared" si="6"/>
        <v>600.6232500000001</v>
      </c>
      <c r="AC20" s="21" t="s">
        <v>39</v>
      </c>
      <c r="AD20" s="25" t="s">
        <v>40</v>
      </c>
      <c r="AE20" s="23">
        <v>402</v>
      </c>
      <c r="AF20" s="21" t="s">
        <v>39</v>
      </c>
      <c r="AG20" s="25" t="s">
        <v>41</v>
      </c>
      <c r="AH20" s="23">
        <f t="shared" si="7"/>
        <v>1020.02</v>
      </c>
      <c r="AI20" s="21" t="s">
        <v>39</v>
      </c>
      <c r="AJ20" s="25" t="s">
        <v>42</v>
      </c>
      <c r="AK20" s="23">
        <f>(J20*1%)</f>
        <v>63.223500000000008</v>
      </c>
      <c r="AL20" s="21" t="s">
        <v>39</v>
      </c>
      <c r="AM20" s="25" t="s">
        <v>43</v>
      </c>
      <c r="AN20" s="23">
        <v>0</v>
      </c>
      <c r="AO20" s="21" t="s">
        <v>39</v>
      </c>
      <c r="AP20" s="25">
        <v>1431</v>
      </c>
      <c r="AQ20" s="23">
        <v>0</v>
      </c>
      <c r="AR20" s="24">
        <f t="shared" si="8"/>
        <v>2085.8667500000001</v>
      </c>
      <c r="AS20" s="26">
        <f t="shared" si="1"/>
        <v>5251.2637500000001</v>
      </c>
      <c r="AT20" s="33"/>
      <c r="AU20" s="28"/>
      <c r="AV20" s="29">
        <f t="shared" si="9"/>
        <v>15</v>
      </c>
      <c r="AW20" s="29">
        <f t="shared" si="10"/>
        <v>7337.1305000000002</v>
      </c>
      <c r="AX20" s="30">
        <f t="shared" si="11"/>
        <v>7337.1305000000002</v>
      </c>
      <c r="AY20" s="30">
        <f>IFERROR(+LOOKUP(AX20,[3]TARIFAS!$A$4:$B$14,[3]TARIFAS!$A$4:$A$14),0)</f>
        <v>5081.41</v>
      </c>
      <c r="AZ20" s="30">
        <f t="shared" si="12"/>
        <v>2255.7205000000004</v>
      </c>
      <c r="BA20" s="30">
        <f>IFERROR(+LOOKUP(AX20,[3]TARIFAS!$A$4:$B$14,[3]TARIFAS!$D$4:$D$14),0)</f>
        <v>21.36</v>
      </c>
      <c r="BB20" s="30">
        <f t="shared" si="13"/>
        <v>481.82189880000004</v>
      </c>
      <c r="BC20" s="30">
        <f>IFERROR(+LOOKUP(AX20,[3]TARIFAS!$A$4:$B$14,[3]TARIFAS!$C$4:$C$14),0)</f>
        <v>538.20000000000005</v>
      </c>
      <c r="BD20" s="30">
        <f t="shared" si="14"/>
        <v>1020.02</v>
      </c>
      <c r="BE20" s="30"/>
      <c r="BF20" s="30"/>
      <c r="BG20" s="30"/>
      <c r="BH20" s="29"/>
    </row>
    <row r="21" spans="1:61" s="31" customFormat="1" ht="30" customHeight="1" x14ac:dyDescent="0.2">
      <c r="A21" s="17" t="str">
        <f t="shared" si="2"/>
        <v>SEI 061</v>
      </c>
      <c r="B21" s="17" t="s">
        <v>32</v>
      </c>
      <c r="C21" s="32" t="s">
        <v>81</v>
      </c>
      <c r="D21" s="20" t="s">
        <v>82</v>
      </c>
      <c r="E21" s="21" t="s">
        <v>37</v>
      </c>
      <c r="F21" s="21" t="s">
        <v>38</v>
      </c>
      <c r="G21" s="21">
        <v>15</v>
      </c>
      <c r="H21" s="21">
        <v>353.488</v>
      </c>
      <c r="I21" s="160" t="s">
        <v>150</v>
      </c>
      <c r="J21" s="21">
        <v>5302.32</v>
      </c>
      <c r="K21" s="21" t="s">
        <v>37</v>
      </c>
      <c r="L21" s="22">
        <v>1311</v>
      </c>
      <c r="M21" s="23">
        <v>67.290000000000006</v>
      </c>
      <c r="N21" s="21" t="s">
        <v>37</v>
      </c>
      <c r="O21" s="22">
        <v>1713</v>
      </c>
      <c r="P21" s="23">
        <v>211.44</v>
      </c>
      <c r="Q21" s="23">
        <v>378.6</v>
      </c>
      <c r="R21" s="23">
        <f t="shared" si="3"/>
        <v>159.06959999999998</v>
      </c>
      <c r="S21" s="21" t="s">
        <v>37</v>
      </c>
      <c r="T21" s="22">
        <v>1712</v>
      </c>
      <c r="U21" s="24">
        <f t="shared" si="4"/>
        <v>537.66959999999995</v>
      </c>
      <c r="V21" s="21"/>
      <c r="W21" s="22"/>
      <c r="X21" s="24"/>
      <c r="Y21" s="24">
        <f t="shared" si="5"/>
        <v>6118.7195999999994</v>
      </c>
      <c r="Z21" s="21" t="s">
        <v>39</v>
      </c>
      <c r="AA21" s="22">
        <v>1431</v>
      </c>
      <c r="AB21" s="24">
        <f t="shared" si="6"/>
        <v>503.72039999999998</v>
      </c>
      <c r="AC21" s="21" t="s">
        <v>39</v>
      </c>
      <c r="AD21" s="25" t="s">
        <v>40</v>
      </c>
      <c r="AE21" s="23">
        <v>0</v>
      </c>
      <c r="AF21" s="21" t="s">
        <v>39</v>
      </c>
      <c r="AG21" s="25" t="s">
        <v>41</v>
      </c>
      <c r="AH21" s="23">
        <f t="shared" si="7"/>
        <v>759.77</v>
      </c>
      <c r="AI21" s="21" t="s">
        <v>39</v>
      </c>
      <c r="AJ21" s="25" t="s">
        <v>42</v>
      </c>
      <c r="AK21" s="23">
        <f>(J21*1%)</f>
        <v>53.023199999999996</v>
      </c>
      <c r="AL21" s="21" t="s">
        <v>39</v>
      </c>
      <c r="AM21" s="25" t="s">
        <v>43</v>
      </c>
      <c r="AN21" s="23">
        <v>0</v>
      </c>
      <c r="AO21" s="21" t="s">
        <v>39</v>
      </c>
      <c r="AP21" s="25">
        <v>1431</v>
      </c>
      <c r="AQ21" s="23">
        <v>0</v>
      </c>
      <c r="AR21" s="24">
        <f t="shared" si="8"/>
        <v>1316.5136</v>
      </c>
      <c r="AS21" s="26">
        <f t="shared" si="1"/>
        <v>4802.2059999999992</v>
      </c>
      <c r="AT21" s="33"/>
      <c r="AU21" s="28"/>
      <c r="AV21" s="29">
        <f t="shared" si="9"/>
        <v>15</v>
      </c>
      <c r="AW21" s="29">
        <f t="shared" si="10"/>
        <v>6118.7195999999994</v>
      </c>
      <c r="AX21" s="30">
        <f t="shared" si="11"/>
        <v>6118.7195999999994</v>
      </c>
      <c r="AY21" s="30">
        <f>IFERROR(+LOOKUP(AX21,[3]TARIFAS!$A$4:$B$14,[3]TARIFAS!$A$4:$A$14),0)</f>
        <v>5081.41</v>
      </c>
      <c r="AZ21" s="30">
        <f t="shared" si="12"/>
        <v>1037.3095999999996</v>
      </c>
      <c r="BA21" s="30">
        <f>IFERROR(+LOOKUP(AX21,[3]TARIFAS!$A$4:$B$14,[3]TARIFAS!$D$4:$D$14),0)</f>
        <v>21.36</v>
      </c>
      <c r="BB21" s="30">
        <f t="shared" si="13"/>
        <v>221.56933055999991</v>
      </c>
      <c r="BC21" s="30">
        <f>IFERROR(+LOOKUP(AX21,[3]TARIFAS!$A$4:$B$14,[3]TARIFAS!$C$4:$C$14),0)</f>
        <v>538.20000000000005</v>
      </c>
      <c r="BD21" s="30">
        <f t="shared" si="14"/>
        <v>759.77</v>
      </c>
      <c r="BE21" s="30"/>
      <c r="BF21" s="30"/>
      <c r="BG21" s="30"/>
      <c r="BH21" s="29"/>
    </row>
    <row r="22" spans="1:61" s="31" customFormat="1" ht="30" customHeight="1" x14ac:dyDescent="0.2">
      <c r="A22" s="17" t="str">
        <f t="shared" si="2"/>
        <v>SEI 062</v>
      </c>
      <c r="B22" s="17" t="s">
        <v>32</v>
      </c>
      <c r="C22" s="32" t="s">
        <v>83</v>
      </c>
      <c r="D22" s="34" t="s">
        <v>84</v>
      </c>
      <c r="E22" s="21" t="s">
        <v>37</v>
      </c>
      <c r="F22" s="21" t="s">
        <v>38</v>
      </c>
      <c r="G22" s="21">
        <v>15</v>
      </c>
      <c r="H22" s="21">
        <v>421.49</v>
      </c>
      <c r="I22" s="160" t="s">
        <v>149</v>
      </c>
      <c r="J22" s="21">
        <v>6322.35</v>
      </c>
      <c r="K22" s="21" t="s">
        <v>37</v>
      </c>
      <c r="L22" s="22">
        <v>1311</v>
      </c>
      <c r="M22" s="35">
        <v>100.935</v>
      </c>
      <c r="N22" s="21" t="s">
        <v>37</v>
      </c>
      <c r="O22" s="22">
        <v>1713</v>
      </c>
      <c r="P22" s="35">
        <v>351.5</v>
      </c>
      <c r="Q22" s="35">
        <v>406.32</v>
      </c>
      <c r="R22" s="23">
        <f t="shared" si="3"/>
        <v>189.6705</v>
      </c>
      <c r="S22" s="21" t="s">
        <v>37</v>
      </c>
      <c r="T22" s="22">
        <v>1712</v>
      </c>
      <c r="U22" s="24">
        <f t="shared" si="4"/>
        <v>595.9905</v>
      </c>
      <c r="V22" s="21"/>
      <c r="W22" s="22"/>
      <c r="X22" s="24"/>
      <c r="Y22" s="24">
        <f t="shared" si="5"/>
        <v>7370.7755000000006</v>
      </c>
      <c r="Z22" s="21" t="s">
        <v>39</v>
      </c>
      <c r="AA22" s="22">
        <v>1431</v>
      </c>
      <c r="AB22" s="24">
        <f t="shared" si="6"/>
        <v>600.6232500000001</v>
      </c>
      <c r="AC22" s="21" t="s">
        <v>39</v>
      </c>
      <c r="AD22" s="25" t="s">
        <v>40</v>
      </c>
      <c r="AE22" s="35">
        <v>1405</v>
      </c>
      <c r="AF22" s="21" t="s">
        <v>39</v>
      </c>
      <c r="AG22" s="25" t="s">
        <v>41</v>
      </c>
      <c r="AH22" s="23">
        <f t="shared" si="7"/>
        <v>1027.21</v>
      </c>
      <c r="AI22" s="21" t="s">
        <v>39</v>
      </c>
      <c r="AJ22" s="25" t="s">
        <v>42</v>
      </c>
      <c r="AK22" s="23">
        <v>0</v>
      </c>
      <c r="AL22" s="21" t="s">
        <v>39</v>
      </c>
      <c r="AM22" s="25" t="s">
        <v>43</v>
      </c>
      <c r="AN22" s="35">
        <v>0</v>
      </c>
      <c r="AO22" s="21" t="s">
        <v>39</v>
      </c>
      <c r="AP22" s="25">
        <v>1431</v>
      </c>
      <c r="AQ22" s="23">
        <v>0</v>
      </c>
      <c r="AR22" s="24">
        <f t="shared" si="8"/>
        <v>3032.8332500000001</v>
      </c>
      <c r="AS22" s="26">
        <f t="shared" si="1"/>
        <v>4337.9422500000001</v>
      </c>
      <c r="AT22" s="33"/>
      <c r="AU22" s="28"/>
      <c r="AV22" s="29">
        <f t="shared" si="9"/>
        <v>15</v>
      </c>
      <c r="AW22" s="29">
        <f t="shared" si="10"/>
        <v>7370.7755000000006</v>
      </c>
      <c r="AX22" s="30">
        <f t="shared" si="11"/>
        <v>7370.7755000000006</v>
      </c>
      <c r="AY22" s="30">
        <f>IFERROR(+LOOKUP(AX22,[3]TARIFAS!$A$4:$B$14,[3]TARIFAS!$A$4:$A$14),0)</f>
        <v>5081.41</v>
      </c>
      <c r="AZ22" s="30">
        <f t="shared" si="12"/>
        <v>2289.3655000000008</v>
      </c>
      <c r="BA22" s="30">
        <f>IFERROR(+LOOKUP(AX22,[3]TARIFAS!$A$4:$B$14,[3]TARIFAS!$D$4:$D$14),0)</f>
        <v>21.36</v>
      </c>
      <c r="BB22" s="30">
        <f t="shared" si="13"/>
        <v>489.00847080000017</v>
      </c>
      <c r="BC22" s="30">
        <f>IFERROR(+LOOKUP(AX22,[3]TARIFAS!$A$4:$B$14,[3]TARIFAS!$C$4:$C$14),0)</f>
        <v>538.20000000000005</v>
      </c>
      <c r="BD22" s="30">
        <f t="shared" si="14"/>
        <v>1027.21</v>
      </c>
      <c r="BE22" s="30"/>
      <c r="BF22" s="30"/>
      <c r="BG22" s="30"/>
      <c r="BH22" s="29"/>
    </row>
    <row r="23" spans="1:61" s="31" customFormat="1" ht="30" customHeight="1" x14ac:dyDescent="0.2">
      <c r="A23" s="17" t="str">
        <f t="shared" si="2"/>
        <v>SEI 063</v>
      </c>
      <c r="B23" s="17" t="s">
        <v>32</v>
      </c>
      <c r="C23" s="32" t="s">
        <v>85</v>
      </c>
      <c r="D23" s="34" t="s">
        <v>86</v>
      </c>
      <c r="E23" s="21" t="s">
        <v>37</v>
      </c>
      <c r="F23" s="21" t="s">
        <v>38</v>
      </c>
      <c r="G23" s="21">
        <v>15</v>
      </c>
      <c r="H23" s="21">
        <v>421.49</v>
      </c>
      <c r="I23" s="160" t="s">
        <v>151</v>
      </c>
      <c r="J23" s="21">
        <v>6322.35</v>
      </c>
      <c r="K23" s="21" t="s">
        <v>37</v>
      </c>
      <c r="L23" s="22">
        <v>1311</v>
      </c>
      <c r="M23" s="35">
        <v>67.290000000000006</v>
      </c>
      <c r="N23" s="21" t="s">
        <v>37</v>
      </c>
      <c r="O23" s="22">
        <v>1713</v>
      </c>
      <c r="P23" s="35">
        <v>351.5</v>
      </c>
      <c r="Q23" s="35">
        <v>406.32</v>
      </c>
      <c r="R23" s="23">
        <f t="shared" si="3"/>
        <v>189.6705</v>
      </c>
      <c r="S23" s="21" t="s">
        <v>37</v>
      </c>
      <c r="T23" s="22">
        <v>1712</v>
      </c>
      <c r="U23" s="24">
        <f t="shared" si="4"/>
        <v>595.9905</v>
      </c>
      <c r="V23" s="21"/>
      <c r="W23" s="22"/>
      <c r="X23" s="24"/>
      <c r="Y23" s="24">
        <f t="shared" si="5"/>
        <v>7337.1305000000002</v>
      </c>
      <c r="Z23" s="21" t="s">
        <v>39</v>
      </c>
      <c r="AA23" s="22">
        <v>1431</v>
      </c>
      <c r="AB23" s="24">
        <f t="shared" si="6"/>
        <v>600.6232500000001</v>
      </c>
      <c r="AC23" s="21" t="s">
        <v>39</v>
      </c>
      <c r="AD23" s="25" t="s">
        <v>40</v>
      </c>
      <c r="AE23" s="35">
        <v>2108</v>
      </c>
      <c r="AF23" s="21" t="s">
        <v>39</v>
      </c>
      <c r="AG23" s="25" t="s">
        <v>41</v>
      </c>
      <c r="AH23" s="23">
        <f t="shared" si="7"/>
        <v>1020.02</v>
      </c>
      <c r="AI23" s="21" t="s">
        <v>39</v>
      </c>
      <c r="AJ23" s="25" t="s">
        <v>42</v>
      </c>
      <c r="AK23" s="23">
        <f t="shared" ref="AK23:AK28" si="15">(J23*1%)</f>
        <v>63.223500000000008</v>
      </c>
      <c r="AL23" s="21" t="s">
        <v>39</v>
      </c>
      <c r="AM23" s="25" t="s">
        <v>43</v>
      </c>
      <c r="AN23" s="35">
        <v>0</v>
      </c>
      <c r="AO23" s="21" t="s">
        <v>39</v>
      </c>
      <c r="AP23" s="25">
        <v>1431</v>
      </c>
      <c r="AQ23" s="23">
        <v>0</v>
      </c>
      <c r="AR23" s="24">
        <f t="shared" si="8"/>
        <v>3791.8667500000001</v>
      </c>
      <c r="AS23" s="26">
        <f t="shared" si="1"/>
        <v>3545.2637500000001</v>
      </c>
      <c r="AT23" s="33"/>
      <c r="AU23" s="28"/>
      <c r="AV23" s="29">
        <f t="shared" si="9"/>
        <v>15</v>
      </c>
      <c r="AW23" s="29">
        <f t="shared" si="10"/>
        <v>7337.1305000000002</v>
      </c>
      <c r="AX23" s="30">
        <f t="shared" si="11"/>
        <v>7337.1305000000002</v>
      </c>
      <c r="AY23" s="30">
        <f>IFERROR(+LOOKUP(AX23,[3]TARIFAS!$A$4:$B$14,[3]TARIFAS!$A$4:$A$14),0)</f>
        <v>5081.41</v>
      </c>
      <c r="AZ23" s="30">
        <f t="shared" si="12"/>
        <v>2255.7205000000004</v>
      </c>
      <c r="BA23" s="30">
        <f>IFERROR(+LOOKUP(AX23,[3]TARIFAS!$A$4:$B$14,[3]TARIFAS!$D$4:$D$14),0)</f>
        <v>21.36</v>
      </c>
      <c r="BB23" s="30">
        <f t="shared" si="13"/>
        <v>481.82189880000004</v>
      </c>
      <c r="BC23" s="30">
        <f>IFERROR(+LOOKUP(AX23,[3]TARIFAS!$A$4:$B$14,[3]TARIFAS!$C$4:$C$14),0)</f>
        <v>538.20000000000005</v>
      </c>
      <c r="BD23" s="30">
        <f t="shared" si="14"/>
        <v>1020.02</v>
      </c>
      <c r="BE23" s="30"/>
      <c r="BF23" s="30"/>
      <c r="BG23" s="30"/>
      <c r="BH23" s="29"/>
    </row>
    <row r="24" spans="1:61" s="31" customFormat="1" ht="30" customHeight="1" x14ac:dyDescent="0.2">
      <c r="A24" s="17" t="str">
        <f t="shared" si="2"/>
        <v>SEI 067</v>
      </c>
      <c r="B24" s="17" t="s">
        <v>32</v>
      </c>
      <c r="C24" s="32" t="s">
        <v>88</v>
      </c>
      <c r="D24" s="34" t="s">
        <v>89</v>
      </c>
      <c r="E24" s="21" t="s">
        <v>37</v>
      </c>
      <c r="F24" s="21" t="s">
        <v>38</v>
      </c>
      <c r="G24" s="21">
        <v>15</v>
      </c>
      <c r="H24" s="21">
        <v>421.49</v>
      </c>
      <c r="I24" s="160" t="s">
        <v>149</v>
      </c>
      <c r="J24" s="21">
        <v>6322.35</v>
      </c>
      <c r="K24" s="21" t="s">
        <v>37</v>
      </c>
      <c r="L24" s="22">
        <v>1311</v>
      </c>
      <c r="M24" s="35">
        <v>0</v>
      </c>
      <c r="N24" s="21" t="s">
        <v>37</v>
      </c>
      <c r="O24" s="22">
        <v>1713</v>
      </c>
      <c r="P24" s="35">
        <v>351.5</v>
      </c>
      <c r="Q24" s="35">
        <v>406.32</v>
      </c>
      <c r="R24" s="23">
        <f t="shared" si="3"/>
        <v>189.6705</v>
      </c>
      <c r="S24" s="21" t="s">
        <v>37</v>
      </c>
      <c r="T24" s="22">
        <v>1712</v>
      </c>
      <c r="U24" s="24">
        <f t="shared" si="4"/>
        <v>595.9905</v>
      </c>
      <c r="V24" s="21"/>
      <c r="W24" s="22"/>
      <c r="X24" s="24"/>
      <c r="Y24" s="24">
        <f t="shared" si="5"/>
        <v>7269.8405000000002</v>
      </c>
      <c r="Z24" s="21" t="s">
        <v>39</v>
      </c>
      <c r="AA24" s="22">
        <v>1431</v>
      </c>
      <c r="AB24" s="24">
        <f t="shared" si="6"/>
        <v>600.6232500000001</v>
      </c>
      <c r="AC24" s="21" t="s">
        <v>39</v>
      </c>
      <c r="AD24" s="25" t="s">
        <v>40</v>
      </c>
      <c r="AE24" s="35">
        <v>0</v>
      </c>
      <c r="AF24" s="21" t="s">
        <v>39</v>
      </c>
      <c r="AG24" s="25" t="s">
        <v>41</v>
      </c>
      <c r="AH24" s="23">
        <f t="shared" si="7"/>
        <v>1005.65</v>
      </c>
      <c r="AI24" s="21" t="s">
        <v>39</v>
      </c>
      <c r="AJ24" s="25" t="s">
        <v>42</v>
      </c>
      <c r="AK24" s="23">
        <f t="shared" si="15"/>
        <v>63.223500000000008</v>
      </c>
      <c r="AL24" s="21" t="s">
        <v>39</v>
      </c>
      <c r="AM24" s="25" t="s">
        <v>43</v>
      </c>
      <c r="AN24" s="35">
        <v>0</v>
      </c>
      <c r="AO24" s="21" t="s">
        <v>39</v>
      </c>
      <c r="AP24" s="25">
        <v>1431</v>
      </c>
      <c r="AQ24" s="23">
        <v>0</v>
      </c>
      <c r="AR24" s="24">
        <f t="shared" si="8"/>
        <v>1669.4967500000002</v>
      </c>
      <c r="AS24" s="26">
        <f t="shared" si="1"/>
        <v>5600.34375</v>
      </c>
      <c r="AT24" s="33"/>
      <c r="AU24" s="28"/>
      <c r="AV24" s="29">
        <f t="shared" si="9"/>
        <v>15</v>
      </c>
      <c r="AW24" s="29">
        <f t="shared" si="10"/>
        <v>7269.8405000000002</v>
      </c>
      <c r="AX24" s="30">
        <f t="shared" si="11"/>
        <v>7269.8405000000002</v>
      </c>
      <c r="AY24" s="30">
        <f>IFERROR(+LOOKUP(AX24,[3]TARIFAS!$A$4:$B$14,[3]TARIFAS!$A$4:$A$14),0)</f>
        <v>5081.41</v>
      </c>
      <c r="AZ24" s="30">
        <f t="shared" si="12"/>
        <v>2188.4305000000004</v>
      </c>
      <c r="BA24" s="30">
        <f>IFERROR(+LOOKUP(AX24,[3]TARIFAS!$A$4:$B$14,[3]TARIFAS!$D$4:$D$14),0)</f>
        <v>21.36</v>
      </c>
      <c r="BB24" s="30">
        <f t="shared" si="13"/>
        <v>467.44875480000007</v>
      </c>
      <c r="BC24" s="30">
        <f>IFERROR(+LOOKUP(AX24,[3]TARIFAS!$A$4:$B$14,[3]TARIFAS!$C$4:$C$14),0)</f>
        <v>538.20000000000005</v>
      </c>
      <c r="BD24" s="30">
        <f t="shared" si="14"/>
        <v>1005.65</v>
      </c>
      <c r="BE24" s="30"/>
      <c r="BF24" s="30"/>
      <c r="BG24" s="30"/>
      <c r="BH24" s="29"/>
    </row>
    <row r="25" spans="1:61" s="31" customFormat="1" ht="30" customHeight="1" x14ac:dyDescent="0.2">
      <c r="A25" s="17" t="str">
        <f t="shared" si="2"/>
        <v>SEI 068</v>
      </c>
      <c r="B25" s="17" t="s">
        <v>32</v>
      </c>
      <c r="C25" s="32" t="s">
        <v>90</v>
      </c>
      <c r="D25" s="34" t="s">
        <v>91</v>
      </c>
      <c r="E25" s="21" t="s">
        <v>37</v>
      </c>
      <c r="F25" s="21" t="s">
        <v>38</v>
      </c>
      <c r="G25" s="21">
        <v>15</v>
      </c>
      <c r="H25" s="21">
        <v>325.036</v>
      </c>
      <c r="I25" s="160" t="s">
        <v>150</v>
      </c>
      <c r="J25" s="21">
        <v>4875.54</v>
      </c>
      <c r="K25" s="21" t="s">
        <v>37</v>
      </c>
      <c r="L25" s="22">
        <v>1311</v>
      </c>
      <c r="M25" s="35">
        <v>0</v>
      </c>
      <c r="N25" s="21" t="s">
        <v>37</v>
      </c>
      <c r="O25" s="22">
        <v>1713</v>
      </c>
      <c r="P25" s="35">
        <v>207.91</v>
      </c>
      <c r="Q25" s="35">
        <v>371.02</v>
      </c>
      <c r="R25" s="23">
        <f t="shared" si="3"/>
        <v>146.2662</v>
      </c>
      <c r="S25" s="21" t="s">
        <v>37</v>
      </c>
      <c r="T25" s="22">
        <v>1712</v>
      </c>
      <c r="U25" s="24">
        <f t="shared" si="4"/>
        <v>517.28620000000001</v>
      </c>
      <c r="V25" s="21"/>
      <c r="W25" s="22"/>
      <c r="X25" s="24"/>
      <c r="Y25" s="24">
        <f t="shared" si="5"/>
        <v>5600.7361999999994</v>
      </c>
      <c r="Z25" s="21" t="s">
        <v>39</v>
      </c>
      <c r="AA25" s="22">
        <v>1431</v>
      </c>
      <c r="AB25" s="24">
        <f t="shared" si="6"/>
        <v>463.17630000000003</v>
      </c>
      <c r="AC25" s="21" t="s">
        <v>39</v>
      </c>
      <c r="AD25" s="25" t="s">
        <v>40</v>
      </c>
      <c r="AE25" s="35">
        <v>0</v>
      </c>
      <c r="AF25" s="21" t="s">
        <v>39</v>
      </c>
      <c r="AG25" s="25" t="s">
        <v>41</v>
      </c>
      <c r="AH25" s="23">
        <f t="shared" si="7"/>
        <v>649.13</v>
      </c>
      <c r="AI25" s="21" t="s">
        <v>39</v>
      </c>
      <c r="AJ25" s="25" t="s">
        <v>42</v>
      </c>
      <c r="AK25" s="23">
        <f t="shared" si="15"/>
        <v>48.755400000000002</v>
      </c>
      <c r="AL25" s="21" t="s">
        <v>39</v>
      </c>
      <c r="AM25" s="25" t="s">
        <v>43</v>
      </c>
      <c r="AN25" s="35">
        <v>0</v>
      </c>
      <c r="AO25" s="21" t="s">
        <v>39</v>
      </c>
      <c r="AP25" s="25">
        <v>1431</v>
      </c>
      <c r="AQ25" s="23">
        <v>0</v>
      </c>
      <c r="AR25" s="24">
        <f t="shared" si="8"/>
        <v>1161.0617</v>
      </c>
      <c r="AS25" s="26">
        <f t="shared" si="1"/>
        <v>4439.6744999999992</v>
      </c>
      <c r="AT25" s="33"/>
      <c r="AU25" s="28"/>
      <c r="AV25" s="29">
        <f t="shared" si="9"/>
        <v>15</v>
      </c>
      <c r="AW25" s="29">
        <f t="shared" si="10"/>
        <v>5600.7361999999994</v>
      </c>
      <c r="AX25" s="30">
        <f t="shared" si="11"/>
        <v>5600.7361999999994</v>
      </c>
      <c r="AY25" s="30">
        <f>IFERROR(+LOOKUP(AX25,[3]TARIFAS!$A$4:$B$14,[3]TARIFAS!$A$4:$A$14),0)</f>
        <v>5081.41</v>
      </c>
      <c r="AZ25" s="30">
        <f t="shared" si="12"/>
        <v>519.32619999999952</v>
      </c>
      <c r="BA25" s="30">
        <f>IFERROR(+LOOKUP(AX25,[3]TARIFAS!$A$4:$B$14,[3]TARIFAS!$D$4:$D$14),0)</f>
        <v>21.36</v>
      </c>
      <c r="BB25" s="30">
        <f t="shared" si="13"/>
        <v>110.92807631999989</v>
      </c>
      <c r="BC25" s="30">
        <f>IFERROR(+LOOKUP(AX25,[3]TARIFAS!$A$4:$B$14,[3]TARIFAS!$C$4:$C$14),0)</f>
        <v>538.20000000000005</v>
      </c>
      <c r="BD25" s="30">
        <f t="shared" si="14"/>
        <v>649.13</v>
      </c>
      <c r="BE25" s="30"/>
      <c r="BF25" s="30"/>
      <c r="BG25" s="30"/>
      <c r="BH25" s="29"/>
    </row>
    <row r="26" spans="1:61" s="31" customFormat="1" ht="30" customHeight="1" x14ac:dyDescent="0.2">
      <c r="A26" s="17" t="str">
        <f t="shared" si="2"/>
        <v>SEI 069</v>
      </c>
      <c r="B26" s="17" t="s">
        <v>32</v>
      </c>
      <c r="C26" s="32" t="s">
        <v>92</v>
      </c>
      <c r="D26" s="34" t="s">
        <v>93</v>
      </c>
      <c r="E26" s="21" t="s">
        <v>37</v>
      </c>
      <c r="F26" s="21" t="s">
        <v>38</v>
      </c>
      <c r="G26" s="21">
        <v>15</v>
      </c>
      <c r="H26" s="21">
        <v>421.49</v>
      </c>
      <c r="I26" s="160" t="s">
        <v>151</v>
      </c>
      <c r="J26" s="21">
        <v>6322.35</v>
      </c>
      <c r="K26" s="21" t="s">
        <v>37</v>
      </c>
      <c r="L26" s="22">
        <v>1311</v>
      </c>
      <c r="M26" s="35">
        <v>0</v>
      </c>
      <c r="N26" s="21" t="s">
        <v>37</v>
      </c>
      <c r="O26" s="22">
        <v>1713</v>
      </c>
      <c r="P26" s="35">
        <v>351.5</v>
      </c>
      <c r="Q26" s="35">
        <v>406.32</v>
      </c>
      <c r="R26" s="23">
        <f t="shared" si="3"/>
        <v>189.6705</v>
      </c>
      <c r="S26" s="21" t="s">
        <v>37</v>
      </c>
      <c r="T26" s="22">
        <v>1712</v>
      </c>
      <c r="U26" s="24">
        <f t="shared" si="4"/>
        <v>595.9905</v>
      </c>
      <c r="V26" s="21"/>
      <c r="W26" s="22"/>
      <c r="X26" s="24"/>
      <c r="Y26" s="24">
        <f t="shared" si="5"/>
        <v>7269.8405000000002</v>
      </c>
      <c r="Z26" s="21" t="s">
        <v>39</v>
      </c>
      <c r="AA26" s="22">
        <v>1431</v>
      </c>
      <c r="AB26" s="24">
        <f t="shared" si="6"/>
        <v>600.6232500000001</v>
      </c>
      <c r="AC26" s="21" t="s">
        <v>39</v>
      </c>
      <c r="AD26" s="25" t="s">
        <v>40</v>
      </c>
      <c r="AE26" s="35">
        <v>1687</v>
      </c>
      <c r="AF26" s="21" t="s">
        <v>39</v>
      </c>
      <c r="AG26" s="25" t="s">
        <v>41</v>
      </c>
      <c r="AH26" s="23">
        <f t="shared" si="7"/>
        <v>1005.65</v>
      </c>
      <c r="AI26" s="21" t="s">
        <v>39</v>
      </c>
      <c r="AJ26" s="25" t="s">
        <v>42</v>
      </c>
      <c r="AK26" s="23">
        <f t="shared" si="15"/>
        <v>63.223500000000008</v>
      </c>
      <c r="AL26" s="21" t="s">
        <v>39</v>
      </c>
      <c r="AM26" s="25" t="s">
        <v>43</v>
      </c>
      <c r="AN26" s="35">
        <v>0</v>
      </c>
      <c r="AO26" s="21" t="s">
        <v>39</v>
      </c>
      <c r="AP26" s="25">
        <v>1431</v>
      </c>
      <c r="AQ26" s="23">
        <v>0</v>
      </c>
      <c r="AR26" s="24">
        <f t="shared" si="8"/>
        <v>3356.4967500000002</v>
      </c>
      <c r="AS26" s="26">
        <f t="shared" si="1"/>
        <v>3913.34375</v>
      </c>
      <c r="AT26" s="33"/>
      <c r="AU26" s="28"/>
      <c r="AV26" s="29">
        <f t="shared" si="9"/>
        <v>15</v>
      </c>
      <c r="AW26" s="29">
        <f t="shared" si="10"/>
        <v>7269.8405000000002</v>
      </c>
      <c r="AX26" s="30">
        <f t="shared" si="11"/>
        <v>7269.8405000000002</v>
      </c>
      <c r="AY26" s="30">
        <f>IFERROR(+LOOKUP(AX26,[3]TARIFAS!$A$4:$B$14,[3]TARIFAS!$A$4:$A$14),0)</f>
        <v>5081.41</v>
      </c>
      <c r="AZ26" s="30">
        <f t="shared" si="12"/>
        <v>2188.4305000000004</v>
      </c>
      <c r="BA26" s="30">
        <f>IFERROR(+LOOKUP(AX26,[3]TARIFAS!$A$4:$B$14,[3]TARIFAS!$D$4:$D$14),0)</f>
        <v>21.36</v>
      </c>
      <c r="BB26" s="30">
        <f t="shared" si="13"/>
        <v>467.44875480000007</v>
      </c>
      <c r="BC26" s="30">
        <f>IFERROR(+LOOKUP(AX26,[3]TARIFAS!$A$4:$B$14,[3]TARIFAS!$C$4:$C$14),0)</f>
        <v>538.20000000000005</v>
      </c>
      <c r="BD26" s="30">
        <f t="shared" si="14"/>
        <v>1005.65</v>
      </c>
      <c r="BE26" s="30"/>
      <c r="BF26" s="30"/>
      <c r="BG26" s="30"/>
      <c r="BH26" s="29"/>
    </row>
    <row r="27" spans="1:61" s="31" customFormat="1" ht="30" customHeight="1" x14ac:dyDescent="0.2">
      <c r="A27" s="17" t="str">
        <f t="shared" si="2"/>
        <v>SEI 070</v>
      </c>
      <c r="B27" s="17" t="s">
        <v>32</v>
      </c>
      <c r="C27" s="32" t="s">
        <v>94</v>
      </c>
      <c r="D27" s="34" t="s">
        <v>95</v>
      </c>
      <c r="E27" s="21" t="s">
        <v>37</v>
      </c>
      <c r="F27" s="21" t="s">
        <v>38</v>
      </c>
      <c r="G27" s="21">
        <v>15</v>
      </c>
      <c r="H27" s="21">
        <v>325.036</v>
      </c>
      <c r="I27" s="160" t="s">
        <v>149</v>
      </c>
      <c r="J27" s="21">
        <v>4875.54</v>
      </c>
      <c r="K27" s="21" t="s">
        <v>37</v>
      </c>
      <c r="L27" s="22">
        <v>1311</v>
      </c>
      <c r="M27" s="35">
        <v>0</v>
      </c>
      <c r="N27" s="21" t="s">
        <v>37</v>
      </c>
      <c r="O27" s="22">
        <v>1713</v>
      </c>
      <c r="P27" s="35">
        <v>207.91</v>
      </c>
      <c r="Q27" s="35">
        <v>371.02</v>
      </c>
      <c r="R27" s="23">
        <f t="shared" si="3"/>
        <v>146.2662</v>
      </c>
      <c r="S27" s="21" t="s">
        <v>37</v>
      </c>
      <c r="T27" s="22">
        <v>1712</v>
      </c>
      <c r="U27" s="24">
        <f t="shared" si="4"/>
        <v>517.28620000000001</v>
      </c>
      <c r="V27" s="21"/>
      <c r="W27" s="22"/>
      <c r="X27" s="24"/>
      <c r="Y27" s="24">
        <f t="shared" si="5"/>
        <v>5600.7361999999994</v>
      </c>
      <c r="Z27" s="21" t="s">
        <v>39</v>
      </c>
      <c r="AA27" s="22">
        <v>1431</v>
      </c>
      <c r="AB27" s="24">
        <f t="shared" si="6"/>
        <v>463.17630000000003</v>
      </c>
      <c r="AC27" s="21" t="s">
        <v>39</v>
      </c>
      <c r="AD27" s="25" t="s">
        <v>40</v>
      </c>
      <c r="AE27" s="35">
        <v>0</v>
      </c>
      <c r="AF27" s="21" t="s">
        <v>39</v>
      </c>
      <c r="AG27" s="25" t="s">
        <v>41</v>
      </c>
      <c r="AH27" s="23">
        <f t="shared" si="7"/>
        <v>649.13</v>
      </c>
      <c r="AI27" s="21" t="s">
        <v>39</v>
      </c>
      <c r="AJ27" s="25" t="s">
        <v>42</v>
      </c>
      <c r="AK27" s="23">
        <f t="shared" si="15"/>
        <v>48.755400000000002</v>
      </c>
      <c r="AL27" s="21" t="s">
        <v>39</v>
      </c>
      <c r="AM27" s="25" t="s">
        <v>43</v>
      </c>
      <c r="AN27" s="35">
        <v>0</v>
      </c>
      <c r="AO27" s="21" t="s">
        <v>39</v>
      </c>
      <c r="AP27" s="25">
        <v>1431</v>
      </c>
      <c r="AQ27" s="23">
        <v>0</v>
      </c>
      <c r="AR27" s="24">
        <f t="shared" si="8"/>
        <v>1161.0617</v>
      </c>
      <c r="AS27" s="26">
        <f t="shared" si="1"/>
        <v>4439.6744999999992</v>
      </c>
      <c r="AT27" s="33"/>
      <c r="AU27" s="28"/>
      <c r="AV27" s="29">
        <f t="shared" si="9"/>
        <v>15</v>
      </c>
      <c r="AW27" s="29">
        <f t="shared" si="10"/>
        <v>5600.7361999999994</v>
      </c>
      <c r="AX27" s="30">
        <f t="shared" si="11"/>
        <v>5600.7361999999994</v>
      </c>
      <c r="AY27" s="30">
        <f>IFERROR(+LOOKUP(AX27,[3]TARIFAS!$A$4:$B$14,[3]TARIFAS!$A$4:$A$14),0)</f>
        <v>5081.41</v>
      </c>
      <c r="AZ27" s="30">
        <f t="shared" si="12"/>
        <v>519.32619999999952</v>
      </c>
      <c r="BA27" s="30">
        <f>IFERROR(+LOOKUP(AX27,[3]TARIFAS!$A$4:$B$14,[3]TARIFAS!$D$4:$D$14),0)</f>
        <v>21.36</v>
      </c>
      <c r="BB27" s="30">
        <f t="shared" si="13"/>
        <v>110.92807631999989</v>
      </c>
      <c r="BC27" s="30">
        <f>IFERROR(+LOOKUP(AX27,[3]TARIFAS!$A$4:$B$14,[3]TARIFAS!$C$4:$C$14),0)</f>
        <v>538.20000000000005</v>
      </c>
      <c r="BD27" s="30">
        <f t="shared" si="14"/>
        <v>649.13</v>
      </c>
      <c r="BE27" s="30"/>
      <c r="BF27" s="30"/>
      <c r="BG27" s="30"/>
      <c r="BH27" s="29"/>
    </row>
    <row r="28" spans="1:61" s="31" customFormat="1" ht="30" customHeight="1" x14ac:dyDescent="0.2">
      <c r="A28" s="17" t="str">
        <f>B28&amp;" "&amp;C28</f>
        <v>SEI 071</v>
      </c>
      <c r="B28" s="17" t="s">
        <v>32</v>
      </c>
      <c r="C28" s="32" t="s">
        <v>96</v>
      </c>
      <c r="D28" s="34" t="s">
        <v>97</v>
      </c>
      <c r="E28" s="21" t="s">
        <v>37</v>
      </c>
      <c r="F28" s="21" t="s">
        <v>38</v>
      </c>
      <c r="G28" s="21">
        <v>15</v>
      </c>
      <c r="H28" s="21">
        <v>421.49</v>
      </c>
      <c r="I28" s="160" t="s">
        <v>147</v>
      </c>
      <c r="J28" s="21">
        <v>6322.35</v>
      </c>
      <c r="K28" s="21" t="s">
        <v>37</v>
      </c>
      <c r="L28" s="22">
        <v>1311</v>
      </c>
      <c r="M28" s="35">
        <v>0</v>
      </c>
      <c r="N28" s="21" t="s">
        <v>37</v>
      </c>
      <c r="O28" s="22">
        <v>1713</v>
      </c>
      <c r="P28" s="35">
        <v>351.5</v>
      </c>
      <c r="Q28" s="35">
        <v>406.32</v>
      </c>
      <c r="R28" s="23">
        <f t="shared" si="3"/>
        <v>189.6705</v>
      </c>
      <c r="S28" s="21" t="s">
        <v>37</v>
      </c>
      <c r="T28" s="22">
        <v>1712</v>
      </c>
      <c r="U28" s="24">
        <f t="shared" si="4"/>
        <v>595.9905</v>
      </c>
      <c r="V28" s="21"/>
      <c r="W28" s="22"/>
      <c r="X28" s="24"/>
      <c r="Y28" s="24">
        <f t="shared" si="5"/>
        <v>7269.8405000000002</v>
      </c>
      <c r="Z28" s="21" t="s">
        <v>39</v>
      </c>
      <c r="AA28" s="22">
        <v>1431</v>
      </c>
      <c r="AB28" s="24">
        <f t="shared" si="6"/>
        <v>600.6232500000001</v>
      </c>
      <c r="AC28" s="21" t="s">
        <v>39</v>
      </c>
      <c r="AD28" s="25" t="s">
        <v>40</v>
      </c>
      <c r="AE28" s="35">
        <v>0</v>
      </c>
      <c r="AF28" s="21" t="s">
        <v>39</v>
      </c>
      <c r="AG28" s="25" t="s">
        <v>41</v>
      </c>
      <c r="AH28" s="23">
        <f t="shared" si="7"/>
        <v>1005.65</v>
      </c>
      <c r="AI28" s="21" t="s">
        <v>39</v>
      </c>
      <c r="AJ28" s="25" t="s">
        <v>42</v>
      </c>
      <c r="AK28" s="23">
        <f t="shared" si="15"/>
        <v>63.223500000000008</v>
      </c>
      <c r="AL28" s="21" t="s">
        <v>39</v>
      </c>
      <c r="AM28" s="25" t="s">
        <v>43</v>
      </c>
      <c r="AN28" s="35">
        <v>0</v>
      </c>
      <c r="AO28" s="21" t="s">
        <v>39</v>
      </c>
      <c r="AP28" s="25">
        <v>1431</v>
      </c>
      <c r="AQ28" s="23">
        <v>0</v>
      </c>
      <c r="AR28" s="24">
        <f t="shared" si="8"/>
        <v>1669.4967500000002</v>
      </c>
      <c r="AS28" s="26">
        <f t="shared" si="1"/>
        <v>5600.34375</v>
      </c>
      <c r="AT28" s="33"/>
      <c r="AU28" s="28"/>
      <c r="AV28" s="29">
        <f t="shared" si="9"/>
        <v>15</v>
      </c>
      <c r="AW28" s="29">
        <f t="shared" si="10"/>
        <v>7269.8405000000002</v>
      </c>
      <c r="AX28" s="30">
        <f t="shared" si="11"/>
        <v>7269.8405000000002</v>
      </c>
      <c r="AY28" s="30">
        <f>IFERROR(+LOOKUP(AX28,[3]TARIFAS!$A$4:$B$14,[3]TARIFAS!$A$4:$A$14),0)</f>
        <v>5081.41</v>
      </c>
      <c r="AZ28" s="30">
        <f t="shared" si="12"/>
        <v>2188.4305000000004</v>
      </c>
      <c r="BA28" s="30">
        <f>IFERROR(+LOOKUP(AX28,[3]TARIFAS!$A$4:$B$14,[3]TARIFAS!$D$4:$D$14),0)</f>
        <v>21.36</v>
      </c>
      <c r="BB28" s="30">
        <f t="shared" si="13"/>
        <v>467.44875480000007</v>
      </c>
      <c r="BC28" s="30">
        <f>IFERROR(+LOOKUP(AX28,[3]TARIFAS!$A$4:$B$14,[3]TARIFAS!$C$4:$C$14),0)</f>
        <v>538.20000000000005</v>
      </c>
      <c r="BD28" s="30">
        <f t="shared" si="14"/>
        <v>1005.65</v>
      </c>
      <c r="BE28" s="30"/>
      <c r="BF28" s="30"/>
      <c r="BG28" s="30"/>
      <c r="BH28" s="29"/>
    </row>
    <row r="29" spans="1:61" s="31" customFormat="1" ht="30" customHeight="1" x14ac:dyDescent="0.2">
      <c r="A29" s="17" t="str">
        <f t="shared" si="2"/>
        <v>SEI 079</v>
      </c>
      <c r="B29" s="17" t="s">
        <v>32</v>
      </c>
      <c r="C29" s="32" t="s">
        <v>124</v>
      </c>
      <c r="D29" s="34" t="s">
        <v>125</v>
      </c>
      <c r="E29" s="21" t="s">
        <v>37</v>
      </c>
      <c r="F29" s="21" t="s">
        <v>38</v>
      </c>
      <c r="G29" s="21">
        <v>15</v>
      </c>
      <c r="H29" s="21">
        <v>325.036</v>
      </c>
      <c r="I29" s="160" t="s">
        <v>150</v>
      </c>
      <c r="J29" s="21">
        <f>+J27/15*10</f>
        <v>3250.36</v>
      </c>
      <c r="K29" s="21" t="s">
        <v>37</v>
      </c>
      <c r="L29" s="22">
        <v>1311</v>
      </c>
      <c r="M29" s="35">
        <v>0</v>
      </c>
      <c r="N29" s="21" t="s">
        <v>37</v>
      </c>
      <c r="O29" s="22">
        <v>1713</v>
      </c>
      <c r="P29" s="35">
        <v>138.61000000000001</v>
      </c>
      <c r="Q29" s="35">
        <v>247.35</v>
      </c>
      <c r="R29" s="23">
        <f>(J29*3%)</f>
        <v>97.510800000000003</v>
      </c>
      <c r="S29" s="21" t="s">
        <v>37</v>
      </c>
      <c r="T29" s="22">
        <v>1712</v>
      </c>
      <c r="U29" s="24">
        <f>(Q29+R29)</f>
        <v>344.86079999999998</v>
      </c>
      <c r="V29" s="21"/>
      <c r="W29" s="22"/>
      <c r="X29" s="24"/>
      <c r="Y29" s="24">
        <f>J29+M29+P29+U29+X29</f>
        <v>3733.8308000000002</v>
      </c>
      <c r="Z29" s="21" t="s">
        <v>39</v>
      </c>
      <c r="AA29" s="22">
        <v>1431</v>
      </c>
      <c r="AB29" s="24">
        <f>(J29*9.5%)</f>
        <v>308.7842</v>
      </c>
      <c r="AC29" s="21" t="s">
        <v>39</v>
      </c>
      <c r="AD29" s="25" t="s">
        <v>40</v>
      </c>
      <c r="AE29" s="35">
        <v>0</v>
      </c>
      <c r="AF29" s="21" t="s">
        <v>39</v>
      </c>
      <c r="AG29" s="25" t="s">
        <v>41</v>
      </c>
      <c r="AH29" s="23">
        <f>+BD29</f>
        <v>306.5</v>
      </c>
      <c r="AI29" s="21" t="s">
        <v>39</v>
      </c>
      <c r="AJ29" s="25" t="s">
        <v>42</v>
      </c>
      <c r="AK29" s="23">
        <v>0</v>
      </c>
      <c r="AL29" s="21" t="s">
        <v>39</v>
      </c>
      <c r="AM29" s="25" t="s">
        <v>43</v>
      </c>
      <c r="AN29" s="35">
        <v>0</v>
      </c>
      <c r="AO29" s="21" t="s">
        <v>39</v>
      </c>
      <c r="AP29" s="25">
        <v>1431</v>
      </c>
      <c r="AQ29" s="23">
        <v>0</v>
      </c>
      <c r="AR29" s="24">
        <f t="shared" si="8"/>
        <v>615.28420000000006</v>
      </c>
      <c r="AS29" s="26">
        <f t="shared" si="1"/>
        <v>3118.5466000000001</v>
      </c>
      <c r="AT29" s="33"/>
      <c r="AU29" s="28"/>
      <c r="AV29" s="31">
        <f t="shared" si="9"/>
        <v>15</v>
      </c>
      <c r="AW29" s="29">
        <f t="shared" si="10"/>
        <v>3733.8308000000002</v>
      </c>
      <c r="AX29" s="39">
        <f>IFERROR(+AW29/AV29,0)*AV29</f>
        <v>3733.8308000000002</v>
      </c>
      <c r="AY29" s="39">
        <f>IFERROR(+LOOKUP(AX29,[3]TARIFAS!$A$4:$B$14,[3]TARIFAS!$A$4:$A$14),0)</f>
        <v>3651.01</v>
      </c>
      <c r="AZ29" s="39">
        <f>+AX29-AY29</f>
        <v>82.820799999999963</v>
      </c>
      <c r="BA29" s="39">
        <f>IFERROR(+LOOKUP(AX29,[3]TARIFAS!$A$4:$B$14,[3]TARIFAS!$D$4:$D$14),0)</f>
        <v>16</v>
      </c>
      <c r="BB29" s="39">
        <f>(+AZ29*BA29)/100</f>
        <v>13.251327999999994</v>
      </c>
      <c r="BC29" s="39">
        <f>IFERROR(+LOOKUP(AX29,[3]TARIFAS!$A$4:$B$14,[3]TARIFAS!$C$4:$C$14),0)</f>
        <v>293.25</v>
      </c>
      <c r="BD29" s="39">
        <f>ROUND(+BB29+BC29,2)</f>
        <v>306.5</v>
      </c>
      <c r="BE29" s="39"/>
      <c r="BF29" s="39"/>
      <c r="BG29" s="39"/>
      <c r="BI29" s="40"/>
    </row>
    <row r="30" spans="1:61" s="31" customFormat="1" ht="30" customHeight="1" x14ac:dyDescent="0.2">
      <c r="A30" s="17" t="str">
        <f t="shared" si="2"/>
        <v>SEI 073</v>
      </c>
      <c r="B30" s="17" t="s">
        <v>32</v>
      </c>
      <c r="C30" s="32" t="s">
        <v>101</v>
      </c>
      <c r="D30" s="34" t="s">
        <v>102</v>
      </c>
      <c r="E30" s="21" t="s">
        <v>37</v>
      </c>
      <c r="F30" s="21" t="s">
        <v>38</v>
      </c>
      <c r="G30" s="21">
        <v>15</v>
      </c>
      <c r="H30" s="21">
        <v>1029.4333333333334</v>
      </c>
      <c r="I30" s="160" t="s">
        <v>146</v>
      </c>
      <c r="J30" s="21">
        <v>15441.5</v>
      </c>
      <c r="K30" s="21" t="s">
        <v>37</v>
      </c>
      <c r="L30" s="22">
        <v>1311</v>
      </c>
      <c r="M30" s="35">
        <v>0</v>
      </c>
      <c r="N30" s="21" t="s">
        <v>37</v>
      </c>
      <c r="O30" s="22">
        <v>1713</v>
      </c>
      <c r="P30" s="35">
        <v>566.5</v>
      </c>
      <c r="Q30" s="35">
        <v>835.5</v>
      </c>
      <c r="R30" s="23">
        <f t="shared" si="3"/>
        <v>463.245</v>
      </c>
      <c r="S30" s="21" t="s">
        <v>37</v>
      </c>
      <c r="T30" s="22">
        <v>1712</v>
      </c>
      <c r="U30" s="24">
        <f t="shared" si="4"/>
        <v>1298.7449999999999</v>
      </c>
      <c r="V30" s="21"/>
      <c r="W30" s="22"/>
      <c r="X30" s="24"/>
      <c r="Y30" s="24">
        <f>J30+M30+P30+U30+X30</f>
        <v>17306.744999999999</v>
      </c>
      <c r="Z30" s="21" t="s">
        <v>39</v>
      </c>
      <c r="AA30" s="22">
        <v>1431</v>
      </c>
      <c r="AB30" s="24">
        <f t="shared" si="6"/>
        <v>1466.9425000000001</v>
      </c>
      <c r="AC30" s="21" t="s">
        <v>39</v>
      </c>
      <c r="AD30" s="25" t="s">
        <v>40</v>
      </c>
      <c r="AE30" s="35">
        <v>0</v>
      </c>
      <c r="AF30" s="21" t="s">
        <v>39</v>
      </c>
      <c r="AG30" s="25" t="s">
        <v>41</v>
      </c>
      <c r="AH30" s="23">
        <f t="shared" si="7"/>
        <v>3376.71</v>
      </c>
      <c r="AI30" s="21" t="s">
        <v>39</v>
      </c>
      <c r="AJ30" s="25" t="s">
        <v>42</v>
      </c>
      <c r="AK30" s="23">
        <v>0</v>
      </c>
      <c r="AL30" s="21" t="s">
        <v>39</v>
      </c>
      <c r="AM30" s="25" t="s">
        <v>43</v>
      </c>
      <c r="AN30" s="35">
        <v>0</v>
      </c>
      <c r="AO30" s="21" t="s">
        <v>39</v>
      </c>
      <c r="AP30" s="25">
        <v>1431</v>
      </c>
      <c r="AQ30" s="23">
        <v>0</v>
      </c>
      <c r="AR30" s="24">
        <f t="shared" si="8"/>
        <v>4843.6525000000001</v>
      </c>
      <c r="AS30" s="26">
        <f t="shared" si="1"/>
        <v>12463.092499999999</v>
      </c>
      <c r="AT30" s="33"/>
      <c r="AU30" s="28"/>
      <c r="AV30" s="29">
        <f t="shared" si="9"/>
        <v>15</v>
      </c>
      <c r="AW30" s="29">
        <f t="shared" si="10"/>
        <v>17306.745000000003</v>
      </c>
      <c r="AX30" s="30">
        <f t="shared" si="11"/>
        <v>17306.745000000003</v>
      </c>
      <c r="AY30" s="30">
        <f>IFERROR(+LOOKUP(AX30,[3]TARIFAS!$A$4:$B$14,[3]TARIFAS!$A$4:$A$14),0)</f>
        <v>16153.06</v>
      </c>
      <c r="AZ30" s="30">
        <f t="shared" si="12"/>
        <v>1153.6850000000031</v>
      </c>
      <c r="BA30" s="30">
        <f>IFERROR(+LOOKUP(AX30,[3]TARIFAS!$A$4:$B$14,[3]TARIFAS!$D$4:$D$14),0)</f>
        <v>30</v>
      </c>
      <c r="BB30" s="30">
        <f t="shared" si="13"/>
        <v>346.10550000000092</v>
      </c>
      <c r="BC30" s="30">
        <f>IFERROR(+LOOKUP(AX30,[3]TARIFAS!$A$4:$B$14,[3]TARIFAS!$C$4:$C$14),0)</f>
        <v>3030.6</v>
      </c>
      <c r="BD30" s="30">
        <f t="shared" si="14"/>
        <v>3376.71</v>
      </c>
      <c r="BE30" s="30"/>
      <c r="BF30" s="30"/>
      <c r="BG30" s="30"/>
      <c r="BH30" s="29"/>
    </row>
    <row r="31" spans="1:61" s="31" customFormat="1" ht="30" customHeight="1" x14ac:dyDescent="0.2">
      <c r="A31" s="17" t="str">
        <f t="shared" si="2"/>
        <v>SEI 074</v>
      </c>
      <c r="B31" s="17" t="s">
        <v>32</v>
      </c>
      <c r="C31" s="32" t="s">
        <v>103</v>
      </c>
      <c r="D31" s="34" t="s">
        <v>104</v>
      </c>
      <c r="E31" s="21" t="s">
        <v>37</v>
      </c>
      <c r="F31" s="21" t="s">
        <v>38</v>
      </c>
      <c r="G31" s="21">
        <v>15</v>
      </c>
      <c r="H31" s="21">
        <v>1958.6333333333334</v>
      </c>
      <c r="I31" s="160" t="s">
        <v>148</v>
      </c>
      <c r="J31" s="21">
        <v>29379.5</v>
      </c>
      <c r="K31" s="21" t="s">
        <v>37</v>
      </c>
      <c r="L31" s="22">
        <v>1311</v>
      </c>
      <c r="M31" s="35">
        <v>0</v>
      </c>
      <c r="N31" s="21" t="s">
        <v>37</v>
      </c>
      <c r="O31" s="22">
        <v>1713</v>
      </c>
      <c r="P31" s="36">
        <v>808.5</v>
      </c>
      <c r="Q31" s="35">
        <v>1144</v>
      </c>
      <c r="R31" s="23">
        <f t="shared" si="3"/>
        <v>881.38499999999999</v>
      </c>
      <c r="S31" s="21" t="s">
        <v>37</v>
      </c>
      <c r="T31" s="22">
        <v>1712</v>
      </c>
      <c r="U31" s="24">
        <f t="shared" si="4"/>
        <v>2025.385</v>
      </c>
      <c r="V31" s="21"/>
      <c r="W31" s="22"/>
      <c r="X31" s="24"/>
      <c r="Y31" s="24">
        <f t="shared" si="5"/>
        <v>32213.384999999998</v>
      </c>
      <c r="Z31" s="21" t="s">
        <v>39</v>
      </c>
      <c r="AA31" s="22">
        <v>1431</v>
      </c>
      <c r="AB31" s="24">
        <f t="shared" si="6"/>
        <v>2791.0525000000002</v>
      </c>
      <c r="AC31" s="21" t="s">
        <v>39</v>
      </c>
      <c r="AD31" s="25" t="s">
        <v>40</v>
      </c>
      <c r="AE31" s="35">
        <v>4897</v>
      </c>
      <c r="AF31" s="21" t="s">
        <v>39</v>
      </c>
      <c r="AG31" s="25" t="s">
        <v>41</v>
      </c>
      <c r="AH31" s="23">
        <f t="shared" si="7"/>
        <v>7876.11</v>
      </c>
      <c r="AI31" s="21" t="s">
        <v>39</v>
      </c>
      <c r="AJ31" s="25" t="s">
        <v>42</v>
      </c>
      <c r="AK31" s="23">
        <v>0</v>
      </c>
      <c r="AL31" s="21" t="s">
        <v>39</v>
      </c>
      <c r="AM31" s="25" t="s">
        <v>43</v>
      </c>
      <c r="AN31" s="35">
        <v>0</v>
      </c>
      <c r="AO31" s="21" t="s">
        <v>39</v>
      </c>
      <c r="AP31" s="25">
        <v>1431</v>
      </c>
      <c r="AQ31" s="23">
        <v>0</v>
      </c>
      <c r="AR31" s="24">
        <f t="shared" si="8"/>
        <v>15564.162499999999</v>
      </c>
      <c r="AS31" s="26">
        <f t="shared" si="1"/>
        <v>16649.2225</v>
      </c>
      <c r="AT31" s="33"/>
      <c r="AU31" s="28"/>
      <c r="AV31" s="29">
        <f t="shared" si="9"/>
        <v>15</v>
      </c>
      <c r="AW31" s="29">
        <f t="shared" si="10"/>
        <v>32213.384999999998</v>
      </c>
      <c r="AX31" s="30">
        <f t="shared" si="11"/>
        <v>32213.384999999995</v>
      </c>
      <c r="AY31" s="30">
        <f>IFERROR(+LOOKUP(AX31,[3]TARIFAS!$A$4:$B$14,[3]TARIFAS!$A$4:$A$14),0)</f>
        <v>30838.81</v>
      </c>
      <c r="AZ31" s="30">
        <f t="shared" si="12"/>
        <v>1374.5749999999935</v>
      </c>
      <c r="BA31" s="30">
        <f>IFERROR(+LOOKUP(AX31,[3]TARIFAS!$A$4:$B$14,[3]TARIFAS!$D$4:$D$14),0)</f>
        <v>32</v>
      </c>
      <c r="BB31" s="30">
        <f t="shared" si="13"/>
        <v>439.86399999999793</v>
      </c>
      <c r="BC31" s="30">
        <f>IFERROR(+LOOKUP(AX31,[3]TARIFAS!$A$4:$B$14,[3]TARIFAS!$C$4:$C$14),0)</f>
        <v>7436.25</v>
      </c>
      <c r="BD31" s="30">
        <f>ROUND(+BB31+BC31,2)</f>
        <v>7876.11</v>
      </c>
      <c r="BE31" s="30"/>
      <c r="BF31" s="30"/>
      <c r="BG31" s="30"/>
      <c r="BH31" s="29"/>
    </row>
    <row r="32" spans="1:61" s="31" customFormat="1" ht="30" customHeight="1" x14ac:dyDescent="0.2">
      <c r="A32" s="17" t="str">
        <f t="shared" si="2"/>
        <v>SEI 078</v>
      </c>
      <c r="B32" s="17" t="s">
        <v>32</v>
      </c>
      <c r="C32" s="32" t="s">
        <v>106</v>
      </c>
      <c r="D32" s="34" t="s">
        <v>107</v>
      </c>
      <c r="E32" s="21" t="s">
        <v>37</v>
      </c>
      <c r="F32" s="21" t="s">
        <v>38</v>
      </c>
      <c r="G32" s="21">
        <v>15</v>
      </c>
      <c r="H32" s="21">
        <v>1029.4333333333334</v>
      </c>
      <c r="I32" s="160" t="s">
        <v>151</v>
      </c>
      <c r="J32" s="21">
        <v>15441.5</v>
      </c>
      <c r="K32" s="21" t="s">
        <v>37</v>
      </c>
      <c r="L32" s="22">
        <v>1311</v>
      </c>
      <c r="M32" s="23">
        <f>67.29</f>
        <v>67.290000000000006</v>
      </c>
      <c r="N32" s="21" t="s">
        <v>37</v>
      </c>
      <c r="O32" s="22">
        <v>1713</v>
      </c>
      <c r="P32" s="23">
        <v>566.5</v>
      </c>
      <c r="Q32" s="23">
        <v>835.5</v>
      </c>
      <c r="R32" s="23">
        <f>(J32*3%)</f>
        <v>463.245</v>
      </c>
      <c r="S32" s="21" t="s">
        <v>37</v>
      </c>
      <c r="T32" s="22">
        <v>1712</v>
      </c>
      <c r="U32" s="24">
        <f t="shared" si="4"/>
        <v>1298.7449999999999</v>
      </c>
      <c r="V32" s="21"/>
      <c r="W32" s="22"/>
      <c r="X32" s="24"/>
      <c r="Y32" s="24">
        <f t="shared" si="5"/>
        <v>17374.035</v>
      </c>
      <c r="Z32" s="21" t="s">
        <v>39</v>
      </c>
      <c r="AA32" s="22">
        <v>1431</v>
      </c>
      <c r="AB32" s="24">
        <f t="shared" si="6"/>
        <v>1466.9425000000001</v>
      </c>
      <c r="AC32" s="21" t="s">
        <v>39</v>
      </c>
      <c r="AD32" s="25" t="s">
        <v>40</v>
      </c>
      <c r="AE32" s="35">
        <v>0</v>
      </c>
      <c r="AF32" s="21" t="s">
        <v>39</v>
      </c>
      <c r="AG32" s="25" t="s">
        <v>41</v>
      </c>
      <c r="AH32" s="23">
        <f t="shared" si="7"/>
        <v>3396.89</v>
      </c>
      <c r="AI32" s="21" t="s">
        <v>39</v>
      </c>
      <c r="AJ32" s="25" t="s">
        <v>42</v>
      </c>
      <c r="AK32" s="23">
        <v>0</v>
      </c>
      <c r="AL32" s="21" t="s">
        <v>39</v>
      </c>
      <c r="AM32" s="25" t="s">
        <v>43</v>
      </c>
      <c r="AN32" s="35">
        <v>0</v>
      </c>
      <c r="AO32" s="21" t="s">
        <v>39</v>
      </c>
      <c r="AP32" s="25">
        <v>1431</v>
      </c>
      <c r="AQ32" s="23">
        <v>0</v>
      </c>
      <c r="AR32" s="24">
        <f t="shared" si="8"/>
        <v>4863.8325000000004</v>
      </c>
      <c r="AS32" s="26">
        <f t="shared" si="1"/>
        <v>12510.202499999999</v>
      </c>
      <c r="AT32" s="33"/>
      <c r="AU32" s="28"/>
      <c r="AV32" s="29">
        <f t="shared" si="9"/>
        <v>15</v>
      </c>
      <c r="AW32" s="29">
        <f t="shared" si="10"/>
        <v>17374.035000000003</v>
      </c>
      <c r="AX32" s="30">
        <f t="shared" si="11"/>
        <v>17374.035000000003</v>
      </c>
      <c r="AY32" s="30">
        <f>IFERROR(+LOOKUP(AX32,[3]TARIFAS!$A$4:$B$14,[3]TARIFAS!$A$4:$A$14),0)</f>
        <v>16153.06</v>
      </c>
      <c r="AZ32" s="30">
        <f t="shared" si="12"/>
        <v>1220.975000000004</v>
      </c>
      <c r="BA32" s="30">
        <f>IFERROR(+LOOKUP(AX32,[3]TARIFAS!$A$4:$B$14,[3]TARIFAS!$D$4:$D$14),0)</f>
        <v>30</v>
      </c>
      <c r="BB32" s="30">
        <f t="shared" si="13"/>
        <v>366.29250000000116</v>
      </c>
      <c r="BC32" s="30">
        <f>IFERROR(+LOOKUP(AX32,[3]TARIFAS!$A$4:$B$14,[3]TARIFAS!$C$4:$C$14),0)</f>
        <v>3030.6</v>
      </c>
      <c r="BD32" s="30">
        <f t="shared" si="14"/>
        <v>3396.89</v>
      </c>
      <c r="BE32" s="30"/>
      <c r="BF32" s="30"/>
      <c r="BG32" s="30"/>
      <c r="BH32" s="29"/>
    </row>
    <row r="33" spans="1:60" s="31" customFormat="1" ht="30" customHeight="1" thickBot="1" x14ac:dyDescent="0.25">
      <c r="A33" s="17" t="str">
        <f t="shared" si="2"/>
        <v>SEI 077</v>
      </c>
      <c r="B33" s="17" t="s">
        <v>32</v>
      </c>
      <c r="C33" s="32" t="s">
        <v>108</v>
      </c>
      <c r="D33" s="34" t="s">
        <v>109</v>
      </c>
      <c r="E33" s="21" t="s">
        <v>37</v>
      </c>
      <c r="F33" s="21" t="s">
        <v>38</v>
      </c>
      <c r="G33" s="21">
        <v>15</v>
      </c>
      <c r="H33" s="21">
        <v>421.49</v>
      </c>
      <c r="I33" s="160" t="s">
        <v>151</v>
      </c>
      <c r="J33" s="21">
        <v>6322.35</v>
      </c>
      <c r="K33" s="21" t="s">
        <v>37</v>
      </c>
      <c r="L33" s="22">
        <v>1311</v>
      </c>
      <c r="M33" s="35">
        <v>0</v>
      </c>
      <c r="N33" s="21" t="s">
        <v>37</v>
      </c>
      <c r="O33" s="22">
        <v>1713</v>
      </c>
      <c r="P33" s="36">
        <v>351.5</v>
      </c>
      <c r="Q33" s="35">
        <v>406.32</v>
      </c>
      <c r="R33" s="23">
        <f t="shared" si="3"/>
        <v>189.6705</v>
      </c>
      <c r="S33" s="21" t="s">
        <v>37</v>
      </c>
      <c r="T33" s="22">
        <v>1712</v>
      </c>
      <c r="U33" s="24">
        <f>(Q33+R33)</f>
        <v>595.9905</v>
      </c>
      <c r="V33" s="21"/>
      <c r="W33" s="22"/>
      <c r="X33" s="24"/>
      <c r="Y33" s="24">
        <f t="shared" si="5"/>
        <v>7269.8405000000002</v>
      </c>
      <c r="Z33" s="21" t="s">
        <v>39</v>
      </c>
      <c r="AA33" s="22">
        <v>1431</v>
      </c>
      <c r="AB33" s="24">
        <f t="shared" si="6"/>
        <v>600.6232500000001</v>
      </c>
      <c r="AC33" s="21" t="s">
        <v>39</v>
      </c>
      <c r="AD33" s="25" t="s">
        <v>40</v>
      </c>
      <c r="AE33" s="35">
        <v>0</v>
      </c>
      <c r="AF33" s="21" t="s">
        <v>39</v>
      </c>
      <c r="AG33" s="25" t="s">
        <v>41</v>
      </c>
      <c r="AH33" s="23">
        <f t="shared" si="7"/>
        <v>1005.65</v>
      </c>
      <c r="AI33" s="21" t="s">
        <v>39</v>
      </c>
      <c r="AJ33" s="25" t="s">
        <v>42</v>
      </c>
      <c r="AK33" s="23">
        <v>0</v>
      </c>
      <c r="AL33" s="21" t="s">
        <v>39</v>
      </c>
      <c r="AM33" s="25" t="s">
        <v>43</v>
      </c>
      <c r="AN33" s="35">
        <v>0</v>
      </c>
      <c r="AO33" s="21" t="s">
        <v>39</v>
      </c>
      <c r="AP33" s="25">
        <v>1431</v>
      </c>
      <c r="AQ33" s="23">
        <v>0</v>
      </c>
      <c r="AR33" s="24">
        <f>(AB33+AE33+AH33+AK33+AN33+AQ33)</f>
        <v>1606.2732500000002</v>
      </c>
      <c r="AS33" s="26">
        <f>(Y33-AR33)</f>
        <v>5663.5672500000001</v>
      </c>
      <c r="AT33" s="20"/>
      <c r="AU33" s="28"/>
      <c r="AV33" s="29">
        <f t="shared" si="9"/>
        <v>15</v>
      </c>
      <c r="AW33" s="29">
        <f t="shared" si="10"/>
        <v>7269.8405000000002</v>
      </c>
      <c r="AX33" s="30">
        <f t="shared" si="11"/>
        <v>7269.8405000000002</v>
      </c>
      <c r="AY33" s="30">
        <f>IFERROR(+LOOKUP(AX33,[3]TARIFAS!$A$4:$B$14,[3]TARIFAS!$A$4:$A$14),0)</f>
        <v>5081.41</v>
      </c>
      <c r="AZ33" s="30">
        <f t="shared" si="12"/>
        <v>2188.4305000000004</v>
      </c>
      <c r="BA33" s="30">
        <f>IFERROR(+LOOKUP(AX33,[3]TARIFAS!$A$4:$B$14,[3]TARIFAS!$D$4:$D$14),0)</f>
        <v>21.36</v>
      </c>
      <c r="BB33" s="30">
        <f t="shared" si="13"/>
        <v>467.44875480000007</v>
      </c>
      <c r="BC33" s="30">
        <f>IFERROR(+LOOKUP(AX33,[3]TARIFAS!$A$4:$B$14,[3]TARIFAS!$C$4:$C$14),0)</f>
        <v>538.20000000000005</v>
      </c>
      <c r="BD33" s="30">
        <f t="shared" si="14"/>
        <v>1005.65</v>
      </c>
      <c r="BE33" s="30"/>
      <c r="BF33" s="30"/>
      <c r="BG33" s="30"/>
      <c r="BH33" s="29"/>
    </row>
    <row r="34" spans="1:60" s="48" customFormat="1" ht="21" customHeight="1" thickBot="1" x14ac:dyDescent="0.25">
      <c r="A34" s="41"/>
      <c r="B34" s="42"/>
      <c r="C34" s="43"/>
      <c r="D34" s="43" t="s">
        <v>110</v>
      </c>
      <c r="E34" s="44"/>
      <c r="F34" s="44"/>
      <c r="G34" s="44"/>
      <c r="H34" s="44"/>
      <c r="I34" s="44"/>
      <c r="J34" s="44">
        <f>SUM(J5:J33)</f>
        <v>235278.47000000003</v>
      </c>
      <c r="K34" s="44"/>
      <c r="L34" s="44"/>
      <c r="M34" s="44">
        <f>SUM(M5:M33)</f>
        <v>2590.6649999999995</v>
      </c>
      <c r="N34" s="44"/>
      <c r="O34" s="44"/>
      <c r="P34" s="44">
        <f>SUM(P5:P33)</f>
        <v>10231.369999999999</v>
      </c>
      <c r="Q34" s="44">
        <f>SUM(Q5:Q33)</f>
        <v>13910.85</v>
      </c>
      <c r="R34" s="44">
        <f>SUM(R5:R33)</f>
        <v>7058.3541000000014</v>
      </c>
      <c r="S34" s="44"/>
      <c r="T34" s="44"/>
      <c r="U34" s="44">
        <f>SUM(U5:U33)</f>
        <v>20969.204099999999</v>
      </c>
      <c r="V34" s="44"/>
      <c r="W34" s="45"/>
      <c r="X34" s="44">
        <f>SUM(X5:X32)</f>
        <v>11303.45</v>
      </c>
      <c r="Y34" s="44">
        <f>SUM(Y5:Y33)</f>
        <v>280373.15909999993</v>
      </c>
      <c r="Z34" s="44"/>
      <c r="AA34" s="45"/>
      <c r="AB34" s="44">
        <f>SUM(AB5:AB33)</f>
        <v>22351.454650000007</v>
      </c>
      <c r="AC34" s="44"/>
      <c r="AD34" s="45"/>
      <c r="AE34" s="46">
        <f>SUM(AE5:AE33)</f>
        <v>26437.85</v>
      </c>
      <c r="AF34" s="44"/>
      <c r="AG34" s="45"/>
      <c r="AH34" s="44">
        <f>SUM(AH5:AH33)</f>
        <v>46889.360000000015</v>
      </c>
      <c r="AI34" s="44"/>
      <c r="AJ34" s="45"/>
      <c r="AK34" s="46">
        <f>SUM(AK5:AK33)</f>
        <v>1058.4213000000002</v>
      </c>
      <c r="AL34" s="44"/>
      <c r="AM34" s="45"/>
      <c r="AN34" s="44">
        <f>SUM(AN5:AN33)</f>
        <v>0</v>
      </c>
      <c r="AO34" s="44"/>
      <c r="AP34" s="45"/>
      <c r="AQ34" s="44">
        <f>SUM(AQ5:AQ33)</f>
        <v>0</v>
      </c>
      <c r="AR34" s="44">
        <f>SUM(AR5:AR33)</f>
        <v>96737.085950000022</v>
      </c>
      <c r="AS34" s="44">
        <f>SUM(AS5:AS33)</f>
        <v>183636.07314999998</v>
      </c>
      <c r="AT34" s="79"/>
    </row>
    <row r="35" spans="1:60" s="55" customFormat="1" ht="39.75" customHeight="1" x14ac:dyDescent="0.2">
      <c r="A35" s="49"/>
      <c r="B35" s="50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0"/>
      <c r="P35" s="52"/>
      <c r="Q35" s="52"/>
      <c r="R35" s="52"/>
      <c r="S35" s="52"/>
      <c r="T35" s="53"/>
      <c r="U35" s="52"/>
      <c r="V35" s="52"/>
      <c r="W35" s="53"/>
      <c r="X35" s="52"/>
      <c r="Y35" s="52"/>
      <c r="Z35" s="52"/>
      <c r="AA35" s="53"/>
      <c r="AB35" s="52"/>
      <c r="AC35" s="52"/>
      <c r="AD35" s="53"/>
      <c r="AE35" s="54"/>
      <c r="AF35" s="52"/>
      <c r="AG35" s="53"/>
      <c r="AH35" s="52"/>
      <c r="AI35" s="52"/>
      <c r="AJ35" s="53"/>
      <c r="AK35" s="54"/>
      <c r="AL35" s="52"/>
      <c r="AM35" s="53"/>
      <c r="AN35" s="52"/>
      <c r="AO35" s="52"/>
      <c r="AP35" s="53"/>
      <c r="AQ35" s="52"/>
      <c r="AR35" s="52"/>
      <c r="AS35" s="52"/>
      <c r="AT35" s="50"/>
    </row>
    <row r="36" spans="1:60" ht="15.75" x14ac:dyDescent="0.2">
      <c r="A36" s="56"/>
      <c r="B36" s="56"/>
      <c r="C36" s="57"/>
      <c r="D36" s="169" t="s">
        <v>111</v>
      </c>
      <c r="E36" s="169"/>
      <c r="F36" s="169"/>
      <c r="G36" s="169"/>
      <c r="H36" s="169"/>
      <c r="I36" s="169"/>
      <c r="J36" s="169"/>
      <c r="K36" s="58"/>
      <c r="L36" s="58"/>
      <c r="N36" s="58"/>
      <c r="O36" s="59"/>
      <c r="P36" s="60"/>
      <c r="Q36" s="61"/>
      <c r="R36" s="169" t="s">
        <v>112</v>
      </c>
      <c r="S36" s="169"/>
      <c r="T36" s="169"/>
      <c r="U36" s="169"/>
      <c r="V36" s="169"/>
      <c r="W36" s="169"/>
      <c r="X36" s="169"/>
      <c r="Y36" s="169"/>
      <c r="Z36" s="56"/>
      <c r="AA36" s="56"/>
      <c r="AB36" s="56"/>
      <c r="AC36" s="56"/>
      <c r="AD36" s="56"/>
      <c r="AF36" s="56"/>
      <c r="AG36" s="56"/>
      <c r="AH36" s="56"/>
      <c r="AI36" s="56"/>
      <c r="AJ36" s="56"/>
      <c r="AK36" s="169" t="s">
        <v>113</v>
      </c>
      <c r="AL36" s="169"/>
      <c r="AM36" s="169"/>
      <c r="AN36" s="169"/>
      <c r="AO36" s="169"/>
      <c r="AP36" s="169"/>
      <c r="AQ36" s="169"/>
      <c r="AR36" s="169"/>
      <c r="AS36" s="169"/>
    </row>
    <row r="37" spans="1:60" ht="22.5" customHeight="1" x14ac:dyDescent="0.2">
      <c r="A37" s="56"/>
      <c r="B37" s="56"/>
      <c r="C37" s="63"/>
      <c r="D37" s="64"/>
      <c r="E37" s="64"/>
      <c r="F37" s="64"/>
      <c r="G37" s="64"/>
      <c r="H37" s="64"/>
      <c r="I37" s="64"/>
      <c r="J37" s="64"/>
      <c r="K37" s="64"/>
      <c r="L37" s="64"/>
      <c r="N37" s="64"/>
      <c r="O37" s="65"/>
      <c r="P37" s="64"/>
      <c r="Q37" s="61"/>
      <c r="R37" s="61"/>
      <c r="S37" s="64"/>
      <c r="T37" s="65"/>
      <c r="V37" s="64"/>
      <c r="W37" s="65"/>
      <c r="Y37" s="61"/>
      <c r="Z37" s="64"/>
      <c r="AA37" s="65"/>
      <c r="AB37" s="56"/>
      <c r="AC37" s="64"/>
      <c r="AD37" s="65"/>
      <c r="AF37" s="64"/>
      <c r="AG37" s="65"/>
      <c r="AH37" s="56"/>
      <c r="AI37" s="64"/>
      <c r="AJ37" s="65"/>
      <c r="AK37" s="66"/>
      <c r="AL37" s="64"/>
      <c r="AM37" s="65"/>
      <c r="AN37" s="56"/>
      <c r="AO37" s="64"/>
      <c r="AP37" s="65"/>
      <c r="AQ37" s="56"/>
      <c r="AS37" s="56"/>
    </row>
    <row r="38" spans="1:60" ht="15.75" x14ac:dyDescent="0.2">
      <c r="A38" s="56"/>
      <c r="B38" s="56"/>
      <c r="C38" s="67"/>
      <c r="D38" s="169" t="s">
        <v>114</v>
      </c>
      <c r="E38" s="169"/>
      <c r="F38" s="169"/>
      <c r="G38" s="169"/>
      <c r="H38" s="169"/>
      <c r="I38" s="169"/>
      <c r="J38" s="169"/>
      <c r="K38" s="58"/>
      <c r="L38" s="58"/>
      <c r="N38" s="58"/>
      <c r="O38" s="59"/>
      <c r="P38" s="61"/>
      <c r="Q38" s="61"/>
      <c r="R38" s="169" t="s">
        <v>115</v>
      </c>
      <c r="S38" s="169"/>
      <c r="T38" s="169"/>
      <c r="U38" s="169"/>
      <c r="V38" s="169"/>
      <c r="W38" s="169"/>
      <c r="X38" s="169"/>
      <c r="Y38" s="169"/>
      <c r="Z38" s="56"/>
      <c r="AA38" s="56"/>
      <c r="AB38" s="56"/>
      <c r="AC38" s="56"/>
      <c r="AD38" s="56"/>
      <c r="AF38" s="56"/>
      <c r="AG38" s="56"/>
      <c r="AI38" s="56"/>
      <c r="AJ38" s="56"/>
      <c r="AK38" s="169" t="s">
        <v>116</v>
      </c>
      <c r="AL38" s="169"/>
      <c r="AM38" s="169"/>
      <c r="AN38" s="169"/>
      <c r="AO38" s="169"/>
      <c r="AP38" s="169"/>
      <c r="AQ38" s="169"/>
      <c r="AR38" s="169"/>
      <c r="AS38" s="169"/>
      <c r="AT38" s="56"/>
    </row>
    <row r="39" spans="1:60" ht="15.75" x14ac:dyDescent="0.2">
      <c r="A39" s="56"/>
      <c r="B39" s="56"/>
      <c r="C39" s="67"/>
      <c r="D39" s="169" t="s">
        <v>117</v>
      </c>
      <c r="E39" s="169"/>
      <c r="F39" s="169"/>
      <c r="G39" s="169"/>
      <c r="H39" s="169"/>
      <c r="I39" s="169"/>
      <c r="J39" s="169"/>
      <c r="K39" s="58"/>
      <c r="L39" s="58"/>
      <c r="N39" s="58"/>
      <c r="O39" s="59"/>
      <c r="P39" s="61"/>
      <c r="Q39" s="61"/>
      <c r="R39" s="169" t="s">
        <v>118</v>
      </c>
      <c r="S39" s="169"/>
      <c r="T39" s="169"/>
      <c r="U39" s="169"/>
      <c r="V39" s="169"/>
      <c r="W39" s="169"/>
      <c r="X39" s="169"/>
      <c r="Y39" s="169"/>
      <c r="Z39" s="56"/>
      <c r="AA39" s="56"/>
      <c r="AB39" s="56"/>
      <c r="AC39" s="56"/>
      <c r="AD39" s="56"/>
      <c r="AF39" s="56"/>
      <c r="AG39" s="56"/>
      <c r="AI39" s="56"/>
      <c r="AJ39" s="56"/>
      <c r="AK39" s="169" t="s">
        <v>119</v>
      </c>
      <c r="AL39" s="169"/>
      <c r="AM39" s="169"/>
      <c r="AN39" s="169"/>
      <c r="AO39" s="169"/>
      <c r="AP39" s="169"/>
      <c r="AQ39" s="169"/>
      <c r="AR39" s="169"/>
      <c r="AS39" s="169"/>
      <c r="AT39" s="56"/>
    </row>
    <row r="40" spans="1:60" x14ac:dyDescent="0.2">
      <c r="A40" s="56"/>
      <c r="B40" s="56"/>
      <c r="C40" s="67"/>
      <c r="D40" s="67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56"/>
      <c r="S40" s="56"/>
      <c r="T40" s="68"/>
      <c r="V40" s="56"/>
      <c r="W40" s="68"/>
      <c r="Y40" s="56"/>
      <c r="Z40" s="56"/>
      <c r="AA40" s="68"/>
      <c r="AB40" s="56"/>
      <c r="AC40" s="56"/>
      <c r="AD40" s="68"/>
      <c r="AE40" s="69"/>
      <c r="AF40" s="56"/>
      <c r="AG40" s="68"/>
      <c r="AI40" s="56"/>
      <c r="AJ40" s="68"/>
      <c r="AL40" s="56"/>
      <c r="AM40" s="68"/>
      <c r="AO40" s="56"/>
      <c r="AP40" s="68"/>
      <c r="AR40" s="56"/>
      <c r="AS40" s="56"/>
      <c r="AT40" s="56"/>
    </row>
    <row r="41" spans="1:60" x14ac:dyDescent="0.2">
      <c r="C41" s="67"/>
      <c r="D41" s="6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68"/>
      <c r="P41" s="56"/>
      <c r="Q41" s="56"/>
      <c r="R41" s="56"/>
      <c r="S41" s="56"/>
      <c r="T41" s="68"/>
      <c r="U41" s="70"/>
      <c r="V41" s="56"/>
      <c r="W41" s="68"/>
      <c r="X41" s="70"/>
      <c r="Y41" s="56"/>
      <c r="Z41" s="56"/>
      <c r="AA41" s="68"/>
      <c r="AB41" s="56"/>
      <c r="AC41" s="56"/>
      <c r="AD41" s="68"/>
      <c r="AE41" s="71"/>
      <c r="AF41" s="56"/>
      <c r="AG41" s="68"/>
      <c r="AH41" s="56"/>
      <c r="AI41" s="56"/>
      <c r="AJ41" s="68"/>
      <c r="AK41" s="71"/>
      <c r="AL41" s="56"/>
      <c r="AM41" s="68"/>
      <c r="AN41" s="56"/>
      <c r="AO41" s="56"/>
      <c r="AP41" s="68"/>
      <c r="AQ41" s="56"/>
      <c r="AR41" s="56"/>
    </row>
    <row r="42" spans="1:60" x14ac:dyDescent="0.2">
      <c r="C42" s="67"/>
      <c r="D42" s="6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68"/>
      <c r="P42" s="56"/>
      <c r="Q42" s="56"/>
      <c r="R42" s="56"/>
      <c r="S42" s="56"/>
      <c r="T42" s="68"/>
      <c r="U42" s="70"/>
      <c r="V42" s="56"/>
      <c r="W42" s="68"/>
      <c r="X42" s="70"/>
      <c r="Y42" s="56"/>
      <c r="Z42" s="56"/>
      <c r="AA42" s="68"/>
      <c r="AB42" s="56"/>
      <c r="AC42" s="56"/>
      <c r="AD42" s="68"/>
      <c r="AE42" s="71"/>
      <c r="AF42" s="56"/>
      <c r="AG42" s="68"/>
      <c r="AH42" s="56"/>
      <c r="AI42" s="56"/>
      <c r="AJ42" s="68"/>
      <c r="AK42" s="71"/>
      <c r="AL42" s="56"/>
      <c r="AM42" s="68"/>
      <c r="AN42" s="56"/>
      <c r="AO42" s="56"/>
      <c r="AP42" s="68"/>
      <c r="AQ42" s="56"/>
      <c r="AR42" s="56"/>
    </row>
    <row r="43" spans="1:60" x14ac:dyDescent="0.2">
      <c r="C43" s="67"/>
      <c r="D43" s="67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68"/>
      <c r="P43" s="56"/>
      <c r="Q43" s="56"/>
      <c r="R43" s="56"/>
      <c r="S43" s="56"/>
      <c r="T43" s="68"/>
      <c r="U43" s="70"/>
      <c r="V43" s="56"/>
      <c r="W43" s="68"/>
      <c r="X43" s="70"/>
      <c r="Y43" s="56"/>
      <c r="Z43" s="56"/>
      <c r="AA43" s="68"/>
      <c r="AB43" s="56"/>
      <c r="AC43" s="56"/>
      <c r="AD43" s="68"/>
      <c r="AE43" s="71"/>
      <c r="AF43" s="56"/>
      <c r="AG43" s="68"/>
      <c r="AH43" s="56"/>
      <c r="AI43" s="56"/>
      <c r="AJ43" s="68"/>
      <c r="AK43" s="71"/>
      <c r="AL43" s="56"/>
      <c r="AM43" s="68"/>
      <c r="AN43" s="56"/>
      <c r="AO43" s="56"/>
      <c r="AP43" s="68"/>
      <c r="AQ43" s="56"/>
      <c r="AR43" s="56"/>
      <c r="AS43" s="56"/>
    </row>
    <row r="44" spans="1:60" x14ac:dyDescent="0.2">
      <c r="C44" s="67"/>
      <c r="D44" s="67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68"/>
      <c r="P44" s="56"/>
      <c r="Q44" s="56"/>
      <c r="R44" s="56"/>
      <c r="S44" s="56"/>
      <c r="T44" s="68"/>
      <c r="U44" s="70"/>
      <c r="V44" s="56"/>
      <c r="W44" s="68"/>
      <c r="X44" s="70"/>
      <c r="Y44" s="56"/>
      <c r="Z44" s="56"/>
      <c r="AA44" s="68"/>
      <c r="AB44" s="56"/>
      <c r="AC44" s="56"/>
      <c r="AD44" s="68"/>
      <c r="AE44" s="71"/>
      <c r="AF44" s="56"/>
      <c r="AG44" s="68"/>
      <c r="AH44" s="56"/>
      <c r="AI44" s="56"/>
      <c r="AJ44" s="68"/>
      <c r="AK44" s="71"/>
      <c r="AL44" s="56"/>
      <c r="AM44" s="68"/>
      <c r="AN44" s="56"/>
      <c r="AO44" s="56"/>
      <c r="AP44" s="68"/>
      <c r="AQ44" s="56"/>
      <c r="AR44" s="56"/>
      <c r="AS44" s="56"/>
    </row>
    <row r="45" spans="1:60" x14ac:dyDescent="0.2">
      <c r="C45" s="67"/>
      <c r="D45" s="67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68"/>
      <c r="P45" s="56"/>
      <c r="Q45" s="56"/>
      <c r="R45" s="56"/>
      <c r="S45" s="56"/>
      <c r="T45" s="68"/>
      <c r="U45" s="70"/>
      <c r="V45" s="56"/>
      <c r="W45" s="68"/>
      <c r="X45" s="70"/>
      <c r="Y45" s="56"/>
      <c r="Z45" s="56"/>
      <c r="AA45" s="68"/>
      <c r="AB45" s="56"/>
      <c r="AC45" s="56"/>
      <c r="AD45" s="68"/>
      <c r="AE45" s="71"/>
      <c r="AF45" s="56"/>
      <c r="AG45" s="68"/>
      <c r="AH45" s="56"/>
      <c r="AI45" s="56"/>
      <c r="AJ45" s="68"/>
      <c r="AK45" s="71"/>
      <c r="AL45" s="56"/>
      <c r="AM45" s="68"/>
      <c r="AN45" s="56"/>
      <c r="AO45" s="56"/>
      <c r="AP45" s="68"/>
      <c r="AQ45" s="56"/>
      <c r="AR45" s="56"/>
      <c r="AS45" s="56"/>
    </row>
    <row r="46" spans="1:60" x14ac:dyDescent="0.2">
      <c r="C46" s="67"/>
      <c r="D46" s="6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68"/>
      <c r="P46" s="56"/>
      <c r="Q46" s="56"/>
      <c r="R46" s="56"/>
      <c r="S46" s="56"/>
      <c r="T46" s="68"/>
      <c r="U46" s="70"/>
      <c r="V46" s="56"/>
      <c r="W46" s="68"/>
      <c r="X46" s="70"/>
      <c r="Y46" s="56"/>
      <c r="Z46" s="56"/>
      <c r="AA46" s="68"/>
      <c r="AB46" s="56"/>
      <c r="AC46" s="56"/>
      <c r="AD46" s="68"/>
      <c r="AE46" s="71"/>
      <c r="AF46" s="56"/>
      <c r="AG46" s="68"/>
      <c r="AH46" s="56"/>
      <c r="AI46" s="56"/>
      <c r="AJ46" s="68"/>
      <c r="AK46" s="71"/>
      <c r="AL46" s="56"/>
      <c r="AM46" s="68"/>
      <c r="AN46" s="56"/>
      <c r="AO46" s="56"/>
      <c r="AP46" s="68"/>
      <c r="AQ46" s="56"/>
      <c r="AR46" s="56"/>
      <c r="AS46" s="56"/>
    </row>
    <row r="47" spans="1:60" x14ac:dyDescent="0.2">
      <c r="C47" s="67"/>
      <c r="D47" s="67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8"/>
      <c r="P47" s="56"/>
      <c r="Q47" s="56"/>
      <c r="R47" s="56"/>
      <c r="S47" s="56"/>
      <c r="T47" s="68"/>
      <c r="U47" s="70"/>
      <c r="V47" s="56"/>
      <c r="W47" s="68"/>
      <c r="X47" s="70"/>
      <c r="Y47" s="56"/>
      <c r="Z47" s="56"/>
      <c r="AA47" s="68"/>
      <c r="AB47" s="56"/>
      <c r="AC47" s="56"/>
      <c r="AD47" s="68"/>
      <c r="AE47" s="71"/>
      <c r="AF47" s="56"/>
      <c r="AG47" s="68"/>
      <c r="AH47" s="56"/>
      <c r="AI47" s="56"/>
      <c r="AJ47" s="68"/>
      <c r="AK47" s="71"/>
      <c r="AL47" s="56"/>
      <c r="AM47" s="68"/>
      <c r="AN47" s="56"/>
      <c r="AO47" s="56"/>
      <c r="AP47" s="68"/>
      <c r="AQ47" s="56"/>
      <c r="AR47" s="56"/>
    </row>
    <row r="48" spans="1:60" x14ac:dyDescent="0.2">
      <c r="C48" s="67"/>
      <c r="D48" s="6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68"/>
      <c r="P48" s="56"/>
      <c r="Q48" s="56"/>
      <c r="R48" s="56"/>
      <c r="S48" s="56"/>
      <c r="T48" s="68"/>
      <c r="U48" s="70"/>
      <c r="V48" s="56"/>
      <c r="W48" s="68"/>
      <c r="X48" s="70"/>
      <c r="Y48" s="56"/>
      <c r="Z48" s="56"/>
      <c r="AA48" s="68"/>
      <c r="AB48" s="56"/>
      <c r="AC48" s="56"/>
      <c r="AD48" s="68"/>
      <c r="AE48" s="71"/>
      <c r="AF48" s="56"/>
      <c r="AG48" s="68"/>
      <c r="AH48" s="56"/>
      <c r="AI48" s="56"/>
      <c r="AJ48" s="68"/>
      <c r="AK48" s="71"/>
      <c r="AL48" s="56"/>
      <c r="AM48" s="68"/>
      <c r="AN48" s="56"/>
      <c r="AO48" s="56"/>
      <c r="AP48" s="68"/>
      <c r="AQ48" s="56"/>
      <c r="AR48" s="56"/>
    </row>
    <row r="49" spans="3:44" x14ac:dyDescent="0.2">
      <c r="C49" s="67"/>
      <c r="D49" s="67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68"/>
      <c r="P49" s="56"/>
      <c r="Q49" s="56"/>
      <c r="R49" s="56"/>
      <c r="S49" s="56"/>
      <c r="T49" s="68"/>
      <c r="U49" s="70"/>
      <c r="V49" s="56"/>
      <c r="W49" s="68"/>
      <c r="X49" s="70"/>
      <c r="Y49" s="56"/>
      <c r="Z49" s="56"/>
      <c r="AA49" s="68"/>
      <c r="AB49" s="56"/>
      <c r="AC49" s="56"/>
      <c r="AD49" s="68"/>
      <c r="AE49" s="71"/>
      <c r="AF49" s="56"/>
      <c r="AG49" s="68"/>
      <c r="AH49" s="56"/>
      <c r="AI49" s="56"/>
      <c r="AJ49" s="68"/>
      <c r="AK49" s="71"/>
      <c r="AL49" s="56"/>
      <c r="AM49" s="68"/>
      <c r="AN49" s="56"/>
      <c r="AO49" s="56"/>
      <c r="AP49" s="68"/>
      <c r="AQ49" s="56"/>
      <c r="AR49" s="56"/>
    </row>
    <row r="50" spans="3:44" x14ac:dyDescent="0.2">
      <c r="C50" s="67"/>
      <c r="D50" s="6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68"/>
      <c r="P50" s="56"/>
      <c r="Q50" s="56"/>
      <c r="R50" s="56"/>
      <c r="S50" s="56"/>
      <c r="T50" s="68"/>
      <c r="U50" s="70"/>
      <c r="V50" s="56"/>
      <c r="W50" s="68"/>
      <c r="X50" s="70"/>
      <c r="Y50" s="56"/>
      <c r="Z50" s="56"/>
      <c r="AA50" s="68"/>
      <c r="AB50" s="56"/>
      <c r="AC50" s="56"/>
      <c r="AD50" s="68"/>
      <c r="AE50" s="71"/>
      <c r="AF50" s="56"/>
      <c r="AG50" s="68"/>
      <c r="AH50" s="56"/>
      <c r="AI50" s="56"/>
      <c r="AJ50" s="68"/>
      <c r="AK50" s="71"/>
      <c r="AL50" s="56"/>
      <c r="AM50" s="68"/>
      <c r="AN50" s="56"/>
      <c r="AO50" s="56"/>
      <c r="AP50" s="68"/>
      <c r="AQ50" s="56"/>
      <c r="AR50" s="56"/>
    </row>
    <row r="51" spans="3:44" x14ac:dyDescent="0.2">
      <c r="C51" s="67"/>
      <c r="D51" s="67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68"/>
      <c r="P51" s="56"/>
      <c r="Q51" s="56"/>
      <c r="R51" s="56"/>
      <c r="S51" s="56"/>
      <c r="T51" s="68"/>
      <c r="U51" s="70"/>
      <c r="V51" s="56"/>
      <c r="W51" s="68"/>
      <c r="X51" s="70"/>
      <c r="Y51" s="56"/>
      <c r="Z51" s="56"/>
      <c r="AA51" s="68"/>
      <c r="AB51" s="56"/>
      <c r="AC51" s="56"/>
      <c r="AD51" s="68"/>
      <c r="AE51" s="71"/>
      <c r="AF51" s="56"/>
      <c r="AG51" s="68"/>
      <c r="AH51" s="56"/>
      <c r="AI51" s="56"/>
      <c r="AJ51" s="68"/>
      <c r="AK51" s="71"/>
      <c r="AL51" s="56"/>
      <c r="AM51" s="68"/>
      <c r="AN51" s="56"/>
      <c r="AO51" s="56"/>
      <c r="AP51" s="68"/>
      <c r="AQ51" s="56"/>
      <c r="AR51" s="56"/>
    </row>
    <row r="52" spans="3:44" x14ac:dyDescent="0.2">
      <c r="C52" s="67"/>
      <c r="D52" s="67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68"/>
      <c r="P52" s="56"/>
      <c r="Q52" s="56"/>
      <c r="R52" s="56"/>
      <c r="S52" s="56"/>
      <c r="T52" s="68"/>
      <c r="U52" s="70"/>
      <c r="V52" s="56"/>
      <c r="W52" s="68"/>
      <c r="X52" s="70"/>
      <c r="Y52" s="56"/>
      <c r="Z52" s="56"/>
      <c r="AA52" s="68"/>
      <c r="AB52" s="56"/>
      <c r="AC52" s="56"/>
      <c r="AD52" s="68"/>
      <c r="AE52" s="71"/>
      <c r="AF52" s="56"/>
      <c r="AG52" s="68"/>
      <c r="AH52" s="56"/>
      <c r="AI52" s="56"/>
      <c r="AJ52" s="68"/>
      <c r="AK52" s="71"/>
      <c r="AL52" s="56"/>
      <c r="AM52" s="68"/>
      <c r="AN52" s="56"/>
      <c r="AO52" s="56"/>
      <c r="AP52" s="68"/>
      <c r="AQ52" s="56"/>
      <c r="AR52" s="56"/>
    </row>
    <row r="53" spans="3:44" x14ac:dyDescent="0.2">
      <c r="C53" s="67"/>
      <c r="D53" s="6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68"/>
      <c r="P53" s="56"/>
      <c r="Q53" s="56"/>
      <c r="R53" s="56"/>
      <c r="S53" s="56"/>
      <c r="T53" s="68"/>
      <c r="U53" s="70"/>
      <c r="V53" s="56"/>
      <c r="W53" s="68"/>
      <c r="X53" s="70"/>
      <c r="Y53" s="56"/>
      <c r="Z53" s="56"/>
      <c r="AA53" s="68"/>
      <c r="AB53" s="56"/>
      <c r="AC53" s="56"/>
      <c r="AD53" s="68"/>
      <c r="AE53" s="71"/>
      <c r="AF53" s="56"/>
      <c r="AG53" s="68"/>
      <c r="AH53" s="56"/>
      <c r="AI53" s="56"/>
      <c r="AJ53" s="68"/>
      <c r="AK53" s="71"/>
      <c r="AL53" s="56"/>
      <c r="AM53" s="68"/>
      <c r="AN53" s="56"/>
      <c r="AO53" s="56"/>
      <c r="AP53" s="68"/>
      <c r="AQ53" s="56"/>
      <c r="AR53" s="56"/>
    </row>
    <row r="54" spans="3:44" x14ac:dyDescent="0.2">
      <c r="C54" s="67"/>
      <c r="D54" s="6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68"/>
      <c r="P54" s="56"/>
      <c r="Q54" s="56"/>
      <c r="R54" s="56"/>
      <c r="S54" s="56"/>
      <c r="T54" s="68"/>
      <c r="U54" s="70"/>
      <c r="V54" s="56"/>
      <c r="W54" s="68"/>
      <c r="X54" s="70"/>
      <c r="Y54" s="56"/>
      <c r="Z54" s="56"/>
      <c r="AA54" s="68"/>
      <c r="AB54" s="56"/>
      <c r="AC54" s="56"/>
      <c r="AD54" s="68"/>
      <c r="AE54" s="71"/>
      <c r="AF54" s="56"/>
      <c r="AG54" s="68"/>
      <c r="AH54" s="56"/>
      <c r="AI54" s="56"/>
      <c r="AJ54" s="68"/>
      <c r="AK54" s="71"/>
      <c r="AL54" s="56"/>
      <c r="AM54" s="68"/>
      <c r="AN54" s="56"/>
      <c r="AO54" s="56"/>
      <c r="AP54" s="68"/>
      <c r="AQ54" s="56"/>
      <c r="AR54" s="56"/>
    </row>
    <row r="55" spans="3:44" x14ac:dyDescent="0.2">
      <c r="C55" s="67"/>
      <c r="D55" s="6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68"/>
      <c r="P55" s="56"/>
      <c r="Q55" s="56"/>
      <c r="R55" s="56"/>
      <c r="S55" s="56"/>
      <c r="T55" s="68"/>
      <c r="U55" s="70"/>
      <c r="V55" s="56"/>
      <c r="W55" s="68"/>
      <c r="X55" s="70"/>
      <c r="Y55" s="56"/>
      <c r="Z55" s="56"/>
      <c r="AA55" s="68"/>
      <c r="AB55" s="56"/>
      <c r="AC55" s="56"/>
      <c r="AD55" s="68"/>
      <c r="AE55" s="71"/>
      <c r="AF55" s="56"/>
      <c r="AG55" s="68"/>
      <c r="AH55" s="56"/>
      <c r="AI55" s="56"/>
      <c r="AJ55" s="68"/>
      <c r="AK55" s="71"/>
      <c r="AL55" s="56"/>
      <c r="AM55" s="68"/>
      <c r="AN55" s="56"/>
      <c r="AO55" s="56"/>
      <c r="AP55" s="68"/>
      <c r="AQ55" s="56"/>
      <c r="AR55" s="56"/>
    </row>
    <row r="56" spans="3:44" x14ac:dyDescent="0.2">
      <c r="C56" s="57"/>
      <c r="D56" s="72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68"/>
      <c r="P56" s="56"/>
      <c r="Q56" s="56"/>
      <c r="R56" s="56"/>
      <c r="S56" s="56"/>
      <c r="T56" s="68"/>
      <c r="U56" s="70"/>
      <c r="V56" s="56"/>
      <c r="W56" s="68"/>
      <c r="X56" s="70"/>
      <c r="Y56" s="56"/>
      <c r="Z56" s="56"/>
      <c r="AA56" s="68"/>
      <c r="AB56" s="56"/>
      <c r="AC56" s="56"/>
      <c r="AD56" s="68"/>
      <c r="AE56" s="71"/>
      <c r="AF56" s="56"/>
      <c r="AG56" s="68"/>
      <c r="AH56" s="56"/>
      <c r="AI56" s="56"/>
      <c r="AJ56" s="68"/>
      <c r="AK56" s="71"/>
      <c r="AL56" s="56"/>
      <c r="AM56" s="68"/>
      <c r="AN56" s="56"/>
      <c r="AO56" s="56"/>
      <c r="AP56" s="68"/>
      <c r="AQ56" s="56"/>
      <c r="AR56" s="56"/>
    </row>
    <row r="57" spans="3:44" x14ac:dyDescent="0.2">
      <c r="C57" s="57"/>
      <c r="D57" s="72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68"/>
      <c r="P57" s="56"/>
      <c r="Q57" s="56"/>
      <c r="R57" s="56"/>
      <c r="S57" s="56"/>
      <c r="T57" s="68"/>
      <c r="U57" s="70"/>
      <c r="V57" s="56"/>
      <c r="W57" s="68"/>
      <c r="X57" s="70"/>
      <c r="Y57" s="56"/>
      <c r="Z57" s="56"/>
      <c r="AA57" s="68"/>
      <c r="AB57" s="56"/>
      <c r="AC57" s="56"/>
      <c r="AD57" s="68"/>
      <c r="AE57" s="71"/>
      <c r="AF57" s="56"/>
      <c r="AG57" s="68"/>
      <c r="AH57" s="56"/>
      <c r="AI57" s="56"/>
      <c r="AJ57" s="68"/>
      <c r="AK57" s="71"/>
      <c r="AL57" s="56"/>
      <c r="AM57" s="68"/>
      <c r="AN57" s="56"/>
      <c r="AO57" s="56"/>
      <c r="AP57" s="68"/>
      <c r="AQ57" s="56"/>
      <c r="AR57" s="56"/>
    </row>
    <row r="58" spans="3:44" x14ac:dyDescent="0.2">
      <c r="C58" s="57"/>
      <c r="D58" s="72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68"/>
      <c r="P58" s="56"/>
      <c r="Q58" s="56"/>
      <c r="R58" s="56"/>
      <c r="S58" s="56"/>
      <c r="T58" s="68"/>
      <c r="U58" s="70"/>
      <c r="V58" s="56"/>
      <c r="W58" s="68"/>
      <c r="X58" s="70"/>
      <c r="Y58" s="56"/>
      <c r="Z58" s="56"/>
      <c r="AA58" s="68"/>
      <c r="AB58" s="56"/>
      <c r="AC58" s="56"/>
      <c r="AD58" s="68"/>
      <c r="AE58" s="71"/>
      <c r="AF58" s="56"/>
      <c r="AG58" s="68"/>
      <c r="AH58" s="56"/>
      <c r="AI58" s="56"/>
      <c r="AJ58" s="68"/>
      <c r="AK58" s="71"/>
      <c r="AL58" s="56"/>
      <c r="AM58" s="68"/>
      <c r="AN58" s="56"/>
      <c r="AO58" s="56"/>
      <c r="AP58" s="68"/>
      <c r="AQ58" s="56"/>
      <c r="AR58" s="56"/>
    </row>
    <row r="59" spans="3:44" x14ac:dyDescent="0.2">
      <c r="C59" s="57"/>
      <c r="D59" s="72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8"/>
      <c r="P59" s="56"/>
      <c r="Q59" s="56"/>
      <c r="R59" s="56"/>
      <c r="S59" s="56"/>
      <c r="T59" s="68"/>
      <c r="U59" s="70"/>
      <c r="V59" s="56"/>
      <c r="W59" s="68"/>
      <c r="X59" s="70"/>
      <c r="Y59" s="56"/>
      <c r="Z59" s="56"/>
      <c r="AA59" s="68"/>
      <c r="AB59" s="56"/>
      <c r="AC59" s="56"/>
      <c r="AD59" s="68"/>
      <c r="AE59" s="71"/>
      <c r="AF59" s="56"/>
      <c r="AG59" s="68"/>
      <c r="AH59" s="56"/>
      <c r="AI59" s="56"/>
      <c r="AJ59" s="68"/>
      <c r="AK59" s="71"/>
      <c r="AL59" s="56"/>
      <c r="AM59" s="68"/>
      <c r="AN59" s="56"/>
      <c r="AO59" s="56"/>
      <c r="AP59" s="68"/>
      <c r="AQ59" s="56"/>
      <c r="AR59" s="56"/>
    </row>
    <row r="60" spans="3:44" x14ac:dyDescent="0.2">
      <c r="C60" s="67"/>
      <c r="D60" s="6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8"/>
      <c r="P60" s="56"/>
      <c r="Q60" s="56"/>
      <c r="R60" s="56"/>
      <c r="S60" s="56"/>
      <c r="T60" s="68"/>
      <c r="U60" s="70"/>
      <c r="V60" s="56"/>
      <c r="W60" s="68"/>
      <c r="X60" s="70"/>
      <c r="Y60" s="56"/>
      <c r="Z60" s="56"/>
      <c r="AA60" s="68"/>
      <c r="AC60" s="56"/>
      <c r="AD60" s="68"/>
      <c r="AF60" s="56"/>
      <c r="AG60" s="68"/>
      <c r="AI60" s="56"/>
      <c r="AJ60" s="68"/>
      <c r="AL60" s="56"/>
      <c r="AM60" s="68"/>
      <c r="AO60" s="56"/>
      <c r="AP60" s="68"/>
    </row>
    <row r="61" spans="3:44" x14ac:dyDescent="0.2">
      <c r="C61" s="67"/>
      <c r="D61" s="67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68"/>
      <c r="P61" s="56"/>
      <c r="Q61" s="56"/>
      <c r="R61" s="56"/>
      <c r="S61" s="56"/>
      <c r="T61" s="68"/>
      <c r="U61" s="70"/>
      <c r="V61" s="56"/>
      <c r="W61" s="68"/>
      <c r="X61" s="70"/>
      <c r="Y61" s="56"/>
      <c r="Z61" s="56"/>
      <c r="AA61" s="68"/>
      <c r="AC61" s="56"/>
      <c r="AD61" s="68"/>
      <c r="AF61" s="56"/>
      <c r="AG61" s="68"/>
      <c r="AI61" s="56"/>
      <c r="AJ61" s="68"/>
      <c r="AL61" s="56"/>
      <c r="AM61" s="68"/>
      <c r="AO61" s="56"/>
      <c r="AP61" s="68"/>
    </row>
    <row r="62" spans="3:44" x14ac:dyDescent="0.2">
      <c r="C62" s="67"/>
      <c r="D62" s="6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68"/>
      <c r="P62" s="56"/>
      <c r="Q62" s="56"/>
      <c r="R62" s="56"/>
      <c r="S62" s="56"/>
      <c r="T62" s="68"/>
      <c r="U62" s="70"/>
      <c r="V62" s="56"/>
      <c r="W62" s="68"/>
      <c r="X62" s="70"/>
      <c r="Y62" s="56"/>
      <c r="Z62" s="56"/>
      <c r="AA62" s="68"/>
      <c r="AC62" s="56"/>
      <c r="AD62" s="68"/>
      <c r="AF62" s="56"/>
      <c r="AG62" s="68"/>
      <c r="AI62" s="56"/>
      <c r="AJ62" s="68"/>
      <c r="AL62" s="56"/>
      <c r="AM62" s="68"/>
      <c r="AO62" s="56"/>
      <c r="AP62" s="68"/>
    </row>
    <row r="63" spans="3:44" x14ac:dyDescent="0.2">
      <c r="C63" s="67"/>
      <c r="D63" s="67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68"/>
      <c r="P63" s="56"/>
      <c r="Q63" s="56"/>
      <c r="R63" s="56"/>
      <c r="S63" s="56"/>
      <c r="T63" s="68"/>
      <c r="U63" s="70"/>
      <c r="V63" s="56"/>
      <c r="W63" s="68"/>
      <c r="X63" s="70"/>
      <c r="Y63" s="56"/>
      <c r="Z63" s="56"/>
      <c r="AA63" s="68"/>
      <c r="AC63" s="56"/>
      <c r="AD63" s="68"/>
      <c r="AF63" s="56"/>
      <c r="AG63" s="68"/>
      <c r="AI63" s="56"/>
      <c r="AJ63" s="68"/>
      <c r="AL63" s="56"/>
      <c r="AM63" s="68"/>
      <c r="AO63" s="56"/>
      <c r="AP63" s="68"/>
    </row>
    <row r="64" spans="3:44" x14ac:dyDescent="0.2">
      <c r="C64" s="67"/>
      <c r="D64" s="67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68"/>
      <c r="P64" s="56"/>
      <c r="Q64" s="56"/>
      <c r="R64" s="56"/>
      <c r="S64" s="56"/>
      <c r="T64" s="68"/>
      <c r="U64" s="70"/>
      <c r="V64" s="56"/>
      <c r="W64" s="68"/>
      <c r="X64" s="70"/>
      <c r="Y64" s="56"/>
      <c r="Z64" s="56"/>
      <c r="AA64" s="68"/>
      <c r="AC64" s="56"/>
      <c r="AD64" s="68"/>
      <c r="AF64" s="56"/>
      <c r="AG64" s="68"/>
      <c r="AI64" s="56"/>
      <c r="AJ64" s="68"/>
      <c r="AL64" s="56"/>
      <c r="AM64" s="68"/>
      <c r="AO64" s="56"/>
      <c r="AP64" s="68"/>
    </row>
    <row r="65" spans="3:45" x14ac:dyDescent="0.2">
      <c r="C65" s="67"/>
      <c r="D65" s="67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8"/>
      <c r="P65" s="56"/>
      <c r="Q65" s="56"/>
      <c r="R65" s="56"/>
      <c r="S65" s="56"/>
      <c r="T65" s="68"/>
      <c r="U65" s="70"/>
      <c r="V65" s="56"/>
      <c r="W65" s="68"/>
      <c r="X65" s="70"/>
      <c r="Y65" s="56"/>
      <c r="Z65" s="56"/>
      <c r="AA65" s="68"/>
      <c r="AC65" s="56"/>
      <c r="AD65" s="68"/>
      <c r="AF65" s="56"/>
      <c r="AG65" s="68"/>
      <c r="AI65" s="56"/>
      <c r="AJ65" s="68"/>
      <c r="AL65" s="56"/>
      <c r="AM65" s="68"/>
      <c r="AO65" s="56"/>
      <c r="AP65" s="68"/>
    </row>
    <row r="66" spans="3:45" ht="13.5" x14ac:dyDescent="0.2">
      <c r="C66" s="63"/>
      <c r="D66" s="63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68"/>
      <c r="P66" s="70"/>
      <c r="Q66" s="56"/>
      <c r="R66" s="70"/>
      <c r="S66" s="56"/>
      <c r="T66" s="68"/>
      <c r="U66" s="70"/>
      <c r="V66" s="56"/>
      <c r="W66" s="68"/>
      <c r="X66" s="70"/>
      <c r="Y66" s="56"/>
      <c r="Z66" s="56"/>
      <c r="AA66" s="68"/>
      <c r="AB66" s="56"/>
      <c r="AC66" s="56"/>
      <c r="AD66" s="68"/>
      <c r="AE66" s="71"/>
      <c r="AF66" s="56"/>
      <c r="AG66" s="68"/>
      <c r="AH66" s="56"/>
      <c r="AI66" s="56"/>
      <c r="AJ66" s="68"/>
      <c r="AK66" s="71"/>
      <c r="AL66" s="56"/>
      <c r="AM66" s="68"/>
      <c r="AN66" s="56"/>
      <c r="AO66" s="56"/>
      <c r="AP66" s="68"/>
      <c r="AQ66" s="56"/>
      <c r="AR66" s="56"/>
    </row>
    <row r="67" spans="3:45" x14ac:dyDescent="0.2">
      <c r="C67" s="67"/>
      <c r="D67" s="67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68"/>
      <c r="P67" s="56"/>
      <c r="Q67" s="56"/>
      <c r="R67" s="56"/>
      <c r="S67" s="56"/>
      <c r="T67" s="68"/>
      <c r="U67" s="56"/>
      <c r="V67" s="56"/>
      <c r="W67" s="68"/>
      <c r="X67" s="56"/>
      <c r="Y67" s="56"/>
      <c r="Z67" s="56"/>
      <c r="AA67" s="68"/>
      <c r="AB67" s="56"/>
      <c r="AC67" s="56"/>
      <c r="AD67" s="68"/>
      <c r="AE67" s="71"/>
      <c r="AF67" s="56"/>
      <c r="AG67" s="68"/>
      <c r="AH67" s="56"/>
      <c r="AI67" s="56"/>
      <c r="AJ67" s="68"/>
      <c r="AK67" s="71"/>
      <c r="AL67" s="56"/>
      <c r="AM67" s="68"/>
      <c r="AN67" s="56"/>
      <c r="AO67" s="56"/>
      <c r="AP67" s="68"/>
      <c r="AQ67" s="56"/>
      <c r="AR67" s="56"/>
    </row>
    <row r="68" spans="3:45" x14ac:dyDescent="0.2">
      <c r="C68" s="57"/>
      <c r="D68" s="67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68"/>
      <c r="P68" s="56"/>
      <c r="Q68" s="56"/>
      <c r="R68" s="56"/>
      <c r="S68" s="56"/>
      <c r="T68" s="68"/>
      <c r="U68" s="56"/>
      <c r="V68" s="56"/>
      <c r="W68" s="68"/>
      <c r="X68" s="56"/>
      <c r="Y68" s="56"/>
      <c r="Z68" s="56"/>
      <c r="AA68" s="68"/>
      <c r="AB68" s="56"/>
      <c r="AC68" s="56"/>
      <c r="AD68" s="68"/>
      <c r="AE68" s="71"/>
      <c r="AF68" s="56"/>
      <c r="AG68" s="68"/>
      <c r="AH68" s="56"/>
      <c r="AI68" s="56"/>
      <c r="AJ68" s="68"/>
      <c r="AK68" s="71"/>
      <c r="AL68" s="56"/>
      <c r="AM68" s="68"/>
      <c r="AN68" s="56"/>
      <c r="AO68" s="56"/>
      <c r="AP68" s="68"/>
      <c r="AQ68" s="56"/>
      <c r="AR68" s="56"/>
    </row>
    <row r="69" spans="3:45" x14ac:dyDescent="0.2">
      <c r="C69" s="67"/>
      <c r="D69" s="67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68"/>
      <c r="P69" s="56"/>
      <c r="Q69" s="56"/>
      <c r="R69" s="56"/>
      <c r="S69" s="56"/>
      <c r="T69" s="68"/>
      <c r="U69" s="56"/>
      <c r="V69" s="56"/>
      <c r="W69" s="68"/>
      <c r="X69" s="56"/>
      <c r="Y69" s="56"/>
      <c r="Z69" s="56"/>
      <c r="AA69" s="68"/>
      <c r="AB69" s="56"/>
      <c r="AC69" s="56"/>
      <c r="AD69" s="68"/>
      <c r="AE69" s="71"/>
      <c r="AF69" s="56"/>
      <c r="AG69" s="68"/>
      <c r="AH69" s="56"/>
      <c r="AI69" s="56"/>
      <c r="AJ69" s="68"/>
      <c r="AK69" s="71"/>
      <c r="AL69" s="56"/>
      <c r="AM69" s="68"/>
      <c r="AN69" s="56"/>
      <c r="AO69" s="56"/>
      <c r="AP69" s="68"/>
      <c r="AQ69" s="56"/>
      <c r="AR69" s="56"/>
    </row>
    <row r="70" spans="3:45" x14ac:dyDescent="0.2">
      <c r="C70" s="67"/>
      <c r="D70" s="67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68"/>
      <c r="P70" s="56"/>
      <c r="Q70" s="56"/>
      <c r="R70" s="56"/>
      <c r="S70" s="56"/>
      <c r="T70" s="68"/>
      <c r="U70" s="56"/>
      <c r="V70" s="56"/>
      <c r="W70" s="68"/>
      <c r="X70" s="56"/>
      <c r="Y70" s="56"/>
      <c r="Z70" s="56"/>
      <c r="AA70" s="68"/>
      <c r="AB70" s="56"/>
      <c r="AC70" s="56"/>
      <c r="AD70" s="68"/>
      <c r="AE70" s="71"/>
      <c r="AF70" s="56"/>
      <c r="AG70" s="68"/>
      <c r="AH70" s="56"/>
      <c r="AI70" s="56"/>
      <c r="AJ70" s="68"/>
      <c r="AK70" s="71"/>
      <c r="AL70" s="56"/>
      <c r="AM70" s="68"/>
      <c r="AN70" s="56"/>
      <c r="AO70" s="56"/>
      <c r="AP70" s="68"/>
      <c r="AQ70" s="56"/>
      <c r="AR70" s="56"/>
    </row>
    <row r="71" spans="3:45" x14ac:dyDescent="0.2">
      <c r="C71" s="67"/>
      <c r="D71" s="67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68"/>
      <c r="P71" s="56"/>
      <c r="Q71" s="56"/>
      <c r="R71" s="56"/>
      <c r="S71" s="56"/>
      <c r="T71" s="68"/>
      <c r="U71" s="56"/>
      <c r="V71" s="56"/>
      <c r="W71" s="68"/>
      <c r="X71" s="56"/>
      <c r="Y71" s="56"/>
      <c r="Z71" s="56"/>
      <c r="AA71" s="68"/>
      <c r="AB71" s="56"/>
      <c r="AC71" s="56"/>
      <c r="AD71" s="68"/>
      <c r="AE71" s="71"/>
      <c r="AF71" s="56"/>
      <c r="AG71" s="68"/>
      <c r="AH71" s="56"/>
      <c r="AI71" s="56"/>
      <c r="AJ71" s="68"/>
      <c r="AK71" s="71"/>
      <c r="AL71" s="56"/>
      <c r="AM71" s="68"/>
      <c r="AN71" s="56"/>
      <c r="AO71" s="56"/>
      <c r="AP71" s="68"/>
      <c r="AQ71" s="56"/>
      <c r="AR71" s="56"/>
    </row>
    <row r="72" spans="3:45" x14ac:dyDescent="0.2">
      <c r="C72" s="67"/>
      <c r="D72" s="67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68"/>
      <c r="P72" s="56"/>
      <c r="Q72" s="73"/>
      <c r="R72" s="56"/>
      <c r="S72" s="56"/>
      <c r="T72" s="68"/>
      <c r="U72" s="56"/>
      <c r="V72" s="56"/>
      <c r="W72" s="68"/>
      <c r="X72" s="56"/>
      <c r="Y72" s="56"/>
      <c r="Z72" s="56"/>
      <c r="AA72" s="68"/>
      <c r="AB72" s="56"/>
      <c r="AC72" s="56"/>
      <c r="AD72" s="68"/>
      <c r="AE72" s="71"/>
      <c r="AF72" s="56"/>
      <c r="AG72" s="68"/>
      <c r="AH72" s="56"/>
      <c r="AI72" s="56"/>
      <c r="AJ72" s="68"/>
      <c r="AK72" s="71"/>
      <c r="AL72" s="56"/>
      <c r="AM72" s="68"/>
      <c r="AN72" s="56"/>
      <c r="AO72" s="56"/>
      <c r="AP72" s="68"/>
      <c r="AQ72" s="56"/>
      <c r="AR72" s="56"/>
    </row>
    <row r="73" spans="3:45" x14ac:dyDescent="0.2">
      <c r="C73" s="67"/>
      <c r="D73" s="67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68"/>
      <c r="P73" s="56"/>
      <c r="Q73" s="73"/>
      <c r="R73" s="56"/>
      <c r="S73" s="56"/>
      <c r="T73" s="68"/>
      <c r="U73" s="56"/>
      <c r="V73" s="56"/>
      <c r="W73" s="68"/>
      <c r="X73" s="56"/>
      <c r="Y73" s="56"/>
      <c r="Z73" s="56"/>
      <c r="AA73" s="68"/>
      <c r="AB73" s="56"/>
      <c r="AC73" s="56"/>
      <c r="AD73" s="68"/>
      <c r="AE73" s="71"/>
      <c r="AF73" s="56"/>
      <c r="AG73" s="68"/>
      <c r="AH73" s="56"/>
      <c r="AI73" s="56"/>
      <c r="AJ73" s="68"/>
      <c r="AK73" s="71"/>
      <c r="AL73" s="56"/>
      <c r="AM73" s="68"/>
      <c r="AN73" s="56"/>
      <c r="AO73" s="56"/>
      <c r="AP73" s="68"/>
      <c r="AQ73" s="56"/>
      <c r="AR73" s="56"/>
    </row>
    <row r="74" spans="3:45" x14ac:dyDescent="0.2">
      <c r="C74" s="67"/>
      <c r="D74" s="67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68"/>
      <c r="P74" s="56"/>
      <c r="Q74" s="73"/>
      <c r="R74" s="56"/>
      <c r="S74" s="56"/>
      <c r="T74" s="68"/>
      <c r="U74" s="56"/>
      <c r="V74" s="56"/>
      <c r="W74" s="68"/>
      <c r="X74" s="56"/>
      <c r="Y74" s="56"/>
      <c r="Z74" s="56"/>
      <c r="AA74" s="68"/>
      <c r="AB74" s="56"/>
      <c r="AC74" s="56"/>
      <c r="AD74" s="68"/>
      <c r="AE74" s="71"/>
      <c r="AF74" s="56"/>
      <c r="AG74" s="68"/>
      <c r="AH74" s="56"/>
      <c r="AI74" s="56"/>
      <c r="AJ74" s="68"/>
      <c r="AK74" s="71"/>
      <c r="AL74" s="56"/>
      <c r="AM74" s="68"/>
      <c r="AN74" s="56"/>
      <c r="AO74" s="56"/>
      <c r="AP74" s="68"/>
      <c r="AQ74" s="56"/>
      <c r="AR74" s="56"/>
    </row>
    <row r="75" spans="3:45" x14ac:dyDescent="0.2">
      <c r="C75" s="67"/>
      <c r="D75" s="67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68"/>
      <c r="P75" s="56"/>
      <c r="Q75" s="73"/>
      <c r="R75" s="56"/>
      <c r="S75" s="56"/>
      <c r="T75" s="68"/>
      <c r="U75" s="56"/>
      <c r="V75" s="56"/>
      <c r="W75" s="68"/>
      <c r="X75" s="56"/>
      <c r="Y75" s="56"/>
      <c r="Z75" s="56"/>
      <c r="AA75" s="68"/>
      <c r="AB75" s="56"/>
      <c r="AC75" s="56"/>
      <c r="AD75" s="68"/>
      <c r="AE75" s="71"/>
      <c r="AF75" s="56"/>
      <c r="AG75" s="68"/>
      <c r="AH75" s="56"/>
      <c r="AI75" s="56"/>
      <c r="AJ75" s="68"/>
      <c r="AK75" s="71"/>
      <c r="AL75" s="56"/>
      <c r="AM75" s="68"/>
      <c r="AN75" s="56"/>
      <c r="AO75" s="56"/>
      <c r="AP75" s="68"/>
      <c r="AQ75" s="56"/>
      <c r="AR75" s="56"/>
      <c r="AS75" s="56"/>
    </row>
    <row r="76" spans="3:45" x14ac:dyDescent="0.2">
      <c r="C76" s="67"/>
      <c r="D76" s="67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68"/>
      <c r="P76" s="56"/>
      <c r="Q76" s="73"/>
      <c r="R76" s="56"/>
      <c r="S76" s="56"/>
      <c r="T76" s="68"/>
      <c r="U76" s="56"/>
      <c r="V76" s="56"/>
      <c r="W76" s="68"/>
      <c r="X76" s="56"/>
      <c r="Y76" s="56"/>
      <c r="Z76" s="56"/>
      <c r="AA76" s="68"/>
      <c r="AB76" s="56"/>
      <c r="AC76" s="56"/>
      <c r="AD76" s="68"/>
      <c r="AE76" s="71"/>
      <c r="AF76" s="56"/>
      <c r="AG76" s="68"/>
      <c r="AH76" s="56"/>
      <c r="AI76" s="56"/>
      <c r="AJ76" s="68"/>
      <c r="AK76" s="71"/>
      <c r="AL76" s="56"/>
      <c r="AM76" s="68"/>
      <c r="AN76" s="56"/>
      <c r="AO76" s="56"/>
      <c r="AP76" s="68"/>
      <c r="AQ76" s="56"/>
      <c r="AR76" s="56"/>
      <c r="AS76" s="56"/>
    </row>
    <row r="77" spans="3:45" x14ac:dyDescent="0.2">
      <c r="C77" s="67"/>
      <c r="D77" s="67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68"/>
      <c r="P77" s="56"/>
      <c r="Q77" s="73"/>
      <c r="R77" s="56"/>
      <c r="S77" s="56"/>
      <c r="T77" s="68"/>
      <c r="U77" s="56"/>
      <c r="V77" s="56"/>
      <c r="W77" s="68"/>
      <c r="X77" s="56"/>
      <c r="Y77" s="56"/>
      <c r="Z77" s="56"/>
      <c r="AA77" s="68"/>
      <c r="AC77" s="56"/>
      <c r="AD77" s="68"/>
      <c r="AF77" s="56"/>
      <c r="AG77" s="68"/>
      <c r="AI77" s="56"/>
      <c r="AJ77" s="68"/>
      <c r="AL77" s="56"/>
      <c r="AM77" s="68"/>
      <c r="AO77" s="56"/>
      <c r="AP77" s="68"/>
      <c r="AS77" s="56"/>
    </row>
    <row r="78" spans="3:45" x14ac:dyDescent="0.2">
      <c r="C78" s="67"/>
      <c r="D78" s="67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68"/>
      <c r="P78" s="56"/>
      <c r="Q78" s="73"/>
      <c r="R78" s="56"/>
      <c r="S78" s="56"/>
      <c r="T78" s="68"/>
      <c r="U78" s="56"/>
      <c r="V78" s="56"/>
      <c r="W78" s="68"/>
      <c r="X78" s="56"/>
      <c r="Y78" s="56"/>
      <c r="Z78" s="56"/>
      <c r="AA78" s="68"/>
      <c r="AC78" s="56"/>
      <c r="AD78" s="68"/>
      <c r="AF78" s="56"/>
      <c r="AG78" s="68"/>
      <c r="AI78" s="56"/>
      <c r="AJ78" s="68"/>
      <c r="AL78" s="56"/>
      <c r="AM78" s="68"/>
      <c r="AO78" s="56"/>
      <c r="AP78" s="68"/>
      <c r="AS78" s="56"/>
    </row>
    <row r="79" spans="3:45" x14ac:dyDescent="0.2">
      <c r="C79" s="67"/>
      <c r="D79" s="67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68"/>
      <c r="P79" s="56"/>
      <c r="Q79" s="73"/>
      <c r="R79" s="56"/>
      <c r="S79" s="56"/>
      <c r="T79" s="68"/>
      <c r="U79" s="56"/>
      <c r="V79" s="56"/>
      <c r="W79" s="68"/>
      <c r="X79" s="56"/>
      <c r="Y79" s="56"/>
      <c r="Z79" s="56"/>
      <c r="AA79" s="68"/>
      <c r="AC79" s="56"/>
      <c r="AD79" s="68"/>
      <c r="AF79" s="56"/>
      <c r="AG79" s="68"/>
      <c r="AI79" s="56"/>
      <c r="AJ79" s="68"/>
      <c r="AL79" s="56"/>
      <c r="AM79" s="68"/>
      <c r="AO79" s="56"/>
      <c r="AP79" s="68"/>
    </row>
    <row r="80" spans="3:45" x14ac:dyDescent="0.2">
      <c r="C80" s="67"/>
      <c r="D80" s="67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68"/>
      <c r="P80" s="56"/>
      <c r="Q80" s="73"/>
      <c r="R80" s="56"/>
      <c r="S80" s="56"/>
      <c r="T80" s="68"/>
      <c r="U80" s="56"/>
      <c r="V80" s="56"/>
      <c r="W80" s="68"/>
      <c r="X80" s="56"/>
      <c r="Y80" s="74"/>
      <c r="Z80" s="56"/>
      <c r="AA80" s="68"/>
      <c r="AB80" s="74"/>
      <c r="AC80" s="56"/>
      <c r="AD80" s="68"/>
      <c r="AE80" s="75"/>
      <c r="AF80" s="56"/>
      <c r="AG80" s="68"/>
      <c r="AH80" s="74"/>
      <c r="AI80" s="56"/>
      <c r="AJ80" s="68"/>
      <c r="AK80" s="75"/>
      <c r="AL80" s="56"/>
      <c r="AM80" s="68"/>
      <c r="AN80" s="74"/>
      <c r="AO80" s="56"/>
      <c r="AP80" s="68"/>
      <c r="AQ80" s="74"/>
      <c r="AR80" s="74"/>
      <c r="AS80" s="74"/>
    </row>
    <row r="81" spans="3:45" x14ac:dyDescent="0.2">
      <c r="C81" s="67"/>
      <c r="D81" s="67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68"/>
      <c r="P81" s="56"/>
      <c r="Q81" s="73"/>
      <c r="R81" s="56"/>
      <c r="S81" s="56"/>
      <c r="T81" s="68"/>
      <c r="U81" s="56"/>
      <c r="V81" s="56"/>
      <c r="W81" s="68"/>
      <c r="X81" s="56"/>
      <c r="Y81" s="56"/>
      <c r="Z81" s="56"/>
      <c r="AA81" s="68"/>
      <c r="AB81" s="56"/>
      <c r="AC81" s="56"/>
      <c r="AD81" s="68"/>
      <c r="AE81" s="71"/>
      <c r="AF81" s="56"/>
      <c r="AG81" s="68"/>
      <c r="AH81" s="56"/>
      <c r="AI81" s="56"/>
      <c r="AJ81" s="68"/>
      <c r="AK81" s="71"/>
      <c r="AL81" s="56"/>
      <c r="AM81" s="68"/>
      <c r="AN81" s="56"/>
      <c r="AO81" s="56"/>
      <c r="AP81" s="68"/>
      <c r="AQ81" s="56"/>
      <c r="AR81" s="56"/>
      <c r="AS81" s="56"/>
    </row>
    <row r="82" spans="3:45" ht="13.5" x14ac:dyDescent="0.2">
      <c r="C82" s="63"/>
      <c r="D82" s="63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68"/>
      <c r="P82" s="56"/>
      <c r="Q82" s="73"/>
      <c r="R82" s="56"/>
      <c r="S82" s="56"/>
      <c r="T82" s="68"/>
      <c r="U82" s="56"/>
      <c r="V82" s="56"/>
      <c r="W82" s="68"/>
      <c r="X82" s="56"/>
      <c r="Y82" s="56"/>
      <c r="Z82" s="56"/>
      <c r="AA82" s="68"/>
      <c r="AB82" s="56"/>
      <c r="AC82" s="56"/>
      <c r="AD82" s="68"/>
      <c r="AE82" s="71"/>
      <c r="AF82" s="56"/>
      <c r="AG82" s="68"/>
      <c r="AH82" s="56"/>
      <c r="AI82" s="56"/>
      <c r="AJ82" s="68"/>
      <c r="AK82" s="71"/>
      <c r="AL82" s="56"/>
      <c r="AM82" s="68"/>
      <c r="AN82" s="56"/>
      <c r="AO82" s="56"/>
      <c r="AP82" s="68"/>
      <c r="AQ82" s="56"/>
      <c r="AR82" s="56"/>
      <c r="AS82" s="56"/>
    </row>
    <row r="83" spans="3:45" x14ac:dyDescent="0.2">
      <c r="C83" s="67"/>
      <c r="D83" s="67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68"/>
      <c r="P83" s="56"/>
      <c r="Q83" s="73"/>
      <c r="R83" s="56"/>
      <c r="S83" s="56"/>
      <c r="T83" s="68"/>
      <c r="U83" s="56"/>
      <c r="V83" s="56"/>
      <c r="W83" s="68"/>
      <c r="X83" s="56"/>
      <c r="Y83" s="56"/>
      <c r="Z83" s="56"/>
      <c r="AA83" s="68"/>
      <c r="AB83" s="56"/>
      <c r="AC83" s="56"/>
      <c r="AD83" s="68"/>
      <c r="AE83" s="71"/>
      <c r="AF83" s="56"/>
      <c r="AG83" s="68"/>
      <c r="AH83" s="56"/>
      <c r="AI83" s="56"/>
      <c r="AJ83" s="68"/>
      <c r="AK83" s="71"/>
      <c r="AL83" s="56"/>
      <c r="AM83" s="68"/>
      <c r="AN83" s="56"/>
      <c r="AO83" s="56"/>
      <c r="AP83" s="68"/>
      <c r="AQ83" s="56"/>
      <c r="AR83" s="56"/>
      <c r="AS83" s="56"/>
    </row>
    <row r="84" spans="3:45" x14ac:dyDescent="0.2">
      <c r="C84" s="67"/>
      <c r="D84" s="67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68"/>
      <c r="P84" s="56"/>
      <c r="Q84" s="73"/>
      <c r="R84" s="56"/>
      <c r="S84" s="56"/>
      <c r="T84" s="68"/>
      <c r="U84" s="56"/>
      <c r="V84" s="56"/>
      <c r="W84" s="68"/>
      <c r="X84" s="56"/>
      <c r="Y84" s="56"/>
      <c r="Z84" s="56"/>
      <c r="AA84" s="68"/>
      <c r="AB84" s="56"/>
      <c r="AC84" s="56"/>
      <c r="AD84" s="68"/>
      <c r="AE84" s="71"/>
      <c r="AF84" s="56"/>
      <c r="AG84" s="68"/>
      <c r="AH84" s="56"/>
      <c r="AI84" s="56"/>
      <c r="AJ84" s="68"/>
      <c r="AK84" s="71"/>
      <c r="AL84" s="56"/>
      <c r="AM84" s="68"/>
      <c r="AN84" s="56"/>
      <c r="AO84" s="56"/>
      <c r="AP84" s="68"/>
      <c r="AQ84" s="56"/>
      <c r="AR84" s="56"/>
      <c r="AS84" s="56"/>
    </row>
    <row r="85" spans="3:45" x14ac:dyDescent="0.2">
      <c r="C85" s="67"/>
      <c r="D85" s="67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68"/>
      <c r="P85" s="56"/>
      <c r="Q85" s="73"/>
      <c r="R85" s="56"/>
      <c r="S85" s="56"/>
      <c r="T85" s="68"/>
      <c r="U85" s="56"/>
      <c r="V85" s="56"/>
      <c r="W85" s="68"/>
      <c r="X85" s="56"/>
      <c r="Y85" s="56"/>
      <c r="Z85" s="56"/>
      <c r="AA85" s="68"/>
      <c r="AB85" s="56"/>
      <c r="AC85" s="56"/>
      <c r="AD85" s="68"/>
      <c r="AE85" s="71"/>
      <c r="AF85" s="56"/>
      <c r="AG85" s="68"/>
      <c r="AH85" s="56"/>
      <c r="AI85" s="56"/>
      <c r="AJ85" s="68"/>
      <c r="AK85" s="71"/>
      <c r="AL85" s="56"/>
      <c r="AM85" s="68"/>
      <c r="AN85" s="56"/>
      <c r="AO85" s="56"/>
      <c r="AP85" s="68"/>
      <c r="AQ85" s="56"/>
      <c r="AR85" s="56"/>
      <c r="AS85" s="56"/>
    </row>
    <row r="86" spans="3:45" x14ac:dyDescent="0.2">
      <c r="C86" s="67"/>
      <c r="D86" s="67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68"/>
      <c r="P86" s="56"/>
      <c r="Q86" s="73"/>
      <c r="R86" s="56"/>
      <c r="S86" s="56"/>
      <c r="T86" s="68"/>
      <c r="U86" s="56"/>
      <c r="V86" s="56"/>
      <c r="W86" s="68"/>
      <c r="X86" s="56"/>
      <c r="Y86" s="56"/>
      <c r="Z86" s="56"/>
      <c r="AA86" s="68"/>
      <c r="AB86" s="56"/>
      <c r="AC86" s="56"/>
      <c r="AD86" s="68"/>
      <c r="AE86" s="71"/>
      <c r="AF86" s="56"/>
      <c r="AG86" s="68"/>
      <c r="AH86" s="56"/>
      <c r="AI86" s="56"/>
      <c r="AJ86" s="68"/>
      <c r="AK86" s="71"/>
      <c r="AL86" s="56"/>
      <c r="AM86" s="68"/>
      <c r="AN86" s="56"/>
      <c r="AO86" s="56"/>
      <c r="AP86" s="68"/>
      <c r="AQ86" s="56"/>
      <c r="AR86" s="56"/>
      <c r="AS86" s="56"/>
    </row>
    <row r="87" spans="3:45" x14ac:dyDescent="0.2">
      <c r="C87" s="67"/>
      <c r="D87" s="67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68"/>
      <c r="P87" s="56"/>
      <c r="Q87" s="73"/>
      <c r="R87" s="56"/>
      <c r="S87" s="56"/>
      <c r="T87" s="68"/>
      <c r="U87" s="56"/>
      <c r="V87" s="56"/>
      <c r="W87" s="68"/>
      <c r="X87" s="56"/>
      <c r="Y87" s="56"/>
      <c r="Z87" s="56"/>
      <c r="AA87" s="68"/>
      <c r="AB87" s="56"/>
      <c r="AC87" s="56"/>
      <c r="AD87" s="68"/>
      <c r="AE87" s="71"/>
      <c r="AF87" s="56"/>
      <c r="AG87" s="68"/>
      <c r="AH87" s="56"/>
      <c r="AI87" s="56"/>
      <c r="AJ87" s="68"/>
      <c r="AK87" s="71"/>
      <c r="AL87" s="56"/>
      <c r="AM87" s="68"/>
      <c r="AN87" s="56"/>
      <c r="AO87" s="56"/>
      <c r="AP87" s="68"/>
      <c r="AQ87" s="56"/>
      <c r="AR87" s="56"/>
      <c r="AS87" s="56"/>
    </row>
    <row r="88" spans="3:45" x14ac:dyDescent="0.2">
      <c r="C88" s="67"/>
      <c r="D88" s="67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68"/>
      <c r="P88" s="56"/>
      <c r="Q88" s="73"/>
      <c r="R88" s="56"/>
      <c r="S88" s="56"/>
      <c r="T88" s="68"/>
      <c r="U88" s="56"/>
      <c r="V88" s="56"/>
      <c r="W88" s="68"/>
      <c r="X88" s="56"/>
      <c r="Y88" s="56"/>
      <c r="Z88" s="56"/>
      <c r="AA88" s="68"/>
      <c r="AB88" s="56"/>
      <c r="AC88" s="56"/>
      <c r="AD88" s="68"/>
      <c r="AE88" s="71"/>
      <c r="AF88" s="56"/>
      <c r="AG88" s="68"/>
      <c r="AH88" s="56"/>
      <c r="AI88" s="56"/>
      <c r="AJ88" s="68"/>
      <c r="AK88" s="71"/>
      <c r="AL88" s="56"/>
      <c r="AM88" s="68"/>
      <c r="AN88" s="56"/>
      <c r="AO88" s="56"/>
      <c r="AP88" s="68"/>
      <c r="AQ88" s="56"/>
      <c r="AR88" s="56"/>
      <c r="AS88" s="56"/>
    </row>
    <row r="89" spans="3:45" x14ac:dyDescent="0.2">
      <c r="C89" s="67"/>
      <c r="D89" s="67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68"/>
      <c r="P89" s="56"/>
      <c r="Q89" s="73"/>
      <c r="R89" s="56"/>
      <c r="S89" s="56"/>
      <c r="T89" s="68"/>
      <c r="U89" s="56"/>
      <c r="V89" s="56"/>
      <c r="W89" s="68"/>
      <c r="X89" s="56"/>
      <c r="Y89" s="56"/>
      <c r="Z89" s="56"/>
      <c r="AA89" s="68"/>
      <c r="AB89" s="56"/>
      <c r="AC89" s="56"/>
      <c r="AD89" s="68"/>
      <c r="AE89" s="71"/>
      <c r="AF89" s="56"/>
      <c r="AG89" s="68"/>
      <c r="AH89" s="56"/>
      <c r="AI89" s="56"/>
      <c r="AJ89" s="68"/>
      <c r="AK89" s="71"/>
      <c r="AL89" s="56"/>
      <c r="AM89" s="68"/>
      <c r="AN89" s="56"/>
      <c r="AO89" s="56"/>
      <c r="AP89" s="68"/>
      <c r="AQ89" s="56"/>
      <c r="AR89" s="56"/>
      <c r="AS89" s="56"/>
    </row>
    <row r="90" spans="3:45" x14ac:dyDescent="0.2">
      <c r="C90" s="67"/>
      <c r="D90" s="67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68"/>
      <c r="P90" s="56"/>
      <c r="Q90" s="73"/>
      <c r="R90" s="56"/>
      <c r="S90" s="56"/>
      <c r="T90" s="68"/>
      <c r="U90" s="56"/>
      <c r="V90" s="56"/>
      <c r="W90" s="68"/>
      <c r="X90" s="56"/>
      <c r="Y90" s="56"/>
      <c r="Z90" s="56"/>
      <c r="AA90" s="68"/>
      <c r="AB90" s="56"/>
      <c r="AC90" s="56"/>
      <c r="AD90" s="68"/>
      <c r="AE90" s="71"/>
      <c r="AF90" s="56"/>
      <c r="AG90" s="68"/>
      <c r="AH90" s="56"/>
      <c r="AI90" s="56"/>
      <c r="AJ90" s="68"/>
      <c r="AK90" s="71"/>
      <c r="AL90" s="56"/>
      <c r="AM90" s="68"/>
      <c r="AN90" s="56"/>
      <c r="AO90" s="56"/>
      <c r="AP90" s="68"/>
      <c r="AQ90" s="56"/>
      <c r="AR90" s="56"/>
      <c r="AS90" s="56"/>
    </row>
    <row r="91" spans="3:45" x14ac:dyDescent="0.2">
      <c r="C91" s="67"/>
      <c r="D91" s="67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68"/>
      <c r="P91" s="56"/>
      <c r="Q91" s="73"/>
      <c r="R91" s="56"/>
      <c r="S91" s="56"/>
      <c r="T91" s="68"/>
      <c r="U91" s="56"/>
      <c r="V91" s="56"/>
      <c r="W91" s="68"/>
      <c r="X91" s="56"/>
      <c r="Y91" s="56"/>
      <c r="Z91" s="56"/>
      <c r="AA91" s="68"/>
      <c r="AB91" s="56"/>
      <c r="AC91" s="56"/>
      <c r="AD91" s="68"/>
      <c r="AE91" s="71"/>
      <c r="AF91" s="56"/>
      <c r="AG91" s="68"/>
      <c r="AH91" s="56"/>
      <c r="AI91" s="56"/>
      <c r="AJ91" s="68"/>
      <c r="AK91" s="71"/>
      <c r="AL91" s="56"/>
      <c r="AM91" s="68"/>
      <c r="AN91" s="56"/>
      <c r="AO91" s="56"/>
      <c r="AP91" s="68"/>
      <c r="AQ91" s="56"/>
      <c r="AR91" s="56"/>
      <c r="AS91" s="56"/>
    </row>
    <row r="92" spans="3:45" x14ac:dyDescent="0.2">
      <c r="C92" s="67"/>
      <c r="D92" s="67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68"/>
      <c r="P92" s="56"/>
      <c r="Q92" s="73"/>
      <c r="R92" s="56"/>
      <c r="S92" s="56"/>
      <c r="T92" s="68"/>
      <c r="U92" s="56"/>
      <c r="V92" s="56"/>
      <c r="W92" s="68"/>
      <c r="X92" s="56"/>
      <c r="Y92" s="56"/>
      <c r="Z92" s="56"/>
      <c r="AA92" s="68"/>
      <c r="AB92" s="56"/>
      <c r="AC92" s="56"/>
      <c r="AD92" s="68"/>
      <c r="AE92" s="71"/>
      <c r="AF92" s="56"/>
      <c r="AG92" s="68"/>
      <c r="AH92" s="56"/>
      <c r="AI92" s="56"/>
      <c r="AJ92" s="68"/>
      <c r="AK92" s="71"/>
      <c r="AL92" s="56"/>
      <c r="AM92" s="68"/>
      <c r="AN92" s="56"/>
      <c r="AO92" s="56"/>
      <c r="AP92" s="68"/>
      <c r="AQ92" s="56"/>
      <c r="AR92" s="56"/>
      <c r="AS92" s="56"/>
    </row>
    <row r="93" spans="3:45" x14ac:dyDescent="0.2">
      <c r="C93" s="67"/>
      <c r="D93" s="67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68"/>
      <c r="P93" s="56"/>
      <c r="Q93" s="73"/>
      <c r="R93" s="56"/>
      <c r="S93" s="56"/>
      <c r="T93" s="68"/>
      <c r="U93" s="56"/>
      <c r="V93" s="56"/>
      <c r="W93" s="68"/>
      <c r="X93" s="56"/>
      <c r="Y93" s="56"/>
      <c r="Z93" s="56"/>
      <c r="AA93" s="68"/>
      <c r="AB93" s="56"/>
      <c r="AC93" s="56"/>
      <c r="AD93" s="68"/>
      <c r="AE93" s="71"/>
      <c r="AF93" s="56"/>
      <c r="AG93" s="68"/>
      <c r="AH93" s="56"/>
      <c r="AI93" s="56"/>
      <c r="AJ93" s="68"/>
      <c r="AK93" s="71"/>
      <c r="AL93" s="56"/>
      <c r="AM93" s="68"/>
      <c r="AN93" s="56"/>
      <c r="AO93" s="56"/>
      <c r="AP93" s="68"/>
      <c r="AQ93" s="56"/>
      <c r="AR93" s="56"/>
      <c r="AS93" s="56"/>
    </row>
    <row r="94" spans="3:45" x14ac:dyDescent="0.2">
      <c r="C94" s="67"/>
      <c r="D94" s="67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68"/>
      <c r="P94" s="56"/>
      <c r="Q94" s="56"/>
      <c r="R94" s="56"/>
      <c r="S94" s="56"/>
      <c r="T94" s="68"/>
      <c r="U94" s="56"/>
      <c r="V94" s="56"/>
      <c r="W94" s="68"/>
      <c r="X94" s="56"/>
      <c r="Y94" s="56"/>
      <c r="Z94" s="56"/>
      <c r="AA94" s="68"/>
      <c r="AB94" s="56"/>
      <c r="AC94" s="56"/>
      <c r="AD94" s="68"/>
      <c r="AE94" s="71"/>
      <c r="AF94" s="56"/>
      <c r="AG94" s="68"/>
      <c r="AH94" s="56"/>
      <c r="AI94" s="56"/>
      <c r="AJ94" s="68"/>
      <c r="AK94" s="71"/>
      <c r="AL94" s="56"/>
      <c r="AM94" s="68"/>
      <c r="AN94" s="56"/>
      <c r="AO94" s="56"/>
      <c r="AP94" s="68"/>
      <c r="AQ94" s="56"/>
      <c r="AR94" s="56"/>
      <c r="AS94" s="56"/>
    </row>
    <row r="95" spans="3:45" x14ac:dyDescent="0.2">
      <c r="C95" s="67"/>
      <c r="D95" s="67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68"/>
      <c r="P95" s="56"/>
      <c r="Q95" s="56"/>
      <c r="R95" s="56"/>
      <c r="S95" s="56"/>
      <c r="T95" s="68"/>
      <c r="U95" s="56"/>
      <c r="V95" s="56"/>
      <c r="W95" s="68"/>
      <c r="X95" s="56"/>
      <c r="Y95" s="56"/>
      <c r="Z95" s="56"/>
      <c r="AA95" s="68"/>
      <c r="AB95" s="56"/>
      <c r="AC95" s="56"/>
      <c r="AD95" s="68"/>
      <c r="AE95" s="71"/>
      <c r="AF95" s="56"/>
      <c r="AG95" s="68"/>
      <c r="AH95" s="56"/>
      <c r="AI95" s="56"/>
      <c r="AJ95" s="68"/>
      <c r="AK95" s="71"/>
      <c r="AL95" s="56"/>
      <c r="AM95" s="68"/>
      <c r="AN95" s="56"/>
      <c r="AO95" s="56"/>
      <c r="AP95" s="68"/>
      <c r="AQ95" s="56"/>
      <c r="AR95" s="56"/>
      <c r="AS95" s="56"/>
    </row>
    <row r="96" spans="3:45" x14ac:dyDescent="0.2">
      <c r="C96" s="67"/>
      <c r="D96" s="67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68"/>
      <c r="P96" s="56"/>
      <c r="Q96" s="56"/>
      <c r="R96" s="56"/>
      <c r="S96" s="56"/>
      <c r="T96" s="68"/>
      <c r="U96" s="56"/>
      <c r="V96" s="56"/>
      <c r="W96" s="68"/>
      <c r="X96" s="56"/>
      <c r="Y96" s="56"/>
      <c r="Z96" s="56"/>
      <c r="AA96" s="68"/>
      <c r="AB96" s="56"/>
      <c r="AC96" s="56"/>
      <c r="AD96" s="68"/>
      <c r="AE96" s="71"/>
      <c r="AF96" s="56"/>
      <c r="AG96" s="68"/>
      <c r="AH96" s="56"/>
      <c r="AI96" s="56"/>
      <c r="AJ96" s="68"/>
      <c r="AK96" s="71"/>
      <c r="AL96" s="56"/>
      <c r="AM96" s="68"/>
      <c r="AN96" s="56"/>
      <c r="AO96" s="56"/>
      <c r="AP96" s="68"/>
      <c r="AQ96" s="56"/>
      <c r="AR96" s="56"/>
      <c r="AS96" s="56"/>
    </row>
    <row r="97" spans="1:46" x14ac:dyDescent="0.2">
      <c r="C97" s="67"/>
      <c r="D97" s="67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68"/>
      <c r="P97" s="56"/>
      <c r="Q97" s="56"/>
      <c r="R97" s="56"/>
      <c r="S97" s="56"/>
      <c r="T97" s="68"/>
      <c r="U97" s="56"/>
      <c r="V97" s="56"/>
      <c r="W97" s="68"/>
      <c r="X97" s="56"/>
      <c r="Y97" s="56"/>
      <c r="Z97" s="56"/>
      <c r="AA97" s="68"/>
      <c r="AB97" s="56"/>
      <c r="AC97" s="56"/>
      <c r="AD97" s="68"/>
      <c r="AE97" s="71"/>
      <c r="AF97" s="56"/>
      <c r="AG97" s="68"/>
      <c r="AH97" s="56"/>
      <c r="AI97" s="56"/>
      <c r="AJ97" s="68"/>
      <c r="AK97" s="71"/>
      <c r="AL97" s="56"/>
      <c r="AM97" s="68"/>
      <c r="AN97" s="56"/>
      <c r="AO97" s="56"/>
      <c r="AP97" s="68"/>
      <c r="AQ97" s="56"/>
      <c r="AR97" s="56"/>
      <c r="AS97" s="56"/>
      <c r="AT97" s="76"/>
    </row>
    <row r="98" spans="1:46" x14ac:dyDescent="0.2">
      <c r="C98" s="67"/>
      <c r="D98" s="67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68"/>
      <c r="P98" s="56"/>
      <c r="Q98" s="56"/>
      <c r="R98" s="56"/>
      <c r="S98" s="56"/>
      <c r="T98" s="68"/>
      <c r="U98" s="56"/>
      <c r="V98" s="56"/>
      <c r="W98" s="68"/>
      <c r="X98" s="56"/>
      <c r="Y98" s="56"/>
      <c r="Z98" s="56"/>
      <c r="AA98" s="68"/>
      <c r="AB98" s="56"/>
      <c r="AC98" s="56"/>
      <c r="AD98" s="68"/>
      <c r="AE98" s="71"/>
      <c r="AF98" s="56"/>
      <c r="AG98" s="68"/>
      <c r="AH98" s="56"/>
      <c r="AI98" s="56"/>
      <c r="AJ98" s="68"/>
      <c r="AK98" s="71"/>
      <c r="AL98" s="56"/>
      <c r="AM98" s="68"/>
      <c r="AN98" s="56"/>
      <c r="AO98" s="56"/>
      <c r="AP98" s="68"/>
      <c r="AQ98" s="56"/>
      <c r="AR98" s="56"/>
      <c r="AS98" s="56"/>
    </row>
    <row r="99" spans="1:46" x14ac:dyDescent="0.2">
      <c r="C99" s="67"/>
      <c r="D99" s="67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68"/>
      <c r="P99" s="56"/>
      <c r="Q99" s="56"/>
      <c r="R99" s="56"/>
      <c r="S99" s="56"/>
      <c r="T99" s="68"/>
      <c r="U99" s="56"/>
      <c r="V99" s="56"/>
      <c r="W99" s="68"/>
      <c r="X99" s="56"/>
      <c r="Y99" s="56"/>
      <c r="Z99" s="56"/>
      <c r="AA99" s="68"/>
      <c r="AB99" s="56"/>
      <c r="AC99" s="56"/>
      <c r="AD99" s="68"/>
      <c r="AE99" s="71"/>
      <c r="AF99" s="56"/>
      <c r="AG99" s="68"/>
      <c r="AH99" s="56"/>
      <c r="AI99" s="56"/>
      <c r="AJ99" s="68"/>
      <c r="AK99" s="71"/>
      <c r="AL99" s="56"/>
      <c r="AM99" s="68"/>
      <c r="AN99" s="56"/>
      <c r="AO99" s="56"/>
      <c r="AP99" s="68"/>
      <c r="AQ99" s="56"/>
      <c r="AR99" s="56"/>
      <c r="AS99" s="56"/>
    </row>
    <row r="100" spans="1:46" x14ac:dyDescent="0.2">
      <c r="C100" s="67"/>
      <c r="D100" s="67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68"/>
      <c r="P100" s="56"/>
      <c r="Q100" s="56"/>
      <c r="R100" s="56"/>
      <c r="S100" s="56"/>
      <c r="T100" s="68"/>
      <c r="U100" s="56"/>
      <c r="V100" s="56"/>
      <c r="W100" s="68"/>
      <c r="X100" s="56"/>
      <c r="Y100" s="56"/>
      <c r="Z100" s="56"/>
      <c r="AA100" s="68"/>
      <c r="AB100" s="56"/>
      <c r="AC100" s="56"/>
      <c r="AD100" s="68"/>
      <c r="AE100" s="71"/>
      <c r="AF100" s="56"/>
      <c r="AG100" s="68"/>
      <c r="AH100" s="56"/>
      <c r="AI100" s="56"/>
      <c r="AJ100" s="68"/>
      <c r="AK100" s="71"/>
      <c r="AL100" s="56"/>
      <c r="AM100" s="68"/>
      <c r="AN100" s="56"/>
      <c r="AO100" s="56"/>
      <c r="AP100" s="68"/>
      <c r="AQ100" s="56"/>
      <c r="AR100" s="56"/>
      <c r="AS100" s="56"/>
    </row>
    <row r="101" spans="1:46" x14ac:dyDescent="0.2">
      <c r="C101" s="67"/>
      <c r="D101" s="67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68"/>
      <c r="P101" s="56"/>
      <c r="Q101" s="56"/>
      <c r="R101" s="56"/>
      <c r="S101" s="56"/>
      <c r="T101" s="68"/>
      <c r="U101" s="56"/>
      <c r="V101" s="56"/>
      <c r="W101" s="68"/>
      <c r="X101" s="56"/>
      <c r="Y101" s="56"/>
      <c r="Z101" s="56"/>
      <c r="AA101" s="68"/>
      <c r="AB101" s="56"/>
      <c r="AC101" s="56"/>
      <c r="AD101" s="68"/>
      <c r="AE101" s="71"/>
      <c r="AF101" s="56"/>
      <c r="AG101" s="68"/>
      <c r="AH101" s="56"/>
      <c r="AI101" s="56"/>
      <c r="AJ101" s="68"/>
      <c r="AK101" s="71"/>
      <c r="AL101" s="56"/>
      <c r="AM101" s="68"/>
      <c r="AN101" s="56"/>
      <c r="AO101" s="56"/>
      <c r="AP101" s="68"/>
      <c r="AQ101" s="56"/>
      <c r="AR101" s="56"/>
      <c r="AS101" s="56"/>
    </row>
    <row r="102" spans="1:46" x14ac:dyDescent="0.2">
      <c r="C102" s="67"/>
      <c r="D102" s="67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68"/>
      <c r="P102" s="56"/>
      <c r="Q102" s="56"/>
      <c r="R102" s="56"/>
      <c r="S102" s="56"/>
      <c r="T102" s="68"/>
      <c r="U102" s="56"/>
      <c r="V102" s="56"/>
      <c r="W102" s="68"/>
      <c r="X102" s="56"/>
      <c r="Y102" s="56"/>
      <c r="Z102" s="56"/>
      <c r="AA102" s="68"/>
      <c r="AC102" s="56"/>
      <c r="AD102" s="68"/>
      <c r="AF102" s="56"/>
      <c r="AG102" s="68"/>
      <c r="AI102" s="56"/>
      <c r="AJ102" s="68"/>
      <c r="AL102" s="56"/>
      <c r="AM102" s="68"/>
      <c r="AO102" s="56"/>
      <c r="AP102" s="68"/>
      <c r="AS102" s="56"/>
    </row>
    <row r="103" spans="1:46" x14ac:dyDescent="0.2">
      <c r="C103" s="67"/>
      <c r="D103" s="67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68"/>
      <c r="P103" s="56"/>
      <c r="Q103" s="56"/>
      <c r="R103" s="56"/>
      <c r="S103" s="56"/>
      <c r="T103" s="68"/>
      <c r="U103" s="56"/>
      <c r="V103" s="56"/>
      <c r="W103" s="68"/>
      <c r="X103" s="56"/>
      <c r="Y103" s="56"/>
      <c r="Z103" s="56"/>
      <c r="AA103" s="68"/>
      <c r="AC103" s="56"/>
      <c r="AD103" s="68"/>
      <c r="AF103" s="56"/>
      <c r="AG103" s="68"/>
      <c r="AI103" s="56"/>
      <c r="AJ103" s="68"/>
      <c r="AL103" s="56"/>
      <c r="AM103" s="68"/>
      <c r="AO103" s="56"/>
      <c r="AP103" s="68"/>
      <c r="AS103" s="56"/>
    </row>
    <row r="104" spans="1:46" x14ac:dyDescent="0.2">
      <c r="C104" s="67"/>
      <c r="D104" s="67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68"/>
      <c r="P104" s="56"/>
      <c r="Q104" s="56"/>
      <c r="R104" s="56"/>
      <c r="S104" s="56"/>
      <c r="T104" s="68"/>
      <c r="U104" s="56"/>
      <c r="V104" s="56"/>
      <c r="W104" s="68"/>
      <c r="X104" s="56"/>
      <c r="Y104" s="56"/>
      <c r="Z104" s="56"/>
      <c r="AA104" s="68"/>
      <c r="AC104" s="56"/>
      <c r="AD104" s="68"/>
      <c r="AF104" s="56"/>
      <c r="AG104" s="68"/>
      <c r="AI104" s="56"/>
      <c r="AJ104" s="68"/>
      <c r="AL104" s="56"/>
      <c r="AM104" s="68"/>
      <c r="AO104" s="56"/>
      <c r="AP104" s="68"/>
      <c r="AS104" s="56"/>
    </row>
    <row r="105" spans="1:46" x14ac:dyDescent="0.2">
      <c r="C105" s="67"/>
      <c r="D105" s="67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68"/>
      <c r="P105" s="56"/>
      <c r="Q105" s="56"/>
      <c r="R105" s="56"/>
      <c r="S105" s="56"/>
      <c r="T105" s="68"/>
      <c r="U105" s="56"/>
      <c r="V105" s="56"/>
      <c r="W105" s="68"/>
      <c r="X105" s="56"/>
      <c r="Y105" s="56"/>
      <c r="Z105" s="56"/>
      <c r="AA105" s="68"/>
      <c r="AC105" s="56"/>
      <c r="AD105" s="68"/>
      <c r="AF105" s="56"/>
      <c r="AG105" s="68"/>
      <c r="AI105" s="56"/>
      <c r="AJ105" s="68"/>
      <c r="AL105" s="56"/>
      <c r="AM105" s="68"/>
      <c r="AO105" s="56"/>
      <c r="AP105" s="68"/>
    </row>
    <row r="106" spans="1:46" x14ac:dyDescent="0.2">
      <c r="C106" s="67"/>
      <c r="D106" s="67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68"/>
      <c r="P106" s="56"/>
      <c r="Q106" s="56"/>
      <c r="R106" s="56"/>
      <c r="S106" s="56"/>
      <c r="T106" s="68"/>
      <c r="U106" s="56"/>
      <c r="V106" s="56"/>
      <c r="W106" s="68"/>
      <c r="X106" s="56"/>
      <c r="Y106" s="56"/>
      <c r="Z106" s="56"/>
      <c r="AA106" s="68"/>
      <c r="AC106" s="56"/>
      <c r="AD106" s="68"/>
      <c r="AF106" s="56"/>
      <c r="AG106" s="68"/>
      <c r="AI106" s="56"/>
      <c r="AJ106" s="68"/>
      <c r="AL106" s="56"/>
      <c r="AM106" s="68"/>
      <c r="AO106" s="56"/>
      <c r="AP106" s="68"/>
    </row>
    <row r="107" spans="1:46" x14ac:dyDescent="0.2">
      <c r="C107" s="67"/>
      <c r="D107" s="67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68"/>
      <c r="P107" s="56"/>
      <c r="Q107" s="56"/>
      <c r="R107" s="56"/>
      <c r="S107" s="56"/>
      <c r="T107" s="68"/>
      <c r="U107" s="56"/>
      <c r="V107" s="56"/>
      <c r="W107" s="68"/>
      <c r="X107" s="56"/>
      <c r="Y107" s="56"/>
      <c r="Z107" s="56"/>
      <c r="AA107" s="68"/>
      <c r="AC107" s="56"/>
      <c r="AD107" s="68"/>
      <c r="AF107" s="56"/>
      <c r="AG107" s="68"/>
      <c r="AI107" s="56"/>
      <c r="AJ107" s="68"/>
      <c r="AL107" s="56"/>
      <c r="AM107" s="68"/>
      <c r="AO107" s="56"/>
      <c r="AP107" s="68"/>
    </row>
    <row r="108" spans="1:46" x14ac:dyDescent="0.2">
      <c r="C108" s="67"/>
      <c r="D108" s="67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68"/>
      <c r="P108" s="56"/>
      <c r="Q108" s="56"/>
      <c r="R108" s="56"/>
      <c r="S108" s="56"/>
      <c r="T108" s="68"/>
      <c r="U108" s="56"/>
      <c r="V108" s="56"/>
      <c r="W108" s="68"/>
      <c r="X108" s="56"/>
      <c r="Y108" s="56"/>
      <c r="Z108" s="56"/>
      <c r="AA108" s="68"/>
      <c r="AC108" s="56"/>
      <c r="AD108" s="68"/>
      <c r="AF108" s="56"/>
      <c r="AG108" s="68"/>
      <c r="AI108" s="56"/>
      <c r="AJ108" s="68"/>
      <c r="AL108" s="56"/>
      <c r="AM108" s="68"/>
      <c r="AO108" s="56"/>
      <c r="AP108" s="68"/>
    </row>
    <row r="109" spans="1:46" x14ac:dyDescent="0.2">
      <c r="C109" s="67"/>
      <c r="D109" s="67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68"/>
      <c r="P109" s="56"/>
      <c r="Q109" s="56"/>
      <c r="R109" s="56"/>
      <c r="S109" s="56"/>
      <c r="T109" s="68"/>
      <c r="U109" s="56"/>
      <c r="V109" s="56"/>
      <c r="W109" s="68"/>
      <c r="X109" s="56"/>
      <c r="Y109" s="56"/>
      <c r="Z109" s="56"/>
      <c r="AA109" s="68"/>
      <c r="AC109" s="56"/>
      <c r="AD109" s="68"/>
      <c r="AF109" s="56"/>
      <c r="AG109" s="68"/>
      <c r="AI109" s="56"/>
      <c r="AJ109" s="68"/>
      <c r="AL109" s="56"/>
      <c r="AM109" s="68"/>
      <c r="AO109" s="56"/>
      <c r="AP109" s="68"/>
    </row>
    <row r="110" spans="1:46" x14ac:dyDescent="0.2">
      <c r="A110" s="76"/>
      <c r="B110" s="76"/>
      <c r="C110" s="67"/>
      <c r="D110" s="67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68"/>
      <c r="P110" s="56"/>
      <c r="Q110" s="56"/>
      <c r="R110" s="56"/>
      <c r="S110" s="56"/>
      <c r="T110" s="68"/>
      <c r="U110" s="56"/>
      <c r="V110" s="56"/>
      <c r="W110" s="68"/>
      <c r="X110" s="56"/>
      <c r="Y110" s="56"/>
      <c r="Z110" s="56"/>
      <c r="AA110" s="68"/>
      <c r="AC110" s="56"/>
      <c r="AD110" s="68"/>
      <c r="AF110" s="56"/>
      <c r="AG110" s="68"/>
      <c r="AI110" s="56"/>
      <c r="AJ110" s="68"/>
      <c r="AL110" s="56"/>
      <c r="AM110" s="68"/>
      <c r="AO110" s="56"/>
      <c r="AP110" s="68"/>
    </row>
    <row r="111" spans="1:46" x14ac:dyDescent="0.2">
      <c r="C111" s="67"/>
      <c r="D111" s="67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68"/>
      <c r="P111" s="56"/>
      <c r="Q111" s="56"/>
      <c r="R111" s="56"/>
      <c r="S111" s="56"/>
      <c r="T111" s="68"/>
      <c r="U111" s="56"/>
      <c r="V111" s="56"/>
      <c r="W111" s="68"/>
      <c r="X111" s="56"/>
      <c r="Y111" s="56"/>
      <c r="Z111" s="56"/>
      <c r="AA111" s="68"/>
      <c r="AC111" s="56"/>
      <c r="AD111" s="68"/>
      <c r="AF111" s="56"/>
      <c r="AG111" s="68"/>
      <c r="AI111" s="56"/>
      <c r="AJ111" s="68"/>
      <c r="AL111" s="56"/>
      <c r="AM111" s="68"/>
      <c r="AO111" s="56"/>
      <c r="AP111" s="68"/>
    </row>
    <row r="112" spans="1:46" x14ac:dyDescent="0.2">
      <c r="C112" s="67"/>
      <c r="D112" s="67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68"/>
      <c r="P112" s="56"/>
      <c r="Q112" s="56"/>
      <c r="R112" s="56"/>
      <c r="S112" s="56"/>
      <c r="T112" s="68"/>
      <c r="U112" s="56"/>
      <c r="V112" s="56"/>
      <c r="W112" s="68"/>
      <c r="X112" s="56"/>
      <c r="Y112" s="56"/>
      <c r="Z112" s="56"/>
      <c r="AA112" s="68"/>
      <c r="AC112" s="56"/>
      <c r="AD112" s="68"/>
      <c r="AF112" s="56"/>
      <c r="AG112" s="68"/>
      <c r="AI112" s="56"/>
      <c r="AJ112" s="68"/>
      <c r="AL112" s="56"/>
      <c r="AM112" s="68"/>
      <c r="AO112" s="56"/>
      <c r="AP112" s="68"/>
    </row>
    <row r="113" spans="1:47" s="76" customFormat="1" x14ac:dyDescent="0.2">
      <c r="A113" s="1"/>
      <c r="B113" s="1"/>
      <c r="C113" s="67"/>
      <c r="D113" s="6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68"/>
      <c r="P113" s="56"/>
      <c r="Q113" s="56"/>
      <c r="R113" s="56"/>
      <c r="S113" s="56"/>
      <c r="T113" s="68"/>
      <c r="U113" s="56"/>
      <c r="V113" s="56"/>
      <c r="W113" s="68"/>
      <c r="X113" s="56"/>
      <c r="Y113" s="56"/>
      <c r="Z113" s="56"/>
      <c r="AA113" s="68"/>
      <c r="AB113" s="1"/>
      <c r="AC113" s="56"/>
      <c r="AD113" s="68"/>
      <c r="AE113" s="62"/>
      <c r="AF113" s="56"/>
      <c r="AG113" s="68"/>
      <c r="AH113" s="1"/>
      <c r="AI113" s="56"/>
      <c r="AJ113" s="68"/>
      <c r="AK113" s="62"/>
      <c r="AL113" s="56"/>
      <c r="AM113" s="68"/>
      <c r="AN113" s="1"/>
      <c r="AO113" s="56"/>
      <c r="AP113" s="68"/>
      <c r="AQ113" s="1"/>
      <c r="AR113" s="1"/>
      <c r="AS113" s="1"/>
      <c r="AT113" s="1"/>
      <c r="AU113" s="1"/>
    </row>
    <row r="114" spans="1:47" x14ac:dyDescent="0.2">
      <c r="C114" s="67"/>
      <c r="D114" s="67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68"/>
      <c r="P114" s="56"/>
      <c r="Q114" s="56"/>
      <c r="R114" s="56"/>
      <c r="S114" s="56"/>
      <c r="T114" s="68"/>
      <c r="U114" s="56"/>
      <c r="V114" s="56"/>
      <c r="W114" s="68"/>
      <c r="X114" s="56"/>
      <c r="Y114" s="56"/>
      <c r="Z114" s="56"/>
      <c r="AA114" s="68"/>
      <c r="AC114" s="56"/>
      <c r="AD114" s="68"/>
      <c r="AF114" s="56"/>
      <c r="AG114" s="68"/>
      <c r="AI114" s="56"/>
      <c r="AJ114" s="68"/>
      <c r="AL114" s="56"/>
      <c r="AM114" s="68"/>
      <c r="AO114" s="56"/>
      <c r="AP114" s="68"/>
    </row>
    <row r="115" spans="1:47" x14ac:dyDescent="0.2">
      <c r="C115" s="67"/>
      <c r="D115" s="67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68"/>
      <c r="P115" s="56"/>
      <c r="Q115" s="56"/>
      <c r="R115" s="56"/>
      <c r="S115" s="56"/>
      <c r="T115" s="68"/>
      <c r="U115" s="56"/>
      <c r="V115" s="56"/>
      <c r="W115" s="68"/>
      <c r="X115" s="56"/>
      <c r="Y115" s="56"/>
      <c r="Z115" s="56"/>
      <c r="AA115" s="68"/>
      <c r="AC115" s="56"/>
      <c r="AD115" s="68"/>
      <c r="AF115" s="56"/>
      <c r="AG115" s="68"/>
      <c r="AI115" s="56"/>
      <c r="AJ115" s="68"/>
      <c r="AL115" s="56"/>
      <c r="AM115" s="68"/>
      <c r="AO115" s="56"/>
      <c r="AP115" s="68"/>
    </row>
    <row r="116" spans="1:47" x14ac:dyDescent="0.2">
      <c r="C116" s="67"/>
      <c r="D116" s="6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68"/>
      <c r="P116" s="56"/>
      <c r="Q116" s="56"/>
      <c r="R116" s="56"/>
      <c r="S116" s="56"/>
      <c r="T116" s="68"/>
      <c r="U116" s="56"/>
      <c r="V116" s="56"/>
      <c r="W116" s="68"/>
      <c r="X116" s="56"/>
      <c r="Y116" s="56"/>
      <c r="Z116" s="56"/>
      <c r="AA116" s="68"/>
      <c r="AC116" s="56"/>
      <c r="AD116" s="68"/>
      <c r="AF116" s="56"/>
      <c r="AG116" s="68"/>
      <c r="AI116" s="56"/>
      <c r="AJ116" s="68"/>
      <c r="AL116" s="56"/>
      <c r="AM116" s="68"/>
      <c r="AO116" s="56"/>
      <c r="AP116" s="68"/>
    </row>
    <row r="117" spans="1:47" x14ac:dyDescent="0.2">
      <c r="C117" s="67"/>
      <c r="D117" s="67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68"/>
      <c r="P117" s="56"/>
      <c r="Q117" s="56"/>
      <c r="R117" s="56"/>
      <c r="S117" s="56"/>
      <c r="T117" s="68"/>
      <c r="U117" s="56"/>
      <c r="V117" s="56"/>
      <c r="W117" s="68"/>
      <c r="X117" s="56"/>
      <c r="Y117" s="56"/>
      <c r="Z117" s="56"/>
      <c r="AA117" s="68"/>
      <c r="AC117" s="56"/>
      <c r="AD117" s="68"/>
      <c r="AF117" s="56"/>
      <c r="AG117" s="68"/>
      <c r="AI117" s="56"/>
      <c r="AJ117" s="68"/>
      <c r="AL117" s="56"/>
      <c r="AM117" s="68"/>
      <c r="AO117" s="56"/>
      <c r="AP117" s="68"/>
    </row>
    <row r="118" spans="1:47" x14ac:dyDescent="0.2">
      <c r="C118" s="67"/>
      <c r="D118" s="67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68"/>
      <c r="P118" s="56"/>
      <c r="Q118" s="56"/>
      <c r="R118" s="56"/>
      <c r="S118" s="56"/>
      <c r="T118" s="68"/>
      <c r="U118" s="56"/>
      <c r="V118" s="56"/>
      <c r="W118" s="68"/>
      <c r="X118" s="56"/>
      <c r="Y118" s="56"/>
      <c r="Z118" s="56"/>
      <c r="AA118" s="68"/>
      <c r="AC118" s="56"/>
      <c r="AD118" s="68"/>
      <c r="AF118" s="56"/>
      <c r="AG118" s="68"/>
      <c r="AI118" s="56"/>
      <c r="AJ118" s="68"/>
      <c r="AL118" s="56"/>
      <c r="AM118" s="68"/>
      <c r="AO118" s="56"/>
      <c r="AP118" s="68"/>
    </row>
    <row r="119" spans="1:47" x14ac:dyDescent="0.2">
      <c r="C119" s="67"/>
      <c r="D119" s="67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68"/>
      <c r="P119" s="56"/>
      <c r="Q119" s="56"/>
      <c r="R119" s="56"/>
      <c r="S119" s="56"/>
      <c r="T119" s="68"/>
      <c r="U119" s="56"/>
      <c r="V119" s="56"/>
      <c r="W119" s="68"/>
      <c r="X119" s="56"/>
      <c r="Y119" s="56"/>
      <c r="Z119" s="56"/>
      <c r="AA119" s="68"/>
      <c r="AC119" s="56"/>
      <c r="AD119" s="68"/>
      <c r="AF119" s="56"/>
      <c r="AG119" s="68"/>
      <c r="AI119" s="56"/>
      <c r="AJ119" s="68"/>
      <c r="AL119" s="56"/>
      <c r="AM119" s="68"/>
      <c r="AO119" s="56"/>
      <c r="AP119" s="68"/>
    </row>
    <row r="120" spans="1:47" x14ac:dyDescent="0.2">
      <c r="C120" s="67"/>
      <c r="D120" s="67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68"/>
      <c r="P120" s="56"/>
      <c r="Q120" s="56"/>
      <c r="R120" s="56"/>
      <c r="S120" s="56"/>
      <c r="T120" s="68"/>
      <c r="U120" s="56"/>
      <c r="V120" s="56"/>
      <c r="W120" s="68"/>
      <c r="X120" s="56"/>
      <c r="Y120" s="56"/>
      <c r="Z120" s="56"/>
      <c r="AA120" s="68"/>
      <c r="AC120" s="56"/>
      <c r="AD120" s="68"/>
      <c r="AF120" s="56"/>
      <c r="AG120" s="68"/>
      <c r="AI120" s="56"/>
      <c r="AJ120" s="68"/>
      <c r="AL120" s="56"/>
      <c r="AM120" s="68"/>
      <c r="AO120" s="56"/>
      <c r="AP120" s="68"/>
    </row>
    <row r="121" spans="1:47" x14ac:dyDescent="0.2">
      <c r="C121" s="67"/>
      <c r="D121" s="67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68"/>
      <c r="P121" s="56"/>
      <c r="Q121" s="56"/>
      <c r="R121" s="56"/>
      <c r="S121" s="56"/>
      <c r="T121" s="68"/>
      <c r="U121" s="56"/>
      <c r="V121" s="56"/>
      <c r="W121" s="68"/>
      <c r="X121" s="56"/>
      <c r="Y121" s="56"/>
      <c r="Z121" s="56"/>
      <c r="AA121" s="68"/>
      <c r="AC121" s="56"/>
      <c r="AD121" s="68"/>
      <c r="AF121" s="56"/>
      <c r="AG121" s="68"/>
      <c r="AI121" s="56"/>
      <c r="AJ121" s="68"/>
      <c r="AL121" s="56"/>
      <c r="AM121" s="68"/>
      <c r="AO121" s="56"/>
      <c r="AP121" s="68"/>
    </row>
    <row r="122" spans="1:47" x14ac:dyDescent="0.2">
      <c r="C122" s="67"/>
      <c r="D122" s="67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68"/>
      <c r="P122" s="56"/>
      <c r="Q122" s="56"/>
      <c r="R122" s="56"/>
      <c r="S122" s="56"/>
      <c r="T122" s="68"/>
      <c r="U122" s="56"/>
      <c r="V122" s="56"/>
      <c r="W122" s="68"/>
      <c r="X122" s="56"/>
      <c r="Y122" s="56"/>
      <c r="Z122" s="56"/>
      <c r="AA122" s="68"/>
      <c r="AC122" s="56"/>
      <c r="AD122" s="68"/>
      <c r="AF122" s="56"/>
      <c r="AG122" s="68"/>
      <c r="AI122" s="56"/>
      <c r="AJ122" s="68"/>
      <c r="AL122" s="56"/>
      <c r="AM122" s="68"/>
      <c r="AO122" s="56"/>
      <c r="AP122" s="68"/>
    </row>
    <row r="123" spans="1:47" x14ac:dyDescent="0.2">
      <c r="C123" s="67"/>
      <c r="D123" s="67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68"/>
      <c r="P123" s="56"/>
      <c r="Q123" s="56"/>
      <c r="R123" s="56"/>
      <c r="S123" s="56"/>
      <c r="T123" s="68"/>
      <c r="U123" s="56"/>
      <c r="V123" s="56"/>
      <c r="W123" s="68"/>
      <c r="X123" s="56"/>
      <c r="Y123" s="56"/>
      <c r="Z123" s="56"/>
      <c r="AA123" s="68"/>
      <c r="AC123" s="56"/>
      <c r="AD123" s="68"/>
      <c r="AF123" s="56"/>
      <c r="AG123" s="68"/>
      <c r="AI123" s="56"/>
      <c r="AJ123" s="68"/>
      <c r="AL123" s="56"/>
      <c r="AM123" s="68"/>
      <c r="AO123" s="56"/>
      <c r="AP123" s="68"/>
    </row>
    <row r="124" spans="1:47" x14ac:dyDescent="0.2">
      <c r="C124" s="67"/>
      <c r="D124" s="67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68"/>
      <c r="P124" s="56"/>
      <c r="Q124" s="56"/>
      <c r="R124" s="56"/>
      <c r="S124" s="56"/>
      <c r="T124" s="68"/>
      <c r="U124" s="56"/>
      <c r="V124" s="56"/>
      <c r="W124" s="68"/>
      <c r="X124" s="56"/>
      <c r="Y124" s="56"/>
      <c r="Z124" s="56"/>
      <c r="AA124" s="68"/>
      <c r="AC124" s="56"/>
      <c r="AD124" s="68"/>
      <c r="AF124" s="56"/>
      <c r="AG124" s="68"/>
      <c r="AI124" s="56"/>
      <c r="AJ124" s="68"/>
      <c r="AL124" s="56"/>
      <c r="AM124" s="68"/>
      <c r="AO124" s="56"/>
      <c r="AP124" s="68"/>
    </row>
    <row r="125" spans="1:47" x14ac:dyDescent="0.2">
      <c r="C125" s="67"/>
      <c r="D125" s="67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68"/>
      <c r="P125" s="56"/>
      <c r="Q125" s="56"/>
      <c r="R125" s="56"/>
      <c r="S125" s="56"/>
      <c r="T125" s="68"/>
      <c r="U125" s="56"/>
      <c r="V125" s="56"/>
      <c r="W125" s="68"/>
      <c r="X125" s="56"/>
      <c r="Y125" s="56"/>
      <c r="Z125" s="56"/>
      <c r="AA125" s="68"/>
      <c r="AC125" s="56"/>
      <c r="AD125" s="68"/>
      <c r="AF125" s="56"/>
      <c r="AG125" s="68"/>
      <c r="AI125" s="56"/>
      <c r="AJ125" s="68"/>
      <c r="AL125" s="56"/>
      <c r="AM125" s="68"/>
      <c r="AO125" s="56"/>
      <c r="AP125" s="68"/>
    </row>
    <row r="126" spans="1:47" x14ac:dyDescent="0.2">
      <c r="C126" s="67"/>
      <c r="D126" s="67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68"/>
      <c r="P126" s="56"/>
      <c r="Q126" s="56"/>
      <c r="R126" s="56"/>
      <c r="S126" s="56"/>
      <c r="T126" s="68"/>
      <c r="U126" s="56"/>
      <c r="V126" s="56"/>
      <c r="W126" s="68"/>
      <c r="X126" s="56"/>
      <c r="Y126" s="56"/>
      <c r="Z126" s="56"/>
      <c r="AA126" s="68"/>
      <c r="AC126" s="56"/>
      <c r="AD126" s="68"/>
      <c r="AF126" s="56"/>
      <c r="AG126" s="68"/>
      <c r="AI126" s="56"/>
      <c r="AJ126" s="68"/>
      <c r="AL126" s="56"/>
      <c r="AM126" s="68"/>
      <c r="AO126" s="56"/>
      <c r="AP126" s="68"/>
    </row>
    <row r="127" spans="1:47" x14ac:dyDescent="0.2">
      <c r="C127" s="67"/>
      <c r="D127" s="67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68"/>
      <c r="P127" s="56"/>
      <c r="Q127" s="56"/>
      <c r="R127" s="56"/>
      <c r="S127" s="56"/>
      <c r="T127" s="68"/>
      <c r="U127" s="56"/>
      <c r="V127" s="56"/>
      <c r="W127" s="68"/>
      <c r="X127" s="56"/>
      <c r="Y127" s="56"/>
      <c r="Z127" s="56"/>
      <c r="AA127" s="68"/>
      <c r="AC127" s="56"/>
      <c r="AD127" s="68"/>
      <c r="AF127" s="56"/>
      <c r="AG127" s="68"/>
      <c r="AI127" s="56"/>
      <c r="AJ127" s="68"/>
      <c r="AL127" s="56"/>
      <c r="AM127" s="68"/>
      <c r="AO127" s="56"/>
      <c r="AP127" s="68"/>
    </row>
    <row r="128" spans="1:47" x14ac:dyDescent="0.2">
      <c r="C128" s="67"/>
      <c r="D128" s="67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68"/>
      <c r="P128" s="56"/>
      <c r="Q128" s="56"/>
      <c r="R128" s="56"/>
      <c r="S128" s="56"/>
      <c r="T128" s="68"/>
      <c r="U128" s="56"/>
      <c r="V128" s="56"/>
      <c r="W128" s="68"/>
      <c r="X128" s="56"/>
      <c r="Y128" s="56"/>
      <c r="Z128" s="56"/>
      <c r="AA128" s="68"/>
      <c r="AC128" s="56"/>
      <c r="AD128" s="68"/>
      <c r="AF128" s="56"/>
      <c r="AG128" s="68"/>
      <c r="AI128" s="56"/>
      <c r="AJ128" s="68"/>
      <c r="AL128" s="56"/>
      <c r="AM128" s="68"/>
      <c r="AO128" s="56"/>
      <c r="AP128" s="68"/>
    </row>
    <row r="129" spans="3:42" x14ac:dyDescent="0.2">
      <c r="C129" s="67"/>
      <c r="D129" s="67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68"/>
      <c r="P129" s="56"/>
      <c r="Q129" s="56"/>
      <c r="R129" s="56"/>
      <c r="S129" s="56"/>
      <c r="T129" s="68"/>
      <c r="U129" s="56"/>
      <c r="V129" s="56"/>
      <c r="W129" s="68"/>
      <c r="X129" s="56"/>
      <c r="Y129" s="56"/>
      <c r="Z129" s="56"/>
      <c r="AA129" s="68"/>
      <c r="AC129" s="56"/>
      <c r="AD129" s="68"/>
      <c r="AF129" s="56"/>
      <c r="AG129" s="68"/>
      <c r="AI129" s="56"/>
      <c r="AJ129" s="68"/>
      <c r="AL129" s="56"/>
      <c r="AM129" s="68"/>
      <c r="AO129" s="56"/>
      <c r="AP129" s="68"/>
    </row>
    <row r="130" spans="3:42" x14ac:dyDescent="0.2">
      <c r="C130" s="67"/>
      <c r="D130" s="67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68"/>
      <c r="P130" s="56"/>
      <c r="Q130" s="56"/>
      <c r="R130" s="56"/>
      <c r="S130" s="56"/>
      <c r="T130" s="68"/>
      <c r="U130" s="56"/>
      <c r="V130" s="56"/>
      <c r="W130" s="68"/>
      <c r="X130" s="56"/>
      <c r="Y130" s="56"/>
      <c r="Z130" s="56"/>
      <c r="AA130" s="68"/>
      <c r="AC130" s="56"/>
      <c r="AD130" s="68"/>
      <c r="AF130" s="56"/>
      <c r="AG130" s="68"/>
      <c r="AI130" s="56"/>
      <c r="AJ130" s="68"/>
      <c r="AL130" s="56"/>
      <c r="AM130" s="68"/>
      <c r="AO130" s="56"/>
      <c r="AP130" s="68"/>
    </row>
    <row r="131" spans="3:42" x14ac:dyDescent="0.2">
      <c r="C131" s="67"/>
      <c r="D131" s="67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68"/>
      <c r="P131" s="56"/>
      <c r="Q131" s="56"/>
      <c r="R131" s="56"/>
      <c r="S131" s="56"/>
      <c r="T131" s="68"/>
      <c r="U131" s="56"/>
      <c r="V131" s="56"/>
      <c r="W131" s="68"/>
      <c r="X131" s="56"/>
      <c r="Y131" s="56"/>
      <c r="Z131" s="56"/>
      <c r="AA131" s="68"/>
      <c r="AC131" s="56"/>
      <c r="AD131" s="68"/>
      <c r="AF131" s="56"/>
      <c r="AG131" s="68"/>
      <c r="AI131" s="56"/>
      <c r="AJ131" s="68"/>
      <c r="AL131" s="56"/>
      <c r="AM131" s="68"/>
      <c r="AO131" s="56"/>
      <c r="AP131" s="68"/>
    </row>
    <row r="132" spans="3:42" x14ac:dyDescent="0.2">
      <c r="C132" s="67"/>
      <c r="D132" s="67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68"/>
      <c r="P132" s="56"/>
      <c r="Q132" s="56"/>
      <c r="R132" s="56"/>
      <c r="S132" s="56"/>
      <c r="T132" s="68"/>
      <c r="U132" s="56"/>
      <c r="V132" s="56"/>
      <c r="W132" s="68"/>
      <c r="X132" s="56"/>
      <c r="Y132" s="56"/>
      <c r="Z132" s="56"/>
      <c r="AA132" s="68"/>
      <c r="AC132" s="56"/>
      <c r="AD132" s="68"/>
      <c r="AF132" s="56"/>
      <c r="AG132" s="68"/>
      <c r="AI132" s="56"/>
      <c r="AJ132" s="68"/>
      <c r="AL132" s="56"/>
      <c r="AM132" s="68"/>
      <c r="AO132" s="56"/>
      <c r="AP132" s="68"/>
    </row>
    <row r="133" spans="3:42" x14ac:dyDescent="0.2">
      <c r="C133" s="67"/>
      <c r="D133" s="67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68"/>
      <c r="P133" s="56"/>
      <c r="Q133" s="56"/>
      <c r="R133" s="56"/>
      <c r="S133" s="56"/>
      <c r="T133" s="68"/>
      <c r="U133" s="56"/>
      <c r="V133" s="56"/>
      <c r="W133" s="68"/>
      <c r="X133" s="56"/>
      <c r="Y133" s="56"/>
      <c r="Z133" s="56"/>
      <c r="AA133" s="68"/>
      <c r="AC133" s="56"/>
      <c r="AD133" s="68"/>
      <c r="AF133" s="56"/>
      <c r="AG133" s="68"/>
      <c r="AI133" s="56"/>
      <c r="AJ133" s="68"/>
      <c r="AL133" s="56"/>
      <c r="AM133" s="68"/>
      <c r="AO133" s="56"/>
      <c r="AP133" s="68"/>
    </row>
    <row r="134" spans="3:42" x14ac:dyDescent="0.2">
      <c r="C134" s="67"/>
      <c r="D134" s="67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68"/>
      <c r="P134" s="56"/>
      <c r="Q134" s="56"/>
      <c r="R134" s="56"/>
      <c r="S134" s="56"/>
      <c r="T134" s="68"/>
      <c r="U134" s="56"/>
      <c r="V134" s="56"/>
      <c r="W134" s="68"/>
      <c r="X134" s="56"/>
      <c r="Y134" s="56"/>
      <c r="Z134" s="56"/>
      <c r="AA134" s="68"/>
      <c r="AC134" s="56"/>
      <c r="AD134" s="68"/>
      <c r="AF134" s="56"/>
      <c r="AG134" s="68"/>
      <c r="AI134" s="56"/>
      <c r="AJ134" s="68"/>
      <c r="AL134" s="56"/>
      <c r="AM134" s="68"/>
      <c r="AO134" s="56"/>
      <c r="AP134" s="68"/>
    </row>
    <row r="135" spans="3:42" x14ac:dyDescent="0.2">
      <c r="C135" s="67"/>
      <c r="D135" s="67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68"/>
      <c r="P135" s="56"/>
      <c r="Q135" s="56"/>
      <c r="R135" s="56"/>
      <c r="S135" s="56"/>
      <c r="T135" s="68"/>
      <c r="U135" s="56"/>
      <c r="V135" s="56"/>
      <c r="W135" s="68"/>
      <c r="X135" s="56"/>
      <c r="Y135" s="56"/>
      <c r="Z135" s="56"/>
      <c r="AA135" s="68"/>
      <c r="AC135" s="56"/>
      <c r="AD135" s="68"/>
      <c r="AF135" s="56"/>
      <c r="AG135" s="68"/>
      <c r="AI135" s="56"/>
      <c r="AJ135" s="68"/>
      <c r="AL135" s="56"/>
      <c r="AM135" s="68"/>
      <c r="AO135" s="56"/>
      <c r="AP135" s="68"/>
    </row>
    <row r="136" spans="3:42" x14ac:dyDescent="0.2">
      <c r="C136" s="67"/>
      <c r="D136" s="6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68"/>
      <c r="P136" s="56"/>
      <c r="Q136" s="56"/>
      <c r="R136" s="56"/>
      <c r="S136" s="56"/>
      <c r="T136" s="68"/>
      <c r="U136" s="56"/>
      <c r="V136" s="56"/>
      <c r="W136" s="68"/>
      <c r="X136" s="56"/>
      <c r="Y136" s="56"/>
      <c r="Z136" s="56"/>
      <c r="AA136" s="68"/>
      <c r="AC136" s="56"/>
      <c r="AD136" s="68"/>
      <c r="AF136" s="56"/>
      <c r="AG136" s="68"/>
      <c r="AI136" s="56"/>
      <c r="AJ136" s="68"/>
      <c r="AL136" s="56"/>
      <c r="AM136" s="68"/>
      <c r="AO136" s="56"/>
      <c r="AP136" s="68"/>
    </row>
    <row r="137" spans="3:42" x14ac:dyDescent="0.2">
      <c r="C137" s="67"/>
      <c r="D137" s="6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68"/>
      <c r="P137" s="56"/>
      <c r="Q137" s="56"/>
      <c r="R137" s="56"/>
      <c r="S137" s="56"/>
      <c r="T137" s="68"/>
      <c r="U137" s="56"/>
      <c r="V137" s="56"/>
      <c r="W137" s="68"/>
      <c r="X137" s="56"/>
      <c r="Y137" s="56"/>
      <c r="Z137" s="56"/>
      <c r="AA137" s="68"/>
      <c r="AC137" s="56"/>
      <c r="AD137" s="68"/>
      <c r="AF137" s="56"/>
      <c r="AG137" s="68"/>
      <c r="AI137" s="56"/>
      <c r="AJ137" s="68"/>
      <c r="AL137" s="56"/>
      <c r="AM137" s="68"/>
      <c r="AO137" s="56"/>
      <c r="AP137" s="68"/>
    </row>
    <row r="138" spans="3:42" x14ac:dyDescent="0.2">
      <c r="C138" s="67"/>
      <c r="D138" s="6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68"/>
      <c r="P138" s="56"/>
      <c r="Q138" s="56"/>
      <c r="R138" s="56"/>
      <c r="S138" s="56"/>
      <c r="T138" s="68"/>
      <c r="U138" s="56"/>
      <c r="V138" s="56"/>
      <c r="W138" s="68"/>
      <c r="X138" s="56"/>
      <c r="Y138" s="56"/>
      <c r="Z138" s="56"/>
      <c r="AA138" s="68"/>
      <c r="AC138" s="56"/>
      <c r="AD138" s="68"/>
      <c r="AF138" s="56"/>
      <c r="AG138" s="68"/>
      <c r="AI138" s="56"/>
      <c r="AJ138" s="68"/>
      <c r="AL138" s="56"/>
      <c r="AM138" s="68"/>
      <c r="AO138" s="56"/>
      <c r="AP138" s="68"/>
    </row>
    <row r="139" spans="3:42" x14ac:dyDescent="0.2">
      <c r="C139" s="67"/>
      <c r="D139" s="6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68"/>
      <c r="P139" s="56"/>
      <c r="Q139" s="56"/>
      <c r="R139" s="56"/>
      <c r="S139" s="56"/>
      <c r="T139" s="68"/>
      <c r="U139" s="56"/>
      <c r="V139" s="56"/>
      <c r="W139" s="68"/>
      <c r="X139" s="56"/>
      <c r="Y139" s="56"/>
      <c r="Z139" s="56"/>
      <c r="AA139" s="68"/>
      <c r="AC139" s="56"/>
      <c r="AD139" s="68"/>
      <c r="AF139" s="56"/>
      <c r="AG139" s="68"/>
      <c r="AI139" s="56"/>
      <c r="AJ139" s="68"/>
      <c r="AL139" s="56"/>
      <c r="AM139" s="68"/>
      <c r="AO139" s="56"/>
      <c r="AP139" s="68"/>
    </row>
    <row r="140" spans="3:42" x14ac:dyDescent="0.2">
      <c r="C140" s="67"/>
      <c r="D140" s="6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68"/>
      <c r="P140" s="56"/>
      <c r="Q140" s="56"/>
      <c r="R140" s="56"/>
      <c r="S140" s="56"/>
      <c r="T140" s="68"/>
      <c r="U140" s="56"/>
      <c r="V140" s="56"/>
      <c r="W140" s="68"/>
      <c r="X140" s="56"/>
      <c r="Y140" s="56"/>
      <c r="Z140" s="56"/>
      <c r="AA140" s="68"/>
      <c r="AC140" s="56"/>
      <c r="AD140" s="68"/>
      <c r="AF140" s="56"/>
      <c r="AG140" s="68"/>
      <c r="AI140" s="56"/>
      <c r="AJ140" s="68"/>
      <c r="AL140" s="56"/>
      <c r="AM140" s="68"/>
      <c r="AO140" s="56"/>
      <c r="AP140" s="68"/>
    </row>
    <row r="141" spans="3:42" x14ac:dyDescent="0.2">
      <c r="C141" s="67"/>
      <c r="D141" s="6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68"/>
      <c r="P141" s="56"/>
      <c r="Q141" s="56"/>
      <c r="R141" s="56"/>
      <c r="S141" s="56"/>
      <c r="T141" s="68"/>
      <c r="U141" s="56"/>
      <c r="V141" s="56"/>
      <c r="W141" s="68"/>
      <c r="X141" s="56"/>
      <c r="Y141" s="56"/>
      <c r="Z141" s="56"/>
      <c r="AA141" s="68"/>
      <c r="AC141" s="56"/>
      <c r="AD141" s="68"/>
      <c r="AF141" s="56"/>
      <c r="AG141" s="68"/>
      <c r="AI141" s="56"/>
      <c r="AJ141" s="68"/>
      <c r="AL141" s="56"/>
      <c r="AM141" s="68"/>
      <c r="AO141" s="56"/>
      <c r="AP141" s="68"/>
    </row>
    <row r="142" spans="3:42" x14ac:dyDescent="0.2">
      <c r="C142" s="67"/>
      <c r="D142" s="6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68"/>
      <c r="P142" s="56"/>
      <c r="Q142" s="56"/>
      <c r="R142" s="56"/>
      <c r="S142" s="56"/>
      <c r="T142" s="68"/>
      <c r="U142" s="56"/>
      <c r="V142" s="56"/>
      <c r="W142" s="68"/>
      <c r="X142" s="56"/>
      <c r="Y142" s="56"/>
      <c r="Z142" s="56"/>
      <c r="AA142" s="68"/>
      <c r="AC142" s="56"/>
      <c r="AD142" s="68"/>
      <c r="AF142" s="56"/>
      <c r="AG142" s="68"/>
      <c r="AI142" s="56"/>
      <c r="AJ142" s="68"/>
      <c r="AL142" s="56"/>
      <c r="AM142" s="68"/>
      <c r="AO142" s="56"/>
      <c r="AP142" s="68"/>
    </row>
    <row r="143" spans="3:42" x14ac:dyDescent="0.2">
      <c r="C143" s="67"/>
      <c r="D143" s="6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68"/>
      <c r="P143" s="56"/>
      <c r="Q143" s="56"/>
      <c r="R143" s="56"/>
      <c r="S143" s="56"/>
      <c r="T143" s="68"/>
      <c r="U143" s="56"/>
      <c r="V143" s="56"/>
      <c r="W143" s="68"/>
      <c r="X143" s="56"/>
      <c r="Y143" s="56"/>
      <c r="Z143" s="56"/>
      <c r="AA143" s="68"/>
      <c r="AC143" s="56"/>
      <c r="AD143" s="68"/>
      <c r="AF143" s="56"/>
      <c r="AG143" s="68"/>
      <c r="AI143" s="56"/>
      <c r="AJ143" s="68"/>
      <c r="AL143" s="56"/>
      <c r="AM143" s="68"/>
      <c r="AO143" s="56"/>
      <c r="AP143" s="68"/>
    </row>
    <row r="144" spans="3:42" x14ac:dyDescent="0.2">
      <c r="C144" s="67"/>
      <c r="D144" s="6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68"/>
      <c r="P144" s="56"/>
      <c r="Q144" s="56"/>
      <c r="R144" s="56"/>
      <c r="S144" s="56"/>
      <c r="T144" s="68"/>
      <c r="U144" s="56"/>
      <c r="V144" s="56"/>
      <c r="W144" s="68"/>
      <c r="X144" s="56"/>
      <c r="Y144" s="56"/>
      <c r="Z144" s="56"/>
      <c r="AA144" s="68"/>
      <c r="AC144" s="56"/>
      <c r="AD144" s="68"/>
      <c r="AF144" s="56"/>
      <c r="AG144" s="68"/>
      <c r="AI144" s="56"/>
      <c r="AJ144" s="68"/>
      <c r="AL144" s="56"/>
      <c r="AM144" s="68"/>
      <c r="AO144" s="56"/>
      <c r="AP144" s="68"/>
    </row>
    <row r="145" spans="3:42" x14ac:dyDescent="0.2">
      <c r="C145" s="67"/>
      <c r="D145" s="6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68"/>
      <c r="P145" s="56"/>
      <c r="Q145" s="56"/>
      <c r="R145" s="56"/>
      <c r="S145" s="56"/>
      <c r="T145" s="68"/>
      <c r="U145" s="56"/>
      <c r="V145" s="56"/>
      <c r="W145" s="68"/>
      <c r="X145" s="56"/>
      <c r="Y145" s="56"/>
      <c r="Z145" s="56"/>
      <c r="AA145" s="68"/>
      <c r="AC145" s="56"/>
      <c r="AD145" s="68"/>
      <c r="AF145" s="56"/>
      <c r="AG145" s="68"/>
      <c r="AI145" s="56"/>
      <c r="AJ145" s="68"/>
      <c r="AL145" s="56"/>
      <c r="AM145" s="68"/>
      <c r="AO145" s="56"/>
      <c r="AP145" s="68"/>
    </row>
    <row r="146" spans="3:42" x14ac:dyDescent="0.2">
      <c r="C146" s="67"/>
      <c r="D146" s="6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68"/>
      <c r="P146" s="56"/>
      <c r="Q146" s="56"/>
      <c r="R146" s="56"/>
      <c r="S146" s="56"/>
      <c r="T146" s="68"/>
      <c r="U146" s="56"/>
      <c r="V146" s="56"/>
      <c r="W146" s="68"/>
      <c r="X146" s="56"/>
      <c r="Y146" s="56"/>
      <c r="Z146" s="56"/>
      <c r="AA146" s="68"/>
      <c r="AC146" s="56"/>
      <c r="AD146" s="68"/>
      <c r="AF146" s="56"/>
      <c r="AG146" s="68"/>
      <c r="AI146" s="56"/>
      <c r="AJ146" s="68"/>
      <c r="AL146" s="56"/>
      <c r="AM146" s="68"/>
      <c r="AO146" s="56"/>
      <c r="AP146" s="68"/>
    </row>
    <row r="147" spans="3:42" x14ac:dyDescent="0.2">
      <c r="C147" s="67"/>
      <c r="D147" s="6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68"/>
      <c r="P147" s="56"/>
      <c r="Q147" s="56"/>
      <c r="R147" s="56"/>
      <c r="S147" s="56"/>
      <c r="T147" s="68"/>
      <c r="U147" s="56"/>
      <c r="V147" s="56"/>
      <c r="W147" s="68"/>
      <c r="X147" s="56"/>
      <c r="Y147" s="56"/>
      <c r="Z147" s="56"/>
      <c r="AA147" s="68"/>
      <c r="AC147" s="56"/>
      <c r="AD147" s="68"/>
      <c r="AF147" s="56"/>
      <c r="AG147" s="68"/>
      <c r="AI147" s="56"/>
      <c r="AJ147" s="68"/>
      <c r="AL147" s="56"/>
      <c r="AM147" s="68"/>
      <c r="AO147" s="56"/>
      <c r="AP147" s="68"/>
    </row>
    <row r="148" spans="3:42" x14ac:dyDescent="0.2">
      <c r="C148" s="67"/>
      <c r="D148" s="6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68"/>
      <c r="P148" s="56"/>
      <c r="Q148" s="56"/>
      <c r="R148" s="56"/>
      <c r="S148" s="56"/>
      <c r="T148" s="68"/>
      <c r="U148" s="56"/>
      <c r="V148" s="56"/>
      <c r="W148" s="68"/>
      <c r="X148" s="56"/>
      <c r="Y148" s="56"/>
      <c r="Z148" s="56"/>
      <c r="AA148" s="68"/>
      <c r="AC148" s="56"/>
      <c r="AD148" s="68"/>
      <c r="AF148" s="56"/>
      <c r="AG148" s="68"/>
      <c r="AI148" s="56"/>
      <c r="AJ148" s="68"/>
      <c r="AL148" s="56"/>
      <c r="AM148" s="68"/>
      <c r="AO148" s="56"/>
      <c r="AP148" s="68"/>
    </row>
    <row r="149" spans="3:42" x14ac:dyDescent="0.2">
      <c r="C149" s="67"/>
      <c r="D149" s="6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68"/>
      <c r="P149" s="56"/>
      <c r="Q149" s="56"/>
      <c r="R149" s="56"/>
      <c r="S149" s="56"/>
      <c r="T149" s="68"/>
      <c r="U149" s="56"/>
      <c r="V149" s="56"/>
      <c r="W149" s="68"/>
      <c r="X149" s="56"/>
      <c r="Y149" s="56"/>
      <c r="Z149" s="56"/>
      <c r="AA149" s="68"/>
      <c r="AC149" s="56"/>
      <c r="AD149" s="68"/>
      <c r="AF149" s="56"/>
      <c r="AG149" s="68"/>
      <c r="AI149" s="56"/>
      <c r="AJ149" s="68"/>
      <c r="AL149" s="56"/>
      <c r="AM149" s="68"/>
      <c r="AO149" s="56"/>
      <c r="AP149" s="68"/>
    </row>
    <row r="150" spans="3:42" x14ac:dyDescent="0.2">
      <c r="C150" s="67"/>
      <c r="D150" s="6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68"/>
      <c r="P150" s="56"/>
      <c r="Q150" s="56"/>
      <c r="R150" s="56"/>
      <c r="S150" s="56"/>
      <c r="T150" s="68"/>
      <c r="U150" s="56"/>
      <c r="V150" s="56"/>
      <c r="W150" s="68"/>
      <c r="X150" s="56"/>
      <c r="Y150" s="56"/>
      <c r="Z150" s="56"/>
      <c r="AA150" s="68"/>
      <c r="AC150" s="56"/>
      <c r="AD150" s="68"/>
      <c r="AF150" s="56"/>
      <c r="AG150" s="68"/>
      <c r="AI150" s="56"/>
      <c r="AJ150" s="68"/>
      <c r="AL150" s="56"/>
      <c r="AM150" s="68"/>
      <c r="AO150" s="56"/>
      <c r="AP150" s="68"/>
    </row>
    <row r="151" spans="3:42" x14ac:dyDescent="0.2">
      <c r="C151" s="67"/>
      <c r="D151" s="6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68"/>
      <c r="P151" s="56"/>
      <c r="Q151" s="56"/>
      <c r="R151" s="56"/>
      <c r="S151" s="56"/>
      <c r="T151" s="68"/>
      <c r="U151" s="56"/>
      <c r="V151" s="56"/>
      <c r="W151" s="68"/>
      <c r="X151" s="56"/>
      <c r="Y151" s="56"/>
      <c r="Z151" s="56"/>
      <c r="AA151" s="68"/>
      <c r="AC151" s="56"/>
      <c r="AD151" s="68"/>
      <c r="AF151" s="56"/>
      <c r="AG151" s="68"/>
      <c r="AI151" s="56"/>
      <c r="AJ151" s="68"/>
      <c r="AL151" s="56"/>
      <c r="AM151" s="68"/>
      <c r="AO151" s="56"/>
      <c r="AP151" s="68"/>
    </row>
    <row r="152" spans="3:42" x14ac:dyDescent="0.2">
      <c r="C152" s="67"/>
      <c r="D152" s="6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68"/>
      <c r="P152" s="56"/>
      <c r="Q152" s="56"/>
      <c r="R152" s="56"/>
      <c r="S152" s="56"/>
      <c r="T152" s="68"/>
      <c r="U152" s="56"/>
      <c r="V152" s="56"/>
      <c r="W152" s="68"/>
      <c r="X152" s="56"/>
      <c r="Y152" s="56"/>
      <c r="Z152" s="56"/>
      <c r="AA152" s="68"/>
      <c r="AC152" s="56"/>
      <c r="AD152" s="68"/>
      <c r="AF152" s="56"/>
      <c r="AG152" s="68"/>
      <c r="AI152" s="56"/>
      <c r="AJ152" s="68"/>
      <c r="AL152" s="56"/>
      <c r="AM152" s="68"/>
      <c r="AO152" s="56"/>
      <c r="AP152" s="68"/>
    </row>
    <row r="153" spans="3:42" x14ac:dyDescent="0.2">
      <c r="C153" s="67"/>
      <c r="D153" s="6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68"/>
      <c r="P153" s="56"/>
      <c r="Q153" s="56"/>
      <c r="R153" s="56"/>
      <c r="S153" s="56"/>
      <c r="T153" s="68"/>
      <c r="U153" s="56"/>
      <c r="V153" s="56"/>
      <c r="W153" s="68"/>
      <c r="X153" s="56"/>
      <c r="Y153" s="56"/>
      <c r="Z153" s="56"/>
      <c r="AA153" s="68"/>
      <c r="AC153" s="56"/>
      <c r="AD153" s="68"/>
      <c r="AF153" s="56"/>
      <c r="AG153" s="68"/>
      <c r="AI153" s="56"/>
      <c r="AJ153" s="68"/>
      <c r="AL153" s="56"/>
      <c r="AM153" s="68"/>
      <c r="AO153" s="56"/>
      <c r="AP153" s="68"/>
    </row>
    <row r="154" spans="3:42" x14ac:dyDescent="0.2">
      <c r="C154" s="67"/>
      <c r="D154" s="6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68"/>
      <c r="P154" s="56"/>
      <c r="Q154" s="56"/>
      <c r="R154" s="56"/>
      <c r="S154" s="56"/>
      <c r="T154" s="68"/>
      <c r="U154" s="56"/>
      <c r="V154" s="56"/>
      <c r="W154" s="68"/>
      <c r="X154" s="56"/>
      <c r="Y154" s="56"/>
      <c r="Z154" s="56"/>
      <c r="AA154" s="68"/>
      <c r="AC154" s="56"/>
      <c r="AD154" s="68"/>
      <c r="AF154" s="56"/>
      <c r="AG154" s="68"/>
      <c r="AI154" s="56"/>
      <c r="AJ154" s="68"/>
      <c r="AL154" s="56"/>
      <c r="AM154" s="68"/>
      <c r="AO154" s="56"/>
      <c r="AP154" s="68"/>
    </row>
    <row r="155" spans="3:42" x14ac:dyDescent="0.2">
      <c r="C155" s="67"/>
      <c r="D155" s="6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68"/>
      <c r="P155" s="56"/>
      <c r="Q155" s="56"/>
      <c r="R155" s="56"/>
      <c r="S155" s="56"/>
      <c r="T155" s="68"/>
      <c r="U155" s="56"/>
      <c r="V155" s="56"/>
      <c r="W155" s="68"/>
      <c r="X155" s="56"/>
      <c r="Y155" s="56"/>
      <c r="Z155" s="56"/>
      <c r="AA155" s="68"/>
      <c r="AC155" s="56"/>
      <c r="AD155" s="68"/>
      <c r="AF155" s="56"/>
      <c r="AG155" s="68"/>
      <c r="AI155" s="56"/>
      <c r="AJ155" s="68"/>
      <c r="AL155" s="56"/>
      <c r="AM155" s="68"/>
      <c r="AO155" s="56"/>
      <c r="AP155" s="68"/>
    </row>
    <row r="156" spans="3:42" x14ac:dyDescent="0.2">
      <c r="C156" s="67"/>
      <c r="D156" s="6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68"/>
      <c r="P156" s="56"/>
      <c r="Q156" s="56"/>
      <c r="R156" s="56"/>
      <c r="S156" s="56"/>
      <c r="T156" s="68"/>
      <c r="U156" s="56"/>
      <c r="V156" s="56"/>
      <c r="W156" s="68"/>
      <c r="X156" s="56"/>
      <c r="Y156" s="56"/>
      <c r="Z156" s="56"/>
      <c r="AA156" s="68"/>
      <c r="AC156" s="56"/>
      <c r="AD156" s="68"/>
      <c r="AF156" s="56"/>
      <c r="AG156" s="68"/>
      <c r="AI156" s="56"/>
      <c r="AJ156" s="68"/>
      <c r="AL156" s="56"/>
      <c r="AM156" s="68"/>
      <c r="AO156" s="56"/>
      <c r="AP156" s="68"/>
    </row>
    <row r="157" spans="3:42" x14ac:dyDescent="0.2">
      <c r="C157" s="67"/>
      <c r="D157" s="6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68"/>
      <c r="P157" s="56"/>
      <c r="Q157" s="56"/>
      <c r="R157" s="56"/>
      <c r="S157" s="56"/>
      <c r="T157" s="68"/>
      <c r="U157" s="56"/>
      <c r="V157" s="56"/>
      <c r="W157" s="68"/>
      <c r="X157" s="56"/>
      <c r="Y157" s="56"/>
      <c r="Z157" s="56"/>
      <c r="AA157" s="68"/>
      <c r="AC157" s="56"/>
      <c r="AD157" s="68"/>
      <c r="AF157" s="56"/>
      <c r="AG157" s="68"/>
      <c r="AI157" s="56"/>
      <c r="AJ157" s="68"/>
      <c r="AL157" s="56"/>
      <c r="AM157" s="68"/>
      <c r="AO157" s="56"/>
      <c r="AP157" s="68"/>
    </row>
    <row r="158" spans="3:42" x14ac:dyDescent="0.2">
      <c r="C158" s="67"/>
      <c r="D158" s="6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68"/>
      <c r="P158" s="56"/>
      <c r="Q158" s="56"/>
      <c r="R158" s="56"/>
      <c r="S158" s="56"/>
      <c r="T158" s="68"/>
      <c r="U158" s="56"/>
      <c r="V158" s="56"/>
      <c r="W158" s="68"/>
      <c r="X158" s="56"/>
      <c r="Y158" s="56"/>
      <c r="Z158" s="56"/>
      <c r="AA158" s="68"/>
      <c r="AC158" s="56"/>
      <c r="AD158" s="68"/>
      <c r="AF158" s="56"/>
      <c r="AG158" s="68"/>
      <c r="AI158" s="56"/>
      <c r="AJ158" s="68"/>
      <c r="AL158" s="56"/>
      <c r="AM158" s="68"/>
      <c r="AO158" s="56"/>
      <c r="AP158" s="68"/>
    </row>
    <row r="159" spans="3:42" x14ac:dyDescent="0.2">
      <c r="C159" s="67"/>
      <c r="D159" s="6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68"/>
      <c r="P159" s="56"/>
      <c r="Q159" s="56"/>
      <c r="R159" s="56"/>
      <c r="S159" s="56"/>
      <c r="T159" s="68"/>
      <c r="U159" s="56"/>
      <c r="V159" s="56"/>
      <c r="W159" s="68"/>
      <c r="X159" s="56"/>
      <c r="Y159" s="56"/>
      <c r="Z159" s="56"/>
      <c r="AA159" s="68"/>
      <c r="AC159" s="56"/>
      <c r="AD159" s="68"/>
      <c r="AF159" s="56"/>
      <c r="AG159" s="68"/>
      <c r="AI159" s="56"/>
      <c r="AJ159" s="68"/>
      <c r="AL159" s="56"/>
      <c r="AM159" s="68"/>
      <c r="AO159" s="56"/>
      <c r="AP159" s="68"/>
    </row>
    <row r="160" spans="3:42" x14ac:dyDescent="0.2">
      <c r="C160" s="67"/>
      <c r="D160" s="6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68"/>
      <c r="P160" s="56"/>
      <c r="Q160" s="56"/>
      <c r="R160" s="56"/>
      <c r="S160" s="56"/>
      <c r="T160" s="68"/>
      <c r="U160" s="56"/>
      <c r="V160" s="56"/>
      <c r="W160" s="68"/>
      <c r="X160" s="56"/>
      <c r="Y160" s="56"/>
      <c r="Z160" s="56"/>
      <c r="AA160" s="68"/>
      <c r="AC160" s="56"/>
      <c r="AD160" s="68"/>
      <c r="AF160" s="56"/>
      <c r="AG160" s="68"/>
      <c r="AI160" s="56"/>
      <c r="AJ160" s="68"/>
      <c r="AL160" s="56"/>
      <c r="AM160" s="68"/>
      <c r="AO160" s="56"/>
      <c r="AP160" s="68"/>
    </row>
    <row r="161" spans="3:42" x14ac:dyDescent="0.2">
      <c r="C161" s="67"/>
      <c r="D161" s="6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68"/>
      <c r="P161" s="56"/>
      <c r="Q161" s="56"/>
      <c r="R161" s="56"/>
      <c r="S161" s="56"/>
      <c r="T161" s="68"/>
      <c r="U161" s="56"/>
      <c r="V161" s="56"/>
      <c r="W161" s="68"/>
      <c r="X161" s="56"/>
      <c r="Y161" s="56"/>
      <c r="Z161" s="56"/>
      <c r="AA161" s="68"/>
      <c r="AC161" s="56"/>
      <c r="AD161" s="68"/>
      <c r="AF161" s="56"/>
      <c r="AG161" s="68"/>
      <c r="AI161" s="56"/>
      <c r="AJ161" s="68"/>
      <c r="AL161" s="56"/>
      <c r="AM161" s="68"/>
      <c r="AO161" s="56"/>
      <c r="AP161" s="68"/>
    </row>
    <row r="162" spans="3:42" x14ac:dyDescent="0.2">
      <c r="C162" s="67"/>
      <c r="D162" s="6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68"/>
      <c r="P162" s="56"/>
      <c r="Q162" s="56"/>
      <c r="R162" s="56"/>
      <c r="S162" s="56"/>
      <c r="T162" s="68"/>
      <c r="U162" s="56"/>
      <c r="V162" s="56"/>
      <c r="W162" s="68"/>
      <c r="X162" s="56"/>
      <c r="Y162" s="56"/>
      <c r="Z162" s="56"/>
      <c r="AA162" s="68"/>
      <c r="AC162" s="56"/>
      <c r="AD162" s="68"/>
      <c r="AF162" s="56"/>
      <c r="AG162" s="68"/>
      <c r="AI162" s="56"/>
      <c r="AJ162" s="68"/>
      <c r="AL162" s="56"/>
      <c r="AM162" s="68"/>
      <c r="AO162" s="56"/>
      <c r="AP162" s="68"/>
    </row>
    <row r="163" spans="3:42" x14ac:dyDescent="0.2">
      <c r="C163" s="67"/>
      <c r="D163" s="6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68"/>
      <c r="P163" s="56"/>
      <c r="Q163" s="56"/>
      <c r="R163" s="56"/>
      <c r="S163" s="56"/>
      <c r="T163" s="68"/>
      <c r="U163" s="56"/>
      <c r="V163" s="56"/>
      <c r="W163" s="68"/>
      <c r="X163" s="56"/>
      <c r="Y163" s="56"/>
      <c r="Z163" s="56"/>
      <c r="AA163" s="68"/>
      <c r="AC163" s="56"/>
      <c r="AD163" s="68"/>
      <c r="AF163" s="56"/>
      <c r="AG163" s="68"/>
      <c r="AI163" s="56"/>
      <c r="AJ163" s="68"/>
      <c r="AL163" s="56"/>
      <c r="AM163" s="68"/>
      <c r="AO163" s="56"/>
      <c r="AP163" s="68"/>
    </row>
    <row r="164" spans="3:42" x14ac:dyDescent="0.2">
      <c r="C164" s="67"/>
      <c r="D164" s="6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68"/>
      <c r="P164" s="56"/>
      <c r="Q164" s="56"/>
      <c r="R164" s="56"/>
      <c r="S164" s="56"/>
      <c r="T164" s="68"/>
      <c r="U164" s="56"/>
      <c r="V164" s="56"/>
      <c r="W164" s="68"/>
      <c r="X164" s="56"/>
      <c r="Y164" s="56"/>
      <c r="Z164" s="56"/>
      <c r="AA164" s="68"/>
      <c r="AC164" s="56"/>
      <c r="AD164" s="68"/>
      <c r="AF164" s="56"/>
      <c r="AG164" s="68"/>
      <c r="AI164" s="56"/>
      <c r="AJ164" s="68"/>
      <c r="AL164" s="56"/>
      <c r="AM164" s="68"/>
      <c r="AO164" s="56"/>
      <c r="AP164" s="68"/>
    </row>
    <row r="165" spans="3:42" x14ac:dyDescent="0.2">
      <c r="C165" s="67"/>
      <c r="D165" s="6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68"/>
      <c r="P165" s="56"/>
      <c r="Q165" s="56"/>
      <c r="R165" s="56"/>
      <c r="S165" s="56"/>
      <c r="T165" s="68"/>
      <c r="U165" s="56"/>
      <c r="V165" s="56"/>
      <c r="W165" s="68"/>
      <c r="X165" s="56"/>
      <c r="Y165" s="56"/>
      <c r="Z165" s="56"/>
      <c r="AA165" s="68"/>
      <c r="AC165" s="56"/>
      <c r="AD165" s="68"/>
      <c r="AF165" s="56"/>
      <c r="AG165" s="68"/>
      <c r="AI165" s="56"/>
      <c r="AJ165" s="68"/>
      <c r="AL165" s="56"/>
      <c r="AM165" s="68"/>
      <c r="AO165" s="56"/>
      <c r="AP165" s="68"/>
    </row>
    <row r="166" spans="3:42" x14ac:dyDescent="0.2">
      <c r="C166" s="67"/>
      <c r="D166" s="6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68"/>
      <c r="P166" s="56"/>
      <c r="Q166" s="56"/>
      <c r="R166" s="56"/>
      <c r="S166" s="56"/>
      <c r="T166" s="68"/>
      <c r="U166" s="56"/>
      <c r="V166" s="56"/>
      <c r="W166" s="68"/>
      <c r="X166" s="56"/>
      <c r="Y166" s="56"/>
      <c r="Z166" s="56"/>
      <c r="AA166" s="68"/>
      <c r="AC166" s="56"/>
      <c r="AD166" s="68"/>
      <c r="AF166" s="56"/>
      <c r="AG166" s="68"/>
      <c r="AI166" s="56"/>
      <c r="AJ166" s="68"/>
      <c r="AL166" s="56"/>
      <c r="AM166" s="68"/>
      <c r="AO166" s="56"/>
      <c r="AP166" s="68"/>
    </row>
    <row r="167" spans="3:42" x14ac:dyDescent="0.2">
      <c r="C167" s="67"/>
      <c r="D167" s="6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68"/>
      <c r="P167" s="56"/>
      <c r="Q167" s="56"/>
      <c r="R167" s="56"/>
      <c r="S167" s="56"/>
      <c r="T167" s="68"/>
      <c r="U167" s="56"/>
      <c r="V167" s="56"/>
      <c r="W167" s="68"/>
      <c r="X167" s="56"/>
      <c r="Y167" s="56"/>
      <c r="Z167" s="56"/>
      <c r="AA167" s="68"/>
      <c r="AC167" s="56"/>
      <c r="AD167" s="68"/>
      <c r="AF167" s="56"/>
      <c r="AG167" s="68"/>
      <c r="AI167" s="56"/>
      <c r="AJ167" s="68"/>
      <c r="AL167" s="56"/>
      <c r="AM167" s="68"/>
      <c r="AO167" s="56"/>
      <c r="AP167" s="68"/>
    </row>
    <row r="168" spans="3:42" x14ac:dyDescent="0.2">
      <c r="C168" s="67"/>
      <c r="D168" s="6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68"/>
      <c r="P168" s="56"/>
      <c r="Q168" s="56"/>
      <c r="R168" s="56"/>
      <c r="S168" s="56"/>
      <c r="T168" s="68"/>
      <c r="U168" s="56"/>
      <c r="V168" s="56"/>
      <c r="W168" s="68"/>
      <c r="X168" s="56"/>
      <c r="Y168" s="56"/>
      <c r="Z168" s="56"/>
      <c r="AA168" s="68"/>
      <c r="AC168" s="56"/>
      <c r="AD168" s="68"/>
      <c r="AF168" s="56"/>
      <c r="AG168" s="68"/>
      <c r="AI168" s="56"/>
      <c r="AJ168" s="68"/>
      <c r="AL168" s="56"/>
      <c r="AM168" s="68"/>
      <c r="AO168" s="56"/>
      <c r="AP168" s="68"/>
    </row>
    <row r="169" spans="3:42" x14ac:dyDescent="0.2">
      <c r="C169" s="67"/>
      <c r="D169" s="6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68"/>
      <c r="P169" s="56"/>
      <c r="Q169" s="56"/>
      <c r="R169" s="56"/>
      <c r="S169" s="56"/>
      <c r="T169" s="68"/>
      <c r="U169" s="56"/>
      <c r="V169" s="56"/>
      <c r="W169" s="68"/>
      <c r="X169" s="56"/>
      <c r="Y169" s="56"/>
      <c r="Z169" s="56"/>
      <c r="AA169" s="68"/>
      <c r="AC169" s="56"/>
      <c r="AD169" s="68"/>
      <c r="AF169" s="56"/>
      <c r="AG169" s="68"/>
      <c r="AI169" s="56"/>
      <c r="AJ169" s="68"/>
      <c r="AL169" s="56"/>
      <c r="AM169" s="68"/>
      <c r="AO169" s="56"/>
      <c r="AP169" s="68"/>
    </row>
    <row r="170" spans="3:42" x14ac:dyDescent="0.2">
      <c r="C170" s="67"/>
      <c r="D170" s="6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68"/>
      <c r="P170" s="56"/>
      <c r="Q170" s="56"/>
      <c r="R170" s="56"/>
      <c r="S170" s="56"/>
      <c r="T170" s="68"/>
      <c r="U170" s="56"/>
      <c r="V170" s="56"/>
      <c r="W170" s="68"/>
      <c r="X170" s="56"/>
      <c r="Y170" s="56"/>
      <c r="Z170" s="56"/>
      <c r="AA170" s="68"/>
      <c r="AC170" s="56"/>
      <c r="AD170" s="68"/>
      <c r="AF170" s="56"/>
      <c r="AG170" s="68"/>
      <c r="AI170" s="56"/>
      <c r="AJ170" s="68"/>
      <c r="AL170" s="56"/>
      <c r="AM170" s="68"/>
      <c r="AO170" s="56"/>
      <c r="AP170" s="68"/>
    </row>
    <row r="171" spans="3:42" x14ac:dyDescent="0.2">
      <c r="C171" s="67"/>
      <c r="D171" s="6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68"/>
      <c r="P171" s="56"/>
      <c r="Q171" s="56"/>
      <c r="R171" s="56"/>
      <c r="S171" s="56"/>
      <c r="T171" s="68"/>
      <c r="U171" s="56"/>
      <c r="V171" s="56"/>
      <c r="W171" s="68"/>
      <c r="X171" s="56"/>
      <c r="Y171" s="56"/>
      <c r="Z171" s="56"/>
      <c r="AA171" s="68"/>
      <c r="AC171" s="56"/>
      <c r="AD171" s="68"/>
      <c r="AF171" s="56"/>
      <c r="AG171" s="68"/>
      <c r="AI171" s="56"/>
      <c r="AJ171" s="68"/>
      <c r="AL171" s="56"/>
      <c r="AM171" s="68"/>
      <c r="AO171" s="56"/>
      <c r="AP171" s="68"/>
    </row>
    <row r="172" spans="3:42" x14ac:dyDescent="0.2">
      <c r="C172" s="67"/>
      <c r="D172" s="6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68"/>
      <c r="P172" s="56"/>
      <c r="Q172" s="56"/>
      <c r="R172" s="56"/>
      <c r="S172" s="56"/>
      <c r="T172" s="68"/>
      <c r="U172" s="56"/>
      <c r="V172" s="56"/>
      <c r="W172" s="68"/>
      <c r="X172" s="56"/>
      <c r="Y172" s="56"/>
      <c r="Z172" s="56"/>
      <c r="AA172" s="68"/>
      <c r="AC172" s="56"/>
      <c r="AD172" s="68"/>
      <c r="AF172" s="56"/>
      <c r="AG172" s="68"/>
      <c r="AI172" s="56"/>
      <c r="AJ172" s="68"/>
      <c r="AL172" s="56"/>
      <c r="AM172" s="68"/>
      <c r="AO172" s="56"/>
      <c r="AP172" s="68"/>
    </row>
    <row r="173" spans="3:42" x14ac:dyDescent="0.2">
      <c r="C173" s="67"/>
      <c r="D173" s="6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68"/>
      <c r="P173" s="56"/>
      <c r="Q173" s="56"/>
      <c r="R173" s="56"/>
      <c r="S173" s="56"/>
      <c r="T173" s="68"/>
      <c r="U173" s="56"/>
      <c r="V173" s="56"/>
      <c r="W173" s="68"/>
      <c r="X173" s="56"/>
      <c r="Y173" s="56"/>
      <c r="Z173" s="56"/>
      <c r="AA173" s="68"/>
      <c r="AC173" s="56"/>
      <c r="AD173" s="68"/>
      <c r="AF173" s="56"/>
      <c r="AG173" s="68"/>
      <c r="AI173" s="56"/>
      <c r="AJ173" s="68"/>
      <c r="AL173" s="56"/>
      <c r="AM173" s="68"/>
      <c r="AO173" s="56"/>
      <c r="AP173" s="68"/>
    </row>
    <row r="174" spans="3:42" x14ac:dyDescent="0.2">
      <c r="C174" s="67"/>
      <c r="D174" s="6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68"/>
      <c r="P174" s="56"/>
      <c r="Q174" s="56"/>
      <c r="R174" s="56"/>
      <c r="S174" s="56"/>
      <c r="T174" s="68"/>
      <c r="U174" s="56"/>
      <c r="V174" s="56"/>
      <c r="W174" s="68"/>
      <c r="X174" s="56"/>
      <c r="Y174" s="56"/>
      <c r="Z174" s="56"/>
      <c r="AA174" s="68"/>
      <c r="AC174" s="56"/>
      <c r="AD174" s="68"/>
      <c r="AF174" s="56"/>
      <c r="AG174" s="68"/>
      <c r="AI174" s="56"/>
      <c r="AJ174" s="68"/>
      <c r="AL174" s="56"/>
      <c r="AM174" s="68"/>
      <c r="AO174" s="56"/>
      <c r="AP174" s="68"/>
    </row>
    <row r="175" spans="3:42" x14ac:dyDescent="0.2">
      <c r="C175" s="67"/>
      <c r="D175" s="67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68"/>
      <c r="P175" s="56"/>
      <c r="Q175" s="56"/>
      <c r="R175" s="56"/>
      <c r="S175" s="56"/>
      <c r="T175" s="68"/>
      <c r="U175" s="56"/>
      <c r="V175" s="56"/>
      <c r="W175" s="68"/>
      <c r="X175" s="56"/>
      <c r="Y175" s="56"/>
      <c r="Z175" s="56"/>
      <c r="AA175" s="68"/>
      <c r="AC175" s="56"/>
      <c r="AD175" s="68"/>
      <c r="AF175" s="56"/>
      <c r="AG175" s="68"/>
      <c r="AI175" s="56"/>
      <c r="AJ175" s="68"/>
      <c r="AL175" s="56"/>
      <c r="AM175" s="68"/>
      <c r="AO175" s="56"/>
      <c r="AP175" s="68"/>
    </row>
    <row r="176" spans="3:42" x14ac:dyDescent="0.2">
      <c r="C176" s="67"/>
      <c r="D176" s="67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68"/>
      <c r="P176" s="56"/>
      <c r="Q176" s="56"/>
      <c r="R176" s="56"/>
      <c r="S176" s="56"/>
      <c r="T176" s="68"/>
      <c r="U176" s="56"/>
      <c r="V176" s="56"/>
      <c r="W176" s="68"/>
      <c r="X176" s="56"/>
      <c r="Y176" s="56"/>
      <c r="Z176" s="56"/>
      <c r="AA176" s="68"/>
      <c r="AC176" s="56"/>
      <c r="AD176" s="68"/>
      <c r="AF176" s="56"/>
      <c r="AG176" s="68"/>
      <c r="AI176" s="56"/>
      <c r="AJ176" s="68"/>
      <c r="AL176" s="56"/>
      <c r="AM176" s="68"/>
      <c r="AO176" s="56"/>
      <c r="AP176" s="68"/>
    </row>
    <row r="177" spans="3:42" x14ac:dyDescent="0.2">
      <c r="C177" s="67"/>
      <c r="D177" s="67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68"/>
      <c r="P177" s="56"/>
      <c r="Q177" s="56"/>
      <c r="R177" s="56"/>
      <c r="S177" s="56"/>
      <c r="T177" s="68"/>
      <c r="U177" s="56"/>
      <c r="V177" s="56"/>
      <c r="W177" s="68"/>
      <c r="X177" s="56"/>
      <c r="Y177" s="56"/>
      <c r="Z177" s="56"/>
      <c r="AA177" s="68"/>
      <c r="AC177" s="56"/>
      <c r="AD177" s="68"/>
      <c r="AF177" s="56"/>
      <c r="AG177" s="68"/>
      <c r="AI177" s="56"/>
      <c r="AJ177" s="68"/>
      <c r="AL177" s="56"/>
      <c r="AM177" s="68"/>
      <c r="AO177" s="56"/>
      <c r="AP177" s="68"/>
    </row>
    <row r="178" spans="3:42" x14ac:dyDescent="0.2">
      <c r="C178" s="67"/>
      <c r="D178" s="67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68"/>
      <c r="P178" s="56"/>
      <c r="Q178" s="56"/>
      <c r="R178" s="56"/>
      <c r="S178" s="56"/>
      <c r="T178" s="68"/>
      <c r="U178" s="56"/>
      <c r="V178" s="56"/>
      <c r="W178" s="68"/>
      <c r="X178" s="56"/>
      <c r="Y178" s="56"/>
      <c r="Z178" s="56"/>
      <c r="AA178" s="68"/>
      <c r="AC178" s="56"/>
      <c r="AD178" s="68"/>
      <c r="AF178" s="56"/>
      <c r="AG178" s="68"/>
      <c r="AI178" s="56"/>
      <c r="AJ178" s="68"/>
      <c r="AL178" s="56"/>
      <c r="AM178" s="68"/>
      <c r="AO178" s="56"/>
      <c r="AP178" s="68"/>
    </row>
    <row r="179" spans="3:42" x14ac:dyDescent="0.2">
      <c r="C179" s="67"/>
      <c r="D179" s="67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68"/>
      <c r="P179" s="56"/>
      <c r="Q179" s="56"/>
      <c r="R179" s="56"/>
      <c r="S179" s="56"/>
      <c r="T179" s="68"/>
      <c r="U179" s="56"/>
      <c r="V179" s="56"/>
      <c r="W179" s="68"/>
      <c r="X179" s="56"/>
      <c r="Y179" s="56"/>
      <c r="Z179" s="56"/>
      <c r="AA179" s="68"/>
      <c r="AC179" s="56"/>
      <c r="AD179" s="68"/>
      <c r="AF179" s="56"/>
      <c r="AG179" s="68"/>
      <c r="AI179" s="56"/>
      <c r="AJ179" s="68"/>
      <c r="AL179" s="56"/>
      <c r="AM179" s="68"/>
      <c r="AO179" s="56"/>
      <c r="AP179" s="68"/>
    </row>
    <row r="180" spans="3:42" x14ac:dyDescent="0.2">
      <c r="C180" s="67"/>
      <c r="D180" s="67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68"/>
      <c r="P180" s="56"/>
      <c r="Q180" s="56"/>
      <c r="R180" s="56"/>
      <c r="S180" s="56"/>
      <c r="T180" s="68"/>
      <c r="U180" s="56"/>
      <c r="V180" s="56"/>
      <c r="W180" s="68"/>
      <c r="X180" s="56"/>
      <c r="Y180" s="56"/>
      <c r="Z180" s="56"/>
      <c r="AA180" s="68"/>
      <c r="AC180" s="56"/>
      <c r="AD180" s="68"/>
      <c r="AF180" s="56"/>
      <c r="AG180" s="68"/>
      <c r="AI180" s="56"/>
      <c r="AJ180" s="68"/>
      <c r="AL180" s="56"/>
      <c r="AM180" s="68"/>
      <c r="AO180" s="56"/>
      <c r="AP180" s="68"/>
    </row>
    <row r="181" spans="3:42" x14ac:dyDescent="0.2">
      <c r="C181" s="67"/>
      <c r="D181" s="67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68"/>
      <c r="P181" s="56"/>
      <c r="Q181" s="56"/>
      <c r="R181" s="56"/>
      <c r="S181" s="56"/>
      <c r="T181" s="68"/>
      <c r="U181" s="56"/>
      <c r="V181" s="56"/>
      <c r="W181" s="68"/>
      <c r="X181" s="56"/>
      <c r="Y181" s="56"/>
      <c r="Z181" s="56"/>
      <c r="AA181" s="68"/>
      <c r="AC181" s="56"/>
      <c r="AD181" s="68"/>
      <c r="AF181" s="56"/>
      <c r="AG181" s="68"/>
      <c r="AI181" s="56"/>
      <c r="AJ181" s="68"/>
      <c r="AL181" s="56"/>
      <c r="AM181" s="68"/>
      <c r="AO181" s="56"/>
      <c r="AP181" s="68"/>
    </row>
    <row r="182" spans="3:42" x14ac:dyDescent="0.2">
      <c r="C182" s="67"/>
      <c r="D182" s="67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68"/>
      <c r="P182" s="56"/>
      <c r="Q182" s="56"/>
      <c r="R182" s="56"/>
      <c r="S182" s="56"/>
      <c r="T182" s="68"/>
      <c r="U182" s="56"/>
      <c r="V182" s="56"/>
      <c r="W182" s="68"/>
      <c r="X182" s="56"/>
      <c r="Y182" s="56"/>
      <c r="Z182" s="56"/>
      <c r="AA182" s="68"/>
      <c r="AC182" s="56"/>
      <c r="AD182" s="68"/>
      <c r="AF182" s="56"/>
      <c r="AG182" s="68"/>
      <c r="AI182" s="56"/>
      <c r="AJ182" s="68"/>
      <c r="AL182" s="56"/>
      <c r="AM182" s="68"/>
      <c r="AO182" s="56"/>
      <c r="AP182" s="68"/>
    </row>
    <row r="183" spans="3:42" x14ac:dyDescent="0.2">
      <c r="C183" s="67"/>
      <c r="D183" s="67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68"/>
      <c r="P183" s="56"/>
      <c r="Q183" s="56"/>
      <c r="R183" s="56"/>
      <c r="S183" s="56"/>
      <c r="T183" s="68"/>
      <c r="U183" s="56"/>
      <c r="V183" s="56"/>
      <c r="W183" s="68"/>
      <c r="X183" s="56"/>
      <c r="Y183" s="56"/>
      <c r="Z183" s="56"/>
      <c r="AA183" s="68"/>
      <c r="AC183" s="56"/>
      <c r="AD183" s="68"/>
      <c r="AF183" s="56"/>
      <c r="AG183" s="68"/>
      <c r="AI183" s="56"/>
      <c r="AJ183" s="68"/>
      <c r="AL183" s="56"/>
      <c r="AM183" s="68"/>
      <c r="AO183" s="56"/>
      <c r="AP183" s="68"/>
    </row>
    <row r="184" spans="3:42" x14ac:dyDescent="0.2">
      <c r="C184" s="67"/>
      <c r="D184" s="67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68"/>
      <c r="P184" s="56"/>
      <c r="Q184" s="56"/>
      <c r="R184" s="56"/>
      <c r="S184" s="56"/>
      <c r="T184" s="68"/>
      <c r="U184" s="56"/>
      <c r="V184" s="56"/>
      <c r="W184" s="68"/>
      <c r="X184" s="56"/>
      <c r="Y184" s="56"/>
      <c r="Z184" s="56"/>
      <c r="AA184" s="68"/>
      <c r="AC184" s="56"/>
      <c r="AD184" s="68"/>
      <c r="AF184" s="56"/>
      <c r="AG184" s="68"/>
      <c r="AI184" s="56"/>
      <c r="AJ184" s="68"/>
      <c r="AL184" s="56"/>
      <c r="AM184" s="68"/>
      <c r="AO184" s="56"/>
      <c r="AP184" s="68"/>
    </row>
    <row r="185" spans="3:42" x14ac:dyDescent="0.2">
      <c r="C185" s="67"/>
      <c r="D185" s="67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68"/>
      <c r="P185" s="56"/>
      <c r="Q185" s="56"/>
      <c r="R185" s="56"/>
      <c r="S185" s="56"/>
      <c r="T185" s="68"/>
      <c r="U185" s="56"/>
      <c r="V185" s="56"/>
      <c r="W185" s="68"/>
      <c r="X185" s="56"/>
      <c r="Y185" s="56"/>
      <c r="Z185" s="56"/>
      <c r="AA185" s="68"/>
      <c r="AC185" s="56"/>
      <c r="AD185" s="68"/>
      <c r="AF185" s="56"/>
      <c r="AG185" s="68"/>
      <c r="AI185" s="56"/>
      <c r="AJ185" s="68"/>
      <c r="AL185" s="56"/>
      <c r="AM185" s="68"/>
      <c r="AO185" s="56"/>
      <c r="AP185" s="68"/>
    </row>
    <row r="186" spans="3:42" x14ac:dyDescent="0.2">
      <c r="C186" s="67"/>
      <c r="D186" s="67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68"/>
      <c r="P186" s="56"/>
      <c r="Q186" s="56"/>
      <c r="R186" s="56"/>
      <c r="S186" s="56"/>
      <c r="T186" s="68"/>
      <c r="U186" s="56"/>
      <c r="V186" s="56"/>
      <c r="W186" s="68"/>
      <c r="X186" s="56"/>
      <c r="Y186" s="56"/>
      <c r="Z186" s="56"/>
      <c r="AA186" s="68"/>
      <c r="AC186" s="56"/>
      <c r="AD186" s="68"/>
      <c r="AF186" s="56"/>
      <c r="AG186" s="68"/>
      <c r="AI186" s="56"/>
      <c r="AJ186" s="68"/>
      <c r="AL186" s="56"/>
      <c r="AM186" s="68"/>
      <c r="AO186" s="56"/>
      <c r="AP186" s="68"/>
    </row>
    <row r="187" spans="3:42" x14ac:dyDescent="0.2">
      <c r="C187" s="67"/>
      <c r="D187" s="67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68"/>
      <c r="P187" s="56"/>
      <c r="Q187" s="56"/>
      <c r="R187" s="56"/>
      <c r="S187" s="56"/>
      <c r="T187" s="68"/>
      <c r="U187" s="56"/>
      <c r="V187" s="56"/>
      <c r="W187" s="68"/>
      <c r="X187" s="56"/>
      <c r="Y187" s="56"/>
      <c r="Z187" s="56"/>
      <c r="AA187" s="68"/>
      <c r="AC187" s="56"/>
      <c r="AD187" s="68"/>
      <c r="AF187" s="56"/>
      <c r="AG187" s="68"/>
      <c r="AI187" s="56"/>
      <c r="AJ187" s="68"/>
      <c r="AL187" s="56"/>
      <c r="AM187" s="68"/>
      <c r="AO187" s="56"/>
      <c r="AP187" s="68"/>
    </row>
    <row r="188" spans="3:42" x14ac:dyDescent="0.2">
      <c r="C188" s="67"/>
      <c r="D188" s="67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68"/>
      <c r="P188" s="56"/>
      <c r="Q188" s="56"/>
      <c r="R188" s="56"/>
      <c r="S188" s="56"/>
      <c r="T188" s="68"/>
      <c r="U188" s="56"/>
      <c r="V188" s="56"/>
      <c r="W188" s="68"/>
      <c r="X188" s="56"/>
      <c r="Y188" s="56"/>
      <c r="Z188" s="56"/>
      <c r="AA188" s="68"/>
      <c r="AC188" s="56"/>
      <c r="AD188" s="68"/>
      <c r="AF188" s="56"/>
      <c r="AG188" s="68"/>
      <c r="AI188" s="56"/>
      <c r="AJ188" s="68"/>
      <c r="AL188" s="56"/>
      <c r="AM188" s="68"/>
      <c r="AO188" s="56"/>
      <c r="AP188" s="68"/>
    </row>
    <row r="189" spans="3:42" x14ac:dyDescent="0.2">
      <c r="C189" s="67"/>
      <c r="D189" s="67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68"/>
      <c r="P189" s="56"/>
      <c r="Q189" s="56"/>
      <c r="R189" s="56"/>
      <c r="S189" s="56"/>
      <c r="T189" s="68"/>
      <c r="U189" s="56"/>
      <c r="V189" s="56"/>
      <c r="W189" s="68"/>
      <c r="X189" s="56"/>
      <c r="Y189" s="56"/>
      <c r="Z189" s="56"/>
      <c r="AA189" s="68"/>
      <c r="AC189" s="56"/>
      <c r="AD189" s="68"/>
      <c r="AF189" s="56"/>
      <c r="AG189" s="68"/>
      <c r="AI189" s="56"/>
      <c r="AJ189" s="68"/>
      <c r="AL189" s="56"/>
      <c r="AM189" s="68"/>
      <c r="AO189" s="56"/>
      <c r="AP189" s="68"/>
    </row>
    <row r="190" spans="3:42" x14ac:dyDescent="0.2">
      <c r="C190" s="67"/>
      <c r="D190" s="67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68"/>
      <c r="P190" s="56"/>
      <c r="Q190" s="56"/>
      <c r="R190" s="56"/>
      <c r="S190" s="56"/>
      <c r="T190" s="68"/>
      <c r="U190" s="56"/>
      <c r="V190" s="56"/>
      <c r="W190" s="68"/>
      <c r="X190" s="56"/>
      <c r="Y190" s="56"/>
      <c r="Z190" s="56"/>
      <c r="AA190" s="68"/>
      <c r="AC190" s="56"/>
      <c r="AD190" s="68"/>
      <c r="AF190" s="56"/>
      <c r="AG190" s="68"/>
      <c r="AI190" s="56"/>
      <c r="AJ190" s="68"/>
      <c r="AL190" s="56"/>
      <c r="AM190" s="68"/>
      <c r="AO190" s="56"/>
      <c r="AP190" s="68"/>
    </row>
    <row r="191" spans="3:42" x14ac:dyDescent="0.2">
      <c r="C191" s="67"/>
      <c r="D191" s="67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68"/>
      <c r="P191" s="56"/>
      <c r="Q191" s="56"/>
      <c r="R191" s="56"/>
      <c r="S191" s="56"/>
      <c r="T191" s="68"/>
      <c r="U191" s="56"/>
      <c r="V191" s="56"/>
      <c r="W191" s="68"/>
      <c r="X191" s="56"/>
      <c r="Y191" s="56"/>
      <c r="Z191" s="56"/>
      <c r="AA191" s="68"/>
      <c r="AC191" s="56"/>
      <c r="AD191" s="68"/>
      <c r="AF191" s="56"/>
      <c r="AG191" s="68"/>
      <c r="AI191" s="56"/>
      <c r="AJ191" s="68"/>
      <c r="AL191" s="56"/>
      <c r="AM191" s="68"/>
      <c r="AO191" s="56"/>
      <c r="AP191" s="68"/>
    </row>
    <row r="192" spans="3:42" x14ac:dyDescent="0.2">
      <c r="C192" s="67"/>
      <c r="D192" s="67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68"/>
      <c r="P192" s="56"/>
      <c r="Q192" s="56"/>
      <c r="R192" s="56"/>
      <c r="S192" s="56"/>
      <c r="T192" s="68"/>
      <c r="U192" s="56"/>
      <c r="V192" s="56"/>
      <c r="W192" s="68"/>
      <c r="X192" s="56"/>
      <c r="Y192" s="56"/>
      <c r="Z192" s="56"/>
      <c r="AA192" s="68"/>
      <c r="AC192" s="56"/>
      <c r="AD192" s="68"/>
      <c r="AF192" s="56"/>
      <c r="AG192" s="68"/>
      <c r="AI192" s="56"/>
      <c r="AJ192" s="68"/>
      <c r="AL192" s="56"/>
      <c r="AM192" s="68"/>
      <c r="AO192" s="56"/>
      <c r="AP192" s="68"/>
    </row>
    <row r="193" spans="3:42" x14ac:dyDescent="0.2">
      <c r="C193" s="67"/>
      <c r="D193" s="67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68"/>
      <c r="P193" s="56"/>
      <c r="Q193" s="56"/>
      <c r="R193" s="56"/>
      <c r="S193" s="56"/>
      <c r="T193" s="68"/>
      <c r="U193" s="56"/>
      <c r="V193" s="56"/>
      <c r="W193" s="68"/>
      <c r="X193" s="56"/>
      <c r="Y193" s="56"/>
      <c r="Z193" s="56"/>
      <c r="AA193" s="68"/>
      <c r="AC193" s="56"/>
      <c r="AD193" s="68"/>
      <c r="AF193" s="56"/>
      <c r="AG193" s="68"/>
      <c r="AI193" s="56"/>
      <c r="AJ193" s="68"/>
      <c r="AL193" s="56"/>
      <c r="AM193" s="68"/>
      <c r="AO193" s="56"/>
      <c r="AP193" s="68"/>
    </row>
    <row r="194" spans="3:42" x14ac:dyDescent="0.2">
      <c r="C194" s="67"/>
      <c r="D194" s="67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68"/>
      <c r="P194" s="56"/>
      <c r="Q194" s="56"/>
      <c r="R194" s="56"/>
      <c r="S194" s="56"/>
      <c r="T194" s="68"/>
      <c r="U194" s="56"/>
      <c r="V194" s="56"/>
      <c r="W194" s="68"/>
      <c r="X194" s="56"/>
      <c r="Y194" s="56"/>
      <c r="Z194" s="56"/>
      <c r="AA194" s="68"/>
      <c r="AC194" s="56"/>
      <c r="AD194" s="68"/>
      <c r="AF194" s="56"/>
      <c r="AG194" s="68"/>
      <c r="AI194" s="56"/>
      <c r="AJ194" s="68"/>
      <c r="AL194" s="56"/>
      <c r="AM194" s="68"/>
      <c r="AO194" s="56"/>
      <c r="AP194" s="68"/>
    </row>
    <row r="195" spans="3:42" x14ac:dyDescent="0.2">
      <c r="C195" s="67"/>
      <c r="D195" s="67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68"/>
      <c r="P195" s="56"/>
      <c r="Q195" s="56"/>
      <c r="R195" s="56"/>
      <c r="S195" s="56"/>
      <c r="T195" s="68"/>
      <c r="U195" s="56"/>
      <c r="V195" s="56"/>
      <c r="W195" s="68"/>
      <c r="X195" s="56"/>
      <c r="Y195" s="56"/>
      <c r="Z195" s="56"/>
      <c r="AA195" s="68"/>
      <c r="AC195" s="56"/>
      <c r="AD195" s="68"/>
      <c r="AF195" s="56"/>
      <c r="AG195" s="68"/>
      <c r="AI195" s="56"/>
      <c r="AJ195" s="68"/>
      <c r="AL195" s="56"/>
      <c r="AM195" s="68"/>
      <c r="AO195" s="56"/>
      <c r="AP195" s="68"/>
    </row>
    <row r="196" spans="3:42" x14ac:dyDescent="0.2">
      <c r="C196" s="67"/>
      <c r="D196" s="67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68"/>
      <c r="P196" s="56"/>
      <c r="Q196" s="56"/>
      <c r="R196" s="56"/>
      <c r="S196" s="56"/>
      <c r="T196" s="68"/>
      <c r="U196" s="56"/>
      <c r="V196" s="56"/>
      <c r="W196" s="68"/>
      <c r="X196" s="56"/>
      <c r="Y196" s="56"/>
      <c r="Z196" s="56"/>
      <c r="AA196" s="68"/>
      <c r="AC196" s="56"/>
      <c r="AD196" s="68"/>
      <c r="AF196" s="56"/>
      <c r="AG196" s="68"/>
      <c r="AI196" s="56"/>
      <c r="AJ196" s="68"/>
      <c r="AL196" s="56"/>
      <c r="AM196" s="68"/>
      <c r="AO196" s="56"/>
      <c r="AP196" s="68"/>
    </row>
    <row r="197" spans="3:42" x14ac:dyDescent="0.2">
      <c r="C197" s="67"/>
      <c r="D197" s="67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68"/>
      <c r="P197" s="56"/>
      <c r="Q197" s="56"/>
      <c r="R197" s="56"/>
      <c r="S197" s="56"/>
      <c r="T197" s="68"/>
      <c r="U197" s="56"/>
      <c r="V197" s="56"/>
      <c r="W197" s="68"/>
      <c r="X197" s="56"/>
      <c r="Y197" s="56"/>
      <c r="Z197" s="56"/>
      <c r="AA197" s="68"/>
      <c r="AC197" s="56"/>
      <c r="AD197" s="68"/>
      <c r="AF197" s="56"/>
      <c r="AG197" s="68"/>
      <c r="AI197" s="56"/>
      <c r="AJ197" s="68"/>
      <c r="AL197" s="56"/>
      <c r="AM197" s="68"/>
      <c r="AO197" s="56"/>
      <c r="AP197" s="68"/>
    </row>
    <row r="198" spans="3:42" x14ac:dyDescent="0.2">
      <c r="C198" s="67"/>
      <c r="D198" s="67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68"/>
      <c r="P198" s="56"/>
      <c r="Q198" s="56"/>
      <c r="R198" s="56"/>
      <c r="S198" s="56"/>
      <c r="T198" s="68"/>
      <c r="U198" s="56"/>
      <c r="V198" s="56"/>
      <c r="W198" s="68"/>
      <c r="X198" s="56"/>
      <c r="Y198" s="56"/>
      <c r="Z198" s="56"/>
      <c r="AA198" s="68"/>
      <c r="AC198" s="56"/>
      <c r="AD198" s="68"/>
      <c r="AF198" s="56"/>
      <c r="AG198" s="68"/>
      <c r="AI198" s="56"/>
      <c r="AJ198" s="68"/>
      <c r="AL198" s="56"/>
      <c r="AM198" s="68"/>
      <c r="AO198" s="56"/>
      <c r="AP198" s="68"/>
    </row>
    <row r="199" spans="3:42" x14ac:dyDescent="0.2">
      <c r="C199" s="67"/>
      <c r="D199" s="67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68"/>
      <c r="P199" s="56"/>
      <c r="Q199" s="56"/>
      <c r="R199" s="56"/>
      <c r="S199" s="56"/>
      <c r="T199" s="68"/>
      <c r="U199" s="56"/>
      <c r="V199" s="56"/>
      <c r="W199" s="68"/>
      <c r="X199" s="56"/>
      <c r="Y199" s="56"/>
      <c r="Z199" s="56"/>
      <c r="AA199" s="68"/>
      <c r="AC199" s="56"/>
      <c r="AD199" s="68"/>
      <c r="AF199" s="56"/>
      <c r="AG199" s="68"/>
      <c r="AI199" s="56"/>
      <c r="AJ199" s="68"/>
      <c r="AL199" s="56"/>
      <c r="AM199" s="68"/>
      <c r="AO199" s="56"/>
      <c r="AP199" s="68"/>
    </row>
    <row r="200" spans="3:42" x14ac:dyDescent="0.2">
      <c r="C200" s="67"/>
      <c r="D200" s="67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8"/>
      <c r="P200" s="56"/>
      <c r="Q200" s="56"/>
      <c r="R200" s="56"/>
      <c r="S200" s="56"/>
      <c r="T200" s="68"/>
      <c r="U200" s="56"/>
      <c r="V200" s="56"/>
      <c r="W200" s="68"/>
      <c r="X200" s="56"/>
      <c r="Y200" s="56"/>
      <c r="Z200" s="56"/>
      <c r="AA200" s="68"/>
      <c r="AC200" s="56"/>
      <c r="AD200" s="68"/>
      <c r="AF200" s="56"/>
      <c r="AG200" s="68"/>
      <c r="AI200" s="56"/>
      <c r="AJ200" s="68"/>
      <c r="AL200" s="56"/>
      <c r="AM200" s="68"/>
      <c r="AO200" s="56"/>
      <c r="AP200" s="68"/>
    </row>
    <row r="201" spans="3:42" x14ac:dyDescent="0.2">
      <c r="C201" s="67"/>
      <c r="D201" s="67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8"/>
      <c r="P201" s="56"/>
      <c r="Q201" s="56"/>
      <c r="R201" s="56"/>
      <c r="S201" s="56"/>
      <c r="T201" s="68"/>
      <c r="U201" s="56"/>
      <c r="V201" s="56"/>
      <c r="W201" s="68"/>
      <c r="X201" s="56"/>
      <c r="Y201" s="56"/>
      <c r="Z201" s="56"/>
      <c r="AA201" s="68"/>
      <c r="AC201" s="56"/>
      <c r="AD201" s="68"/>
      <c r="AF201" s="56"/>
      <c r="AG201" s="68"/>
      <c r="AI201" s="56"/>
      <c r="AJ201" s="68"/>
      <c r="AL201" s="56"/>
      <c r="AM201" s="68"/>
      <c r="AO201" s="56"/>
      <c r="AP201" s="68"/>
    </row>
    <row r="202" spans="3:42" x14ac:dyDescent="0.2">
      <c r="C202" s="67"/>
      <c r="D202" s="67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68"/>
      <c r="P202" s="56"/>
      <c r="Q202" s="56"/>
      <c r="R202" s="56"/>
      <c r="S202" s="56"/>
      <c r="T202" s="68"/>
      <c r="U202" s="56"/>
      <c r="V202" s="56"/>
      <c r="W202" s="68"/>
      <c r="X202" s="56"/>
      <c r="Y202" s="56"/>
      <c r="Z202" s="56"/>
      <c r="AA202" s="68"/>
      <c r="AC202" s="56"/>
      <c r="AD202" s="68"/>
      <c r="AF202" s="56"/>
      <c r="AG202" s="68"/>
      <c r="AI202" s="56"/>
      <c r="AJ202" s="68"/>
      <c r="AL202" s="56"/>
      <c r="AM202" s="68"/>
      <c r="AO202" s="56"/>
      <c r="AP202" s="68"/>
    </row>
    <row r="203" spans="3:42" x14ac:dyDescent="0.2">
      <c r="C203" s="67"/>
      <c r="D203" s="67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68"/>
      <c r="P203" s="56"/>
      <c r="Q203" s="56"/>
      <c r="R203" s="56"/>
      <c r="S203" s="56"/>
      <c r="T203" s="68"/>
      <c r="U203" s="56"/>
      <c r="V203" s="56"/>
      <c r="W203" s="68"/>
      <c r="X203" s="56"/>
      <c r="Y203" s="56"/>
      <c r="Z203" s="56"/>
      <c r="AA203" s="68"/>
      <c r="AC203" s="56"/>
      <c r="AD203" s="68"/>
      <c r="AF203" s="56"/>
      <c r="AG203" s="68"/>
      <c r="AI203" s="56"/>
      <c r="AJ203" s="68"/>
      <c r="AL203" s="56"/>
      <c r="AM203" s="68"/>
      <c r="AO203" s="56"/>
      <c r="AP203" s="68"/>
    </row>
    <row r="204" spans="3:42" x14ac:dyDescent="0.2">
      <c r="C204" s="67"/>
      <c r="D204" s="67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68"/>
      <c r="P204" s="56"/>
      <c r="Q204" s="56"/>
      <c r="R204" s="56"/>
      <c r="S204" s="56"/>
      <c r="T204" s="68"/>
      <c r="U204" s="56"/>
      <c r="V204" s="56"/>
      <c r="W204" s="68"/>
      <c r="X204" s="56"/>
      <c r="Y204" s="56"/>
      <c r="Z204" s="56"/>
      <c r="AA204" s="68"/>
      <c r="AC204" s="56"/>
      <c r="AD204" s="68"/>
      <c r="AF204" s="56"/>
      <c r="AG204" s="68"/>
      <c r="AI204" s="56"/>
      <c r="AJ204" s="68"/>
      <c r="AL204" s="56"/>
      <c r="AM204" s="68"/>
      <c r="AO204" s="56"/>
      <c r="AP204" s="68"/>
    </row>
    <row r="205" spans="3:42" x14ac:dyDescent="0.2">
      <c r="C205" s="67"/>
      <c r="D205" s="67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68"/>
      <c r="P205" s="56"/>
      <c r="Q205" s="56"/>
      <c r="R205" s="56"/>
      <c r="S205" s="56"/>
      <c r="T205" s="68"/>
      <c r="U205" s="56"/>
      <c r="V205" s="56"/>
      <c r="W205" s="68"/>
      <c r="X205" s="56"/>
      <c r="Y205" s="56"/>
      <c r="Z205" s="56"/>
      <c r="AA205" s="68"/>
      <c r="AC205" s="56"/>
      <c r="AD205" s="68"/>
      <c r="AF205" s="56"/>
      <c r="AG205" s="68"/>
      <c r="AI205" s="56"/>
      <c r="AJ205" s="68"/>
      <c r="AL205" s="56"/>
      <c r="AM205" s="68"/>
      <c r="AO205" s="56"/>
      <c r="AP205" s="68"/>
    </row>
    <row r="206" spans="3:42" x14ac:dyDescent="0.2">
      <c r="C206" s="67"/>
      <c r="D206" s="67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68"/>
      <c r="P206" s="56"/>
      <c r="Q206" s="56"/>
      <c r="R206" s="56"/>
      <c r="S206" s="56"/>
      <c r="T206" s="68"/>
      <c r="U206" s="56"/>
      <c r="V206" s="56"/>
      <c r="W206" s="68"/>
      <c r="X206" s="56"/>
      <c r="Y206" s="56"/>
      <c r="Z206" s="56"/>
      <c r="AA206" s="68"/>
      <c r="AC206" s="56"/>
      <c r="AD206" s="68"/>
      <c r="AF206" s="56"/>
      <c r="AG206" s="68"/>
      <c r="AI206" s="56"/>
      <c r="AJ206" s="68"/>
      <c r="AL206" s="56"/>
      <c r="AM206" s="68"/>
      <c r="AO206" s="56"/>
      <c r="AP206" s="68"/>
    </row>
    <row r="207" spans="3:42" x14ac:dyDescent="0.2">
      <c r="C207" s="67"/>
      <c r="D207" s="67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68"/>
      <c r="P207" s="56"/>
      <c r="Q207" s="56"/>
      <c r="R207" s="56"/>
      <c r="S207" s="56"/>
      <c r="T207" s="68"/>
      <c r="U207" s="56"/>
      <c r="V207" s="56"/>
      <c r="W207" s="68"/>
      <c r="X207" s="56"/>
      <c r="Y207" s="56"/>
      <c r="Z207" s="56"/>
      <c r="AA207" s="68"/>
      <c r="AC207" s="56"/>
      <c r="AD207" s="68"/>
      <c r="AF207" s="56"/>
      <c r="AG207" s="68"/>
      <c r="AI207" s="56"/>
      <c r="AJ207" s="68"/>
      <c r="AL207" s="56"/>
      <c r="AM207" s="68"/>
      <c r="AO207" s="56"/>
      <c r="AP207" s="68"/>
    </row>
    <row r="208" spans="3:42" x14ac:dyDescent="0.2">
      <c r="C208" s="67"/>
      <c r="D208" s="67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68"/>
      <c r="P208" s="56"/>
      <c r="Q208" s="56"/>
      <c r="R208" s="56"/>
      <c r="S208" s="56"/>
      <c r="T208" s="68"/>
      <c r="U208" s="56"/>
      <c r="V208" s="56"/>
      <c r="W208" s="68"/>
      <c r="X208" s="56"/>
      <c r="Y208" s="56"/>
      <c r="Z208" s="56"/>
      <c r="AA208" s="68"/>
      <c r="AC208" s="56"/>
      <c r="AD208" s="68"/>
      <c r="AF208" s="56"/>
      <c r="AG208" s="68"/>
      <c r="AI208" s="56"/>
      <c r="AJ208" s="68"/>
      <c r="AL208" s="56"/>
      <c r="AM208" s="68"/>
      <c r="AO208" s="56"/>
      <c r="AP208" s="68"/>
    </row>
    <row r="209" spans="3:42" x14ac:dyDescent="0.2">
      <c r="C209" s="67"/>
      <c r="D209" s="67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68"/>
      <c r="P209" s="56"/>
      <c r="Q209" s="56"/>
      <c r="R209" s="56"/>
      <c r="S209" s="56"/>
      <c r="T209" s="68"/>
      <c r="U209" s="56"/>
      <c r="V209" s="56"/>
      <c r="W209" s="68"/>
      <c r="X209" s="56"/>
      <c r="Y209" s="56"/>
      <c r="Z209" s="56"/>
      <c r="AA209" s="68"/>
      <c r="AC209" s="56"/>
      <c r="AD209" s="68"/>
      <c r="AF209" s="56"/>
      <c r="AG209" s="68"/>
      <c r="AI209" s="56"/>
      <c r="AJ209" s="68"/>
      <c r="AL209" s="56"/>
      <c r="AM209" s="68"/>
      <c r="AO209" s="56"/>
      <c r="AP209" s="68"/>
    </row>
    <row r="210" spans="3:42" x14ac:dyDescent="0.2">
      <c r="C210" s="67"/>
      <c r="D210" s="67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68"/>
      <c r="P210" s="56"/>
      <c r="Q210" s="56"/>
      <c r="R210" s="56"/>
      <c r="S210" s="56"/>
      <c r="T210" s="68"/>
      <c r="U210" s="56"/>
      <c r="V210" s="56"/>
      <c r="W210" s="68"/>
      <c r="X210" s="56"/>
      <c r="Y210" s="56"/>
      <c r="Z210" s="56"/>
      <c r="AA210" s="68"/>
      <c r="AC210" s="56"/>
      <c r="AD210" s="68"/>
      <c r="AF210" s="56"/>
      <c r="AG210" s="68"/>
      <c r="AI210" s="56"/>
      <c r="AJ210" s="68"/>
      <c r="AL210" s="56"/>
      <c r="AM210" s="68"/>
      <c r="AO210" s="56"/>
      <c r="AP210" s="68"/>
    </row>
    <row r="211" spans="3:42" x14ac:dyDescent="0.2">
      <c r="C211" s="67"/>
      <c r="D211" s="67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68"/>
      <c r="P211" s="56"/>
      <c r="Q211" s="56"/>
      <c r="R211" s="56"/>
      <c r="S211" s="56"/>
      <c r="T211" s="68"/>
      <c r="U211" s="56"/>
      <c r="V211" s="56"/>
      <c r="W211" s="68"/>
      <c r="X211" s="56"/>
      <c r="Y211" s="56"/>
      <c r="Z211" s="56"/>
      <c r="AA211" s="68"/>
      <c r="AC211" s="56"/>
      <c r="AD211" s="68"/>
      <c r="AF211" s="56"/>
      <c r="AG211" s="68"/>
      <c r="AI211" s="56"/>
      <c r="AJ211" s="68"/>
      <c r="AL211" s="56"/>
      <c r="AM211" s="68"/>
      <c r="AO211" s="56"/>
      <c r="AP211" s="68"/>
    </row>
    <row r="212" spans="3:42" x14ac:dyDescent="0.2">
      <c r="C212" s="67"/>
      <c r="D212" s="67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8"/>
      <c r="P212" s="56"/>
      <c r="Q212" s="56"/>
      <c r="R212" s="56"/>
      <c r="S212" s="56"/>
      <c r="T212" s="68"/>
      <c r="U212" s="56"/>
      <c r="V212" s="56"/>
      <c r="W212" s="68"/>
      <c r="X212" s="56"/>
      <c r="Y212" s="56"/>
      <c r="Z212" s="56"/>
      <c r="AA212" s="68"/>
      <c r="AC212" s="56"/>
      <c r="AD212" s="68"/>
      <c r="AF212" s="56"/>
      <c r="AG212" s="68"/>
      <c r="AI212" s="56"/>
      <c r="AJ212" s="68"/>
      <c r="AL212" s="56"/>
      <c r="AM212" s="68"/>
      <c r="AO212" s="56"/>
      <c r="AP212" s="68"/>
    </row>
    <row r="213" spans="3:42" x14ac:dyDescent="0.2">
      <c r="C213" s="67"/>
      <c r="D213" s="67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68"/>
      <c r="P213" s="56"/>
      <c r="Q213" s="56"/>
      <c r="R213" s="56"/>
      <c r="S213" s="56"/>
      <c r="T213" s="68"/>
      <c r="U213" s="56"/>
      <c r="V213" s="56"/>
      <c r="W213" s="68"/>
      <c r="X213" s="56"/>
      <c r="Y213" s="56"/>
      <c r="Z213" s="56"/>
      <c r="AA213" s="68"/>
      <c r="AC213" s="56"/>
      <c r="AD213" s="68"/>
      <c r="AF213" s="56"/>
      <c r="AG213" s="68"/>
      <c r="AI213" s="56"/>
      <c r="AJ213" s="68"/>
      <c r="AL213" s="56"/>
      <c r="AM213" s="68"/>
      <c r="AO213" s="56"/>
      <c r="AP213" s="68"/>
    </row>
    <row r="214" spans="3:42" x14ac:dyDescent="0.2">
      <c r="C214" s="67"/>
      <c r="D214" s="67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68"/>
      <c r="P214" s="56"/>
      <c r="Q214" s="56"/>
      <c r="R214" s="56"/>
      <c r="S214" s="56"/>
      <c r="T214" s="68"/>
      <c r="U214" s="56"/>
      <c r="V214" s="56"/>
      <c r="W214" s="68"/>
      <c r="X214" s="56"/>
      <c r="Y214" s="56"/>
      <c r="Z214" s="56"/>
      <c r="AA214" s="68"/>
      <c r="AC214" s="56"/>
      <c r="AD214" s="68"/>
      <c r="AF214" s="56"/>
      <c r="AG214" s="68"/>
      <c r="AI214" s="56"/>
      <c r="AJ214" s="68"/>
      <c r="AL214" s="56"/>
      <c r="AM214" s="68"/>
      <c r="AO214" s="56"/>
      <c r="AP214" s="68"/>
    </row>
    <row r="215" spans="3:42" x14ac:dyDescent="0.2">
      <c r="C215" s="67"/>
      <c r="D215" s="67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68"/>
      <c r="P215" s="56"/>
      <c r="Q215" s="56"/>
      <c r="R215" s="56"/>
      <c r="S215" s="56"/>
      <c r="T215" s="68"/>
      <c r="U215" s="56"/>
      <c r="V215" s="56"/>
      <c r="W215" s="68"/>
      <c r="X215" s="56"/>
      <c r="Y215" s="56"/>
      <c r="Z215" s="56"/>
      <c r="AA215" s="68"/>
      <c r="AC215" s="56"/>
      <c r="AD215" s="68"/>
      <c r="AF215" s="56"/>
      <c r="AG215" s="68"/>
      <c r="AI215" s="56"/>
      <c r="AJ215" s="68"/>
      <c r="AL215" s="56"/>
      <c r="AM215" s="68"/>
      <c r="AO215" s="56"/>
      <c r="AP215" s="68"/>
    </row>
    <row r="216" spans="3:42" x14ac:dyDescent="0.2">
      <c r="C216" s="67"/>
      <c r="D216" s="67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68"/>
      <c r="P216" s="56"/>
      <c r="Q216" s="56"/>
      <c r="R216" s="56"/>
      <c r="S216" s="56"/>
      <c r="T216" s="68"/>
      <c r="U216" s="56"/>
      <c r="V216" s="56"/>
      <c r="W216" s="68"/>
      <c r="X216" s="56"/>
      <c r="Y216" s="56"/>
      <c r="Z216" s="56"/>
      <c r="AA216" s="68"/>
      <c r="AC216" s="56"/>
      <c r="AD216" s="68"/>
      <c r="AF216" s="56"/>
      <c r="AG216" s="68"/>
      <c r="AI216" s="56"/>
      <c r="AJ216" s="68"/>
      <c r="AL216" s="56"/>
      <c r="AM216" s="68"/>
      <c r="AO216" s="56"/>
      <c r="AP216" s="68"/>
    </row>
    <row r="217" spans="3:42" x14ac:dyDescent="0.2">
      <c r="C217" s="67"/>
      <c r="D217" s="67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68"/>
      <c r="P217" s="56"/>
      <c r="Q217" s="56"/>
      <c r="R217" s="56"/>
      <c r="S217" s="56"/>
      <c r="T217" s="68"/>
      <c r="U217" s="56"/>
      <c r="V217" s="56"/>
      <c r="W217" s="68"/>
      <c r="X217" s="56"/>
      <c r="Y217" s="56"/>
      <c r="Z217" s="56"/>
      <c r="AA217" s="68"/>
      <c r="AC217" s="56"/>
      <c r="AD217" s="68"/>
      <c r="AF217" s="56"/>
      <c r="AG217" s="68"/>
      <c r="AI217" s="56"/>
      <c r="AJ217" s="68"/>
      <c r="AL217" s="56"/>
      <c r="AM217" s="68"/>
      <c r="AO217" s="56"/>
      <c r="AP217" s="68"/>
    </row>
    <row r="218" spans="3:42" x14ac:dyDescent="0.2">
      <c r="C218" s="67"/>
      <c r="D218" s="67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68"/>
      <c r="P218" s="56"/>
      <c r="Q218" s="56"/>
      <c r="R218" s="56"/>
      <c r="S218" s="56"/>
      <c r="T218" s="68"/>
      <c r="U218" s="56"/>
      <c r="V218" s="56"/>
      <c r="W218" s="68"/>
      <c r="X218" s="56"/>
      <c r="Y218" s="56"/>
      <c r="Z218" s="56"/>
      <c r="AA218" s="68"/>
      <c r="AC218" s="56"/>
      <c r="AD218" s="68"/>
      <c r="AF218" s="56"/>
      <c r="AG218" s="68"/>
      <c r="AI218" s="56"/>
      <c r="AJ218" s="68"/>
      <c r="AL218" s="56"/>
      <c r="AM218" s="68"/>
      <c r="AO218" s="56"/>
      <c r="AP218" s="68"/>
    </row>
    <row r="219" spans="3:42" x14ac:dyDescent="0.2">
      <c r="C219" s="67"/>
      <c r="D219" s="67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68"/>
      <c r="P219" s="56"/>
      <c r="Q219" s="56"/>
      <c r="R219" s="56"/>
      <c r="S219" s="56"/>
      <c r="T219" s="68"/>
      <c r="U219" s="56"/>
      <c r="V219" s="56"/>
      <c r="W219" s="68"/>
      <c r="X219" s="56"/>
      <c r="Y219" s="56"/>
      <c r="Z219" s="56"/>
      <c r="AA219" s="68"/>
      <c r="AC219" s="56"/>
      <c r="AD219" s="68"/>
      <c r="AF219" s="56"/>
      <c r="AG219" s="68"/>
      <c r="AI219" s="56"/>
      <c r="AJ219" s="68"/>
      <c r="AL219" s="56"/>
      <c r="AM219" s="68"/>
      <c r="AO219" s="56"/>
      <c r="AP219" s="68"/>
    </row>
    <row r="220" spans="3:42" x14ac:dyDescent="0.2">
      <c r="C220" s="67"/>
      <c r="D220" s="67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68"/>
      <c r="P220" s="56"/>
      <c r="Q220" s="56"/>
      <c r="R220" s="56"/>
      <c r="S220" s="56"/>
      <c r="T220" s="68"/>
      <c r="U220" s="56"/>
      <c r="V220" s="56"/>
      <c r="W220" s="68"/>
      <c r="X220" s="56"/>
      <c r="Y220" s="56"/>
      <c r="Z220" s="56"/>
      <c r="AA220" s="68"/>
      <c r="AC220" s="56"/>
      <c r="AD220" s="68"/>
      <c r="AF220" s="56"/>
      <c r="AG220" s="68"/>
      <c r="AI220" s="56"/>
      <c r="AJ220" s="68"/>
      <c r="AL220" s="56"/>
      <c r="AM220" s="68"/>
      <c r="AO220" s="56"/>
      <c r="AP220" s="68"/>
    </row>
    <row r="221" spans="3:42" x14ac:dyDescent="0.2">
      <c r="C221" s="67"/>
      <c r="D221" s="67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68"/>
      <c r="P221" s="56"/>
      <c r="Q221" s="56"/>
      <c r="R221" s="56"/>
      <c r="S221" s="56"/>
      <c r="T221" s="68"/>
      <c r="U221" s="56"/>
      <c r="V221" s="56"/>
      <c r="W221" s="68"/>
      <c r="X221" s="56"/>
      <c r="Y221" s="56"/>
      <c r="Z221" s="56"/>
      <c r="AA221" s="68"/>
      <c r="AC221" s="56"/>
      <c r="AD221" s="68"/>
      <c r="AF221" s="56"/>
      <c r="AG221" s="68"/>
      <c r="AI221" s="56"/>
      <c r="AJ221" s="68"/>
      <c r="AL221" s="56"/>
      <c r="AM221" s="68"/>
      <c r="AO221" s="56"/>
      <c r="AP221" s="68"/>
    </row>
    <row r="222" spans="3:42" x14ac:dyDescent="0.2">
      <c r="C222" s="67"/>
      <c r="D222" s="67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68"/>
      <c r="P222" s="56"/>
      <c r="Q222" s="56"/>
      <c r="R222" s="56"/>
      <c r="S222" s="56"/>
      <c r="T222" s="68"/>
      <c r="U222" s="56"/>
      <c r="V222" s="56"/>
      <c r="W222" s="68"/>
      <c r="X222" s="56"/>
      <c r="Y222" s="56"/>
      <c r="Z222" s="56"/>
      <c r="AA222" s="68"/>
      <c r="AC222" s="56"/>
      <c r="AD222" s="68"/>
      <c r="AF222" s="56"/>
      <c r="AG222" s="68"/>
      <c r="AI222" s="56"/>
      <c r="AJ222" s="68"/>
      <c r="AL222" s="56"/>
      <c r="AM222" s="68"/>
      <c r="AO222" s="56"/>
      <c r="AP222" s="68"/>
    </row>
    <row r="223" spans="3:42" x14ac:dyDescent="0.2">
      <c r="C223" s="67"/>
      <c r="D223" s="67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68"/>
      <c r="P223" s="56"/>
      <c r="Q223" s="56"/>
      <c r="R223" s="56"/>
      <c r="S223" s="56"/>
      <c r="T223" s="68"/>
      <c r="U223" s="56"/>
      <c r="V223" s="56"/>
      <c r="W223" s="68"/>
      <c r="X223" s="56"/>
      <c r="Y223" s="56"/>
      <c r="Z223" s="56"/>
      <c r="AA223" s="68"/>
      <c r="AC223" s="56"/>
      <c r="AD223" s="68"/>
      <c r="AF223" s="56"/>
      <c r="AG223" s="68"/>
      <c r="AI223" s="56"/>
      <c r="AJ223" s="68"/>
      <c r="AL223" s="56"/>
      <c r="AM223" s="68"/>
      <c r="AO223" s="56"/>
      <c r="AP223" s="68"/>
    </row>
    <row r="224" spans="3:42" x14ac:dyDescent="0.2">
      <c r="C224" s="67"/>
      <c r="D224" s="67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68"/>
      <c r="P224" s="56"/>
      <c r="Q224" s="56"/>
      <c r="R224" s="56"/>
      <c r="S224" s="56"/>
      <c r="T224" s="68"/>
      <c r="U224" s="56"/>
      <c r="V224" s="56"/>
      <c r="W224" s="68"/>
      <c r="X224" s="56"/>
      <c r="Y224" s="56"/>
      <c r="Z224" s="56"/>
      <c r="AA224" s="68"/>
      <c r="AC224" s="56"/>
      <c r="AD224" s="68"/>
      <c r="AF224" s="56"/>
      <c r="AG224" s="68"/>
      <c r="AI224" s="56"/>
      <c r="AJ224" s="68"/>
      <c r="AL224" s="56"/>
      <c r="AM224" s="68"/>
      <c r="AO224" s="56"/>
      <c r="AP224" s="68"/>
    </row>
    <row r="225" spans="3:42" x14ac:dyDescent="0.2">
      <c r="C225" s="67"/>
      <c r="D225" s="67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68"/>
      <c r="P225" s="56"/>
      <c r="Q225" s="56"/>
      <c r="R225" s="56"/>
      <c r="S225" s="56"/>
      <c r="T225" s="68"/>
      <c r="U225" s="56"/>
      <c r="V225" s="56"/>
      <c r="W225" s="68"/>
      <c r="X225" s="56"/>
      <c r="Y225" s="56"/>
      <c r="Z225" s="56"/>
      <c r="AA225" s="68"/>
      <c r="AC225" s="56"/>
      <c r="AD225" s="68"/>
      <c r="AF225" s="56"/>
      <c r="AG225" s="68"/>
      <c r="AI225" s="56"/>
      <c r="AJ225" s="68"/>
      <c r="AL225" s="56"/>
      <c r="AM225" s="68"/>
      <c r="AO225" s="56"/>
      <c r="AP225" s="68"/>
    </row>
    <row r="226" spans="3:42" x14ac:dyDescent="0.2">
      <c r="C226" s="67"/>
      <c r="D226" s="67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68"/>
      <c r="P226" s="56"/>
      <c r="Q226" s="56"/>
      <c r="R226" s="56"/>
      <c r="S226" s="56"/>
      <c r="T226" s="68"/>
      <c r="U226" s="56"/>
      <c r="V226" s="56"/>
      <c r="W226" s="68"/>
      <c r="X226" s="56"/>
      <c r="Y226" s="56"/>
      <c r="Z226" s="56"/>
      <c r="AA226" s="68"/>
      <c r="AC226" s="56"/>
      <c r="AD226" s="68"/>
      <c r="AF226" s="56"/>
      <c r="AG226" s="68"/>
      <c r="AI226" s="56"/>
      <c r="AJ226" s="68"/>
      <c r="AL226" s="56"/>
      <c r="AM226" s="68"/>
      <c r="AO226" s="56"/>
      <c r="AP226" s="68"/>
    </row>
    <row r="227" spans="3:42" x14ac:dyDescent="0.2">
      <c r="C227" s="67"/>
      <c r="D227" s="67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68"/>
      <c r="P227" s="56"/>
      <c r="Q227" s="56"/>
      <c r="R227" s="56"/>
      <c r="S227" s="56"/>
      <c r="T227" s="68"/>
      <c r="U227" s="56"/>
      <c r="V227" s="56"/>
      <c r="W227" s="68"/>
      <c r="X227" s="56"/>
      <c r="Y227" s="56"/>
      <c r="Z227" s="56"/>
      <c r="AA227" s="68"/>
      <c r="AC227" s="56"/>
      <c r="AD227" s="68"/>
      <c r="AF227" s="56"/>
      <c r="AG227" s="68"/>
      <c r="AI227" s="56"/>
      <c r="AJ227" s="68"/>
      <c r="AL227" s="56"/>
      <c r="AM227" s="68"/>
      <c r="AO227" s="56"/>
      <c r="AP227" s="68"/>
    </row>
    <row r="228" spans="3:42" x14ac:dyDescent="0.2">
      <c r="C228" s="67"/>
      <c r="D228" s="67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68"/>
      <c r="P228" s="56"/>
      <c r="Q228" s="56"/>
      <c r="R228" s="56"/>
      <c r="S228" s="56"/>
      <c r="T228" s="68"/>
      <c r="U228" s="56"/>
      <c r="V228" s="56"/>
      <c r="W228" s="68"/>
      <c r="X228" s="56"/>
      <c r="Y228" s="56"/>
      <c r="Z228" s="56"/>
      <c r="AA228" s="68"/>
      <c r="AC228" s="56"/>
      <c r="AD228" s="68"/>
      <c r="AF228" s="56"/>
      <c r="AG228" s="68"/>
      <c r="AI228" s="56"/>
      <c r="AJ228" s="68"/>
      <c r="AL228" s="56"/>
      <c r="AM228" s="68"/>
      <c r="AO228" s="56"/>
      <c r="AP228" s="68"/>
    </row>
    <row r="229" spans="3:42" x14ac:dyDescent="0.2">
      <c r="C229" s="67"/>
      <c r="D229" s="67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68"/>
      <c r="P229" s="56"/>
      <c r="Q229" s="56"/>
      <c r="R229" s="56"/>
      <c r="S229" s="56"/>
      <c r="T229" s="68"/>
      <c r="U229" s="56"/>
      <c r="V229" s="56"/>
      <c r="W229" s="68"/>
      <c r="X229" s="56"/>
      <c r="Y229" s="56"/>
      <c r="Z229" s="56"/>
      <c r="AA229" s="68"/>
      <c r="AC229" s="56"/>
      <c r="AD229" s="68"/>
      <c r="AF229" s="56"/>
      <c r="AG229" s="68"/>
      <c r="AI229" s="56"/>
      <c r="AJ229" s="68"/>
      <c r="AL229" s="56"/>
      <c r="AM229" s="68"/>
      <c r="AO229" s="56"/>
      <c r="AP229" s="68"/>
    </row>
    <row r="230" spans="3:42" x14ac:dyDescent="0.2">
      <c r="C230" s="67"/>
      <c r="D230" s="67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68"/>
      <c r="P230" s="56"/>
      <c r="Q230" s="56"/>
      <c r="R230" s="56"/>
      <c r="S230" s="56"/>
      <c r="T230" s="68"/>
      <c r="U230" s="56"/>
      <c r="V230" s="56"/>
      <c r="W230" s="68"/>
      <c r="X230" s="56"/>
      <c r="Y230" s="56"/>
      <c r="Z230" s="56"/>
      <c r="AA230" s="68"/>
      <c r="AC230" s="56"/>
      <c r="AD230" s="68"/>
      <c r="AF230" s="56"/>
      <c r="AG230" s="68"/>
      <c r="AI230" s="56"/>
      <c r="AJ230" s="68"/>
      <c r="AL230" s="56"/>
      <c r="AM230" s="68"/>
      <c r="AO230" s="56"/>
      <c r="AP230" s="68"/>
    </row>
    <row r="231" spans="3:42" x14ac:dyDescent="0.2">
      <c r="C231" s="67"/>
      <c r="D231" s="67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68"/>
      <c r="P231" s="56"/>
      <c r="Q231" s="56"/>
      <c r="R231" s="56"/>
      <c r="S231" s="56"/>
      <c r="T231" s="68"/>
      <c r="U231" s="56"/>
      <c r="V231" s="56"/>
      <c r="W231" s="68"/>
      <c r="X231" s="56"/>
      <c r="Y231" s="56"/>
      <c r="Z231" s="56"/>
      <c r="AA231" s="68"/>
      <c r="AC231" s="56"/>
      <c r="AD231" s="68"/>
      <c r="AF231" s="56"/>
      <c r="AG231" s="68"/>
      <c r="AI231" s="56"/>
      <c r="AJ231" s="68"/>
      <c r="AL231" s="56"/>
      <c r="AM231" s="68"/>
      <c r="AO231" s="56"/>
      <c r="AP231" s="68"/>
    </row>
    <row r="232" spans="3:42" x14ac:dyDescent="0.2">
      <c r="C232" s="67"/>
      <c r="D232" s="67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68"/>
      <c r="P232" s="56"/>
      <c r="Q232" s="56"/>
      <c r="R232" s="56"/>
      <c r="S232" s="56"/>
      <c r="T232" s="68"/>
      <c r="U232" s="56"/>
      <c r="V232" s="56"/>
      <c r="W232" s="68"/>
      <c r="X232" s="56"/>
      <c r="Y232" s="56"/>
      <c r="Z232" s="56"/>
      <c r="AA232" s="68"/>
      <c r="AC232" s="56"/>
      <c r="AD232" s="68"/>
      <c r="AF232" s="56"/>
      <c r="AG232" s="68"/>
      <c r="AI232" s="56"/>
      <c r="AJ232" s="68"/>
      <c r="AL232" s="56"/>
      <c r="AM232" s="68"/>
      <c r="AO232" s="56"/>
      <c r="AP232" s="68"/>
    </row>
    <row r="233" spans="3:42" x14ac:dyDescent="0.2">
      <c r="C233" s="67"/>
      <c r="D233" s="67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68"/>
      <c r="P233" s="56"/>
      <c r="Q233" s="56"/>
      <c r="R233" s="56"/>
      <c r="S233" s="56"/>
      <c r="T233" s="68"/>
      <c r="U233" s="56"/>
      <c r="V233" s="56"/>
      <c r="W233" s="68"/>
      <c r="X233" s="56"/>
      <c r="Y233" s="56"/>
      <c r="Z233" s="56"/>
      <c r="AA233" s="68"/>
      <c r="AC233" s="56"/>
      <c r="AD233" s="68"/>
      <c r="AF233" s="56"/>
      <c r="AG233" s="68"/>
      <c r="AI233" s="56"/>
      <c r="AJ233" s="68"/>
      <c r="AL233" s="56"/>
      <c r="AM233" s="68"/>
      <c r="AO233" s="56"/>
      <c r="AP233" s="68"/>
    </row>
    <row r="234" spans="3:42" x14ac:dyDescent="0.2">
      <c r="C234" s="67"/>
      <c r="D234" s="67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68"/>
      <c r="P234" s="56"/>
      <c r="Q234" s="56"/>
      <c r="R234" s="56"/>
      <c r="S234" s="56"/>
      <c r="T234" s="68"/>
      <c r="U234" s="56"/>
      <c r="V234" s="56"/>
      <c r="W234" s="68"/>
      <c r="X234" s="56"/>
      <c r="Y234" s="56"/>
      <c r="Z234" s="56"/>
      <c r="AA234" s="68"/>
      <c r="AC234" s="56"/>
      <c r="AD234" s="68"/>
      <c r="AF234" s="56"/>
      <c r="AG234" s="68"/>
      <c r="AI234" s="56"/>
      <c r="AJ234" s="68"/>
      <c r="AL234" s="56"/>
      <c r="AM234" s="68"/>
      <c r="AO234" s="56"/>
      <c r="AP234" s="68"/>
    </row>
    <row r="235" spans="3:42" x14ac:dyDescent="0.2">
      <c r="C235" s="67"/>
      <c r="D235" s="67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68"/>
      <c r="P235" s="56"/>
      <c r="Q235" s="56"/>
      <c r="R235" s="56"/>
      <c r="S235" s="56"/>
      <c r="T235" s="68"/>
      <c r="U235" s="56"/>
      <c r="V235" s="56"/>
      <c r="W235" s="68"/>
      <c r="X235" s="56"/>
      <c r="Y235" s="56"/>
      <c r="Z235" s="56"/>
      <c r="AA235" s="68"/>
      <c r="AC235" s="56"/>
      <c r="AD235" s="68"/>
      <c r="AF235" s="56"/>
      <c r="AG235" s="68"/>
      <c r="AI235" s="56"/>
      <c r="AJ235" s="68"/>
      <c r="AL235" s="56"/>
      <c r="AM235" s="68"/>
      <c r="AO235" s="56"/>
      <c r="AP235" s="68"/>
    </row>
    <row r="236" spans="3:42" x14ac:dyDescent="0.2">
      <c r="C236" s="67"/>
      <c r="D236" s="67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68"/>
      <c r="P236" s="56"/>
      <c r="Q236" s="56"/>
      <c r="R236" s="56"/>
      <c r="S236" s="56"/>
      <c r="T236" s="68"/>
      <c r="U236" s="56"/>
      <c r="V236" s="56"/>
      <c r="W236" s="68"/>
      <c r="X236" s="56"/>
      <c r="Y236" s="56"/>
      <c r="Z236" s="56"/>
      <c r="AA236" s="68"/>
      <c r="AC236" s="56"/>
      <c r="AD236" s="68"/>
      <c r="AF236" s="56"/>
      <c r="AG236" s="68"/>
      <c r="AI236" s="56"/>
      <c r="AJ236" s="68"/>
      <c r="AL236" s="56"/>
      <c r="AM236" s="68"/>
      <c r="AO236" s="56"/>
      <c r="AP236" s="68"/>
    </row>
    <row r="237" spans="3:42" x14ac:dyDescent="0.2">
      <c r="C237" s="67"/>
      <c r="D237" s="67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68"/>
      <c r="P237" s="56"/>
      <c r="Q237" s="56"/>
      <c r="R237" s="56"/>
      <c r="S237" s="56"/>
      <c r="T237" s="68"/>
      <c r="U237" s="56"/>
      <c r="V237" s="56"/>
      <c r="W237" s="68"/>
      <c r="X237" s="56"/>
      <c r="Y237" s="56"/>
      <c r="Z237" s="56"/>
      <c r="AA237" s="68"/>
      <c r="AC237" s="56"/>
      <c r="AD237" s="68"/>
      <c r="AF237" s="56"/>
      <c r="AG237" s="68"/>
      <c r="AI237" s="56"/>
      <c r="AJ237" s="68"/>
      <c r="AL237" s="56"/>
      <c r="AM237" s="68"/>
      <c r="AO237" s="56"/>
      <c r="AP237" s="68"/>
    </row>
    <row r="238" spans="3:42" x14ac:dyDescent="0.2">
      <c r="C238" s="67"/>
      <c r="D238" s="67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68"/>
      <c r="P238" s="56"/>
      <c r="Q238" s="56"/>
      <c r="R238" s="56"/>
      <c r="S238" s="56"/>
      <c r="T238" s="68"/>
      <c r="U238" s="56"/>
      <c r="V238" s="56"/>
      <c r="W238" s="68"/>
      <c r="X238" s="56"/>
      <c r="Y238" s="56"/>
      <c r="Z238" s="56"/>
      <c r="AA238" s="68"/>
      <c r="AC238" s="56"/>
      <c r="AD238" s="68"/>
      <c r="AF238" s="56"/>
      <c r="AG238" s="68"/>
      <c r="AI238" s="56"/>
      <c r="AJ238" s="68"/>
      <c r="AL238" s="56"/>
      <c r="AM238" s="68"/>
      <c r="AO238" s="56"/>
      <c r="AP238" s="68"/>
    </row>
    <row r="239" spans="3:42" x14ac:dyDescent="0.2">
      <c r="C239" s="67"/>
      <c r="D239" s="67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68"/>
      <c r="P239" s="56"/>
      <c r="Q239" s="56"/>
      <c r="R239" s="56"/>
      <c r="S239" s="56"/>
      <c r="T239" s="68"/>
      <c r="U239" s="56"/>
      <c r="V239" s="56"/>
      <c r="W239" s="68"/>
      <c r="X239" s="56"/>
      <c r="Y239" s="56"/>
      <c r="Z239" s="56"/>
      <c r="AA239" s="68"/>
      <c r="AC239" s="56"/>
      <c r="AD239" s="68"/>
      <c r="AF239" s="56"/>
      <c r="AG239" s="68"/>
      <c r="AI239" s="56"/>
      <c r="AJ239" s="68"/>
      <c r="AL239" s="56"/>
      <c r="AM239" s="68"/>
      <c r="AO239" s="56"/>
      <c r="AP239" s="68"/>
    </row>
    <row r="240" spans="3:42" x14ac:dyDescent="0.2">
      <c r="C240" s="67"/>
      <c r="D240" s="67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68"/>
      <c r="P240" s="56"/>
      <c r="Q240" s="56"/>
      <c r="R240" s="56"/>
      <c r="S240" s="56"/>
      <c r="T240" s="68"/>
      <c r="U240" s="56"/>
      <c r="V240" s="56"/>
      <c r="W240" s="68"/>
      <c r="X240" s="56"/>
      <c r="Y240" s="56"/>
      <c r="Z240" s="56"/>
      <c r="AA240" s="68"/>
      <c r="AC240" s="56"/>
      <c r="AD240" s="68"/>
      <c r="AF240" s="56"/>
      <c r="AG240" s="68"/>
      <c r="AI240" s="56"/>
      <c r="AJ240" s="68"/>
      <c r="AL240" s="56"/>
      <c r="AM240" s="68"/>
      <c r="AO240" s="56"/>
      <c r="AP240" s="68"/>
    </row>
    <row r="241" spans="3:42" x14ac:dyDescent="0.2">
      <c r="C241" s="67"/>
      <c r="D241" s="67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68"/>
      <c r="P241" s="56"/>
      <c r="Q241" s="56"/>
      <c r="R241" s="56"/>
      <c r="S241" s="56"/>
      <c r="T241" s="68"/>
      <c r="U241" s="56"/>
      <c r="V241" s="56"/>
      <c r="W241" s="68"/>
      <c r="X241" s="56"/>
      <c r="Y241" s="56"/>
      <c r="Z241" s="56"/>
      <c r="AA241" s="68"/>
      <c r="AC241" s="56"/>
      <c r="AD241" s="68"/>
      <c r="AF241" s="56"/>
      <c r="AG241" s="68"/>
      <c r="AI241" s="56"/>
      <c r="AJ241" s="68"/>
      <c r="AL241" s="56"/>
      <c r="AM241" s="68"/>
      <c r="AO241" s="56"/>
      <c r="AP241" s="68"/>
    </row>
    <row r="242" spans="3:42" x14ac:dyDescent="0.2">
      <c r="C242" s="67"/>
      <c r="D242" s="67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68"/>
      <c r="P242" s="56"/>
      <c r="Q242" s="56"/>
      <c r="R242" s="56"/>
      <c r="S242" s="56"/>
      <c r="T242" s="68"/>
      <c r="U242" s="56"/>
      <c r="V242" s="56"/>
      <c r="W242" s="68"/>
      <c r="X242" s="56"/>
      <c r="Y242" s="56"/>
      <c r="Z242" s="56"/>
      <c r="AA242" s="68"/>
      <c r="AC242" s="56"/>
      <c r="AD242" s="68"/>
      <c r="AF242" s="56"/>
      <c r="AG242" s="68"/>
      <c r="AI242" s="56"/>
      <c r="AJ242" s="68"/>
      <c r="AL242" s="56"/>
      <c r="AM242" s="68"/>
      <c r="AO242" s="56"/>
      <c r="AP242" s="68"/>
    </row>
    <row r="243" spans="3:42" x14ac:dyDescent="0.2">
      <c r="C243" s="67"/>
      <c r="D243" s="67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68"/>
      <c r="P243" s="56"/>
      <c r="Q243" s="56"/>
      <c r="R243" s="56"/>
      <c r="S243" s="56"/>
      <c r="T243" s="68"/>
      <c r="U243" s="56"/>
      <c r="V243" s="56"/>
      <c r="W243" s="68"/>
      <c r="X243" s="56"/>
      <c r="Y243" s="56"/>
      <c r="Z243" s="56"/>
      <c r="AA243" s="68"/>
      <c r="AC243" s="56"/>
      <c r="AD243" s="68"/>
      <c r="AF243" s="56"/>
      <c r="AG243" s="68"/>
      <c r="AI243" s="56"/>
      <c r="AJ243" s="68"/>
      <c r="AL243" s="56"/>
      <c r="AM243" s="68"/>
      <c r="AO243" s="56"/>
      <c r="AP243" s="68"/>
    </row>
    <row r="244" spans="3:42" x14ac:dyDescent="0.2">
      <c r="C244" s="67"/>
      <c r="D244" s="67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68"/>
      <c r="P244" s="56"/>
      <c r="Q244" s="56"/>
      <c r="R244" s="56"/>
      <c r="S244" s="56"/>
      <c r="T244" s="68"/>
      <c r="U244" s="56"/>
      <c r="V244" s="56"/>
      <c r="W244" s="68"/>
      <c r="X244" s="56"/>
      <c r="Y244" s="56"/>
      <c r="Z244" s="56"/>
      <c r="AA244" s="68"/>
      <c r="AC244" s="56"/>
      <c r="AD244" s="68"/>
      <c r="AF244" s="56"/>
      <c r="AG244" s="68"/>
      <c r="AI244" s="56"/>
      <c r="AJ244" s="68"/>
      <c r="AL244" s="56"/>
      <c r="AM244" s="68"/>
      <c r="AO244" s="56"/>
      <c r="AP244" s="68"/>
    </row>
    <row r="245" spans="3:42" x14ac:dyDescent="0.2">
      <c r="C245" s="67"/>
      <c r="D245" s="67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68"/>
      <c r="P245" s="56"/>
      <c r="Q245" s="56"/>
      <c r="R245" s="56"/>
      <c r="S245" s="56"/>
      <c r="T245" s="68"/>
      <c r="U245" s="56"/>
      <c r="V245" s="56"/>
      <c r="W245" s="68"/>
      <c r="X245" s="56"/>
      <c r="Y245" s="56"/>
      <c r="Z245" s="56"/>
      <c r="AA245" s="68"/>
      <c r="AC245" s="56"/>
      <c r="AD245" s="68"/>
      <c r="AF245" s="56"/>
      <c r="AG245" s="68"/>
      <c r="AI245" s="56"/>
      <c r="AJ245" s="68"/>
      <c r="AL245" s="56"/>
      <c r="AM245" s="68"/>
      <c r="AO245" s="56"/>
      <c r="AP245" s="68"/>
    </row>
  </sheetData>
  <mergeCells count="11">
    <mergeCell ref="D39:J39"/>
    <mergeCell ref="R39:Y39"/>
    <mergeCell ref="AK39:AS39"/>
    <mergeCell ref="C2:AT2"/>
    <mergeCell ref="B4:C4"/>
    <mergeCell ref="D36:J36"/>
    <mergeCell ref="R36:Y36"/>
    <mergeCell ref="AK36:AS36"/>
    <mergeCell ref="D38:J38"/>
    <mergeCell ref="R38:Y38"/>
    <mergeCell ref="AK38:AS38"/>
  </mergeCells>
  <printOptions horizontalCentered="1" verticalCentered="1"/>
  <pageMargins left="0" right="7.874015748031496E-2" top="0.78740157480314965" bottom="0.19685039370078741" header="0.39370078740157483" footer="0"/>
  <pageSetup paperSize="256" scale="67" orientation="landscape" r:id="rId1"/>
  <headerFooter differentOddEven="1"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246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U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5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bestFit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6.57031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4.85546875" style="81" hidden="1" customWidth="1"/>
    <col min="42" max="42" width="5.7109375" style="81" hidden="1" customWidth="1"/>
    <col min="43" max="43" width="11.28515625" style="157" hidden="1" customWidth="1"/>
    <col min="44" max="44" width="15.5703125" style="81" hidden="1" customWidth="1"/>
    <col min="45" max="45" width="18.5703125" style="81" customWidth="1"/>
    <col min="46" max="46" width="22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bestFit="1" customWidth="1"/>
    <col min="63" max="65" width="11.42578125" style="81" customWidth="1"/>
    <col min="66" max="16384" width="11.42578125" style="81"/>
  </cols>
  <sheetData>
    <row r="2" spans="1:62" ht="35.25" customHeight="1" x14ac:dyDescent="0.2">
      <c r="C2" s="174" t="s">
        <v>126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17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4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 t="s">
        <v>38</v>
      </c>
      <c r="H5" s="101">
        <v>15</v>
      </c>
      <c r="I5" s="101">
        <v>421.49</v>
      </c>
      <c r="J5" s="160" t="s">
        <v>146</v>
      </c>
      <c r="K5" s="101">
        <v>6322.35</v>
      </c>
      <c r="L5" s="101" t="s">
        <v>37</v>
      </c>
      <c r="M5" s="102">
        <v>1311</v>
      </c>
      <c r="N5" s="103">
        <v>134.58000000000001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 t="shared" ref="S5:S34" si="2">(K5*3%)</f>
        <v>189.6705</v>
      </c>
      <c r="T5" s="101" t="s">
        <v>37</v>
      </c>
      <c r="U5" s="102">
        <v>1712</v>
      </c>
      <c r="V5" s="104">
        <f t="shared" ref="V5:V34" si="3">(R5+S5)</f>
        <v>595.9905</v>
      </c>
      <c r="W5" s="101" t="s">
        <v>37</v>
      </c>
      <c r="X5" s="102">
        <v>1345</v>
      </c>
      <c r="Y5" s="104">
        <v>11303.45</v>
      </c>
      <c r="Z5" s="104">
        <f t="shared" ref="Z5:Z34" si="4">K5+N5+Q5+V5+Y5</f>
        <v>18707.870500000001</v>
      </c>
      <c r="AA5" s="101" t="s">
        <v>39</v>
      </c>
      <c r="AB5" s="102">
        <v>1431</v>
      </c>
      <c r="AC5" s="104">
        <f t="shared" ref="AC5:AC34" si="5">(K5*9.5%)</f>
        <v>600.6232500000001</v>
      </c>
      <c r="AD5" s="101" t="s">
        <v>39</v>
      </c>
      <c r="AE5" s="105" t="s">
        <v>40</v>
      </c>
      <c r="AF5" s="103">
        <v>306</v>
      </c>
      <c r="AG5" s="101" t="s">
        <v>39</v>
      </c>
      <c r="AH5" s="105" t="s">
        <v>41</v>
      </c>
      <c r="AI5" s="103">
        <f t="shared" ref="AI5:AI34" si="6">+BE5</f>
        <v>3797.04</v>
      </c>
      <c r="AJ5" s="101" t="s">
        <v>39</v>
      </c>
      <c r="AK5" s="105" t="s">
        <v>42</v>
      </c>
      <c r="AL5" s="103">
        <f>(K5*0%)</f>
        <v>0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1431</v>
      </c>
      <c r="AR5" s="103">
        <v>0</v>
      </c>
      <c r="AS5" s="104">
        <f t="shared" ref="AS5:AS34" si="7">(AC5+AF5+AI5+AL5+AO5+AR5)</f>
        <v>4703.6632499999996</v>
      </c>
      <c r="AT5" s="106">
        <f t="shared" ref="AT5:AT34" si="8">(Z5-AS5)</f>
        <v>14004.207250000001</v>
      </c>
      <c r="AU5" s="107"/>
      <c r="AV5" s="108"/>
      <c r="AW5" s="109">
        <f>+H5</f>
        <v>15</v>
      </c>
      <c r="AX5" s="109">
        <f>+K5+S5+N5+Q5+R5+Y5</f>
        <v>18707.870500000001</v>
      </c>
      <c r="AY5" s="110">
        <f>IFERROR(+AX5/AW5,0)*AW5</f>
        <v>18707.870500000001</v>
      </c>
      <c r="AZ5" s="110">
        <f>IFERROR(+LOOKUP(AY5,[4]TARIFAS!$A$4:$B$14,[4]TARIFAS!$A$4:$A$14),0)</f>
        <v>16153.06</v>
      </c>
      <c r="BA5" s="110">
        <f>+AY5-AZ5</f>
        <v>2554.8105000000014</v>
      </c>
      <c r="BB5" s="110">
        <f>IFERROR(+LOOKUP(AY5,[4]TARIFAS!$A$4:$B$14,[4]TARIFAS!$D$4:$D$14),0)</f>
        <v>30</v>
      </c>
      <c r="BC5" s="110">
        <f>(+BA5*BB5)/100</f>
        <v>766.44315000000051</v>
      </c>
      <c r="BD5" s="110">
        <f>IFERROR(+LOOKUP(AY5,[4]TARIFAS!$A$4:$B$14,[4]TARIFAS!$C$4:$C$14),0)</f>
        <v>3030.6</v>
      </c>
      <c r="BE5" s="110">
        <f>ROUND(+BC5+BD5,2)</f>
        <v>3797.04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6322.35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 t="shared" si="2"/>
        <v>189.6705</v>
      </c>
      <c r="T6" s="101" t="s">
        <v>37</v>
      </c>
      <c r="U6" s="102">
        <v>1712</v>
      </c>
      <c r="V6" s="104">
        <f t="shared" si="3"/>
        <v>595.9905</v>
      </c>
      <c r="W6" s="101"/>
      <c r="X6" s="102"/>
      <c r="Y6" s="104"/>
      <c r="Z6" s="104">
        <f t="shared" si="4"/>
        <v>7438.0655000000006</v>
      </c>
      <c r="AA6" s="101" t="s">
        <v>39</v>
      </c>
      <c r="AB6" s="102">
        <v>1431</v>
      </c>
      <c r="AC6" s="104">
        <f t="shared" si="5"/>
        <v>600.6232500000001</v>
      </c>
      <c r="AD6" s="101" t="s">
        <v>39</v>
      </c>
      <c r="AE6" s="105" t="s">
        <v>40</v>
      </c>
      <c r="AF6" s="103">
        <v>2108</v>
      </c>
      <c r="AG6" s="101" t="s">
        <v>39</v>
      </c>
      <c r="AH6" s="105" t="s">
        <v>41</v>
      </c>
      <c r="AI6" s="103">
        <f t="shared" si="6"/>
        <v>1041.58</v>
      </c>
      <c r="AJ6" s="101" t="s">
        <v>39</v>
      </c>
      <c r="AK6" s="105" t="s">
        <v>42</v>
      </c>
      <c r="AL6" s="103">
        <f>(K6*1%)</f>
        <v>63.223500000000008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1431</v>
      </c>
      <c r="AR6" s="103">
        <v>0</v>
      </c>
      <c r="AS6" s="104">
        <f t="shared" si="7"/>
        <v>3813.4267500000001</v>
      </c>
      <c r="AT6" s="106">
        <f t="shared" si="8"/>
        <v>3624.6387500000005</v>
      </c>
      <c r="AU6" s="113"/>
      <c r="AV6" s="108"/>
      <c r="AW6" s="109">
        <f t="shared" ref="AW6:AW34" si="9">+H6</f>
        <v>15</v>
      </c>
      <c r="AX6" s="109">
        <f t="shared" ref="AX6:AX34" si="10">+K6+S6+N6+Q6+R6+Y6</f>
        <v>7438.0655000000006</v>
      </c>
      <c r="AY6" s="110">
        <f t="shared" ref="AY6:AY34" si="11">IFERROR(+AX6/AW6,0)*AW6</f>
        <v>7438.0655000000006</v>
      </c>
      <c r="AZ6" s="110">
        <f>IFERROR(+LOOKUP(AY6,[4]TARIFAS!$A$4:$B$14,[4]TARIFAS!$A$4:$A$14),0)</f>
        <v>5081.41</v>
      </c>
      <c r="BA6" s="110">
        <f t="shared" ref="BA6:BA34" si="12">+AY6-AZ6</f>
        <v>2356.6555000000008</v>
      </c>
      <c r="BB6" s="110">
        <f>IFERROR(+LOOKUP(AY6,[4]TARIFAS!$A$4:$B$14,[4]TARIFAS!$D$4:$D$14),0)</f>
        <v>21.36</v>
      </c>
      <c r="BC6" s="110">
        <f t="shared" ref="BC6:BC34" si="13">(+BA6*BB6)/100</f>
        <v>503.38161480000019</v>
      </c>
      <c r="BD6" s="110">
        <f>IFERROR(+LOOKUP(AY6,[4]TARIFAS!$A$4:$B$14,[4]TARIFAS!$C$4:$C$14),0)</f>
        <v>538.20000000000005</v>
      </c>
      <c r="BE6" s="110">
        <f t="shared" ref="BE6:BE34" si="14">ROUND(+BC6+BD6,2)</f>
        <v>1041.58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7563.23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f t="shared" si="2"/>
        <v>226.89689999999999</v>
      </c>
      <c r="T7" s="101" t="s">
        <v>37</v>
      </c>
      <c r="U7" s="102">
        <v>1712</v>
      </c>
      <c r="V7" s="104">
        <f t="shared" si="3"/>
        <v>645.33690000000001</v>
      </c>
      <c r="W7" s="101"/>
      <c r="X7" s="102"/>
      <c r="Y7" s="104"/>
      <c r="Z7" s="104">
        <f t="shared" si="4"/>
        <v>8658.8819000000003</v>
      </c>
      <c r="AA7" s="101" t="s">
        <v>39</v>
      </c>
      <c r="AB7" s="102">
        <v>1431</v>
      </c>
      <c r="AC7" s="104">
        <f t="shared" si="5"/>
        <v>718.50684999999999</v>
      </c>
      <c r="AD7" s="101" t="s">
        <v>39</v>
      </c>
      <c r="AE7" s="105" t="s">
        <v>40</v>
      </c>
      <c r="AF7" s="103">
        <v>1158.5</v>
      </c>
      <c r="AG7" s="101" t="s">
        <v>39</v>
      </c>
      <c r="AH7" s="105" t="s">
        <v>41</v>
      </c>
      <c r="AI7" s="103">
        <f t="shared" si="6"/>
        <v>1302.3499999999999</v>
      </c>
      <c r="AJ7" s="101" t="s">
        <v>39</v>
      </c>
      <c r="AK7" s="105" t="s">
        <v>42</v>
      </c>
      <c r="AL7" s="103">
        <f>(K7*1%)</f>
        <v>75.632300000000001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1431</v>
      </c>
      <c r="AR7" s="103">
        <v>0</v>
      </c>
      <c r="AS7" s="104">
        <f t="shared" si="7"/>
        <v>3254.9891500000003</v>
      </c>
      <c r="AT7" s="106">
        <f t="shared" si="8"/>
        <v>5403.89275</v>
      </c>
      <c r="AU7" s="113"/>
      <c r="AV7" s="108"/>
      <c r="AW7" s="109">
        <f t="shared" si="9"/>
        <v>15</v>
      </c>
      <c r="AX7" s="109">
        <f t="shared" si="10"/>
        <v>8658.8819000000003</v>
      </c>
      <c r="AY7" s="110">
        <f t="shared" si="11"/>
        <v>8658.8819000000003</v>
      </c>
      <c r="AZ7" s="110">
        <f>IFERROR(+LOOKUP(AY7,[4]TARIFAS!$A$4:$B$14,[4]TARIFAS!$A$4:$A$14),0)</f>
        <v>5081.41</v>
      </c>
      <c r="BA7" s="110">
        <f t="shared" si="12"/>
        <v>3577.4719000000005</v>
      </c>
      <c r="BB7" s="110">
        <f>IFERROR(+LOOKUP(AY7,[4]TARIFAS!$A$4:$B$14,[4]TARIFAS!$D$4:$D$14),0)</f>
        <v>21.36</v>
      </c>
      <c r="BC7" s="110">
        <f t="shared" si="13"/>
        <v>764.14799784000002</v>
      </c>
      <c r="BD7" s="110">
        <f>IFERROR(+LOOKUP(AY7,[4]TARIFAS!$A$4:$B$14,[4]TARIFAS!$C$4:$C$14),0)</f>
        <v>538.20000000000005</v>
      </c>
      <c r="BE7" s="110">
        <f t="shared" si="14"/>
        <v>1302.3499999999999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6322.35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 t="shared" si="2"/>
        <v>189.6705</v>
      </c>
      <c r="T8" s="101" t="s">
        <v>37</v>
      </c>
      <c r="U8" s="102">
        <v>1712</v>
      </c>
      <c r="V8" s="104">
        <f t="shared" si="3"/>
        <v>595.9905</v>
      </c>
      <c r="W8" s="101"/>
      <c r="X8" s="102"/>
      <c r="Y8" s="104"/>
      <c r="Z8" s="104">
        <f t="shared" si="4"/>
        <v>7471.7105000000001</v>
      </c>
      <c r="AA8" s="101" t="s">
        <v>39</v>
      </c>
      <c r="AB8" s="102">
        <v>1431</v>
      </c>
      <c r="AC8" s="104">
        <f t="shared" si="5"/>
        <v>600.6232500000001</v>
      </c>
      <c r="AD8" s="101" t="s">
        <v>39</v>
      </c>
      <c r="AE8" s="105" t="s">
        <v>40</v>
      </c>
      <c r="AF8" s="103">
        <v>1542</v>
      </c>
      <c r="AG8" s="101" t="s">
        <v>39</v>
      </c>
      <c r="AH8" s="105" t="s">
        <v>41</v>
      </c>
      <c r="AI8" s="103">
        <f t="shared" si="6"/>
        <v>1048.77</v>
      </c>
      <c r="AJ8" s="101" t="s">
        <v>39</v>
      </c>
      <c r="AK8" s="105" t="s">
        <v>42</v>
      </c>
      <c r="AL8" s="103">
        <f>(K8*1%)</f>
        <v>63.223500000000008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1431</v>
      </c>
      <c r="AR8" s="103">
        <v>0</v>
      </c>
      <c r="AS8" s="104">
        <f t="shared" si="7"/>
        <v>3254.6167500000001</v>
      </c>
      <c r="AT8" s="106">
        <f t="shared" si="8"/>
        <v>4217.09375</v>
      </c>
      <c r="AU8" s="113"/>
      <c r="AV8" s="108"/>
      <c r="AW8" s="109">
        <f t="shared" si="9"/>
        <v>15</v>
      </c>
      <c r="AX8" s="109">
        <f t="shared" si="10"/>
        <v>7471.7105000000001</v>
      </c>
      <c r="AY8" s="110">
        <f>IFERROR(+AX8/AW8,0)*AW8</f>
        <v>7471.7105000000001</v>
      </c>
      <c r="AZ8" s="110">
        <f>IFERROR(+LOOKUP(AY8,[4]TARIFAS!$A$4:$B$14,[4]TARIFAS!$A$4:$A$14),0)</f>
        <v>5081.41</v>
      </c>
      <c r="BA8" s="110">
        <f t="shared" si="12"/>
        <v>2390.3005000000003</v>
      </c>
      <c r="BB8" s="110">
        <f>IFERROR(+LOOKUP(AY8,[4]TARIFAS!$A$4:$B$14,[4]TARIFAS!$D$4:$D$14),0)</f>
        <v>21.36</v>
      </c>
      <c r="BC8" s="110">
        <f t="shared" si="13"/>
        <v>510.56818680000003</v>
      </c>
      <c r="BD8" s="110">
        <f>IFERROR(+LOOKUP(AY8,[4]TARIFAS!$A$4:$B$14,[4]TARIFAS!$C$4:$C$14),0)</f>
        <v>538.20000000000005</v>
      </c>
      <c r="BE8" s="110">
        <f t="shared" si="14"/>
        <v>1048.77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7563.23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f t="shared" si="2"/>
        <v>226.89689999999999</v>
      </c>
      <c r="T9" s="101" t="s">
        <v>37</v>
      </c>
      <c r="U9" s="102">
        <v>1712</v>
      </c>
      <c r="V9" s="104">
        <f t="shared" si="3"/>
        <v>645.33690000000001</v>
      </c>
      <c r="W9" s="101"/>
      <c r="X9" s="102"/>
      <c r="Y9" s="104"/>
      <c r="Z9" s="104">
        <f t="shared" si="4"/>
        <v>8658.8819000000003</v>
      </c>
      <c r="AA9" s="101" t="s">
        <v>39</v>
      </c>
      <c r="AB9" s="102">
        <v>1431</v>
      </c>
      <c r="AC9" s="104">
        <f t="shared" si="5"/>
        <v>718.50684999999999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 t="shared" si="6"/>
        <v>1302.3499999999999</v>
      </c>
      <c r="AJ9" s="101" t="s">
        <v>39</v>
      </c>
      <c r="AK9" s="105" t="s">
        <v>42</v>
      </c>
      <c r="AL9" s="103">
        <f>(K9*1%)</f>
        <v>75.632300000000001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1431</v>
      </c>
      <c r="AR9" s="103">
        <v>0</v>
      </c>
      <c r="AS9" s="104">
        <f t="shared" si="7"/>
        <v>2096.4891499999999</v>
      </c>
      <c r="AT9" s="106">
        <f t="shared" si="8"/>
        <v>6562.3927500000009</v>
      </c>
      <c r="AU9" s="113"/>
      <c r="AV9" s="108"/>
      <c r="AW9" s="109">
        <f t="shared" si="9"/>
        <v>15</v>
      </c>
      <c r="AX9" s="109">
        <f t="shared" si="10"/>
        <v>8658.8819000000003</v>
      </c>
      <c r="AY9" s="110">
        <f>IFERROR(+AX9/AW9,0)*AW9</f>
        <v>8658.8819000000003</v>
      </c>
      <c r="AZ9" s="110">
        <f>IFERROR(+LOOKUP(AY9,[4]TARIFAS!$A$4:$B$14,[4]TARIFAS!$A$4:$A$14),0)</f>
        <v>5081.41</v>
      </c>
      <c r="BA9" s="110">
        <f t="shared" si="12"/>
        <v>3577.4719000000005</v>
      </c>
      <c r="BB9" s="110">
        <f>IFERROR(+LOOKUP(AY9,[4]TARIFAS!$A$4:$B$14,[4]TARIFAS!$D$4:$D$14),0)</f>
        <v>21.36</v>
      </c>
      <c r="BC9" s="110">
        <f t="shared" si="13"/>
        <v>764.14799784000002</v>
      </c>
      <c r="BD9" s="110">
        <f>IFERROR(+LOOKUP(AY9,[4]TARIFAS!$A$4:$B$14,[4]TARIFAS!$C$4:$C$14),0)</f>
        <v>538.20000000000005</v>
      </c>
      <c r="BE9" s="110">
        <f t="shared" si="14"/>
        <v>1302.3499999999999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6322.35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 t="shared" si="2"/>
        <v>189.6705</v>
      </c>
      <c r="T10" s="101" t="s">
        <v>37</v>
      </c>
      <c r="U10" s="102">
        <v>1712</v>
      </c>
      <c r="V10" s="104">
        <f t="shared" si="3"/>
        <v>595.9905</v>
      </c>
      <c r="W10" s="101"/>
      <c r="X10" s="102"/>
      <c r="Y10" s="104"/>
      <c r="Z10" s="104">
        <f t="shared" si="4"/>
        <v>7471.7105000000001</v>
      </c>
      <c r="AA10" s="101" t="s">
        <v>39</v>
      </c>
      <c r="AB10" s="102">
        <v>1431</v>
      </c>
      <c r="AC10" s="104">
        <f t="shared" si="5"/>
        <v>600.6232500000001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 t="shared" si="6"/>
        <v>1048.77</v>
      </c>
      <c r="AJ10" s="101" t="s">
        <v>39</v>
      </c>
      <c r="AK10" s="105" t="s">
        <v>42</v>
      </c>
      <c r="AL10" s="103">
        <f>(K10*1%)</f>
        <v>63.223500000000008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1431</v>
      </c>
      <c r="AR10" s="103">
        <v>0</v>
      </c>
      <c r="AS10" s="104">
        <f t="shared" si="7"/>
        <v>3820.6167500000001</v>
      </c>
      <c r="AT10" s="106">
        <f t="shared" si="8"/>
        <v>3651.09375</v>
      </c>
      <c r="AU10" s="113"/>
      <c r="AV10" s="108"/>
      <c r="AW10" s="109">
        <f t="shared" si="9"/>
        <v>15</v>
      </c>
      <c r="AX10" s="109">
        <f t="shared" si="10"/>
        <v>7471.7105000000001</v>
      </c>
      <c r="AY10" s="110">
        <f>IFERROR(+AX10/AW10,0)*AW10</f>
        <v>7471.7105000000001</v>
      </c>
      <c r="AZ10" s="110">
        <f>IFERROR(+LOOKUP(AY10,[4]TARIFAS!$A$4:$B$14,[4]TARIFAS!$A$4:$A$14),0)</f>
        <v>5081.41</v>
      </c>
      <c r="BA10" s="110">
        <f t="shared" si="12"/>
        <v>2390.3005000000003</v>
      </c>
      <c r="BB10" s="110">
        <f>IFERROR(+LOOKUP(AY10,[4]TARIFAS!$A$4:$B$14,[4]TARIFAS!$D$4:$D$14),0)</f>
        <v>21.36</v>
      </c>
      <c r="BC10" s="110">
        <f t="shared" si="13"/>
        <v>510.56818680000003</v>
      </c>
      <c r="BD10" s="110">
        <f>IFERROR(+LOOKUP(AY10,[4]TARIFAS!$A$4:$B$14,[4]TARIFAS!$C$4:$C$14),0)</f>
        <v>538.20000000000005</v>
      </c>
      <c r="BE10" s="110">
        <f t="shared" si="14"/>
        <v>1048.77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4875.54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 t="shared" si="2"/>
        <v>146.2662</v>
      </c>
      <c r="T11" s="101" t="s">
        <v>37</v>
      </c>
      <c r="U11" s="102">
        <v>1712</v>
      </c>
      <c r="V11" s="104">
        <f t="shared" si="3"/>
        <v>517.28620000000001</v>
      </c>
      <c r="W11" s="101"/>
      <c r="X11" s="102"/>
      <c r="Y11" s="104"/>
      <c r="Z11" s="104">
        <f t="shared" si="4"/>
        <v>5836.2512000000006</v>
      </c>
      <c r="AA11" s="101" t="s">
        <v>39</v>
      </c>
      <c r="AB11" s="102">
        <v>1431</v>
      </c>
      <c r="AC11" s="104">
        <f t="shared" si="5"/>
        <v>463.17630000000003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 t="shared" si="6"/>
        <v>699.43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1431</v>
      </c>
      <c r="AR11" s="103">
        <v>0</v>
      </c>
      <c r="AS11" s="104">
        <f t="shared" si="7"/>
        <v>1162.6062999999999</v>
      </c>
      <c r="AT11" s="106">
        <f t="shared" si="8"/>
        <v>4673.6449000000011</v>
      </c>
      <c r="AU11" s="113"/>
      <c r="AV11" s="108"/>
      <c r="AW11" s="109">
        <f t="shared" si="9"/>
        <v>15</v>
      </c>
      <c r="AX11" s="109">
        <f t="shared" si="10"/>
        <v>5836.2512000000006</v>
      </c>
      <c r="AY11" s="110">
        <f t="shared" si="11"/>
        <v>5836.2512000000006</v>
      </c>
      <c r="AZ11" s="110">
        <f>IFERROR(+LOOKUP(AY11,[4]TARIFAS!$A$4:$B$14,[4]TARIFAS!$A$4:$A$14),0)</f>
        <v>5081.41</v>
      </c>
      <c r="BA11" s="110">
        <f t="shared" si="12"/>
        <v>754.84120000000075</v>
      </c>
      <c r="BB11" s="110">
        <f>IFERROR(+LOOKUP(AY11,[4]TARIFAS!$A$4:$B$14,[4]TARIFAS!$D$4:$D$14),0)</f>
        <v>21.36</v>
      </c>
      <c r="BC11" s="110">
        <f t="shared" si="13"/>
        <v>161.23408032000015</v>
      </c>
      <c r="BD11" s="110">
        <f>IFERROR(+LOOKUP(AY11,[4]TARIFAS!$A$4:$B$14,[4]TARIFAS!$C$4:$C$14),0)</f>
        <v>538.20000000000005</v>
      </c>
      <c r="BE11" s="110">
        <f t="shared" si="14"/>
        <v>699.43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4875.54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 t="shared" si="2"/>
        <v>146.2662</v>
      </c>
      <c r="T12" s="101" t="s">
        <v>37</v>
      </c>
      <c r="U12" s="102">
        <v>1712</v>
      </c>
      <c r="V12" s="104">
        <f t="shared" si="3"/>
        <v>517.28620000000001</v>
      </c>
      <c r="W12" s="101"/>
      <c r="X12" s="102"/>
      <c r="Y12" s="104"/>
      <c r="Z12" s="104">
        <f t="shared" si="4"/>
        <v>5802.6062000000002</v>
      </c>
      <c r="AA12" s="101" t="s">
        <v>39</v>
      </c>
      <c r="AB12" s="102">
        <v>1431</v>
      </c>
      <c r="AC12" s="104">
        <f t="shared" si="5"/>
        <v>463.17630000000003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 t="shared" si="6"/>
        <v>692.25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1431</v>
      </c>
      <c r="AR12" s="103">
        <v>0</v>
      </c>
      <c r="AS12" s="104">
        <f t="shared" si="7"/>
        <v>1155.4263000000001</v>
      </c>
      <c r="AT12" s="106">
        <f t="shared" si="8"/>
        <v>4647.1799000000001</v>
      </c>
      <c r="AU12" s="113"/>
      <c r="AV12" s="108"/>
      <c r="AW12" s="109">
        <f t="shared" si="9"/>
        <v>15</v>
      </c>
      <c r="AX12" s="109">
        <f t="shared" si="10"/>
        <v>5802.6062000000002</v>
      </c>
      <c r="AY12" s="110">
        <f t="shared" si="11"/>
        <v>5802.6062000000002</v>
      </c>
      <c r="AZ12" s="110">
        <f>IFERROR(+LOOKUP(AY12,[4]TARIFAS!$A$4:$B$14,[4]TARIFAS!$A$4:$A$14),0)</f>
        <v>5081.41</v>
      </c>
      <c r="BA12" s="110">
        <f t="shared" si="12"/>
        <v>721.19620000000032</v>
      </c>
      <c r="BB12" s="110">
        <f>IFERROR(+LOOKUP(AY12,[4]TARIFAS!$A$4:$B$14,[4]TARIFAS!$D$4:$D$14),0)</f>
        <v>21.36</v>
      </c>
      <c r="BC12" s="110">
        <f t="shared" si="13"/>
        <v>154.04750832000008</v>
      </c>
      <c r="BD12" s="110">
        <f>IFERROR(+LOOKUP(AY12,[4]TARIFAS!$A$4:$B$14,[4]TARIFAS!$C$4:$C$14),0)</f>
        <v>538.20000000000005</v>
      </c>
      <c r="BE12" s="110">
        <f t="shared" si="14"/>
        <v>692.25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6322.35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 t="shared" si="2"/>
        <v>189.6705</v>
      </c>
      <c r="T13" s="101" t="s">
        <v>37</v>
      </c>
      <c r="U13" s="102">
        <v>1712</v>
      </c>
      <c r="V13" s="104">
        <f t="shared" si="3"/>
        <v>595.9905</v>
      </c>
      <c r="W13" s="101"/>
      <c r="X13" s="102"/>
      <c r="Y13" s="104"/>
      <c r="Z13" s="104">
        <f t="shared" si="4"/>
        <v>7505.3555000000006</v>
      </c>
      <c r="AA13" s="101" t="s">
        <v>39</v>
      </c>
      <c r="AB13" s="102">
        <v>1431</v>
      </c>
      <c r="AC13" s="104">
        <f t="shared" si="5"/>
        <v>600.6232500000001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 t="shared" si="6"/>
        <v>1055.95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1431</v>
      </c>
      <c r="AR13" s="103">
        <v>0</v>
      </c>
      <c r="AS13" s="104">
        <f t="shared" si="7"/>
        <v>1656.5732500000001</v>
      </c>
      <c r="AT13" s="106">
        <f t="shared" si="8"/>
        <v>5848.7822500000002</v>
      </c>
      <c r="AU13" s="113"/>
      <c r="AV13" s="108"/>
      <c r="AW13" s="109">
        <f t="shared" si="9"/>
        <v>15</v>
      </c>
      <c r="AX13" s="109">
        <f t="shared" si="10"/>
        <v>7505.3555000000006</v>
      </c>
      <c r="AY13" s="110">
        <f t="shared" si="11"/>
        <v>7505.3555000000006</v>
      </c>
      <c r="AZ13" s="110">
        <f>IFERROR(+LOOKUP(AY13,[4]TARIFAS!$A$4:$B$14,[4]TARIFAS!$A$4:$A$14),0)</f>
        <v>5081.41</v>
      </c>
      <c r="BA13" s="110">
        <f t="shared" si="12"/>
        <v>2423.9455000000007</v>
      </c>
      <c r="BB13" s="110">
        <f>IFERROR(+LOOKUP(AY13,[4]TARIFAS!$A$4:$B$14,[4]TARIFAS!$D$4:$D$14),0)</f>
        <v>21.36</v>
      </c>
      <c r="BC13" s="110">
        <f t="shared" si="13"/>
        <v>517.7547588000001</v>
      </c>
      <c r="BD13" s="110">
        <f>IFERROR(+LOOKUP(AY13,[4]TARIFAS!$A$4:$B$14,[4]TARIFAS!$C$4:$C$14),0)</f>
        <v>538.20000000000005</v>
      </c>
      <c r="BE13" s="110">
        <f t="shared" si="14"/>
        <v>1055.95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f t="shared" si="2"/>
        <v>463.245</v>
      </c>
      <c r="T14" s="101" t="s">
        <v>37</v>
      </c>
      <c r="U14" s="102">
        <v>1712</v>
      </c>
      <c r="V14" s="104">
        <f t="shared" si="3"/>
        <v>1298.7449999999999</v>
      </c>
      <c r="W14" s="101"/>
      <c r="X14" s="102"/>
      <c r="Y14" s="104"/>
      <c r="Z14" s="104">
        <f t="shared" si="4"/>
        <v>17306.744999999999</v>
      </c>
      <c r="AA14" s="101" t="s">
        <v>39</v>
      </c>
      <c r="AB14" s="102">
        <v>1431</v>
      </c>
      <c r="AC14" s="104">
        <f t="shared" si="5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 t="shared" si="6"/>
        <v>3376.71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1431</v>
      </c>
      <c r="AR14" s="103">
        <v>0</v>
      </c>
      <c r="AS14" s="104">
        <f t="shared" si="7"/>
        <v>4843.6525000000001</v>
      </c>
      <c r="AT14" s="106">
        <f t="shared" si="8"/>
        <v>12463.092499999999</v>
      </c>
      <c r="AU14" s="113"/>
      <c r="AV14" s="108"/>
      <c r="AW14" s="109">
        <f t="shared" si="9"/>
        <v>15</v>
      </c>
      <c r="AX14" s="109">
        <f t="shared" si="10"/>
        <v>17306.745000000003</v>
      </c>
      <c r="AY14" s="110">
        <f t="shared" si="11"/>
        <v>17306.745000000003</v>
      </c>
      <c r="AZ14" s="110">
        <f>IFERROR(+LOOKUP(AY14,[4]TARIFAS!$A$4:$B$14,[4]TARIFAS!$A$4:$A$14),0)</f>
        <v>16153.06</v>
      </c>
      <c r="BA14" s="110">
        <f t="shared" si="12"/>
        <v>1153.6850000000031</v>
      </c>
      <c r="BB14" s="110">
        <f>IFERROR(+LOOKUP(AY14,[4]TARIFAS!$A$4:$B$14,[4]TARIFAS!$D$4:$D$14),0)</f>
        <v>30</v>
      </c>
      <c r="BC14" s="110">
        <f t="shared" si="13"/>
        <v>346.10550000000092</v>
      </c>
      <c r="BD14" s="110">
        <f>IFERROR(+LOOKUP(AY14,[4]TARIFAS!$A$4:$B$14,[4]TARIFAS!$C$4:$C$14),0)</f>
        <v>3030.6</v>
      </c>
      <c r="BE14" s="110">
        <f t="shared" si="14"/>
        <v>3376.71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4875.54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 t="shared" si="2"/>
        <v>146.2662</v>
      </c>
      <c r="T15" s="101" t="s">
        <v>37</v>
      </c>
      <c r="U15" s="102">
        <v>1712</v>
      </c>
      <c r="V15" s="104">
        <f t="shared" si="3"/>
        <v>517.28620000000001</v>
      </c>
      <c r="W15" s="101"/>
      <c r="X15" s="102"/>
      <c r="Y15" s="104"/>
      <c r="Z15" s="104">
        <f t="shared" si="4"/>
        <v>5701.6712000000007</v>
      </c>
      <c r="AA15" s="101" t="s">
        <v>39</v>
      </c>
      <c r="AB15" s="102">
        <v>1431</v>
      </c>
      <c r="AC15" s="104">
        <f t="shared" si="5"/>
        <v>463.17630000000003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 t="shared" si="6"/>
        <v>670.69</v>
      </c>
      <c r="AJ15" s="101" t="s">
        <v>39</v>
      </c>
      <c r="AK15" s="105" t="s">
        <v>42</v>
      </c>
      <c r="AL15" s="103">
        <f>(K15*1%)</f>
        <v>48.755400000000002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1431</v>
      </c>
      <c r="AR15" s="103">
        <v>0</v>
      </c>
      <c r="AS15" s="104">
        <f t="shared" si="7"/>
        <v>1182.6217000000001</v>
      </c>
      <c r="AT15" s="106">
        <f t="shared" si="8"/>
        <v>4519.049500000001</v>
      </c>
      <c r="AU15" s="117"/>
      <c r="AV15" s="108"/>
      <c r="AW15" s="109">
        <f t="shared" si="9"/>
        <v>15</v>
      </c>
      <c r="AX15" s="109">
        <f t="shared" si="10"/>
        <v>5701.6712000000007</v>
      </c>
      <c r="AY15" s="110">
        <f t="shared" si="11"/>
        <v>5701.6712000000007</v>
      </c>
      <c r="AZ15" s="110">
        <f>IFERROR(+LOOKUP(AY15,[4]TARIFAS!$A$4:$B$14,[4]TARIFAS!$A$4:$A$14),0)</f>
        <v>5081.41</v>
      </c>
      <c r="BA15" s="110">
        <f t="shared" si="12"/>
        <v>620.26120000000083</v>
      </c>
      <c r="BB15" s="110">
        <f>IFERROR(+LOOKUP(AY15,[4]TARIFAS!$A$4:$B$14,[4]TARIFAS!$D$4:$D$14),0)</f>
        <v>21.36</v>
      </c>
      <c r="BC15" s="110">
        <f t="shared" si="13"/>
        <v>132.48779232000018</v>
      </c>
      <c r="BD15" s="110">
        <f>IFERROR(+LOOKUP(AY15,[4]TARIFAS!$A$4:$B$14,[4]TARIFAS!$C$4:$C$14),0)</f>
        <v>538.20000000000005</v>
      </c>
      <c r="BE15" s="110">
        <f t="shared" si="14"/>
        <v>670.69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6322.35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 t="shared" si="2"/>
        <v>189.6705</v>
      </c>
      <c r="T16" s="101" t="s">
        <v>37</v>
      </c>
      <c r="U16" s="102">
        <v>1712</v>
      </c>
      <c r="V16" s="104">
        <f t="shared" si="3"/>
        <v>595.9905</v>
      </c>
      <c r="W16" s="101"/>
      <c r="X16" s="102"/>
      <c r="Y16" s="104"/>
      <c r="Z16" s="104">
        <f t="shared" si="4"/>
        <v>7370.7755000000006</v>
      </c>
      <c r="AA16" s="101" t="s">
        <v>39</v>
      </c>
      <c r="AB16" s="102">
        <v>1431</v>
      </c>
      <c r="AC16" s="104">
        <f t="shared" si="5"/>
        <v>600.6232500000001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 t="shared" si="6"/>
        <v>1027.21</v>
      </c>
      <c r="AJ16" s="101" t="s">
        <v>39</v>
      </c>
      <c r="AK16" s="105" t="s">
        <v>42</v>
      </c>
      <c r="AL16" s="103">
        <f>(K16*1%)</f>
        <v>63.223500000000008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1431</v>
      </c>
      <c r="AR16" s="103">
        <v>0</v>
      </c>
      <c r="AS16" s="104">
        <f t="shared" si="7"/>
        <v>2102.0567500000002</v>
      </c>
      <c r="AT16" s="106">
        <f t="shared" si="8"/>
        <v>5268.71875</v>
      </c>
      <c r="AU16" s="113"/>
      <c r="AV16" s="108"/>
      <c r="AW16" s="109">
        <f t="shared" si="9"/>
        <v>15</v>
      </c>
      <c r="AX16" s="109">
        <f t="shared" si="10"/>
        <v>7370.7755000000006</v>
      </c>
      <c r="AY16" s="110">
        <f t="shared" si="11"/>
        <v>7370.7755000000006</v>
      </c>
      <c r="AZ16" s="110">
        <f>IFERROR(+LOOKUP(AY16,[4]TARIFAS!$A$4:$B$14,[4]TARIFAS!$A$4:$A$14),0)</f>
        <v>5081.41</v>
      </c>
      <c r="BA16" s="110">
        <f t="shared" si="12"/>
        <v>2289.3655000000008</v>
      </c>
      <c r="BB16" s="110">
        <f>IFERROR(+LOOKUP(AY16,[4]TARIFAS!$A$4:$B$14,[4]TARIFAS!$D$4:$D$14),0)</f>
        <v>21.36</v>
      </c>
      <c r="BC16" s="110">
        <f t="shared" si="13"/>
        <v>489.00847080000017</v>
      </c>
      <c r="BD16" s="110">
        <f>IFERROR(+LOOKUP(AY16,[4]TARIFAS!$A$4:$B$14,[4]TARIFAS!$C$4:$C$14),0)</f>
        <v>538.20000000000005</v>
      </c>
      <c r="BE16" s="110">
        <f t="shared" si="14"/>
        <v>1027.21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6322.35</v>
      </c>
      <c r="L17" s="101" t="s">
        <v>37</v>
      </c>
      <c r="M17" s="102">
        <v>1311</v>
      </c>
      <c r="N17" s="103">
        <v>100.935</v>
      </c>
      <c r="O17" s="101" t="s">
        <v>37</v>
      </c>
      <c r="P17" s="102">
        <v>1713</v>
      </c>
      <c r="Q17" s="101">
        <v>351.5</v>
      </c>
      <c r="R17" s="103">
        <v>406.32</v>
      </c>
      <c r="S17" s="103">
        <f t="shared" si="2"/>
        <v>189.6705</v>
      </c>
      <c r="T17" s="101" t="s">
        <v>37</v>
      </c>
      <c r="U17" s="102">
        <v>1712</v>
      </c>
      <c r="V17" s="104">
        <f t="shared" si="3"/>
        <v>595.9905</v>
      </c>
      <c r="W17" s="101"/>
      <c r="X17" s="102"/>
      <c r="Y17" s="104"/>
      <c r="Z17" s="104">
        <f t="shared" si="4"/>
        <v>7370.7755000000006</v>
      </c>
      <c r="AA17" s="101" t="s">
        <v>39</v>
      </c>
      <c r="AB17" s="102">
        <v>1431</v>
      </c>
      <c r="AC17" s="104">
        <f t="shared" si="5"/>
        <v>600.6232500000001</v>
      </c>
      <c r="AD17" s="101" t="s">
        <v>39</v>
      </c>
      <c r="AE17" s="105" t="s">
        <v>40</v>
      </c>
      <c r="AF17" s="103">
        <v>0</v>
      </c>
      <c r="AG17" s="101" t="s">
        <v>39</v>
      </c>
      <c r="AH17" s="105" t="s">
        <v>41</v>
      </c>
      <c r="AI17" s="103">
        <f t="shared" si="6"/>
        <v>1027.21</v>
      </c>
      <c r="AJ17" s="101" t="s">
        <v>39</v>
      </c>
      <c r="AK17" s="105" t="s">
        <v>42</v>
      </c>
      <c r="AL17" s="103">
        <f>(K17*1%)</f>
        <v>63.223500000000008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1431</v>
      </c>
      <c r="AR17" s="103">
        <v>0</v>
      </c>
      <c r="AS17" s="104">
        <f t="shared" si="7"/>
        <v>1691.0567500000002</v>
      </c>
      <c r="AT17" s="106">
        <f t="shared" si="8"/>
        <v>5679.71875</v>
      </c>
      <c r="AU17" s="113"/>
      <c r="AV17" s="108"/>
      <c r="AW17" s="109">
        <f t="shared" si="9"/>
        <v>15</v>
      </c>
      <c r="AX17" s="109">
        <f t="shared" si="10"/>
        <v>7370.7755000000006</v>
      </c>
      <c r="AY17" s="110">
        <f t="shared" si="11"/>
        <v>7370.7755000000006</v>
      </c>
      <c r="AZ17" s="110">
        <f>IFERROR(+LOOKUP(AY17,[4]TARIFAS!$A$4:$B$14,[4]TARIFAS!$A$4:$A$14),0)</f>
        <v>5081.41</v>
      </c>
      <c r="BA17" s="110">
        <f t="shared" si="12"/>
        <v>2289.3655000000008</v>
      </c>
      <c r="BB17" s="110">
        <f>IFERROR(+LOOKUP(AY17,[4]TARIFAS!$A$4:$B$14,[4]TARIFAS!$D$4:$D$14),0)</f>
        <v>21.36</v>
      </c>
      <c r="BC17" s="110">
        <f t="shared" si="13"/>
        <v>489.00847080000017</v>
      </c>
      <c r="BD17" s="110">
        <f>IFERROR(+LOOKUP(AY17,[4]TARIFAS!$A$4:$B$14,[4]TARIFAS!$C$4:$C$14),0)</f>
        <v>538.20000000000005</v>
      </c>
      <c r="BE17" s="110">
        <f t="shared" si="14"/>
        <v>1027.21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050</v>
      </c>
      <c r="B18" s="97" t="s">
        <v>32</v>
      </c>
      <c r="C18" s="112" t="s">
        <v>74</v>
      </c>
      <c r="D18" s="118" t="s">
        <v>75</v>
      </c>
      <c r="E18" s="100" t="s">
        <v>67</v>
      </c>
      <c r="F18" s="101" t="s">
        <v>37</v>
      </c>
      <c r="G18" s="101" t="s">
        <v>38</v>
      </c>
      <c r="H18" s="101">
        <v>15</v>
      </c>
      <c r="I18" s="101">
        <v>1029.4333333333334</v>
      </c>
      <c r="J18" s="160" t="s">
        <v>149</v>
      </c>
      <c r="K18" s="101">
        <v>15441.5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1">
        <v>566.5</v>
      </c>
      <c r="R18" s="103">
        <v>835.5</v>
      </c>
      <c r="S18" s="103">
        <f t="shared" si="2"/>
        <v>463.245</v>
      </c>
      <c r="T18" s="101" t="s">
        <v>37</v>
      </c>
      <c r="U18" s="102">
        <v>1712</v>
      </c>
      <c r="V18" s="104">
        <f t="shared" si="3"/>
        <v>1298.7449999999999</v>
      </c>
      <c r="W18" s="101"/>
      <c r="X18" s="102"/>
      <c r="Y18" s="104"/>
      <c r="Z18" s="104">
        <f t="shared" si="4"/>
        <v>17407.68</v>
      </c>
      <c r="AA18" s="101" t="s">
        <v>39</v>
      </c>
      <c r="AB18" s="102">
        <v>1431</v>
      </c>
      <c r="AC18" s="104">
        <f t="shared" si="5"/>
        <v>1466.9425000000001</v>
      </c>
      <c r="AD18" s="101" t="s">
        <v>39</v>
      </c>
      <c r="AE18" s="105" t="s">
        <v>40</v>
      </c>
      <c r="AF18" s="103">
        <v>3953.67</v>
      </c>
      <c r="AG18" s="101" t="s">
        <v>39</v>
      </c>
      <c r="AH18" s="105" t="s">
        <v>41</v>
      </c>
      <c r="AI18" s="103">
        <f t="shared" si="6"/>
        <v>3406.99</v>
      </c>
      <c r="AJ18" s="101" t="s">
        <v>39</v>
      </c>
      <c r="AK18" s="105" t="s">
        <v>42</v>
      </c>
      <c r="AL18" s="103">
        <v>0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1431</v>
      </c>
      <c r="AR18" s="103">
        <v>0</v>
      </c>
      <c r="AS18" s="104">
        <f t="shared" si="7"/>
        <v>8827.6025000000009</v>
      </c>
      <c r="AT18" s="106">
        <f t="shared" si="8"/>
        <v>8580.0774999999994</v>
      </c>
      <c r="AU18" s="113"/>
      <c r="AV18" s="108"/>
      <c r="AW18" s="109">
        <f t="shared" si="9"/>
        <v>15</v>
      </c>
      <c r="AX18" s="109">
        <f t="shared" si="10"/>
        <v>17407.68</v>
      </c>
      <c r="AY18" s="110">
        <f t="shared" si="11"/>
        <v>17407.68</v>
      </c>
      <c r="AZ18" s="110">
        <f>IFERROR(+LOOKUP(AY18,[4]TARIFAS!$A$4:$B$14,[4]TARIFAS!$A$4:$A$14),0)</f>
        <v>16153.06</v>
      </c>
      <c r="BA18" s="110">
        <f t="shared" si="12"/>
        <v>1254.6200000000008</v>
      </c>
      <c r="BB18" s="110">
        <f>IFERROR(+LOOKUP(AY18,[4]TARIFAS!$A$4:$B$14,[4]TARIFAS!$D$4:$D$14),0)</f>
        <v>30</v>
      </c>
      <c r="BC18" s="110">
        <f t="shared" si="13"/>
        <v>376.38600000000019</v>
      </c>
      <c r="BD18" s="110">
        <f>IFERROR(+LOOKUP(AY18,[4]TARIFAS!$A$4:$B$14,[4]TARIFAS!$C$4:$C$14),0)</f>
        <v>3030.6</v>
      </c>
      <c r="BE18" s="110">
        <f t="shared" si="14"/>
        <v>3406.99</v>
      </c>
      <c r="BF18" s="110"/>
      <c r="BG18" s="110"/>
      <c r="BH18" s="110"/>
      <c r="BI18" s="109"/>
      <c r="BJ18" s="111" t="s">
        <v>144</v>
      </c>
    </row>
    <row r="19" spans="1:62" s="111" customFormat="1" ht="30" customHeight="1" x14ac:dyDescent="0.2">
      <c r="A19" s="97" t="str">
        <f t="shared" si="1"/>
        <v>SEI 053</v>
      </c>
      <c r="B19" s="97" t="s">
        <v>32</v>
      </c>
      <c r="C19" s="112" t="s">
        <v>76</v>
      </c>
      <c r="D19" s="100" t="s">
        <v>77</v>
      </c>
      <c r="E19" s="100" t="s">
        <v>50</v>
      </c>
      <c r="F19" s="101" t="s">
        <v>37</v>
      </c>
      <c r="G19" s="101" t="s">
        <v>38</v>
      </c>
      <c r="H19" s="101">
        <v>15</v>
      </c>
      <c r="I19" s="101">
        <v>504.21533333333332</v>
      </c>
      <c r="J19" s="160" t="s">
        <v>150</v>
      </c>
      <c r="K19" s="101">
        <v>7563.23</v>
      </c>
      <c r="L19" s="101" t="s">
        <v>37</v>
      </c>
      <c r="M19" s="102">
        <v>1311</v>
      </c>
      <c r="N19" s="103">
        <v>100.935</v>
      </c>
      <c r="O19" s="101" t="s">
        <v>37</v>
      </c>
      <c r="P19" s="102">
        <v>1713</v>
      </c>
      <c r="Q19" s="103">
        <v>282.08999999999997</v>
      </c>
      <c r="R19" s="103">
        <v>418.44</v>
      </c>
      <c r="S19" s="103">
        <f t="shared" si="2"/>
        <v>226.89689999999999</v>
      </c>
      <c r="T19" s="101" t="s">
        <v>37</v>
      </c>
      <c r="U19" s="102">
        <v>1712</v>
      </c>
      <c r="V19" s="104">
        <f t="shared" si="3"/>
        <v>645.33690000000001</v>
      </c>
      <c r="W19" s="101"/>
      <c r="X19" s="102"/>
      <c r="Y19" s="104"/>
      <c r="Z19" s="104">
        <f t="shared" si="4"/>
        <v>8591.5918999999994</v>
      </c>
      <c r="AA19" s="101" t="s">
        <v>39</v>
      </c>
      <c r="AB19" s="102">
        <v>1431</v>
      </c>
      <c r="AC19" s="104">
        <f t="shared" si="5"/>
        <v>718.50684999999999</v>
      </c>
      <c r="AD19" s="101" t="s">
        <v>39</v>
      </c>
      <c r="AE19" s="105" t="s">
        <v>40</v>
      </c>
      <c r="AF19" s="104">
        <f>523.61+10.13+3666.74+151.2</f>
        <v>4351.6799999999994</v>
      </c>
      <c r="AG19" s="101" t="s">
        <v>39</v>
      </c>
      <c r="AH19" s="105" t="s">
        <v>41</v>
      </c>
      <c r="AI19" s="103">
        <f t="shared" si="6"/>
        <v>1287.97</v>
      </c>
      <c r="AJ19" s="101" t="s">
        <v>39</v>
      </c>
      <c r="AK19" s="105" t="s">
        <v>42</v>
      </c>
      <c r="AL19" s="103">
        <f>(K19*1%)</f>
        <v>75.632300000000001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1431</v>
      </c>
      <c r="AR19" s="103">
        <v>0</v>
      </c>
      <c r="AS19" s="104">
        <f t="shared" si="7"/>
        <v>6433.7891499999996</v>
      </c>
      <c r="AT19" s="106">
        <f t="shared" si="8"/>
        <v>2157.8027499999998</v>
      </c>
      <c r="AU19" s="113"/>
      <c r="AV19" s="108"/>
      <c r="AW19" s="109">
        <f t="shared" si="9"/>
        <v>15</v>
      </c>
      <c r="AX19" s="109">
        <f t="shared" si="10"/>
        <v>8591.5918999999994</v>
      </c>
      <c r="AY19" s="110">
        <f t="shared" si="11"/>
        <v>8591.5918999999994</v>
      </c>
      <c r="AZ19" s="110">
        <f>IFERROR(+LOOKUP(AY19,[4]TARIFAS!$A$4:$B$14,[4]TARIFAS!$A$4:$A$14),0)</f>
        <v>5081.41</v>
      </c>
      <c r="BA19" s="110">
        <f t="shared" si="12"/>
        <v>3510.1818999999996</v>
      </c>
      <c r="BB19" s="110">
        <f>IFERROR(+LOOKUP(AY19,[4]TARIFAS!$A$4:$B$14,[4]TARIFAS!$D$4:$D$14),0)</f>
        <v>21.36</v>
      </c>
      <c r="BC19" s="110">
        <f t="shared" si="13"/>
        <v>749.77485383999988</v>
      </c>
      <c r="BD19" s="110">
        <f>IFERROR(+LOOKUP(AY19,[4]TARIFAS!$A$4:$B$14,[4]TARIFAS!$C$4:$C$14),0)</f>
        <v>538.20000000000005</v>
      </c>
      <c r="BE19" s="110">
        <f t="shared" si="14"/>
        <v>1287.97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056</v>
      </c>
      <c r="B20" s="97" t="s">
        <v>32</v>
      </c>
      <c r="C20" s="112" t="s">
        <v>79</v>
      </c>
      <c r="D20" s="100" t="s">
        <v>80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421.49</v>
      </c>
      <c r="J20" s="160" t="s">
        <v>146</v>
      </c>
      <c r="K20" s="101">
        <v>6322.35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351.5</v>
      </c>
      <c r="R20" s="103">
        <v>406.32</v>
      </c>
      <c r="S20" s="103">
        <f t="shared" si="2"/>
        <v>189.6705</v>
      </c>
      <c r="T20" s="101" t="s">
        <v>37</v>
      </c>
      <c r="U20" s="102">
        <v>1712</v>
      </c>
      <c r="V20" s="104">
        <f t="shared" si="3"/>
        <v>595.9905</v>
      </c>
      <c r="W20" s="101"/>
      <c r="X20" s="102"/>
      <c r="Y20" s="104"/>
      <c r="Z20" s="104">
        <f t="shared" si="4"/>
        <v>7337.1305000000002</v>
      </c>
      <c r="AA20" s="101" t="s">
        <v>39</v>
      </c>
      <c r="AB20" s="102">
        <v>1431</v>
      </c>
      <c r="AC20" s="104">
        <f t="shared" si="5"/>
        <v>600.6232500000001</v>
      </c>
      <c r="AD20" s="101" t="s">
        <v>39</v>
      </c>
      <c r="AE20" s="105" t="s">
        <v>40</v>
      </c>
      <c r="AF20" s="103">
        <v>402</v>
      </c>
      <c r="AG20" s="101" t="s">
        <v>39</v>
      </c>
      <c r="AH20" s="105" t="s">
        <v>41</v>
      </c>
      <c r="AI20" s="103">
        <f t="shared" si="6"/>
        <v>1020.02</v>
      </c>
      <c r="AJ20" s="101" t="s">
        <v>39</v>
      </c>
      <c r="AK20" s="105" t="s">
        <v>42</v>
      </c>
      <c r="AL20" s="103">
        <f>(K20*1%)</f>
        <v>63.223500000000008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1431</v>
      </c>
      <c r="AR20" s="103">
        <v>0</v>
      </c>
      <c r="AS20" s="104">
        <f t="shared" si="7"/>
        <v>2085.8667500000001</v>
      </c>
      <c r="AT20" s="106">
        <f t="shared" si="8"/>
        <v>5251.2637500000001</v>
      </c>
      <c r="AU20" s="113"/>
      <c r="AV20" s="108"/>
      <c r="AW20" s="109">
        <f t="shared" si="9"/>
        <v>15</v>
      </c>
      <c r="AX20" s="109">
        <f t="shared" si="10"/>
        <v>7337.1305000000002</v>
      </c>
      <c r="AY20" s="110">
        <f t="shared" si="11"/>
        <v>7337.1305000000002</v>
      </c>
      <c r="AZ20" s="110">
        <f>IFERROR(+LOOKUP(AY20,[4]TARIFAS!$A$4:$B$14,[4]TARIFAS!$A$4:$A$14),0)</f>
        <v>5081.41</v>
      </c>
      <c r="BA20" s="110">
        <f t="shared" si="12"/>
        <v>2255.7205000000004</v>
      </c>
      <c r="BB20" s="110">
        <f>IFERROR(+LOOKUP(AY20,[4]TARIFAS!$A$4:$B$14,[4]TARIFAS!$D$4:$D$14),0)</f>
        <v>21.36</v>
      </c>
      <c r="BC20" s="110">
        <f t="shared" si="13"/>
        <v>481.82189880000004</v>
      </c>
      <c r="BD20" s="110">
        <f>IFERROR(+LOOKUP(AY20,[4]TARIFAS!$A$4:$B$14,[4]TARIFAS!$C$4:$C$14),0)</f>
        <v>538.20000000000005</v>
      </c>
      <c r="BE20" s="110">
        <f t="shared" si="14"/>
        <v>1020.02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061</v>
      </c>
      <c r="B21" s="97" t="s">
        <v>32</v>
      </c>
      <c r="C21" s="112" t="s">
        <v>81</v>
      </c>
      <c r="D21" s="100" t="s">
        <v>82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353.488</v>
      </c>
      <c r="J21" s="160" t="s">
        <v>150</v>
      </c>
      <c r="K21" s="101">
        <v>5302.32</v>
      </c>
      <c r="L21" s="101" t="s">
        <v>37</v>
      </c>
      <c r="M21" s="102">
        <v>1311</v>
      </c>
      <c r="N21" s="103">
        <v>67.290000000000006</v>
      </c>
      <c r="O21" s="101" t="s">
        <v>37</v>
      </c>
      <c r="P21" s="102">
        <v>1713</v>
      </c>
      <c r="Q21" s="103">
        <v>211.44</v>
      </c>
      <c r="R21" s="103">
        <v>378.6</v>
      </c>
      <c r="S21" s="103">
        <f t="shared" si="2"/>
        <v>159.06959999999998</v>
      </c>
      <c r="T21" s="101" t="s">
        <v>37</v>
      </c>
      <c r="U21" s="102">
        <v>1712</v>
      </c>
      <c r="V21" s="104">
        <f t="shared" si="3"/>
        <v>537.66959999999995</v>
      </c>
      <c r="W21" s="101"/>
      <c r="X21" s="102"/>
      <c r="Y21" s="104"/>
      <c r="Z21" s="104">
        <f t="shared" si="4"/>
        <v>6118.7195999999994</v>
      </c>
      <c r="AA21" s="101" t="s">
        <v>39</v>
      </c>
      <c r="AB21" s="102">
        <v>1431</v>
      </c>
      <c r="AC21" s="104">
        <f t="shared" si="5"/>
        <v>503.72039999999998</v>
      </c>
      <c r="AD21" s="101" t="s">
        <v>39</v>
      </c>
      <c r="AE21" s="105" t="s">
        <v>40</v>
      </c>
      <c r="AF21" s="103">
        <v>0</v>
      </c>
      <c r="AG21" s="101" t="s">
        <v>39</v>
      </c>
      <c r="AH21" s="105" t="s">
        <v>41</v>
      </c>
      <c r="AI21" s="103">
        <f t="shared" si="6"/>
        <v>759.77</v>
      </c>
      <c r="AJ21" s="101" t="s">
        <v>39</v>
      </c>
      <c r="AK21" s="105" t="s">
        <v>42</v>
      </c>
      <c r="AL21" s="103">
        <f>(K21*1%)</f>
        <v>53.023199999999996</v>
      </c>
      <c r="AM21" s="101" t="s">
        <v>39</v>
      </c>
      <c r="AN21" s="105" t="s">
        <v>43</v>
      </c>
      <c r="AO21" s="103">
        <v>0</v>
      </c>
      <c r="AP21" s="101" t="s">
        <v>39</v>
      </c>
      <c r="AQ21" s="105">
        <v>1431</v>
      </c>
      <c r="AR21" s="103">
        <v>0</v>
      </c>
      <c r="AS21" s="104">
        <f t="shared" si="7"/>
        <v>1316.5136</v>
      </c>
      <c r="AT21" s="106">
        <f t="shared" si="8"/>
        <v>4802.2059999999992</v>
      </c>
      <c r="AU21" s="113"/>
      <c r="AV21" s="108"/>
      <c r="AW21" s="109">
        <f t="shared" si="9"/>
        <v>15</v>
      </c>
      <c r="AX21" s="109">
        <f t="shared" si="10"/>
        <v>6118.7195999999994</v>
      </c>
      <c r="AY21" s="110">
        <f t="shared" si="11"/>
        <v>6118.7195999999994</v>
      </c>
      <c r="AZ21" s="110">
        <f>IFERROR(+LOOKUP(AY21,[4]TARIFAS!$A$4:$B$14,[4]TARIFAS!$A$4:$A$14),0)</f>
        <v>5081.41</v>
      </c>
      <c r="BA21" s="110">
        <f t="shared" si="12"/>
        <v>1037.3095999999996</v>
      </c>
      <c r="BB21" s="110">
        <f>IFERROR(+LOOKUP(AY21,[4]TARIFAS!$A$4:$B$14,[4]TARIFAS!$D$4:$D$14),0)</f>
        <v>21.36</v>
      </c>
      <c r="BC21" s="110">
        <f t="shared" si="13"/>
        <v>221.56933055999991</v>
      </c>
      <c r="BD21" s="110">
        <f>IFERROR(+LOOKUP(AY21,[4]TARIFAS!$A$4:$B$14,[4]TARIFAS!$C$4:$C$14),0)</f>
        <v>538.20000000000005</v>
      </c>
      <c r="BE21" s="110">
        <f t="shared" si="14"/>
        <v>759.77</v>
      </c>
      <c r="BF21" s="110"/>
      <c r="BG21" s="110"/>
      <c r="BH21" s="110"/>
      <c r="BI21" s="109"/>
    </row>
    <row r="22" spans="1:62" s="111" customFormat="1" ht="30" customHeight="1" x14ac:dyDescent="0.2">
      <c r="A22" s="97" t="str">
        <f t="shared" si="1"/>
        <v>SEI 062</v>
      </c>
      <c r="B22" s="97" t="s">
        <v>32</v>
      </c>
      <c r="C22" s="112" t="s">
        <v>83</v>
      </c>
      <c r="D22" s="114" t="s">
        <v>84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149</v>
      </c>
      <c r="K22" s="101">
        <v>6322.35</v>
      </c>
      <c r="L22" s="101" t="s">
        <v>37</v>
      </c>
      <c r="M22" s="102">
        <v>1311</v>
      </c>
      <c r="N22" s="115">
        <v>100.935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 t="shared" si="2"/>
        <v>189.6705</v>
      </c>
      <c r="T22" s="101" t="s">
        <v>37</v>
      </c>
      <c r="U22" s="102">
        <v>1712</v>
      </c>
      <c r="V22" s="104">
        <f t="shared" si="3"/>
        <v>595.9905</v>
      </c>
      <c r="W22" s="101"/>
      <c r="X22" s="102"/>
      <c r="Y22" s="104"/>
      <c r="Z22" s="104">
        <f t="shared" si="4"/>
        <v>7370.7755000000006</v>
      </c>
      <c r="AA22" s="101" t="s">
        <v>39</v>
      </c>
      <c r="AB22" s="102">
        <v>1431</v>
      </c>
      <c r="AC22" s="104">
        <f t="shared" si="5"/>
        <v>600.6232500000001</v>
      </c>
      <c r="AD22" s="101" t="s">
        <v>39</v>
      </c>
      <c r="AE22" s="105" t="s">
        <v>40</v>
      </c>
      <c r="AF22" s="115">
        <v>1405</v>
      </c>
      <c r="AG22" s="101" t="s">
        <v>39</v>
      </c>
      <c r="AH22" s="105" t="s">
        <v>41</v>
      </c>
      <c r="AI22" s="103">
        <f t="shared" si="6"/>
        <v>1027.21</v>
      </c>
      <c r="AJ22" s="101" t="s">
        <v>39</v>
      </c>
      <c r="AK22" s="105" t="s">
        <v>42</v>
      </c>
      <c r="AL22" s="103">
        <v>0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1431</v>
      </c>
      <c r="AR22" s="103">
        <v>0</v>
      </c>
      <c r="AS22" s="104">
        <f t="shared" si="7"/>
        <v>3032.8332500000001</v>
      </c>
      <c r="AT22" s="106">
        <f t="shared" si="8"/>
        <v>4337.9422500000001</v>
      </c>
      <c r="AU22" s="113"/>
      <c r="AV22" s="108"/>
      <c r="AW22" s="109">
        <f t="shared" si="9"/>
        <v>15</v>
      </c>
      <c r="AX22" s="109">
        <f t="shared" si="10"/>
        <v>7370.7755000000006</v>
      </c>
      <c r="AY22" s="110">
        <f t="shared" si="11"/>
        <v>7370.7755000000006</v>
      </c>
      <c r="AZ22" s="110">
        <f>IFERROR(+LOOKUP(AY22,[4]TARIFAS!$A$4:$B$14,[4]TARIFAS!$A$4:$A$14),0)</f>
        <v>5081.41</v>
      </c>
      <c r="BA22" s="110">
        <f t="shared" si="12"/>
        <v>2289.3655000000008</v>
      </c>
      <c r="BB22" s="110">
        <f>IFERROR(+LOOKUP(AY22,[4]TARIFAS!$A$4:$B$14,[4]TARIFAS!$D$4:$D$14),0)</f>
        <v>21.36</v>
      </c>
      <c r="BC22" s="110">
        <f t="shared" si="13"/>
        <v>489.00847080000017</v>
      </c>
      <c r="BD22" s="110">
        <f>IFERROR(+LOOKUP(AY22,[4]TARIFAS!$A$4:$B$14,[4]TARIFAS!$C$4:$C$14),0)</f>
        <v>538.20000000000005</v>
      </c>
      <c r="BE22" s="110">
        <f t="shared" si="14"/>
        <v>1027.21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063</v>
      </c>
      <c r="B23" s="97" t="s">
        <v>32</v>
      </c>
      <c r="C23" s="112" t="s">
        <v>85</v>
      </c>
      <c r="D23" s="114" t="s">
        <v>86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151</v>
      </c>
      <c r="K23" s="101">
        <v>6322.35</v>
      </c>
      <c r="L23" s="101" t="s">
        <v>37</v>
      </c>
      <c r="M23" s="102">
        <v>1311</v>
      </c>
      <c r="N23" s="115">
        <v>67.290000000000006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 t="shared" si="2"/>
        <v>189.6705</v>
      </c>
      <c r="T23" s="101" t="s">
        <v>37</v>
      </c>
      <c r="U23" s="102">
        <v>1712</v>
      </c>
      <c r="V23" s="104">
        <f t="shared" si="3"/>
        <v>595.9905</v>
      </c>
      <c r="W23" s="101"/>
      <c r="X23" s="102"/>
      <c r="Y23" s="104"/>
      <c r="Z23" s="104">
        <f t="shared" si="4"/>
        <v>7337.1305000000002</v>
      </c>
      <c r="AA23" s="101" t="s">
        <v>39</v>
      </c>
      <c r="AB23" s="102">
        <v>1431</v>
      </c>
      <c r="AC23" s="104">
        <f t="shared" si="5"/>
        <v>600.6232500000001</v>
      </c>
      <c r="AD23" s="101" t="s">
        <v>39</v>
      </c>
      <c r="AE23" s="105" t="s">
        <v>40</v>
      </c>
      <c r="AF23" s="115">
        <v>2108</v>
      </c>
      <c r="AG23" s="101" t="s">
        <v>39</v>
      </c>
      <c r="AH23" s="105" t="s">
        <v>41</v>
      </c>
      <c r="AI23" s="103">
        <f t="shared" si="6"/>
        <v>1020.02</v>
      </c>
      <c r="AJ23" s="101" t="s">
        <v>39</v>
      </c>
      <c r="AK23" s="105" t="s">
        <v>42</v>
      </c>
      <c r="AL23" s="103">
        <f t="shared" ref="AL23:AL28" si="15">(K23*1%)</f>
        <v>63.223500000000008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1431</v>
      </c>
      <c r="AR23" s="103">
        <v>0</v>
      </c>
      <c r="AS23" s="104">
        <f t="shared" si="7"/>
        <v>3791.8667500000001</v>
      </c>
      <c r="AT23" s="106">
        <f t="shared" si="8"/>
        <v>3545.2637500000001</v>
      </c>
      <c r="AU23" s="113"/>
      <c r="AV23" s="108"/>
      <c r="AW23" s="109">
        <f t="shared" si="9"/>
        <v>15</v>
      </c>
      <c r="AX23" s="109">
        <f t="shared" si="10"/>
        <v>7337.1305000000002</v>
      </c>
      <c r="AY23" s="110">
        <f t="shared" si="11"/>
        <v>7337.1305000000002</v>
      </c>
      <c r="AZ23" s="110">
        <f>IFERROR(+LOOKUP(AY23,[4]TARIFAS!$A$4:$B$14,[4]TARIFAS!$A$4:$A$14),0)</f>
        <v>5081.41</v>
      </c>
      <c r="BA23" s="110">
        <f t="shared" si="12"/>
        <v>2255.7205000000004</v>
      </c>
      <c r="BB23" s="110">
        <f>IFERROR(+LOOKUP(AY23,[4]TARIFAS!$A$4:$B$14,[4]TARIFAS!$D$4:$D$14),0)</f>
        <v>21.36</v>
      </c>
      <c r="BC23" s="110">
        <f t="shared" si="13"/>
        <v>481.82189880000004</v>
      </c>
      <c r="BD23" s="110">
        <f>IFERROR(+LOOKUP(AY23,[4]TARIFAS!$A$4:$B$14,[4]TARIFAS!$C$4:$C$14),0)</f>
        <v>538.20000000000005</v>
      </c>
      <c r="BE23" s="110">
        <f t="shared" si="14"/>
        <v>1020.02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067</v>
      </c>
      <c r="B24" s="97" t="s">
        <v>32</v>
      </c>
      <c r="C24" s="112" t="s">
        <v>88</v>
      </c>
      <c r="D24" s="114" t="s">
        <v>89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421.49</v>
      </c>
      <c r="J24" s="160" t="s">
        <v>149</v>
      </c>
      <c r="K24" s="101">
        <v>6322.35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351.5</v>
      </c>
      <c r="R24" s="115">
        <v>406.32</v>
      </c>
      <c r="S24" s="103">
        <f t="shared" si="2"/>
        <v>189.6705</v>
      </c>
      <c r="T24" s="101" t="s">
        <v>37</v>
      </c>
      <c r="U24" s="102">
        <v>1712</v>
      </c>
      <c r="V24" s="104">
        <f t="shared" si="3"/>
        <v>595.9905</v>
      </c>
      <c r="W24" s="101"/>
      <c r="X24" s="102"/>
      <c r="Y24" s="104"/>
      <c r="Z24" s="104">
        <f t="shared" si="4"/>
        <v>7269.8405000000002</v>
      </c>
      <c r="AA24" s="101" t="s">
        <v>39</v>
      </c>
      <c r="AB24" s="102">
        <v>1431</v>
      </c>
      <c r="AC24" s="104">
        <f t="shared" si="5"/>
        <v>600.6232500000001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 t="shared" si="6"/>
        <v>1005.65</v>
      </c>
      <c r="AJ24" s="101" t="s">
        <v>39</v>
      </c>
      <c r="AK24" s="105" t="s">
        <v>42</v>
      </c>
      <c r="AL24" s="103">
        <f t="shared" si="15"/>
        <v>63.223500000000008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1431</v>
      </c>
      <c r="AR24" s="103">
        <v>0</v>
      </c>
      <c r="AS24" s="104">
        <f t="shared" si="7"/>
        <v>1669.4967500000002</v>
      </c>
      <c r="AT24" s="106">
        <f t="shared" si="8"/>
        <v>5600.34375</v>
      </c>
      <c r="AU24" s="113"/>
      <c r="AV24" s="108"/>
      <c r="AW24" s="109">
        <f t="shared" si="9"/>
        <v>15</v>
      </c>
      <c r="AX24" s="109">
        <f t="shared" si="10"/>
        <v>7269.8405000000002</v>
      </c>
      <c r="AY24" s="110">
        <f t="shared" si="11"/>
        <v>7269.8405000000002</v>
      </c>
      <c r="AZ24" s="110">
        <f>IFERROR(+LOOKUP(AY24,[4]TARIFAS!$A$4:$B$14,[4]TARIFAS!$A$4:$A$14),0)</f>
        <v>5081.41</v>
      </c>
      <c r="BA24" s="110">
        <f t="shared" si="12"/>
        <v>2188.4305000000004</v>
      </c>
      <c r="BB24" s="110">
        <f>IFERROR(+LOOKUP(AY24,[4]TARIFAS!$A$4:$B$14,[4]TARIFAS!$D$4:$D$14),0)</f>
        <v>21.36</v>
      </c>
      <c r="BC24" s="110">
        <f t="shared" si="13"/>
        <v>467.44875480000007</v>
      </c>
      <c r="BD24" s="110">
        <f>IFERROR(+LOOKUP(AY24,[4]TARIFAS!$A$4:$B$14,[4]TARIFAS!$C$4:$C$14),0)</f>
        <v>538.20000000000005</v>
      </c>
      <c r="BE24" s="110">
        <f t="shared" si="14"/>
        <v>1005.65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068</v>
      </c>
      <c r="B25" s="97" t="s">
        <v>32</v>
      </c>
      <c r="C25" s="112" t="s">
        <v>90</v>
      </c>
      <c r="D25" s="114" t="s">
        <v>91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325.036</v>
      </c>
      <c r="J25" s="160" t="s">
        <v>150</v>
      </c>
      <c r="K25" s="101">
        <v>4875.54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207.91</v>
      </c>
      <c r="R25" s="115">
        <v>371.02</v>
      </c>
      <c r="S25" s="103">
        <f t="shared" si="2"/>
        <v>146.2662</v>
      </c>
      <c r="T25" s="101" t="s">
        <v>37</v>
      </c>
      <c r="U25" s="102">
        <v>1712</v>
      </c>
      <c r="V25" s="104">
        <f t="shared" si="3"/>
        <v>517.28620000000001</v>
      </c>
      <c r="W25" s="101"/>
      <c r="X25" s="102"/>
      <c r="Y25" s="104"/>
      <c r="Z25" s="104">
        <f t="shared" si="4"/>
        <v>5600.7361999999994</v>
      </c>
      <c r="AA25" s="101" t="s">
        <v>39</v>
      </c>
      <c r="AB25" s="102">
        <v>1431</v>
      </c>
      <c r="AC25" s="104">
        <f t="shared" si="5"/>
        <v>463.17630000000003</v>
      </c>
      <c r="AD25" s="101" t="s">
        <v>39</v>
      </c>
      <c r="AE25" s="105" t="s">
        <v>40</v>
      </c>
      <c r="AF25" s="115">
        <v>0</v>
      </c>
      <c r="AG25" s="101" t="s">
        <v>39</v>
      </c>
      <c r="AH25" s="105" t="s">
        <v>41</v>
      </c>
      <c r="AI25" s="103">
        <f t="shared" si="6"/>
        <v>649.13</v>
      </c>
      <c r="AJ25" s="101" t="s">
        <v>39</v>
      </c>
      <c r="AK25" s="105" t="s">
        <v>42</v>
      </c>
      <c r="AL25" s="103">
        <f t="shared" si="15"/>
        <v>48.755400000000002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1431</v>
      </c>
      <c r="AR25" s="103">
        <v>0</v>
      </c>
      <c r="AS25" s="104">
        <f t="shared" si="7"/>
        <v>1161.0617</v>
      </c>
      <c r="AT25" s="106">
        <f t="shared" si="8"/>
        <v>4439.6744999999992</v>
      </c>
      <c r="AU25" s="113"/>
      <c r="AV25" s="108"/>
      <c r="AW25" s="109">
        <f t="shared" si="9"/>
        <v>15</v>
      </c>
      <c r="AX25" s="109">
        <f t="shared" si="10"/>
        <v>5600.7361999999994</v>
      </c>
      <c r="AY25" s="110">
        <f t="shared" si="11"/>
        <v>5600.7361999999994</v>
      </c>
      <c r="AZ25" s="110">
        <f>IFERROR(+LOOKUP(AY25,[4]TARIFAS!$A$4:$B$14,[4]TARIFAS!$A$4:$A$14),0)</f>
        <v>5081.41</v>
      </c>
      <c r="BA25" s="110">
        <f t="shared" si="12"/>
        <v>519.32619999999952</v>
      </c>
      <c r="BB25" s="110">
        <f>IFERROR(+LOOKUP(AY25,[4]TARIFAS!$A$4:$B$14,[4]TARIFAS!$D$4:$D$14),0)</f>
        <v>21.36</v>
      </c>
      <c r="BC25" s="110">
        <f t="shared" si="13"/>
        <v>110.92807631999989</v>
      </c>
      <c r="BD25" s="110">
        <f>IFERROR(+LOOKUP(AY25,[4]TARIFAS!$A$4:$B$14,[4]TARIFAS!$C$4:$C$14),0)</f>
        <v>538.20000000000005</v>
      </c>
      <c r="BE25" s="110">
        <f t="shared" si="14"/>
        <v>649.13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069</v>
      </c>
      <c r="B26" s="97" t="s">
        <v>32</v>
      </c>
      <c r="C26" s="112" t="s">
        <v>92</v>
      </c>
      <c r="D26" s="114" t="s">
        <v>93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421.49</v>
      </c>
      <c r="J26" s="160" t="s">
        <v>151</v>
      </c>
      <c r="K26" s="101">
        <v>6322.35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351.5</v>
      </c>
      <c r="R26" s="115">
        <v>406.32</v>
      </c>
      <c r="S26" s="103">
        <f t="shared" si="2"/>
        <v>189.6705</v>
      </c>
      <c r="T26" s="101" t="s">
        <v>37</v>
      </c>
      <c r="U26" s="102">
        <v>1712</v>
      </c>
      <c r="V26" s="104">
        <f t="shared" si="3"/>
        <v>595.9905</v>
      </c>
      <c r="W26" s="101"/>
      <c r="X26" s="102"/>
      <c r="Y26" s="104"/>
      <c r="Z26" s="104">
        <f t="shared" si="4"/>
        <v>7269.8405000000002</v>
      </c>
      <c r="AA26" s="101" t="s">
        <v>39</v>
      </c>
      <c r="AB26" s="102">
        <v>1431</v>
      </c>
      <c r="AC26" s="104">
        <f t="shared" si="5"/>
        <v>600.6232500000001</v>
      </c>
      <c r="AD26" s="101" t="s">
        <v>39</v>
      </c>
      <c r="AE26" s="105" t="s">
        <v>40</v>
      </c>
      <c r="AF26" s="115">
        <v>1687</v>
      </c>
      <c r="AG26" s="101" t="s">
        <v>39</v>
      </c>
      <c r="AH26" s="105" t="s">
        <v>41</v>
      </c>
      <c r="AI26" s="103">
        <f t="shared" si="6"/>
        <v>1005.65</v>
      </c>
      <c r="AJ26" s="101" t="s">
        <v>39</v>
      </c>
      <c r="AK26" s="105" t="s">
        <v>42</v>
      </c>
      <c r="AL26" s="103">
        <f t="shared" si="15"/>
        <v>63.223500000000008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1431</v>
      </c>
      <c r="AR26" s="103">
        <v>0</v>
      </c>
      <c r="AS26" s="104">
        <f t="shared" si="7"/>
        <v>3356.4967500000002</v>
      </c>
      <c r="AT26" s="106">
        <f t="shared" si="8"/>
        <v>3913.34375</v>
      </c>
      <c r="AU26" s="113"/>
      <c r="AV26" s="108"/>
      <c r="AW26" s="109">
        <f t="shared" si="9"/>
        <v>15</v>
      </c>
      <c r="AX26" s="109">
        <f t="shared" si="10"/>
        <v>7269.8405000000002</v>
      </c>
      <c r="AY26" s="110">
        <f t="shared" si="11"/>
        <v>7269.8405000000002</v>
      </c>
      <c r="AZ26" s="110">
        <f>IFERROR(+LOOKUP(AY26,[4]TARIFAS!$A$4:$B$14,[4]TARIFAS!$A$4:$A$14),0)</f>
        <v>5081.41</v>
      </c>
      <c r="BA26" s="110">
        <f t="shared" si="12"/>
        <v>2188.4305000000004</v>
      </c>
      <c r="BB26" s="110">
        <f>IFERROR(+LOOKUP(AY26,[4]TARIFAS!$A$4:$B$14,[4]TARIFAS!$D$4:$D$14),0)</f>
        <v>21.36</v>
      </c>
      <c r="BC26" s="110">
        <f t="shared" si="13"/>
        <v>467.44875480000007</v>
      </c>
      <c r="BD26" s="110">
        <f>IFERROR(+LOOKUP(AY26,[4]TARIFAS!$A$4:$B$14,[4]TARIFAS!$C$4:$C$14),0)</f>
        <v>538.20000000000005</v>
      </c>
      <c r="BE26" s="110">
        <f t="shared" si="14"/>
        <v>1005.65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070</v>
      </c>
      <c r="B27" s="97" t="s">
        <v>32</v>
      </c>
      <c r="C27" s="112" t="s">
        <v>94</v>
      </c>
      <c r="D27" s="114" t="s">
        <v>95</v>
      </c>
      <c r="E27" s="100" t="s">
        <v>35</v>
      </c>
      <c r="F27" s="101" t="s">
        <v>37</v>
      </c>
      <c r="G27" s="101" t="s">
        <v>38</v>
      </c>
      <c r="H27" s="101">
        <v>15</v>
      </c>
      <c r="I27" s="101">
        <v>325.036</v>
      </c>
      <c r="J27" s="160" t="s">
        <v>149</v>
      </c>
      <c r="K27" s="101">
        <v>4875.54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207.91</v>
      </c>
      <c r="R27" s="115">
        <v>371.02</v>
      </c>
      <c r="S27" s="103">
        <f t="shared" si="2"/>
        <v>146.2662</v>
      </c>
      <c r="T27" s="101" t="s">
        <v>37</v>
      </c>
      <c r="U27" s="102">
        <v>1712</v>
      </c>
      <c r="V27" s="104">
        <f t="shared" si="3"/>
        <v>517.28620000000001</v>
      </c>
      <c r="W27" s="101"/>
      <c r="X27" s="102"/>
      <c r="Y27" s="104"/>
      <c r="Z27" s="104">
        <f t="shared" si="4"/>
        <v>5600.7361999999994</v>
      </c>
      <c r="AA27" s="101" t="s">
        <v>39</v>
      </c>
      <c r="AB27" s="102">
        <v>1431</v>
      </c>
      <c r="AC27" s="104">
        <f t="shared" si="5"/>
        <v>463.17630000000003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41</v>
      </c>
      <c r="AI27" s="103">
        <f t="shared" si="6"/>
        <v>649.13</v>
      </c>
      <c r="AJ27" s="101" t="s">
        <v>39</v>
      </c>
      <c r="AK27" s="105" t="s">
        <v>42</v>
      </c>
      <c r="AL27" s="103">
        <f t="shared" si="15"/>
        <v>48.755400000000002</v>
      </c>
      <c r="AM27" s="101" t="s">
        <v>39</v>
      </c>
      <c r="AN27" s="105" t="s">
        <v>43</v>
      </c>
      <c r="AO27" s="115">
        <v>0</v>
      </c>
      <c r="AP27" s="101" t="s">
        <v>39</v>
      </c>
      <c r="AQ27" s="105">
        <v>1431</v>
      </c>
      <c r="AR27" s="103">
        <v>0</v>
      </c>
      <c r="AS27" s="104">
        <f t="shared" si="7"/>
        <v>1161.0617</v>
      </c>
      <c r="AT27" s="106">
        <f t="shared" si="8"/>
        <v>4439.6744999999992</v>
      </c>
      <c r="AU27" s="113"/>
      <c r="AV27" s="108"/>
      <c r="AW27" s="109">
        <f t="shared" si="9"/>
        <v>15</v>
      </c>
      <c r="AX27" s="109">
        <f t="shared" si="10"/>
        <v>5600.7361999999994</v>
      </c>
      <c r="AY27" s="110">
        <f t="shared" si="11"/>
        <v>5600.7361999999994</v>
      </c>
      <c r="AZ27" s="110">
        <f>IFERROR(+LOOKUP(AY27,[4]TARIFAS!$A$4:$B$14,[4]TARIFAS!$A$4:$A$14),0)</f>
        <v>5081.41</v>
      </c>
      <c r="BA27" s="110">
        <f t="shared" si="12"/>
        <v>519.32619999999952</v>
      </c>
      <c r="BB27" s="110">
        <f>IFERROR(+LOOKUP(AY27,[4]TARIFAS!$A$4:$B$14,[4]TARIFAS!$D$4:$D$14),0)</f>
        <v>21.36</v>
      </c>
      <c r="BC27" s="110">
        <f t="shared" si="13"/>
        <v>110.92807631999989</v>
      </c>
      <c r="BD27" s="110">
        <f>IFERROR(+LOOKUP(AY27,[4]TARIFAS!$A$4:$B$14,[4]TARIFAS!$C$4:$C$14),0)</f>
        <v>538.20000000000005</v>
      </c>
      <c r="BE27" s="110">
        <f t="shared" si="14"/>
        <v>649.13</v>
      </c>
      <c r="BF27" s="110"/>
      <c r="BG27" s="110"/>
      <c r="BH27" s="110"/>
      <c r="BI27" s="109"/>
    </row>
    <row r="28" spans="1:62" s="111" customFormat="1" ht="30" customHeight="1" x14ac:dyDescent="0.2">
      <c r="A28" s="97" t="str">
        <f t="shared" si="1"/>
        <v>SEI 071</v>
      </c>
      <c r="B28" s="97" t="s">
        <v>32</v>
      </c>
      <c r="C28" s="112" t="s">
        <v>96</v>
      </c>
      <c r="D28" s="114" t="s">
        <v>97</v>
      </c>
      <c r="E28" s="100" t="s">
        <v>35</v>
      </c>
      <c r="F28" s="101" t="s">
        <v>37</v>
      </c>
      <c r="G28" s="101" t="s">
        <v>38</v>
      </c>
      <c r="H28" s="101">
        <v>15</v>
      </c>
      <c r="I28" s="101">
        <v>421.49</v>
      </c>
      <c r="J28" s="160" t="s">
        <v>147</v>
      </c>
      <c r="K28" s="101">
        <f>421.49*4</f>
        <v>1685.96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5">
        <f>23.43*4</f>
        <v>93.72</v>
      </c>
      <c r="R28" s="115">
        <f>27.04*4</f>
        <v>108.16</v>
      </c>
      <c r="S28" s="103">
        <f t="shared" si="2"/>
        <v>50.578800000000001</v>
      </c>
      <c r="T28" s="101" t="s">
        <v>37</v>
      </c>
      <c r="U28" s="102">
        <v>1712</v>
      </c>
      <c r="V28" s="104">
        <f t="shared" si="3"/>
        <v>158.7388</v>
      </c>
      <c r="W28" s="101"/>
      <c r="X28" s="102"/>
      <c r="Y28" s="104"/>
      <c r="Z28" s="104">
        <f t="shared" si="4"/>
        <v>1938.4188000000001</v>
      </c>
      <c r="AA28" s="101" t="s">
        <v>39</v>
      </c>
      <c r="AB28" s="102">
        <v>1431</v>
      </c>
      <c r="AC28" s="104">
        <f t="shared" si="5"/>
        <v>160.1662</v>
      </c>
      <c r="AD28" s="101" t="s">
        <v>39</v>
      </c>
      <c r="AE28" s="105" t="s">
        <v>40</v>
      </c>
      <c r="AF28" s="115">
        <v>0</v>
      </c>
      <c r="AG28" s="101" t="s">
        <v>39</v>
      </c>
      <c r="AH28" s="105" t="s">
        <v>41</v>
      </c>
      <c r="AI28" s="103">
        <f t="shared" si="6"/>
        <v>113.04</v>
      </c>
      <c r="AJ28" s="101" t="s">
        <v>39</v>
      </c>
      <c r="AK28" s="105" t="s">
        <v>42</v>
      </c>
      <c r="AL28" s="103">
        <f t="shared" si="15"/>
        <v>16.8596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1431</v>
      </c>
      <c r="AR28" s="103">
        <v>0</v>
      </c>
      <c r="AS28" s="104">
        <f t="shared" si="7"/>
        <v>290.06580000000002</v>
      </c>
      <c r="AT28" s="106">
        <f t="shared" si="8"/>
        <v>1648.3530000000001</v>
      </c>
      <c r="AU28" s="113"/>
      <c r="AV28" s="108"/>
      <c r="AW28" s="109">
        <f t="shared" si="9"/>
        <v>15</v>
      </c>
      <c r="AX28" s="109">
        <f t="shared" si="10"/>
        <v>1938.4188000000001</v>
      </c>
      <c r="AY28" s="110">
        <f t="shared" si="11"/>
        <v>1938.4188000000001</v>
      </c>
      <c r="AZ28" s="110">
        <f>IFERROR(+LOOKUP(AY28,[4]TARIFAS!$A$4:$B$14,[4]TARIFAS!$A$4:$A$14),0)</f>
        <v>244.81</v>
      </c>
      <c r="BA28" s="110">
        <f t="shared" si="12"/>
        <v>1693.6088000000002</v>
      </c>
      <c r="BB28" s="110">
        <f>IFERROR(+LOOKUP(AY28,[4]TARIFAS!$A$4:$B$14,[4]TARIFAS!$D$4:$D$14),0)</f>
        <v>6.4</v>
      </c>
      <c r="BC28" s="110">
        <f t="shared" si="13"/>
        <v>108.39096320000003</v>
      </c>
      <c r="BD28" s="110">
        <f>IFERROR(+LOOKUP(AY28,[4]TARIFAS!$A$4:$B$14,[4]TARIFAS!$C$4:$C$14),0)</f>
        <v>4.6500000000000004</v>
      </c>
      <c r="BE28" s="110">
        <f t="shared" si="14"/>
        <v>113.04</v>
      </c>
      <c r="BF28" s="110"/>
      <c r="BG28" s="110"/>
      <c r="BH28" s="110"/>
      <c r="BI28" s="109"/>
      <c r="BJ28" s="111" t="s">
        <v>127</v>
      </c>
    </row>
    <row r="29" spans="1:62" s="111" customFormat="1" ht="30" customHeight="1" x14ac:dyDescent="0.2">
      <c r="A29" s="97" t="str">
        <f t="shared" si="1"/>
        <v>SEI 073</v>
      </c>
      <c r="B29" s="97" t="s">
        <v>32</v>
      </c>
      <c r="C29" s="112" t="s">
        <v>101</v>
      </c>
      <c r="D29" s="114" t="s">
        <v>102</v>
      </c>
      <c r="E29" s="100" t="s">
        <v>67</v>
      </c>
      <c r="F29" s="101" t="s">
        <v>37</v>
      </c>
      <c r="G29" s="101" t="s">
        <v>38</v>
      </c>
      <c r="H29" s="101">
        <v>15</v>
      </c>
      <c r="I29" s="101">
        <v>1029.4333333333334</v>
      </c>
      <c r="J29" s="160" t="s">
        <v>146</v>
      </c>
      <c r="K29" s="101">
        <v>15441.5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5">
        <v>566.5</v>
      </c>
      <c r="R29" s="115">
        <v>835.5</v>
      </c>
      <c r="S29" s="103">
        <f t="shared" si="2"/>
        <v>463.245</v>
      </c>
      <c r="T29" s="101" t="s">
        <v>37</v>
      </c>
      <c r="U29" s="102">
        <v>1712</v>
      </c>
      <c r="V29" s="104">
        <f t="shared" si="3"/>
        <v>1298.7449999999999</v>
      </c>
      <c r="W29" s="101"/>
      <c r="X29" s="102"/>
      <c r="Y29" s="104"/>
      <c r="Z29" s="104">
        <f t="shared" si="4"/>
        <v>17306.744999999999</v>
      </c>
      <c r="AA29" s="101" t="s">
        <v>39</v>
      </c>
      <c r="AB29" s="102">
        <v>1431</v>
      </c>
      <c r="AC29" s="104">
        <f t="shared" si="5"/>
        <v>1466.9425000000001</v>
      </c>
      <c r="AD29" s="101" t="s">
        <v>39</v>
      </c>
      <c r="AE29" s="105" t="s">
        <v>40</v>
      </c>
      <c r="AF29" s="115">
        <v>0</v>
      </c>
      <c r="AG29" s="101" t="s">
        <v>39</v>
      </c>
      <c r="AH29" s="105" t="s">
        <v>41</v>
      </c>
      <c r="AI29" s="103">
        <f t="shared" si="6"/>
        <v>3376.71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1431</v>
      </c>
      <c r="AR29" s="103">
        <v>0</v>
      </c>
      <c r="AS29" s="104">
        <f t="shared" si="7"/>
        <v>4843.6525000000001</v>
      </c>
      <c r="AT29" s="106">
        <f t="shared" si="8"/>
        <v>12463.092499999999</v>
      </c>
      <c r="AU29" s="113"/>
      <c r="AV29" s="108"/>
      <c r="AW29" s="111">
        <f t="shared" si="9"/>
        <v>15</v>
      </c>
      <c r="AX29" s="109">
        <f t="shared" si="10"/>
        <v>17306.745000000003</v>
      </c>
      <c r="AY29" s="119">
        <f>IFERROR(+AX29/AW29,0)*AW29</f>
        <v>17306.745000000003</v>
      </c>
      <c r="AZ29" s="119">
        <f>IFERROR(+LOOKUP(AY29,[4]TARIFAS!$A$4:$B$14,[4]TARIFAS!$A$4:$A$14),0)</f>
        <v>16153.06</v>
      </c>
      <c r="BA29" s="119">
        <f>+AY29-AZ29</f>
        <v>1153.6850000000031</v>
      </c>
      <c r="BB29" s="119">
        <f>IFERROR(+LOOKUP(AY29,[4]TARIFAS!$A$4:$B$14,[4]TARIFAS!$D$4:$D$14),0)</f>
        <v>30</v>
      </c>
      <c r="BC29" s="119">
        <f>(+BA29*BB29)/100</f>
        <v>346.10550000000092</v>
      </c>
      <c r="BD29" s="119">
        <f>IFERROR(+LOOKUP(AY29,[4]TARIFAS!$A$4:$B$14,[4]TARIFAS!$C$4:$C$14),0)</f>
        <v>3030.6</v>
      </c>
      <c r="BE29" s="119">
        <f>ROUND(+BC29+BD29,2)</f>
        <v>3376.71</v>
      </c>
      <c r="BF29" s="119"/>
      <c r="BG29" s="119"/>
      <c r="BH29" s="119"/>
      <c r="BJ29" s="120"/>
    </row>
    <row r="30" spans="1:62" s="111" customFormat="1" ht="30" customHeight="1" x14ac:dyDescent="0.2">
      <c r="A30" s="97" t="str">
        <f t="shared" si="1"/>
        <v>SEI 074</v>
      </c>
      <c r="B30" s="97" t="s">
        <v>32</v>
      </c>
      <c r="C30" s="112" t="s">
        <v>103</v>
      </c>
      <c r="D30" s="114" t="s">
        <v>104</v>
      </c>
      <c r="E30" s="100" t="s">
        <v>105</v>
      </c>
      <c r="F30" s="101" t="s">
        <v>37</v>
      </c>
      <c r="G30" s="101" t="s">
        <v>38</v>
      </c>
      <c r="H30" s="101">
        <v>15</v>
      </c>
      <c r="I30" s="101">
        <v>1958.6333333333334</v>
      </c>
      <c r="J30" s="160" t="s">
        <v>148</v>
      </c>
      <c r="K30" s="101">
        <v>29379.5</v>
      </c>
      <c r="L30" s="101" t="s">
        <v>37</v>
      </c>
      <c r="M30" s="102">
        <v>1311</v>
      </c>
      <c r="N30" s="115">
        <v>0</v>
      </c>
      <c r="O30" s="101" t="s">
        <v>37</v>
      </c>
      <c r="P30" s="102">
        <v>1713</v>
      </c>
      <c r="Q30" s="116">
        <v>808.5</v>
      </c>
      <c r="R30" s="115">
        <v>1144</v>
      </c>
      <c r="S30" s="103">
        <f t="shared" si="2"/>
        <v>881.38499999999999</v>
      </c>
      <c r="T30" s="101" t="s">
        <v>37</v>
      </c>
      <c r="U30" s="102">
        <v>1712</v>
      </c>
      <c r="V30" s="104">
        <f t="shared" si="3"/>
        <v>2025.385</v>
      </c>
      <c r="W30" s="101"/>
      <c r="X30" s="102"/>
      <c r="Y30" s="104"/>
      <c r="Z30" s="104">
        <f t="shared" si="4"/>
        <v>32213.384999999998</v>
      </c>
      <c r="AA30" s="101" t="s">
        <v>39</v>
      </c>
      <c r="AB30" s="102">
        <v>1431</v>
      </c>
      <c r="AC30" s="104">
        <f t="shared" si="5"/>
        <v>2791.0525000000002</v>
      </c>
      <c r="AD30" s="101" t="s">
        <v>39</v>
      </c>
      <c r="AE30" s="105" t="s">
        <v>40</v>
      </c>
      <c r="AF30" s="115">
        <v>4897</v>
      </c>
      <c r="AG30" s="101" t="s">
        <v>39</v>
      </c>
      <c r="AH30" s="105" t="s">
        <v>41</v>
      </c>
      <c r="AI30" s="103">
        <f t="shared" si="6"/>
        <v>7876.11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1431</v>
      </c>
      <c r="AR30" s="103">
        <v>0</v>
      </c>
      <c r="AS30" s="104">
        <f t="shared" si="7"/>
        <v>15564.162499999999</v>
      </c>
      <c r="AT30" s="106">
        <f t="shared" si="8"/>
        <v>16649.2225</v>
      </c>
      <c r="AU30" s="113"/>
      <c r="AV30" s="108"/>
      <c r="AW30" s="109">
        <f t="shared" si="9"/>
        <v>15</v>
      </c>
      <c r="AX30" s="109">
        <f t="shared" si="10"/>
        <v>32213.384999999998</v>
      </c>
      <c r="AY30" s="110">
        <f t="shared" si="11"/>
        <v>32213.384999999995</v>
      </c>
      <c r="AZ30" s="110">
        <f>IFERROR(+LOOKUP(AY30,[4]TARIFAS!$A$4:$B$14,[4]TARIFAS!$A$4:$A$14),0)</f>
        <v>30838.81</v>
      </c>
      <c r="BA30" s="110">
        <f t="shared" si="12"/>
        <v>1374.5749999999935</v>
      </c>
      <c r="BB30" s="110">
        <f>IFERROR(+LOOKUP(AY30,[4]TARIFAS!$A$4:$B$14,[4]TARIFAS!$D$4:$D$14),0)</f>
        <v>32</v>
      </c>
      <c r="BC30" s="110">
        <f t="shared" si="13"/>
        <v>439.86399999999793</v>
      </c>
      <c r="BD30" s="110">
        <f>IFERROR(+LOOKUP(AY30,[4]TARIFAS!$A$4:$B$14,[4]TARIFAS!$C$4:$C$14),0)</f>
        <v>7436.25</v>
      </c>
      <c r="BE30" s="110">
        <f t="shared" si="14"/>
        <v>7876.11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077</v>
      </c>
      <c r="B31" s="97" t="s">
        <v>32</v>
      </c>
      <c r="C31" s="112" t="s">
        <v>108</v>
      </c>
      <c r="D31" s="114" t="s">
        <v>109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421.49</v>
      </c>
      <c r="J31" s="160" t="s">
        <v>151</v>
      </c>
      <c r="K31" s="101">
        <v>6322.35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6">
        <v>351.5</v>
      </c>
      <c r="R31" s="115">
        <v>406.32</v>
      </c>
      <c r="S31" s="103">
        <f t="shared" si="2"/>
        <v>189.6705</v>
      </c>
      <c r="T31" s="101" t="s">
        <v>37</v>
      </c>
      <c r="U31" s="102">
        <v>1712</v>
      </c>
      <c r="V31" s="104">
        <f t="shared" si="3"/>
        <v>595.9905</v>
      </c>
      <c r="W31" s="101"/>
      <c r="X31" s="102"/>
      <c r="Y31" s="104"/>
      <c r="Z31" s="104">
        <f t="shared" si="4"/>
        <v>7269.8405000000002</v>
      </c>
      <c r="AA31" s="101" t="s">
        <v>39</v>
      </c>
      <c r="AB31" s="102">
        <v>1431</v>
      </c>
      <c r="AC31" s="104">
        <f t="shared" si="5"/>
        <v>600.6232500000001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 t="shared" si="6"/>
        <v>1005.65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1431</v>
      </c>
      <c r="AR31" s="103">
        <v>0</v>
      </c>
      <c r="AS31" s="104">
        <f t="shared" si="7"/>
        <v>1606.2732500000002</v>
      </c>
      <c r="AT31" s="106">
        <f t="shared" si="8"/>
        <v>5663.5672500000001</v>
      </c>
      <c r="AU31" s="113"/>
      <c r="AV31" s="108"/>
      <c r="AW31" s="109">
        <f t="shared" si="9"/>
        <v>15</v>
      </c>
      <c r="AX31" s="109">
        <f t="shared" si="10"/>
        <v>7269.8405000000002</v>
      </c>
      <c r="AY31" s="110">
        <f t="shared" si="11"/>
        <v>7269.8405000000002</v>
      </c>
      <c r="AZ31" s="110">
        <f>IFERROR(+LOOKUP(AY31,[4]TARIFAS!$A$4:$B$14,[4]TARIFAS!$A$4:$A$14),0)</f>
        <v>5081.41</v>
      </c>
      <c r="BA31" s="110">
        <f t="shared" si="12"/>
        <v>2188.4305000000004</v>
      </c>
      <c r="BB31" s="110">
        <f>IFERROR(+LOOKUP(AY31,[4]TARIFAS!$A$4:$B$14,[4]TARIFAS!$D$4:$D$14),0)</f>
        <v>21.36</v>
      </c>
      <c r="BC31" s="110">
        <f t="shared" si="13"/>
        <v>467.44875480000007</v>
      </c>
      <c r="BD31" s="110">
        <f>IFERROR(+LOOKUP(AY31,[4]TARIFAS!$A$4:$B$14,[4]TARIFAS!$C$4:$C$14),0)</f>
        <v>538.20000000000005</v>
      </c>
      <c r="BE31" s="110">
        <f>ROUND(+BC31+BD31,2)</f>
        <v>1005.65</v>
      </c>
      <c r="BF31" s="110"/>
      <c r="BG31" s="110"/>
      <c r="BH31" s="110"/>
      <c r="BI31" s="109"/>
    </row>
    <row r="32" spans="1:62" s="111" customFormat="1" ht="30" customHeight="1" x14ac:dyDescent="0.2">
      <c r="A32" s="97" t="str">
        <f t="shared" si="1"/>
        <v>SEI 078</v>
      </c>
      <c r="B32" s="97" t="s">
        <v>32</v>
      </c>
      <c r="C32" s="112" t="s">
        <v>106</v>
      </c>
      <c r="D32" s="114" t="s">
        <v>107</v>
      </c>
      <c r="E32" s="100" t="s">
        <v>67</v>
      </c>
      <c r="F32" s="101" t="s">
        <v>37</v>
      </c>
      <c r="G32" s="101" t="s">
        <v>38</v>
      </c>
      <c r="H32" s="101">
        <v>15</v>
      </c>
      <c r="I32" s="101">
        <v>1029.4333333333334</v>
      </c>
      <c r="J32" s="160" t="s">
        <v>151</v>
      </c>
      <c r="K32" s="101">
        <v>15441.5</v>
      </c>
      <c r="L32" s="101" t="s">
        <v>37</v>
      </c>
      <c r="M32" s="102">
        <v>1311</v>
      </c>
      <c r="N32" s="103">
        <f>67.29</f>
        <v>67.290000000000006</v>
      </c>
      <c r="O32" s="101" t="s">
        <v>37</v>
      </c>
      <c r="P32" s="102">
        <v>1713</v>
      </c>
      <c r="Q32" s="103">
        <v>566.5</v>
      </c>
      <c r="R32" s="103">
        <v>835.5</v>
      </c>
      <c r="S32" s="103">
        <f t="shared" si="2"/>
        <v>463.245</v>
      </c>
      <c r="T32" s="101" t="s">
        <v>37</v>
      </c>
      <c r="U32" s="102">
        <v>1712</v>
      </c>
      <c r="V32" s="104">
        <f t="shared" si="3"/>
        <v>1298.7449999999999</v>
      </c>
      <c r="W32" s="101"/>
      <c r="X32" s="102"/>
      <c r="Y32" s="104"/>
      <c r="Z32" s="104">
        <f t="shared" si="4"/>
        <v>17374.035</v>
      </c>
      <c r="AA32" s="101" t="s">
        <v>39</v>
      </c>
      <c r="AB32" s="102">
        <v>1431</v>
      </c>
      <c r="AC32" s="104">
        <f t="shared" si="5"/>
        <v>1466.9425000000001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 t="shared" si="6"/>
        <v>3396.89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1431</v>
      </c>
      <c r="AR32" s="103">
        <v>0</v>
      </c>
      <c r="AS32" s="104">
        <f t="shared" si="7"/>
        <v>4863.8325000000004</v>
      </c>
      <c r="AT32" s="106">
        <f t="shared" si="8"/>
        <v>12510.202499999999</v>
      </c>
      <c r="AU32" s="113"/>
      <c r="AV32" s="108"/>
      <c r="AW32" s="109">
        <f t="shared" si="9"/>
        <v>15</v>
      </c>
      <c r="AX32" s="109">
        <f t="shared" si="10"/>
        <v>17374.035000000003</v>
      </c>
      <c r="AY32" s="110">
        <f t="shared" si="11"/>
        <v>17374.035000000003</v>
      </c>
      <c r="AZ32" s="110">
        <f>IFERROR(+LOOKUP(AY32,[4]TARIFAS!$A$4:$B$14,[4]TARIFAS!$A$4:$A$14),0)</f>
        <v>16153.06</v>
      </c>
      <c r="BA32" s="110">
        <f t="shared" si="12"/>
        <v>1220.975000000004</v>
      </c>
      <c r="BB32" s="110">
        <f>IFERROR(+LOOKUP(AY32,[4]TARIFAS!$A$4:$B$14,[4]TARIFAS!$D$4:$D$14),0)</f>
        <v>30</v>
      </c>
      <c r="BC32" s="110">
        <f t="shared" si="13"/>
        <v>366.29250000000116</v>
      </c>
      <c r="BD32" s="110">
        <f>IFERROR(+LOOKUP(AY32,[4]TARIFAS!$A$4:$B$14,[4]TARIFAS!$C$4:$C$14),0)</f>
        <v>3030.6</v>
      </c>
      <c r="BE32" s="110">
        <f t="shared" si="14"/>
        <v>3396.89</v>
      </c>
      <c r="BF32" s="110"/>
      <c r="BG32" s="110"/>
      <c r="BH32" s="110"/>
      <c r="BI32" s="109"/>
    </row>
    <row r="33" spans="1:62" s="111" customFormat="1" ht="30" customHeight="1" x14ac:dyDescent="0.2">
      <c r="A33" s="97" t="str">
        <f t="shared" si="1"/>
        <v>SEI 079</v>
      </c>
      <c r="B33" s="97" t="s">
        <v>32</v>
      </c>
      <c r="C33" s="112" t="s">
        <v>124</v>
      </c>
      <c r="D33" s="114" t="s">
        <v>125</v>
      </c>
      <c r="E33" s="100" t="s">
        <v>35</v>
      </c>
      <c r="F33" s="101" t="s">
        <v>37</v>
      </c>
      <c r="G33" s="101" t="s">
        <v>38</v>
      </c>
      <c r="H33" s="101">
        <v>15</v>
      </c>
      <c r="I33" s="101">
        <v>325.036</v>
      </c>
      <c r="J33" s="160" t="s">
        <v>150</v>
      </c>
      <c r="K33" s="101">
        <v>4875.54</v>
      </c>
      <c r="L33" s="101" t="s">
        <v>37</v>
      </c>
      <c r="M33" s="102">
        <v>1311</v>
      </c>
      <c r="N33" s="115">
        <v>0</v>
      </c>
      <c r="O33" s="101" t="s">
        <v>37</v>
      </c>
      <c r="P33" s="102">
        <v>1713</v>
      </c>
      <c r="Q33" s="115">
        <v>207.91</v>
      </c>
      <c r="R33" s="115">
        <v>371.02</v>
      </c>
      <c r="S33" s="103">
        <f t="shared" si="2"/>
        <v>146.2662</v>
      </c>
      <c r="T33" s="101" t="s">
        <v>37</v>
      </c>
      <c r="U33" s="102">
        <v>1712</v>
      </c>
      <c r="V33" s="104">
        <f t="shared" si="3"/>
        <v>517.28620000000001</v>
      </c>
      <c r="W33" s="101"/>
      <c r="X33" s="102"/>
      <c r="Y33" s="104"/>
      <c r="Z33" s="104">
        <f t="shared" si="4"/>
        <v>5600.7361999999994</v>
      </c>
      <c r="AA33" s="101" t="s">
        <v>39</v>
      </c>
      <c r="AB33" s="102">
        <v>1431</v>
      </c>
      <c r="AC33" s="104">
        <f t="shared" si="5"/>
        <v>463.17630000000003</v>
      </c>
      <c r="AD33" s="101" t="s">
        <v>39</v>
      </c>
      <c r="AE33" s="105" t="s">
        <v>40</v>
      </c>
      <c r="AF33" s="115">
        <v>0</v>
      </c>
      <c r="AG33" s="101" t="s">
        <v>39</v>
      </c>
      <c r="AH33" s="105" t="s">
        <v>41</v>
      </c>
      <c r="AI33" s="103">
        <f t="shared" si="6"/>
        <v>649.13</v>
      </c>
      <c r="AJ33" s="101" t="s">
        <v>39</v>
      </c>
      <c r="AK33" s="105" t="s">
        <v>42</v>
      </c>
      <c r="AL33" s="103">
        <v>0</v>
      </c>
      <c r="AM33" s="101" t="s">
        <v>39</v>
      </c>
      <c r="AN33" s="105" t="s">
        <v>43</v>
      </c>
      <c r="AO33" s="115">
        <v>0</v>
      </c>
      <c r="AP33" s="101" t="s">
        <v>39</v>
      </c>
      <c r="AQ33" s="105">
        <v>1431</v>
      </c>
      <c r="AR33" s="103">
        <v>0</v>
      </c>
      <c r="AS33" s="104">
        <f t="shared" si="7"/>
        <v>1112.3063</v>
      </c>
      <c r="AT33" s="106">
        <f t="shared" si="8"/>
        <v>4488.4298999999992</v>
      </c>
      <c r="AU33" s="113"/>
      <c r="AV33" s="108"/>
      <c r="AW33" s="109">
        <f>+H33</f>
        <v>15</v>
      </c>
      <c r="AX33" s="109">
        <f>+K33+S33+N33+Q33+R33+Y33</f>
        <v>5600.7361999999994</v>
      </c>
      <c r="AY33" s="110">
        <f>IFERROR(+AX33/AW33,0)*AW33</f>
        <v>5600.7361999999994</v>
      </c>
      <c r="AZ33" s="110">
        <f>IFERROR(+LOOKUP(AY33,[4]TARIFAS!$A$4:$B$14,[4]TARIFAS!$A$4:$A$14),0)</f>
        <v>5081.41</v>
      </c>
      <c r="BA33" s="110">
        <f>+AY33-AZ33</f>
        <v>519.32619999999952</v>
      </c>
      <c r="BB33" s="110">
        <f>IFERROR(+LOOKUP(AY33,[4]TARIFAS!$A$4:$B$14,[4]TARIFAS!$D$4:$D$14),0)</f>
        <v>21.36</v>
      </c>
      <c r="BC33" s="110">
        <f>(+BA33*BB33)/100</f>
        <v>110.92807631999989</v>
      </c>
      <c r="BD33" s="110">
        <f>IFERROR(+LOOKUP(AY33,[4]TARIFAS!$A$4:$B$14,[4]TARIFAS!$C$4:$C$14),0)</f>
        <v>538.20000000000005</v>
      </c>
      <c r="BE33" s="110">
        <f>ROUND(+BC33+BD33,2)</f>
        <v>649.13</v>
      </c>
      <c r="BF33" s="110"/>
      <c r="BG33" s="110"/>
      <c r="BH33" s="110"/>
      <c r="BI33" s="109"/>
    </row>
    <row r="34" spans="1:62" s="111" customFormat="1" ht="30" customHeight="1" thickBot="1" x14ac:dyDescent="0.25">
      <c r="A34" s="97" t="str">
        <f t="shared" si="1"/>
        <v>SEI 080</v>
      </c>
      <c r="B34" s="97" t="s">
        <v>32</v>
      </c>
      <c r="C34" s="112" t="s">
        <v>128</v>
      </c>
      <c r="D34" s="114" t="s">
        <v>129</v>
      </c>
      <c r="E34" s="100" t="s">
        <v>35</v>
      </c>
      <c r="F34" s="101" t="s">
        <v>37</v>
      </c>
      <c r="G34" s="101" t="s">
        <v>38</v>
      </c>
      <c r="H34" s="101">
        <v>11</v>
      </c>
      <c r="I34" s="101">
        <v>421.49</v>
      </c>
      <c r="J34" s="160" t="s">
        <v>147</v>
      </c>
      <c r="K34" s="101">
        <f>421.49*11</f>
        <v>4636.3900000000003</v>
      </c>
      <c r="L34" s="101" t="s">
        <v>37</v>
      </c>
      <c r="M34" s="102">
        <v>1311</v>
      </c>
      <c r="N34" s="115">
        <v>0</v>
      </c>
      <c r="O34" s="101" t="s">
        <v>37</v>
      </c>
      <c r="P34" s="102">
        <v>1713</v>
      </c>
      <c r="Q34" s="116">
        <f>23.43*11</f>
        <v>257.73</v>
      </c>
      <c r="R34" s="115">
        <f>27.09*11</f>
        <v>297.99</v>
      </c>
      <c r="S34" s="103">
        <f t="shared" si="2"/>
        <v>139.0917</v>
      </c>
      <c r="T34" s="101" t="s">
        <v>37</v>
      </c>
      <c r="U34" s="102">
        <v>1712</v>
      </c>
      <c r="V34" s="104">
        <f t="shared" si="3"/>
        <v>437.08170000000001</v>
      </c>
      <c r="W34" s="101"/>
      <c r="X34" s="102"/>
      <c r="Y34" s="104"/>
      <c r="Z34" s="104">
        <f t="shared" si="4"/>
        <v>5331.2017000000005</v>
      </c>
      <c r="AA34" s="101" t="s">
        <v>39</v>
      </c>
      <c r="AB34" s="102">
        <v>1431</v>
      </c>
      <c r="AC34" s="104">
        <f t="shared" si="5"/>
        <v>440.45705000000004</v>
      </c>
      <c r="AD34" s="101" t="s">
        <v>39</v>
      </c>
      <c r="AE34" s="105" t="s">
        <v>40</v>
      </c>
      <c r="AF34" s="115">
        <v>0</v>
      </c>
      <c r="AG34" s="101" t="s">
        <v>39</v>
      </c>
      <c r="AH34" s="105" t="s">
        <v>41</v>
      </c>
      <c r="AI34" s="103">
        <f t="shared" si="6"/>
        <v>591.55999999999995</v>
      </c>
      <c r="AJ34" s="101" t="s">
        <v>39</v>
      </c>
      <c r="AK34" s="105" t="s">
        <v>42</v>
      </c>
      <c r="AL34" s="103">
        <v>0</v>
      </c>
      <c r="AM34" s="101" t="s">
        <v>39</v>
      </c>
      <c r="AN34" s="105" t="s">
        <v>43</v>
      </c>
      <c r="AO34" s="115">
        <v>0</v>
      </c>
      <c r="AP34" s="101" t="s">
        <v>39</v>
      </c>
      <c r="AQ34" s="105">
        <v>1431</v>
      </c>
      <c r="AR34" s="103">
        <v>0</v>
      </c>
      <c r="AS34" s="104">
        <f t="shared" si="7"/>
        <v>1032.0170499999999</v>
      </c>
      <c r="AT34" s="106">
        <f t="shared" si="8"/>
        <v>4299.1846500000011</v>
      </c>
      <c r="AU34" s="113"/>
      <c r="AV34" s="108"/>
      <c r="AW34" s="109">
        <f t="shared" si="9"/>
        <v>11</v>
      </c>
      <c r="AX34" s="109">
        <f t="shared" si="10"/>
        <v>5331.2016999999996</v>
      </c>
      <c r="AY34" s="110">
        <f t="shared" si="11"/>
        <v>5331.2016999999996</v>
      </c>
      <c r="AZ34" s="110">
        <f>IFERROR(+LOOKUP(AY34,[4]TARIFAS!$A$4:$B$14,[4]TARIFAS!$A$4:$A$14),0)</f>
        <v>5081.41</v>
      </c>
      <c r="BA34" s="110">
        <f t="shared" si="12"/>
        <v>249.79169999999976</v>
      </c>
      <c r="BB34" s="110">
        <f>IFERROR(+LOOKUP(AY34,[4]TARIFAS!$A$4:$B$14,[4]TARIFAS!$D$4:$D$14),0)</f>
        <v>21.36</v>
      </c>
      <c r="BC34" s="110">
        <f t="shared" si="13"/>
        <v>53.355507119999949</v>
      </c>
      <c r="BD34" s="110">
        <f>IFERROR(+LOOKUP(AY34,[4]TARIFAS!$A$4:$B$14,[4]TARIFAS!$C$4:$C$14),0)</f>
        <v>538.20000000000005</v>
      </c>
      <c r="BE34" s="110">
        <f t="shared" si="14"/>
        <v>591.55999999999995</v>
      </c>
      <c r="BF34" s="110"/>
      <c r="BG34" s="110"/>
      <c r="BH34" s="110"/>
      <c r="BI34" s="109"/>
      <c r="BJ34" s="111" t="s">
        <v>130</v>
      </c>
    </row>
    <row r="35" spans="1:62" s="128" customFormat="1" ht="21" customHeight="1" thickBot="1" x14ac:dyDescent="0.25">
      <c r="A35" s="121"/>
      <c r="B35" s="122"/>
      <c r="C35" s="123"/>
      <c r="D35" s="123" t="s">
        <v>110</v>
      </c>
      <c r="E35" s="123"/>
      <c r="F35" s="124"/>
      <c r="G35" s="124"/>
      <c r="H35" s="124"/>
      <c r="I35" s="124"/>
      <c r="J35" s="124"/>
      <c r="K35" s="124">
        <f>SUM(K5:K34)</f>
        <v>236903.65000000005</v>
      </c>
      <c r="L35" s="124"/>
      <c r="M35" s="124"/>
      <c r="N35" s="124">
        <f>SUM(N5:N34)</f>
        <v>2590.6649999999995</v>
      </c>
      <c r="O35" s="124"/>
      <c r="P35" s="124"/>
      <c r="Q35" s="124">
        <f>SUM(Q5:Q34)</f>
        <v>10300.619999999999</v>
      </c>
      <c r="R35" s="124">
        <f>SUM(R5:R34)</f>
        <v>14034.35</v>
      </c>
      <c r="S35" s="124">
        <f>SUM(S5:S34)</f>
        <v>7107.1095000000014</v>
      </c>
      <c r="T35" s="124"/>
      <c r="U35" s="124"/>
      <c r="V35" s="124">
        <f>SUM(V5:V34)</f>
        <v>21141.459499999994</v>
      </c>
      <c r="W35" s="124"/>
      <c r="X35" s="125"/>
      <c r="Y35" s="124">
        <f>SUM(Y5:Y32)</f>
        <v>11303.45</v>
      </c>
      <c r="Z35" s="124">
        <f>SUM(Z5:Z34)</f>
        <v>282239.84449999995</v>
      </c>
      <c r="AA35" s="124"/>
      <c r="AB35" s="125"/>
      <c r="AC35" s="124">
        <f>SUM(AC5:AC34)</f>
        <v>22505.846750000008</v>
      </c>
      <c r="AD35" s="124"/>
      <c r="AE35" s="125"/>
      <c r="AF35" s="126">
        <f>SUM(AF5:AF34)</f>
        <v>26437.85</v>
      </c>
      <c r="AG35" s="124"/>
      <c r="AH35" s="125"/>
      <c r="AI35" s="124">
        <f>SUM(AI5:AI34)</f>
        <v>46930.94000000001</v>
      </c>
      <c r="AJ35" s="124"/>
      <c r="AK35" s="125"/>
      <c r="AL35" s="126">
        <f>SUM(AL5:AL34)</f>
        <v>1012.0574000000003</v>
      </c>
      <c r="AM35" s="124"/>
      <c r="AN35" s="125"/>
      <c r="AO35" s="124">
        <f>SUM(AO5:AO34)</f>
        <v>0</v>
      </c>
      <c r="AP35" s="124"/>
      <c r="AQ35" s="125"/>
      <c r="AR35" s="124">
        <f>SUM(AR5:AR34)</f>
        <v>0</v>
      </c>
      <c r="AS35" s="124">
        <f>SUM(AS5:AS34)</f>
        <v>96886.69415000001</v>
      </c>
      <c r="AT35" s="124">
        <f>SUM(AT5:AT34)</f>
        <v>185353.15035000001</v>
      </c>
      <c r="AU35" s="127"/>
    </row>
    <row r="36" spans="1:62" s="128" customFormat="1" ht="21" customHeight="1" x14ac:dyDescent="0.2">
      <c r="A36" s="129"/>
      <c r="B36" s="129"/>
      <c r="C36" s="130"/>
      <c r="D36" s="130"/>
      <c r="E36" s="130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1"/>
      <c r="Y36" s="129"/>
      <c r="Z36" s="129"/>
      <c r="AA36" s="129"/>
      <c r="AB36" s="131"/>
      <c r="AC36" s="129"/>
      <c r="AD36" s="129"/>
      <c r="AE36" s="131"/>
      <c r="AF36" s="132"/>
      <c r="AG36" s="129"/>
      <c r="AH36" s="131"/>
      <c r="AI36" s="129"/>
      <c r="AJ36" s="129"/>
      <c r="AK36" s="131"/>
      <c r="AL36" s="132"/>
      <c r="AM36" s="129"/>
      <c r="AN36" s="131"/>
      <c r="AO36" s="129"/>
      <c r="AP36" s="129"/>
      <c r="AQ36" s="131"/>
      <c r="AR36" s="129"/>
      <c r="AS36" s="129"/>
      <c r="AT36" s="129"/>
      <c r="AU36" s="129"/>
    </row>
    <row r="37" spans="1:62" ht="15.75" x14ac:dyDescent="0.2">
      <c r="A37" s="133"/>
      <c r="B37" s="133"/>
      <c r="C37" s="134"/>
      <c r="D37" s="173" t="s">
        <v>111</v>
      </c>
      <c r="E37" s="173"/>
      <c r="F37" s="173"/>
      <c r="G37" s="173"/>
      <c r="H37" s="173"/>
      <c r="I37" s="173"/>
      <c r="J37" s="173"/>
      <c r="K37" s="173"/>
      <c r="L37" s="135"/>
      <c r="M37" s="135"/>
      <c r="O37" s="135"/>
      <c r="P37" s="136"/>
      <c r="Q37" s="137"/>
      <c r="R37" s="138"/>
      <c r="S37" s="173" t="s">
        <v>112</v>
      </c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I37" s="133"/>
      <c r="AJ37" s="133"/>
      <c r="AK37" s="133"/>
      <c r="AL37" s="173" t="s">
        <v>113</v>
      </c>
      <c r="AM37" s="173"/>
      <c r="AN37" s="173"/>
      <c r="AO37" s="173"/>
      <c r="AP37" s="173"/>
      <c r="AQ37" s="173"/>
      <c r="AR37" s="173"/>
      <c r="AS37" s="173"/>
      <c r="AT37" s="173"/>
    </row>
    <row r="38" spans="1:62" ht="22.5" customHeight="1" x14ac:dyDescent="0.2">
      <c r="A38" s="133"/>
      <c r="B38" s="133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O38" s="141"/>
      <c r="P38" s="142"/>
      <c r="Q38" s="141"/>
      <c r="R38" s="138"/>
      <c r="S38" s="138"/>
      <c r="T38" s="141"/>
      <c r="U38" s="142"/>
      <c r="W38" s="141"/>
      <c r="X38" s="142"/>
      <c r="Z38" s="138"/>
      <c r="AA38" s="141"/>
      <c r="AB38" s="142"/>
      <c r="AC38" s="143"/>
      <c r="AD38" s="141"/>
      <c r="AE38" s="142"/>
      <c r="AF38" s="144"/>
      <c r="AG38" s="141"/>
      <c r="AH38" s="142"/>
      <c r="AI38" s="133"/>
      <c r="AJ38" s="141"/>
      <c r="AK38" s="142"/>
      <c r="AL38" s="145"/>
      <c r="AM38" s="141"/>
      <c r="AN38" s="142"/>
      <c r="AO38" s="133"/>
      <c r="AP38" s="141"/>
      <c r="AQ38" s="142"/>
      <c r="AR38" s="133"/>
      <c r="AT38" s="133"/>
    </row>
    <row r="39" spans="1:62" ht="15.75" x14ac:dyDescent="0.2">
      <c r="A39" s="133"/>
      <c r="B39" s="133"/>
      <c r="C39" s="146"/>
      <c r="D39" s="173" t="s">
        <v>114</v>
      </c>
      <c r="E39" s="173"/>
      <c r="F39" s="173"/>
      <c r="G39" s="173"/>
      <c r="H39" s="173"/>
      <c r="I39" s="173"/>
      <c r="J39" s="173"/>
      <c r="K39" s="173"/>
      <c r="L39" s="135"/>
      <c r="M39" s="135"/>
      <c r="O39" s="135"/>
      <c r="P39" s="136"/>
      <c r="Q39" s="138"/>
      <c r="R39" s="138"/>
      <c r="S39" s="173" t="s">
        <v>115</v>
      </c>
      <c r="T39" s="173"/>
      <c r="U39" s="173"/>
      <c r="V39" s="173"/>
      <c r="W39" s="173"/>
      <c r="X39" s="173"/>
      <c r="Y39" s="173"/>
      <c r="Z39" s="173"/>
      <c r="AA39" s="133"/>
      <c r="AB39" s="133"/>
      <c r="AC39" s="133"/>
      <c r="AD39" s="133"/>
      <c r="AE39" s="133"/>
      <c r="AG39" s="133"/>
      <c r="AH39" s="133"/>
      <c r="AJ39" s="133"/>
      <c r="AK39" s="133"/>
      <c r="AL39" s="173" t="s">
        <v>116</v>
      </c>
      <c r="AM39" s="173"/>
      <c r="AN39" s="173"/>
      <c r="AO39" s="173"/>
      <c r="AP39" s="173"/>
      <c r="AQ39" s="173"/>
      <c r="AR39" s="173"/>
      <c r="AS39" s="173"/>
      <c r="AT39" s="173"/>
      <c r="AU39" s="133"/>
    </row>
    <row r="40" spans="1:62" ht="15.75" x14ac:dyDescent="0.2">
      <c r="A40" s="133"/>
      <c r="B40" s="133"/>
      <c r="C40" s="146"/>
      <c r="D40" s="173" t="s">
        <v>117</v>
      </c>
      <c r="E40" s="173"/>
      <c r="F40" s="173"/>
      <c r="G40" s="173"/>
      <c r="H40" s="173"/>
      <c r="I40" s="173"/>
      <c r="J40" s="173"/>
      <c r="K40" s="173"/>
      <c r="L40" s="135"/>
      <c r="M40" s="135"/>
      <c r="O40" s="135"/>
      <c r="P40" s="136"/>
      <c r="Q40" s="138"/>
      <c r="R40" s="138"/>
      <c r="S40" s="173" t="s">
        <v>118</v>
      </c>
      <c r="T40" s="173"/>
      <c r="U40" s="173"/>
      <c r="V40" s="173"/>
      <c r="W40" s="173"/>
      <c r="X40" s="173"/>
      <c r="Y40" s="173"/>
      <c r="Z40" s="173"/>
      <c r="AA40" s="133"/>
      <c r="AB40" s="133"/>
      <c r="AC40" s="133"/>
      <c r="AD40" s="133"/>
      <c r="AE40" s="133"/>
      <c r="AG40" s="133"/>
      <c r="AH40" s="133"/>
      <c r="AJ40" s="133"/>
      <c r="AK40" s="133"/>
      <c r="AL40" s="173" t="s">
        <v>119</v>
      </c>
      <c r="AM40" s="173"/>
      <c r="AN40" s="173"/>
      <c r="AO40" s="173"/>
      <c r="AP40" s="173"/>
      <c r="AQ40" s="173"/>
      <c r="AR40" s="173"/>
      <c r="AS40" s="173"/>
      <c r="AT40" s="173"/>
      <c r="AU40" s="133"/>
    </row>
    <row r="41" spans="1:62" x14ac:dyDescent="0.2">
      <c r="A41" s="133"/>
      <c r="B41" s="133"/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T41" s="133"/>
      <c r="U41" s="147"/>
      <c r="W41" s="133"/>
      <c r="X41" s="147"/>
      <c r="Z41" s="133"/>
      <c r="AA41" s="133"/>
      <c r="AB41" s="147"/>
      <c r="AC41" s="133"/>
      <c r="AD41" s="133"/>
      <c r="AE41" s="147"/>
      <c r="AF41" s="148"/>
      <c r="AG41" s="133"/>
      <c r="AH41" s="147"/>
      <c r="AJ41" s="133"/>
      <c r="AK41" s="147"/>
      <c r="AM41" s="133"/>
      <c r="AN41" s="147"/>
      <c r="AP41" s="133"/>
      <c r="AQ41" s="147"/>
      <c r="AS41" s="133"/>
      <c r="AT41" s="133"/>
      <c r="AU41" s="133"/>
    </row>
    <row r="42" spans="1:62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</row>
    <row r="43" spans="1:62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</row>
    <row r="44" spans="1:62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62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62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  <c r="AT46" s="133"/>
    </row>
    <row r="47" spans="1:62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  <c r="AT47" s="133"/>
    </row>
    <row r="48" spans="1:62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46"/>
      <c r="D55" s="146"/>
      <c r="E55" s="146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46"/>
      <c r="D56" s="146"/>
      <c r="E56" s="146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34"/>
      <c r="D59" s="151"/>
      <c r="E59" s="151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C59" s="133"/>
      <c r="AD59" s="133"/>
      <c r="AE59" s="147"/>
      <c r="AF59" s="150"/>
      <c r="AG59" s="133"/>
      <c r="AH59" s="147"/>
      <c r="AI59" s="133"/>
      <c r="AJ59" s="133"/>
      <c r="AK59" s="147"/>
      <c r="AL59" s="150"/>
      <c r="AM59" s="133"/>
      <c r="AN59" s="147"/>
      <c r="AO59" s="133"/>
      <c r="AP59" s="133"/>
      <c r="AQ59" s="147"/>
      <c r="AR59" s="133"/>
      <c r="AS59" s="133"/>
    </row>
    <row r="60" spans="3:45" x14ac:dyDescent="0.2">
      <c r="C60" s="134"/>
      <c r="D60" s="151"/>
      <c r="E60" s="151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C60" s="133"/>
      <c r="AD60" s="133"/>
      <c r="AE60" s="147"/>
      <c r="AF60" s="150"/>
      <c r="AG60" s="133"/>
      <c r="AH60" s="147"/>
      <c r="AI60" s="133"/>
      <c r="AJ60" s="133"/>
      <c r="AK60" s="147"/>
      <c r="AL60" s="150"/>
      <c r="AM60" s="133"/>
      <c r="AN60" s="147"/>
      <c r="AO60" s="133"/>
      <c r="AP60" s="133"/>
      <c r="AQ60" s="147"/>
      <c r="AR60" s="133"/>
      <c r="AS60" s="133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6"/>
      <c r="D65" s="146"/>
      <c r="E65" s="146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33"/>
      <c r="R65" s="133"/>
      <c r="S65" s="133"/>
      <c r="T65" s="133"/>
      <c r="U65" s="147"/>
      <c r="V65" s="149"/>
      <c r="W65" s="133"/>
      <c r="X65" s="147"/>
      <c r="Y65" s="149"/>
      <c r="Z65" s="133"/>
      <c r="AA65" s="133"/>
      <c r="AB65" s="147"/>
      <c r="AD65" s="133"/>
      <c r="AE65" s="147"/>
      <c r="AG65" s="133"/>
      <c r="AH65" s="147"/>
      <c r="AJ65" s="133"/>
      <c r="AK65" s="147"/>
      <c r="AM65" s="133"/>
      <c r="AN65" s="147"/>
      <c r="AP65" s="133"/>
      <c r="AQ65" s="147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49"/>
      <c r="W66" s="133"/>
      <c r="X66" s="147"/>
      <c r="Y66" s="149"/>
      <c r="Z66" s="133"/>
      <c r="AA66" s="133"/>
      <c r="AB66" s="147"/>
      <c r="AD66" s="133"/>
      <c r="AE66" s="147"/>
      <c r="AG66" s="133"/>
      <c r="AH66" s="147"/>
      <c r="AJ66" s="133"/>
      <c r="AK66" s="147"/>
      <c r="AM66" s="133"/>
      <c r="AN66" s="147"/>
      <c r="AP66" s="133"/>
      <c r="AQ66" s="147"/>
    </row>
    <row r="67" spans="3:46" x14ac:dyDescent="0.2">
      <c r="C67" s="140"/>
      <c r="D67" s="140"/>
      <c r="E67" s="140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49"/>
      <c r="R67" s="133"/>
      <c r="S67" s="149"/>
      <c r="T67" s="133"/>
      <c r="U67" s="147"/>
      <c r="V67" s="149"/>
      <c r="W67" s="133"/>
      <c r="X67" s="147"/>
      <c r="Y67" s="149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34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33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33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C76" s="133"/>
      <c r="AD76" s="133"/>
      <c r="AE76" s="147"/>
      <c r="AF76" s="150"/>
      <c r="AG76" s="133"/>
      <c r="AH76" s="147"/>
      <c r="AI76" s="133"/>
      <c r="AJ76" s="133"/>
      <c r="AK76" s="147"/>
      <c r="AL76" s="150"/>
      <c r="AM76" s="133"/>
      <c r="AN76" s="147"/>
      <c r="AO76" s="133"/>
      <c r="AP76" s="133"/>
      <c r="AQ76" s="147"/>
      <c r="AR76" s="133"/>
      <c r="AS76" s="133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C77" s="133"/>
      <c r="AD77" s="133"/>
      <c r="AE77" s="147"/>
      <c r="AF77" s="150"/>
      <c r="AG77" s="133"/>
      <c r="AH77" s="147"/>
      <c r="AI77" s="133"/>
      <c r="AJ77" s="133"/>
      <c r="AK77" s="147"/>
      <c r="AL77" s="150"/>
      <c r="AM77" s="133"/>
      <c r="AN77" s="147"/>
      <c r="AO77" s="133"/>
      <c r="AP77" s="133"/>
      <c r="AQ77" s="147"/>
      <c r="AR77" s="133"/>
      <c r="AS77" s="133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  <c r="AT78" s="133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33"/>
      <c r="AA79" s="133"/>
      <c r="AB79" s="147"/>
      <c r="AD79" s="133"/>
      <c r="AE79" s="147"/>
      <c r="AG79" s="133"/>
      <c r="AH79" s="147"/>
      <c r="AJ79" s="133"/>
      <c r="AK79" s="147"/>
      <c r="AM79" s="133"/>
      <c r="AN79" s="147"/>
      <c r="AP79" s="133"/>
      <c r="AQ79" s="147"/>
      <c r="AT79" s="13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D80" s="133"/>
      <c r="AE80" s="147"/>
      <c r="AG80" s="133"/>
      <c r="AH80" s="147"/>
      <c r="AJ80" s="133"/>
      <c r="AK80" s="147"/>
      <c r="AM80" s="133"/>
      <c r="AN80" s="147"/>
      <c r="AP80" s="133"/>
      <c r="AQ80" s="147"/>
    </row>
    <row r="81" spans="3:46" x14ac:dyDescent="0.2">
      <c r="C81" s="146"/>
      <c r="D81" s="146"/>
      <c r="E81" s="146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53"/>
      <c r="AA81" s="133"/>
      <c r="AB81" s="147"/>
      <c r="AC81" s="153"/>
      <c r="AD81" s="133"/>
      <c r="AE81" s="147"/>
      <c r="AF81" s="154"/>
      <c r="AG81" s="133"/>
      <c r="AH81" s="147"/>
      <c r="AI81" s="153"/>
      <c r="AJ81" s="133"/>
      <c r="AK81" s="147"/>
      <c r="AL81" s="154"/>
      <c r="AM81" s="133"/>
      <c r="AN81" s="147"/>
      <c r="AO81" s="153"/>
      <c r="AP81" s="133"/>
      <c r="AQ81" s="147"/>
      <c r="AR81" s="153"/>
      <c r="AS81" s="153"/>
      <c r="AT81" s="153"/>
    </row>
    <row r="82" spans="3:46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6" x14ac:dyDescent="0.2">
      <c r="C83" s="140"/>
      <c r="D83" s="140"/>
      <c r="E83" s="140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6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6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6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6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6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6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6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6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6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6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52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6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52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6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6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</row>
    <row r="97" spans="1:47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7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  <c r="AU98" s="155"/>
    </row>
    <row r="99" spans="1:47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7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7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C101" s="133"/>
      <c r="AD101" s="133"/>
      <c r="AE101" s="147"/>
      <c r="AF101" s="150"/>
      <c r="AG101" s="133"/>
      <c r="AH101" s="147"/>
      <c r="AI101" s="133"/>
      <c r="AJ101" s="133"/>
      <c r="AK101" s="147"/>
      <c r="AL101" s="150"/>
      <c r="AM101" s="133"/>
      <c r="AN101" s="147"/>
      <c r="AO101" s="133"/>
      <c r="AP101" s="133"/>
      <c r="AQ101" s="147"/>
      <c r="AR101" s="133"/>
      <c r="AS101" s="133"/>
      <c r="AT101" s="133"/>
    </row>
    <row r="102" spans="1:47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C102" s="133"/>
      <c r="AD102" s="133"/>
      <c r="AE102" s="147"/>
      <c r="AF102" s="150"/>
      <c r="AG102" s="133"/>
      <c r="AH102" s="147"/>
      <c r="AI102" s="133"/>
      <c r="AJ102" s="133"/>
      <c r="AK102" s="147"/>
      <c r="AL102" s="150"/>
      <c r="AM102" s="133"/>
      <c r="AN102" s="147"/>
      <c r="AO102" s="133"/>
      <c r="AP102" s="133"/>
      <c r="AQ102" s="147"/>
      <c r="AR102" s="133"/>
      <c r="AS102" s="133"/>
      <c r="AT102" s="133"/>
    </row>
    <row r="103" spans="1:47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7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  <c r="AT104" s="133"/>
    </row>
    <row r="105" spans="1:47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  <c r="AT105" s="133"/>
    </row>
    <row r="106" spans="1:47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7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7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7" x14ac:dyDescent="0.2"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7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7" x14ac:dyDescent="0.2">
      <c r="A111" s="155"/>
      <c r="B111" s="155"/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7" x14ac:dyDescent="0.2"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D112" s="133"/>
      <c r="AE112" s="147"/>
      <c r="AG112" s="133"/>
      <c r="AH112" s="147"/>
      <c r="AJ112" s="133"/>
      <c r="AK112" s="147"/>
      <c r="AM112" s="133"/>
      <c r="AN112" s="147"/>
      <c r="AP112" s="133"/>
      <c r="AQ112" s="147"/>
    </row>
    <row r="113" spans="1:48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1:48" s="155" customFormat="1" x14ac:dyDescent="0.2">
      <c r="A114" s="81"/>
      <c r="B114" s="81"/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C114" s="81"/>
      <c r="AD114" s="133"/>
      <c r="AE114" s="147"/>
      <c r="AF114" s="139"/>
      <c r="AG114" s="133"/>
      <c r="AH114" s="147"/>
      <c r="AI114" s="81"/>
      <c r="AJ114" s="133"/>
      <c r="AK114" s="147"/>
      <c r="AL114" s="139"/>
      <c r="AM114" s="133"/>
      <c r="AN114" s="147"/>
      <c r="AO114" s="81"/>
      <c r="AP114" s="133"/>
      <c r="AQ114" s="147"/>
      <c r="AR114" s="81"/>
      <c r="AS114" s="81"/>
      <c r="AT114" s="81"/>
      <c r="AU114" s="81"/>
      <c r="AV114" s="81"/>
    </row>
    <row r="115" spans="1:48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1:48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1:48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1:48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1:48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1:48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1:48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1:48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1:48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1:48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1:48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1:48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1:48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1:48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  <row r="245" spans="3:43" x14ac:dyDescent="0.2">
      <c r="C245" s="146"/>
      <c r="D245" s="146"/>
      <c r="E245" s="146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47"/>
      <c r="Q245" s="133"/>
      <c r="R245" s="133"/>
      <c r="S245" s="133"/>
      <c r="T245" s="133"/>
      <c r="U245" s="147"/>
      <c r="V245" s="133"/>
      <c r="W245" s="133"/>
      <c r="X245" s="147"/>
      <c r="Y245" s="133"/>
      <c r="Z245" s="133"/>
      <c r="AA245" s="133"/>
      <c r="AB245" s="147"/>
      <c r="AD245" s="133"/>
      <c r="AE245" s="147"/>
      <c r="AG245" s="133"/>
      <c r="AH245" s="147"/>
      <c r="AJ245" s="133"/>
      <c r="AK245" s="147"/>
      <c r="AM245" s="133"/>
      <c r="AN245" s="147"/>
      <c r="AP245" s="133"/>
      <c r="AQ245" s="147"/>
    </row>
    <row r="246" spans="3:43" x14ac:dyDescent="0.2">
      <c r="C246" s="146"/>
      <c r="D246" s="146"/>
      <c r="E246" s="146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47"/>
      <c r="Q246" s="133"/>
      <c r="R246" s="133"/>
      <c r="S246" s="133"/>
      <c r="T246" s="133"/>
      <c r="U246" s="147"/>
      <c r="V246" s="133"/>
      <c r="W246" s="133"/>
      <c r="X246" s="147"/>
      <c r="Y246" s="133"/>
      <c r="Z246" s="133"/>
      <c r="AA246" s="133"/>
      <c r="AB246" s="147"/>
      <c r="AD246" s="133"/>
      <c r="AE246" s="147"/>
      <c r="AG246" s="133"/>
      <c r="AH246" s="147"/>
      <c r="AJ246" s="133"/>
      <c r="AK246" s="147"/>
      <c r="AM246" s="133"/>
      <c r="AN246" s="147"/>
      <c r="AP246" s="133"/>
      <c r="AQ246" s="147"/>
    </row>
  </sheetData>
  <mergeCells count="11">
    <mergeCell ref="D40:K40"/>
    <mergeCell ref="S40:Z40"/>
    <mergeCell ref="AL40:AT40"/>
    <mergeCell ref="C2:AU2"/>
    <mergeCell ref="B4:C4"/>
    <mergeCell ref="D37:K37"/>
    <mergeCell ref="S37:Z37"/>
    <mergeCell ref="AL37:AT37"/>
    <mergeCell ref="D39:K39"/>
    <mergeCell ref="S39:Z39"/>
    <mergeCell ref="AL39:AT39"/>
  </mergeCells>
  <printOptions horizontalCentered="1" verticalCentered="1"/>
  <pageMargins left="0" right="7.874015748031496E-2" top="0.78740157480314965" bottom="0.19685039370078741" header="0.39370078740157483" footer="0"/>
  <pageSetup paperSize="256" scale="67" fitToWidth="0" orientation="landscape" r:id="rId1"/>
  <headerFooter differentOddEven="1"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U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6.570312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bestFit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7.57031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4.85546875" style="81" hidden="1" customWidth="1"/>
    <col min="42" max="42" width="5.7109375" style="81" hidden="1" customWidth="1"/>
    <col min="43" max="43" width="11.28515625" style="157" hidden="1" customWidth="1"/>
    <col min="44" max="44" width="15.5703125" style="81" hidden="1" customWidth="1"/>
    <col min="45" max="45" width="18.5703125" style="81" customWidth="1"/>
    <col min="46" max="46" width="23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2" spans="1:62" ht="35.25" customHeight="1" x14ac:dyDescent="0.2">
      <c r="C2" s="174" t="s">
        <v>131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 t="s">
        <v>38</v>
      </c>
      <c r="H5" s="101">
        <v>15</v>
      </c>
      <c r="I5" s="101">
        <v>421.49</v>
      </c>
      <c r="J5" s="160" t="s">
        <v>146</v>
      </c>
      <c r="K5" s="101">
        <v>6322.35</v>
      </c>
      <c r="L5" s="101" t="s">
        <v>37</v>
      </c>
      <c r="M5" s="102">
        <v>1311</v>
      </c>
      <c r="N5" s="103">
        <v>134.58000000000001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 t="shared" ref="S5:S32" si="2">(K5*3%)</f>
        <v>189.6705</v>
      </c>
      <c r="T5" s="101" t="s">
        <v>37</v>
      </c>
      <c r="U5" s="102">
        <v>1712</v>
      </c>
      <c r="V5" s="104">
        <f t="shared" ref="V5:V32" si="3">(R5+S5)</f>
        <v>595.9905</v>
      </c>
      <c r="W5" s="101" t="s">
        <v>37</v>
      </c>
      <c r="X5" s="102">
        <v>1345</v>
      </c>
      <c r="Y5" s="104">
        <v>11303.45</v>
      </c>
      <c r="Z5" s="104">
        <f t="shared" ref="Z5:Z32" si="4">K5+N5+Q5+V5+Y5</f>
        <v>18707.870500000001</v>
      </c>
      <c r="AA5" s="101" t="s">
        <v>39</v>
      </c>
      <c r="AB5" s="102">
        <v>1431</v>
      </c>
      <c r="AC5" s="104">
        <f t="shared" ref="AC5:AC32" si="5">(K5*9.5%)</f>
        <v>600.6232500000001</v>
      </c>
      <c r="AD5" s="101" t="s">
        <v>39</v>
      </c>
      <c r="AE5" s="105" t="s">
        <v>40</v>
      </c>
      <c r="AF5" s="103">
        <v>306</v>
      </c>
      <c r="AG5" s="101" t="s">
        <v>39</v>
      </c>
      <c r="AH5" s="105" t="s">
        <v>41</v>
      </c>
      <c r="AI5" s="103">
        <f t="shared" ref="AI5:AI32" si="6">+BE5</f>
        <v>3797.04</v>
      </c>
      <c r="AJ5" s="101" t="s">
        <v>39</v>
      </c>
      <c r="AK5" s="105" t="s">
        <v>42</v>
      </c>
      <c r="AL5" s="103">
        <f>(K5*0%)</f>
        <v>0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1431</v>
      </c>
      <c r="AR5" s="103">
        <v>0</v>
      </c>
      <c r="AS5" s="104">
        <f t="shared" ref="AS5:AS32" si="7">(AC5+AF5+AI5+AL5+AO5+AR5)</f>
        <v>4703.6632499999996</v>
      </c>
      <c r="AT5" s="106">
        <f t="shared" ref="AT5:AT32" si="8">(Z5-AS5)</f>
        <v>14004.207250000001</v>
      </c>
      <c r="AU5" s="107"/>
      <c r="AV5" s="108"/>
      <c r="AW5" s="109">
        <f>+H5</f>
        <v>15</v>
      </c>
      <c r="AX5" s="109">
        <f>+K5+S5+N5+Q5+R5+Y5</f>
        <v>18707.870500000001</v>
      </c>
      <c r="AY5" s="110">
        <f>IFERROR(+AX5/AW5,0)*AW5</f>
        <v>18707.870500000001</v>
      </c>
      <c r="AZ5" s="110">
        <f>IFERROR(+LOOKUP(AY5,[5]TARIFAS!$A$4:$B$14,[5]TARIFAS!$A$4:$A$14),0)</f>
        <v>16153.06</v>
      </c>
      <c r="BA5" s="110">
        <f>+AY5-AZ5</f>
        <v>2554.8105000000014</v>
      </c>
      <c r="BB5" s="110">
        <f>IFERROR(+LOOKUP(AY5,[5]TARIFAS!$A$4:$B$14,[5]TARIFAS!$D$4:$D$14),0)</f>
        <v>30</v>
      </c>
      <c r="BC5" s="110">
        <f>(+BA5*BB5)/100</f>
        <v>766.44315000000051</v>
      </c>
      <c r="BD5" s="110">
        <f>IFERROR(+LOOKUP(AY5,[5]TARIFAS!$A$4:$B$14,[5]TARIFAS!$C$4:$C$14),0)</f>
        <v>3030.6</v>
      </c>
      <c r="BE5" s="110">
        <f>ROUND(+BC5+BD5,2)</f>
        <v>3797.04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v>6322.35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 t="shared" si="2"/>
        <v>189.6705</v>
      </c>
      <c r="T6" s="101" t="s">
        <v>37</v>
      </c>
      <c r="U6" s="102">
        <v>1712</v>
      </c>
      <c r="V6" s="104">
        <f t="shared" si="3"/>
        <v>595.9905</v>
      </c>
      <c r="W6" s="101"/>
      <c r="X6" s="102"/>
      <c r="Y6" s="104"/>
      <c r="Z6" s="104">
        <f t="shared" si="4"/>
        <v>7438.0655000000006</v>
      </c>
      <c r="AA6" s="101" t="s">
        <v>39</v>
      </c>
      <c r="AB6" s="102">
        <v>1431</v>
      </c>
      <c r="AC6" s="104">
        <f t="shared" si="5"/>
        <v>600.6232500000001</v>
      </c>
      <c r="AD6" s="101" t="s">
        <v>39</v>
      </c>
      <c r="AE6" s="105" t="s">
        <v>40</v>
      </c>
      <c r="AF6" s="103">
        <v>2108</v>
      </c>
      <c r="AG6" s="101" t="s">
        <v>39</v>
      </c>
      <c r="AH6" s="105" t="s">
        <v>41</v>
      </c>
      <c r="AI6" s="103">
        <f t="shared" si="6"/>
        <v>1041.58</v>
      </c>
      <c r="AJ6" s="101" t="s">
        <v>39</v>
      </c>
      <c r="AK6" s="105" t="s">
        <v>42</v>
      </c>
      <c r="AL6" s="103">
        <f>(K6*1%)</f>
        <v>63.223500000000008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1431</v>
      </c>
      <c r="AR6" s="103">
        <v>0</v>
      </c>
      <c r="AS6" s="104">
        <f t="shared" si="7"/>
        <v>3813.4267500000001</v>
      </c>
      <c r="AT6" s="106">
        <f t="shared" si="8"/>
        <v>3624.6387500000005</v>
      </c>
      <c r="AU6" s="113"/>
      <c r="AV6" s="108"/>
      <c r="AW6" s="109">
        <f t="shared" ref="AW6:AW32" si="9">+H6</f>
        <v>15</v>
      </c>
      <c r="AX6" s="109">
        <f t="shared" ref="AX6:AX32" si="10">+K6+S6+N6+Q6+R6+Y6</f>
        <v>7438.0655000000006</v>
      </c>
      <c r="AY6" s="110">
        <f t="shared" ref="AY6:AY32" si="11">IFERROR(+AX6/AW6,0)*AW6</f>
        <v>7438.0655000000006</v>
      </c>
      <c r="AZ6" s="110">
        <f>IFERROR(+LOOKUP(AY6,[5]TARIFAS!$A$4:$B$14,[5]TARIFAS!$A$4:$A$14),0)</f>
        <v>5081.41</v>
      </c>
      <c r="BA6" s="110">
        <f t="shared" ref="BA6:BA32" si="12">+AY6-AZ6</f>
        <v>2356.6555000000008</v>
      </c>
      <c r="BB6" s="110">
        <f>IFERROR(+LOOKUP(AY6,[5]TARIFAS!$A$4:$B$14,[5]TARIFAS!$D$4:$D$14),0)</f>
        <v>21.36</v>
      </c>
      <c r="BC6" s="110">
        <f t="shared" ref="BC6:BC32" si="13">(+BA6*BB6)/100</f>
        <v>503.38161480000019</v>
      </c>
      <c r="BD6" s="110">
        <f>IFERROR(+LOOKUP(AY6,[5]TARIFAS!$A$4:$B$14,[5]TARIFAS!$C$4:$C$14),0)</f>
        <v>538.20000000000005</v>
      </c>
      <c r="BE6" s="110">
        <f t="shared" ref="BE6:BE32" si="14">ROUND(+BC6+BD6,2)</f>
        <v>1041.58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7563.23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f t="shared" si="2"/>
        <v>226.89689999999999</v>
      </c>
      <c r="T7" s="101" t="s">
        <v>37</v>
      </c>
      <c r="U7" s="102">
        <v>1712</v>
      </c>
      <c r="V7" s="104">
        <f t="shared" si="3"/>
        <v>645.33690000000001</v>
      </c>
      <c r="W7" s="101"/>
      <c r="X7" s="102"/>
      <c r="Y7" s="104"/>
      <c r="Z7" s="104">
        <f t="shared" si="4"/>
        <v>8658.8819000000003</v>
      </c>
      <c r="AA7" s="101" t="s">
        <v>39</v>
      </c>
      <c r="AB7" s="102">
        <v>1431</v>
      </c>
      <c r="AC7" s="104">
        <f t="shared" si="5"/>
        <v>718.50684999999999</v>
      </c>
      <c r="AD7" s="101" t="s">
        <v>39</v>
      </c>
      <c r="AE7" s="105" t="s">
        <v>40</v>
      </c>
      <c r="AF7" s="103">
        <v>1158.5</v>
      </c>
      <c r="AG7" s="101" t="s">
        <v>39</v>
      </c>
      <c r="AH7" s="105" t="s">
        <v>41</v>
      </c>
      <c r="AI7" s="103">
        <f t="shared" si="6"/>
        <v>1302.3499999999999</v>
      </c>
      <c r="AJ7" s="101" t="s">
        <v>39</v>
      </c>
      <c r="AK7" s="105" t="s">
        <v>42</v>
      </c>
      <c r="AL7" s="103">
        <f>(K7*1%)</f>
        <v>75.632300000000001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1431</v>
      </c>
      <c r="AR7" s="103">
        <v>0</v>
      </c>
      <c r="AS7" s="104">
        <f t="shared" si="7"/>
        <v>3254.9891500000003</v>
      </c>
      <c r="AT7" s="106">
        <f t="shared" si="8"/>
        <v>5403.89275</v>
      </c>
      <c r="AU7" s="113"/>
      <c r="AV7" s="108"/>
      <c r="AW7" s="109">
        <f t="shared" si="9"/>
        <v>15</v>
      </c>
      <c r="AX7" s="109">
        <f t="shared" si="10"/>
        <v>8658.8819000000003</v>
      </c>
      <c r="AY7" s="110">
        <f t="shared" si="11"/>
        <v>8658.8819000000003</v>
      </c>
      <c r="AZ7" s="110">
        <f>IFERROR(+LOOKUP(AY7,[5]TARIFAS!$A$4:$B$14,[5]TARIFAS!$A$4:$A$14),0)</f>
        <v>5081.41</v>
      </c>
      <c r="BA7" s="110">
        <f t="shared" si="12"/>
        <v>3577.4719000000005</v>
      </c>
      <c r="BB7" s="110">
        <f>IFERROR(+LOOKUP(AY7,[5]TARIFAS!$A$4:$B$14,[5]TARIFAS!$D$4:$D$14),0)</f>
        <v>21.36</v>
      </c>
      <c r="BC7" s="110">
        <f t="shared" si="13"/>
        <v>764.14799784000002</v>
      </c>
      <c r="BD7" s="110">
        <f>IFERROR(+LOOKUP(AY7,[5]TARIFAS!$A$4:$B$14,[5]TARIFAS!$C$4:$C$14),0)</f>
        <v>538.20000000000005</v>
      </c>
      <c r="BE7" s="110">
        <f t="shared" si="14"/>
        <v>1302.3499999999999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v>6322.35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 t="shared" si="2"/>
        <v>189.6705</v>
      </c>
      <c r="T8" s="101" t="s">
        <v>37</v>
      </c>
      <c r="U8" s="102">
        <v>1712</v>
      </c>
      <c r="V8" s="104">
        <f t="shared" si="3"/>
        <v>595.9905</v>
      </c>
      <c r="W8" s="101"/>
      <c r="X8" s="102"/>
      <c r="Y8" s="104"/>
      <c r="Z8" s="104">
        <f t="shared" si="4"/>
        <v>7471.7105000000001</v>
      </c>
      <c r="AA8" s="101" t="s">
        <v>39</v>
      </c>
      <c r="AB8" s="102">
        <v>1431</v>
      </c>
      <c r="AC8" s="104">
        <f t="shared" si="5"/>
        <v>600.6232500000001</v>
      </c>
      <c r="AD8" s="101" t="s">
        <v>39</v>
      </c>
      <c r="AE8" s="105" t="s">
        <v>40</v>
      </c>
      <c r="AF8" s="103">
        <v>1542</v>
      </c>
      <c r="AG8" s="101" t="s">
        <v>39</v>
      </c>
      <c r="AH8" s="105" t="s">
        <v>41</v>
      </c>
      <c r="AI8" s="103">
        <f t="shared" si="6"/>
        <v>1048.77</v>
      </c>
      <c r="AJ8" s="101" t="s">
        <v>39</v>
      </c>
      <c r="AK8" s="105" t="s">
        <v>42</v>
      </c>
      <c r="AL8" s="103">
        <f>(K8*1%)</f>
        <v>63.223500000000008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1431</v>
      </c>
      <c r="AR8" s="103">
        <v>0</v>
      </c>
      <c r="AS8" s="104">
        <f t="shared" si="7"/>
        <v>3254.6167500000001</v>
      </c>
      <c r="AT8" s="106">
        <f t="shared" si="8"/>
        <v>4217.09375</v>
      </c>
      <c r="AU8" s="113"/>
      <c r="AV8" s="108"/>
      <c r="AW8" s="109">
        <f t="shared" si="9"/>
        <v>15</v>
      </c>
      <c r="AX8" s="109">
        <f t="shared" si="10"/>
        <v>7471.7105000000001</v>
      </c>
      <c r="AY8" s="110">
        <f>IFERROR(+AX8/AW8,0)*AW8</f>
        <v>7471.7105000000001</v>
      </c>
      <c r="AZ8" s="110">
        <f>IFERROR(+LOOKUP(AY8,[5]TARIFAS!$A$4:$B$14,[5]TARIFAS!$A$4:$A$14),0)</f>
        <v>5081.41</v>
      </c>
      <c r="BA8" s="110">
        <f t="shared" si="12"/>
        <v>2390.3005000000003</v>
      </c>
      <c r="BB8" s="110">
        <f>IFERROR(+LOOKUP(AY8,[5]TARIFAS!$A$4:$B$14,[5]TARIFAS!$D$4:$D$14),0)</f>
        <v>21.36</v>
      </c>
      <c r="BC8" s="110">
        <f t="shared" si="13"/>
        <v>510.56818680000003</v>
      </c>
      <c r="BD8" s="110">
        <f>IFERROR(+LOOKUP(AY8,[5]TARIFAS!$A$4:$B$14,[5]TARIFAS!$C$4:$C$14),0)</f>
        <v>538.20000000000005</v>
      </c>
      <c r="BE8" s="110">
        <f t="shared" si="14"/>
        <v>1048.77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7563.23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f t="shared" si="2"/>
        <v>226.89689999999999</v>
      </c>
      <c r="T9" s="101" t="s">
        <v>37</v>
      </c>
      <c r="U9" s="102">
        <v>1712</v>
      </c>
      <c r="V9" s="104">
        <f t="shared" si="3"/>
        <v>645.33690000000001</v>
      </c>
      <c r="W9" s="101"/>
      <c r="X9" s="102"/>
      <c r="Y9" s="104"/>
      <c r="Z9" s="104">
        <f t="shared" si="4"/>
        <v>8658.8819000000003</v>
      </c>
      <c r="AA9" s="101" t="s">
        <v>39</v>
      </c>
      <c r="AB9" s="102">
        <v>1431</v>
      </c>
      <c r="AC9" s="104">
        <f t="shared" si="5"/>
        <v>718.50684999999999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 t="shared" si="6"/>
        <v>1302.3499999999999</v>
      </c>
      <c r="AJ9" s="101" t="s">
        <v>39</v>
      </c>
      <c r="AK9" s="105" t="s">
        <v>42</v>
      </c>
      <c r="AL9" s="103">
        <f>(K9*1%)</f>
        <v>75.632300000000001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1431</v>
      </c>
      <c r="AR9" s="103">
        <v>0</v>
      </c>
      <c r="AS9" s="104">
        <f t="shared" si="7"/>
        <v>2096.4891499999999</v>
      </c>
      <c r="AT9" s="106">
        <f t="shared" si="8"/>
        <v>6562.3927500000009</v>
      </c>
      <c r="AU9" s="113"/>
      <c r="AV9" s="108"/>
      <c r="AW9" s="109">
        <f t="shared" si="9"/>
        <v>15</v>
      </c>
      <c r="AX9" s="109">
        <f t="shared" si="10"/>
        <v>8658.8819000000003</v>
      </c>
      <c r="AY9" s="110">
        <f>IFERROR(+AX9/AW9,0)*AW9</f>
        <v>8658.8819000000003</v>
      </c>
      <c r="AZ9" s="110">
        <f>IFERROR(+LOOKUP(AY9,[5]TARIFAS!$A$4:$B$14,[5]TARIFAS!$A$4:$A$14),0)</f>
        <v>5081.41</v>
      </c>
      <c r="BA9" s="110">
        <f t="shared" si="12"/>
        <v>3577.4719000000005</v>
      </c>
      <c r="BB9" s="110">
        <f>IFERROR(+LOOKUP(AY9,[5]TARIFAS!$A$4:$B$14,[5]TARIFAS!$D$4:$D$14),0)</f>
        <v>21.36</v>
      </c>
      <c r="BC9" s="110">
        <f t="shared" si="13"/>
        <v>764.14799784000002</v>
      </c>
      <c r="BD9" s="110">
        <f>IFERROR(+LOOKUP(AY9,[5]TARIFAS!$A$4:$B$14,[5]TARIFAS!$C$4:$C$14),0)</f>
        <v>538.20000000000005</v>
      </c>
      <c r="BE9" s="110">
        <f t="shared" si="14"/>
        <v>1302.3499999999999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v>6322.35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 t="shared" si="2"/>
        <v>189.6705</v>
      </c>
      <c r="T10" s="101" t="s">
        <v>37</v>
      </c>
      <c r="U10" s="102">
        <v>1712</v>
      </c>
      <c r="V10" s="104">
        <f t="shared" si="3"/>
        <v>595.9905</v>
      </c>
      <c r="W10" s="101"/>
      <c r="X10" s="102"/>
      <c r="Y10" s="104"/>
      <c r="Z10" s="104">
        <f t="shared" si="4"/>
        <v>7471.7105000000001</v>
      </c>
      <c r="AA10" s="101" t="s">
        <v>39</v>
      </c>
      <c r="AB10" s="102">
        <v>1431</v>
      </c>
      <c r="AC10" s="104">
        <f t="shared" si="5"/>
        <v>600.6232500000001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 t="shared" si="6"/>
        <v>1048.77</v>
      </c>
      <c r="AJ10" s="101" t="s">
        <v>39</v>
      </c>
      <c r="AK10" s="105" t="s">
        <v>42</v>
      </c>
      <c r="AL10" s="103">
        <f>(K10*1%)</f>
        <v>63.223500000000008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1431</v>
      </c>
      <c r="AR10" s="103">
        <v>0</v>
      </c>
      <c r="AS10" s="104">
        <f t="shared" si="7"/>
        <v>3820.6167500000001</v>
      </c>
      <c r="AT10" s="106">
        <f t="shared" si="8"/>
        <v>3651.09375</v>
      </c>
      <c r="AU10" s="113"/>
      <c r="AV10" s="108"/>
      <c r="AW10" s="109">
        <f t="shared" si="9"/>
        <v>15</v>
      </c>
      <c r="AX10" s="109">
        <f t="shared" si="10"/>
        <v>7471.7105000000001</v>
      </c>
      <c r="AY10" s="110">
        <f>IFERROR(+AX10/AW10,0)*AW10</f>
        <v>7471.7105000000001</v>
      </c>
      <c r="AZ10" s="110">
        <f>IFERROR(+LOOKUP(AY10,[5]TARIFAS!$A$4:$B$14,[5]TARIFAS!$A$4:$A$14),0)</f>
        <v>5081.41</v>
      </c>
      <c r="BA10" s="110">
        <f t="shared" si="12"/>
        <v>2390.3005000000003</v>
      </c>
      <c r="BB10" s="110">
        <f>IFERROR(+LOOKUP(AY10,[5]TARIFAS!$A$4:$B$14,[5]TARIFAS!$D$4:$D$14),0)</f>
        <v>21.36</v>
      </c>
      <c r="BC10" s="110">
        <f t="shared" si="13"/>
        <v>510.56818680000003</v>
      </c>
      <c r="BD10" s="110">
        <f>IFERROR(+LOOKUP(AY10,[5]TARIFAS!$A$4:$B$14,[5]TARIFAS!$C$4:$C$14),0)</f>
        <v>538.20000000000005</v>
      </c>
      <c r="BE10" s="110">
        <f t="shared" si="14"/>
        <v>1048.77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v>4875.54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 t="shared" si="2"/>
        <v>146.2662</v>
      </c>
      <c r="T11" s="101" t="s">
        <v>37</v>
      </c>
      <c r="U11" s="102">
        <v>1712</v>
      </c>
      <c r="V11" s="104">
        <f t="shared" si="3"/>
        <v>517.28620000000001</v>
      </c>
      <c r="W11" s="101"/>
      <c r="X11" s="102"/>
      <c r="Y11" s="104"/>
      <c r="Z11" s="104">
        <f t="shared" si="4"/>
        <v>5836.2512000000006</v>
      </c>
      <c r="AA11" s="101" t="s">
        <v>39</v>
      </c>
      <c r="AB11" s="102">
        <v>1431</v>
      </c>
      <c r="AC11" s="104">
        <f t="shared" si="5"/>
        <v>463.17630000000003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 t="shared" si="6"/>
        <v>699.43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1431</v>
      </c>
      <c r="AR11" s="103">
        <v>0</v>
      </c>
      <c r="AS11" s="104">
        <f t="shared" si="7"/>
        <v>1162.6062999999999</v>
      </c>
      <c r="AT11" s="106">
        <f t="shared" si="8"/>
        <v>4673.6449000000011</v>
      </c>
      <c r="AU11" s="113"/>
      <c r="AV11" s="108"/>
      <c r="AW11" s="109">
        <f t="shared" si="9"/>
        <v>15</v>
      </c>
      <c r="AX11" s="109">
        <f t="shared" si="10"/>
        <v>5836.2512000000006</v>
      </c>
      <c r="AY11" s="110">
        <f t="shared" si="11"/>
        <v>5836.2512000000006</v>
      </c>
      <c r="AZ11" s="110">
        <f>IFERROR(+LOOKUP(AY11,[5]TARIFAS!$A$4:$B$14,[5]TARIFAS!$A$4:$A$14),0)</f>
        <v>5081.41</v>
      </c>
      <c r="BA11" s="110">
        <f t="shared" si="12"/>
        <v>754.84120000000075</v>
      </c>
      <c r="BB11" s="110">
        <f>IFERROR(+LOOKUP(AY11,[5]TARIFAS!$A$4:$B$14,[5]TARIFAS!$D$4:$D$14),0)</f>
        <v>21.36</v>
      </c>
      <c r="BC11" s="110">
        <f t="shared" si="13"/>
        <v>161.23408032000015</v>
      </c>
      <c r="BD11" s="110">
        <f>IFERROR(+LOOKUP(AY11,[5]TARIFAS!$A$4:$B$14,[5]TARIFAS!$C$4:$C$14),0)</f>
        <v>538.20000000000005</v>
      </c>
      <c r="BE11" s="110">
        <f t="shared" si="14"/>
        <v>699.43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v>4875.54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 t="shared" si="2"/>
        <v>146.2662</v>
      </c>
      <c r="T12" s="101" t="s">
        <v>37</v>
      </c>
      <c r="U12" s="102">
        <v>1712</v>
      </c>
      <c r="V12" s="104">
        <f t="shared" si="3"/>
        <v>517.28620000000001</v>
      </c>
      <c r="W12" s="101"/>
      <c r="X12" s="102"/>
      <c r="Y12" s="104"/>
      <c r="Z12" s="104">
        <f t="shared" si="4"/>
        <v>5802.6062000000002</v>
      </c>
      <c r="AA12" s="101" t="s">
        <v>39</v>
      </c>
      <c r="AB12" s="102">
        <v>1431</v>
      </c>
      <c r="AC12" s="104">
        <f t="shared" si="5"/>
        <v>463.17630000000003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 t="shared" si="6"/>
        <v>692.25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1431</v>
      </c>
      <c r="AR12" s="103">
        <v>0</v>
      </c>
      <c r="AS12" s="104">
        <f t="shared" si="7"/>
        <v>1155.4263000000001</v>
      </c>
      <c r="AT12" s="106">
        <f t="shared" si="8"/>
        <v>4647.1799000000001</v>
      </c>
      <c r="AU12" s="113"/>
      <c r="AV12" s="108"/>
      <c r="AW12" s="109">
        <f t="shared" si="9"/>
        <v>15</v>
      </c>
      <c r="AX12" s="109">
        <f t="shared" si="10"/>
        <v>5802.6062000000002</v>
      </c>
      <c r="AY12" s="110">
        <f t="shared" si="11"/>
        <v>5802.6062000000002</v>
      </c>
      <c r="AZ12" s="110">
        <f>IFERROR(+LOOKUP(AY12,[5]TARIFAS!$A$4:$B$14,[5]TARIFAS!$A$4:$A$14),0)</f>
        <v>5081.41</v>
      </c>
      <c r="BA12" s="110">
        <f t="shared" si="12"/>
        <v>721.19620000000032</v>
      </c>
      <c r="BB12" s="110">
        <f>IFERROR(+LOOKUP(AY12,[5]TARIFAS!$A$4:$B$14,[5]TARIFAS!$D$4:$D$14),0)</f>
        <v>21.36</v>
      </c>
      <c r="BC12" s="110">
        <f t="shared" si="13"/>
        <v>154.04750832000008</v>
      </c>
      <c r="BD12" s="110">
        <f>IFERROR(+LOOKUP(AY12,[5]TARIFAS!$A$4:$B$14,[5]TARIFAS!$C$4:$C$14),0)</f>
        <v>538.20000000000005</v>
      </c>
      <c r="BE12" s="110">
        <f t="shared" si="14"/>
        <v>692.25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v>6322.35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 t="shared" si="2"/>
        <v>189.6705</v>
      </c>
      <c r="T13" s="101" t="s">
        <v>37</v>
      </c>
      <c r="U13" s="102">
        <v>1712</v>
      </c>
      <c r="V13" s="104">
        <f t="shared" si="3"/>
        <v>595.9905</v>
      </c>
      <c r="W13" s="101"/>
      <c r="X13" s="102"/>
      <c r="Y13" s="104"/>
      <c r="Z13" s="104">
        <f t="shared" si="4"/>
        <v>7505.3555000000006</v>
      </c>
      <c r="AA13" s="101" t="s">
        <v>39</v>
      </c>
      <c r="AB13" s="102">
        <v>1431</v>
      </c>
      <c r="AC13" s="104">
        <f t="shared" si="5"/>
        <v>600.6232500000001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 t="shared" si="6"/>
        <v>1055.95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1431</v>
      </c>
      <c r="AR13" s="103">
        <v>0</v>
      </c>
      <c r="AS13" s="104">
        <f t="shared" si="7"/>
        <v>1656.5732500000001</v>
      </c>
      <c r="AT13" s="106">
        <f t="shared" si="8"/>
        <v>5848.7822500000002</v>
      </c>
      <c r="AU13" s="113"/>
      <c r="AV13" s="108"/>
      <c r="AW13" s="109">
        <f t="shared" si="9"/>
        <v>15</v>
      </c>
      <c r="AX13" s="109">
        <f t="shared" si="10"/>
        <v>7505.3555000000006</v>
      </c>
      <c r="AY13" s="110">
        <f t="shared" si="11"/>
        <v>7505.3555000000006</v>
      </c>
      <c r="AZ13" s="110">
        <f>IFERROR(+LOOKUP(AY13,[5]TARIFAS!$A$4:$B$14,[5]TARIFAS!$A$4:$A$14),0)</f>
        <v>5081.41</v>
      </c>
      <c r="BA13" s="110">
        <f t="shared" si="12"/>
        <v>2423.9455000000007</v>
      </c>
      <c r="BB13" s="110">
        <f>IFERROR(+LOOKUP(AY13,[5]TARIFAS!$A$4:$B$14,[5]TARIFAS!$D$4:$D$14),0)</f>
        <v>21.36</v>
      </c>
      <c r="BC13" s="110">
        <f t="shared" si="13"/>
        <v>517.7547588000001</v>
      </c>
      <c r="BD13" s="110">
        <f>IFERROR(+LOOKUP(AY13,[5]TARIFAS!$A$4:$B$14,[5]TARIFAS!$C$4:$C$14),0)</f>
        <v>538.20000000000005</v>
      </c>
      <c r="BE13" s="110">
        <f t="shared" si="14"/>
        <v>1055.95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f t="shared" si="2"/>
        <v>463.245</v>
      </c>
      <c r="T14" s="101" t="s">
        <v>37</v>
      </c>
      <c r="U14" s="102">
        <v>1712</v>
      </c>
      <c r="V14" s="104">
        <f t="shared" si="3"/>
        <v>1298.7449999999999</v>
      </c>
      <c r="W14" s="101"/>
      <c r="X14" s="102"/>
      <c r="Y14" s="104"/>
      <c r="Z14" s="104">
        <f t="shared" si="4"/>
        <v>17306.744999999999</v>
      </c>
      <c r="AA14" s="101" t="s">
        <v>39</v>
      </c>
      <c r="AB14" s="102">
        <v>1431</v>
      </c>
      <c r="AC14" s="104">
        <f t="shared" si="5"/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 t="shared" si="6"/>
        <v>3376.71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1431</v>
      </c>
      <c r="AR14" s="103">
        <v>0</v>
      </c>
      <c r="AS14" s="104">
        <f t="shared" si="7"/>
        <v>4843.6525000000001</v>
      </c>
      <c r="AT14" s="106">
        <f t="shared" si="8"/>
        <v>12463.092499999999</v>
      </c>
      <c r="AU14" s="113"/>
      <c r="AV14" s="108"/>
      <c r="AW14" s="109">
        <f t="shared" si="9"/>
        <v>15</v>
      </c>
      <c r="AX14" s="109">
        <f t="shared" si="10"/>
        <v>17306.745000000003</v>
      </c>
      <c r="AY14" s="110">
        <f t="shared" si="11"/>
        <v>17306.745000000003</v>
      </c>
      <c r="AZ14" s="110">
        <f>IFERROR(+LOOKUP(AY14,[5]TARIFAS!$A$4:$B$14,[5]TARIFAS!$A$4:$A$14),0)</f>
        <v>16153.06</v>
      </c>
      <c r="BA14" s="110">
        <f t="shared" si="12"/>
        <v>1153.6850000000031</v>
      </c>
      <c r="BB14" s="110">
        <f>IFERROR(+LOOKUP(AY14,[5]TARIFAS!$A$4:$B$14,[5]TARIFAS!$D$4:$D$14),0)</f>
        <v>30</v>
      </c>
      <c r="BC14" s="110">
        <f t="shared" si="13"/>
        <v>346.10550000000092</v>
      </c>
      <c r="BD14" s="110">
        <f>IFERROR(+LOOKUP(AY14,[5]TARIFAS!$A$4:$B$14,[5]TARIFAS!$C$4:$C$14),0)</f>
        <v>3030.6</v>
      </c>
      <c r="BE14" s="110">
        <f t="shared" si="14"/>
        <v>3376.71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v>4875.54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 t="shared" si="2"/>
        <v>146.2662</v>
      </c>
      <c r="T15" s="101" t="s">
        <v>37</v>
      </c>
      <c r="U15" s="102">
        <v>1712</v>
      </c>
      <c r="V15" s="104">
        <f t="shared" si="3"/>
        <v>517.28620000000001</v>
      </c>
      <c r="W15" s="101"/>
      <c r="X15" s="102"/>
      <c r="Y15" s="104"/>
      <c r="Z15" s="104">
        <f t="shared" si="4"/>
        <v>5701.6712000000007</v>
      </c>
      <c r="AA15" s="101" t="s">
        <v>39</v>
      </c>
      <c r="AB15" s="102">
        <v>1431</v>
      </c>
      <c r="AC15" s="104">
        <f t="shared" si="5"/>
        <v>463.17630000000003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 t="shared" si="6"/>
        <v>670.69</v>
      </c>
      <c r="AJ15" s="101" t="s">
        <v>39</v>
      </c>
      <c r="AK15" s="105" t="s">
        <v>42</v>
      </c>
      <c r="AL15" s="103">
        <f t="shared" ref="AL15:AL20" si="15">(K15*1%)</f>
        <v>48.755400000000002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1431</v>
      </c>
      <c r="AR15" s="103">
        <v>0</v>
      </c>
      <c r="AS15" s="104">
        <f t="shared" si="7"/>
        <v>1182.6217000000001</v>
      </c>
      <c r="AT15" s="106">
        <f t="shared" si="8"/>
        <v>4519.049500000001</v>
      </c>
      <c r="AU15" s="117"/>
      <c r="AV15" s="108"/>
      <c r="AW15" s="109">
        <f t="shared" si="9"/>
        <v>15</v>
      </c>
      <c r="AX15" s="109">
        <f t="shared" si="10"/>
        <v>5701.6712000000007</v>
      </c>
      <c r="AY15" s="110">
        <f t="shared" si="11"/>
        <v>5701.6712000000007</v>
      </c>
      <c r="AZ15" s="110">
        <f>IFERROR(+LOOKUP(AY15,[5]TARIFAS!$A$4:$B$14,[5]TARIFAS!$A$4:$A$14),0)</f>
        <v>5081.41</v>
      </c>
      <c r="BA15" s="110">
        <f t="shared" si="12"/>
        <v>620.26120000000083</v>
      </c>
      <c r="BB15" s="110">
        <f>IFERROR(+LOOKUP(AY15,[5]TARIFAS!$A$4:$B$14,[5]TARIFAS!$D$4:$D$14),0)</f>
        <v>21.36</v>
      </c>
      <c r="BC15" s="110">
        <f t="shared" si="13"/>
        <v>132.48779232000018</v>
      </c>
      <c r="BD15" s="110">
        <f>IFERROR(+LOOKUP(AY15,[5]TARIFAS!$A$4:$B$14,[5]TARIFAS!$C$4:$C$14),0)</f>
        <v>538.20000000000005</v>
      </c>
      <c r="BE15" s="110">
        <f t="shared" si="14"/>
        <v>670.69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v>6322.35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 t="shared" si="2"/>
        <v>189.6705</v>
      </c>
      <c r="T16" s="101" t="s">
        <v>37</v>
      </c>
      <c r="U16" s="102">
        <v>1712</v>
      </c>
      <c r="V16" s="104">
        <f t="shared" si="3"/>
        <v>595.9905</v>
      </c>
      <c r="W16" s="101"/>
      <c r="X16" s="102"/>
      <c r="Y16" s="104"/>
      <c r="Z16" s="104">
        <f t="shared" si="4"/>
        <v>7370.7755000000006</v>
      </c>
      <c r="AA16" s="101" t="s">
        <v>39</v>
      </c>
      <c r="AB16" s="102">
        <v>1431</v>
      </c>
      <c r="AC16" s="104">
        <f t="shared" si="5"/>
        <v>600.6232500000001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 t="shared" si="6"/>
        <v>1027.21</v>
      </c>
      <c r="AJ16" s="101" t="s">
        <v>39</v>
      </c>
      <c r="AK16" s="105" t="s">
        <v>42</v>
      </c>
      <c r="AL16" s="103">
        <f t="shared" si="15"/>
        <v>63.223500000000008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1431</v>
      </c>
      <c r="AR16" s="103">
        <v>0</v>
      </c>
      <c r="AS16" s="104">
        <f t="shared" si="7"/>
        <v>2102.0567500000002</v>
      </c>
      <c r="AT16" s="106">
        <f t="shared" si="8"/>
        <v>5268.71875</v>
      </c>
      <c r="AU16" s="113"/>
      <c r="AV16" s="108"/>
      <c r="AW16" s="109">
        <f t="shared" si="9"/>
        <v>15</v>
      </c>
      <c r="AX16" s="109">
        <f t="shared" si="10"/>
        <v>7370.7755000000006</v>
      </c>
      <c r="AY16" s="110">
        <f t="shared" si="11"/>
        <v>7370.7755000000006</v>
      </c>
      <c r="AZ16" s="110">
        <f>IFERROR(+LOOKUP(AY16,[5]TARIFAS!$A$4:$B$14,[5]TARIFAS!$A$4:$A$14),0)</f>
        <v>5081.41</v>
      </c>
      <c r="BA16" s="110">
        <f t="shared" si="12"/>
        <v>2289.3655000000008</v>
      </c>
      <c r="BB16" s="110">
        <f>IFERROR(+LOOKUP(AY16,[5]TARIFAS!$A$4:$B$14,[5]TARIFAS!$D$4:$D$14),0)</f>
        <v>21.36</v>
      </c>
      <c r="BC16" s="110">
        <f t="shared" si="13"/>
        <v>489.00847080000017</v>
      </c>
      <c r="BD16" s="110">
        <f>IFERROR(+LOOKUP(AY16,[5]TARIFAS!$A$4:$B$14,[5]TARIFAS!$C$4:$C$14),0)</f>
        <v>538.20000000000005</v>
      </c>
      <c r="BE16" s="110">
        <f t="shared" si="14"/>
        <v>1027.21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v>6322.35</v>
      </c>
      <c r="L17" s="101" t="s">
        <v>37</v>
      </c>
      <c r="M17" s="102">
        <v>1311</v>
      </c>
      <c r="N17" s="103">
        <v>100.935</v>
      </c>
      <c r="O17" s="101" t="s">
        <v>37</v>
      </c>
      <c r="P17" s="102">
        <v>1713</v>
      </c>
      <c r="Q17" s="101">
        <v>351.5</v>
      </c>
      <c r="R17" s="103">
        <v>406.32</v>
      </c>
      <c r="S17" s="103">
        <f t="shared" si="2"/>
        <v>189.6705</v>
      </c>
      <c r="T17" s="101" t="s">
        <v>37</v>
      </c>
      <c r="U17" s="102">
        <v>1712</v>
      </c>
      <c r="V17" s="104">
        <f t="shared" si="3"/>
        <v>595.9905</v>
      </c>
      <c r="W17" s="101"/>
      <c r="X17" s="102"/>
      <c r="Y17" s="104"/>
      <c r="Z17" s="104">
        <f t="shared" si="4"/>
        <v>7370.7755000000006</v>
      </c>
      <c r="AA17" s="101" t="s">
        <v>39</v>
      </c>
      <c r="AB17" s="102">
        <v>1431</v>
      </c>
      <c r="AC17" s="104">
        <f t="shared" si="5"/>
        <v>600.6232500000001</v>
      </c>
      <c r="AD17" s="101" t="s">
        <v>39</v>
      </c>
      <c r="AE17" s="105" t="s">
        <v>40</v>
      </c>
      <c r="AF17" s="103">
        <v>0</v>
      </c>
      <c r="AG17" s="101" t="s">
        <v>39</v>
      </c>
      <c r="AH17" s="105" t="s">
        <v>41</v>
      </c>
      <c r="AI17" s="103">
        <f t="shared" si="6"/>
        <v>1027.21</v>
      </c>
      <c r="AJ17" s="101" t="s">
        <v>39</v>
      </c>
      <c r="AK17" s="105" t="s">
        <v>42</v>
      </c>
      <c r="AL17" s="103">
        <f t="shared" si="15"/>
        <v>63.223500000000008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1431</v>
      </c>
      <c r="AR17" s="103">
        <v>0</v>
      </c>
      <c r="AS17" s="104">
        <f t="shared" si="7"/>
        <v>1691.0567500000002</v>
      </c>
      <c r="AT17" s="106">
        <f t="shared" si="8"/>
        <v>5679.71875</v>
      </c>
      <c r="AU17" s="113"/>
      <c r="AV17" s="108"/>
      <c r="AW17" s="109">
        <f t="shared" si="9"/>
        <v>15</v>
      </c>
      <c r="AX17" s="109">
        <f t="shared" si="10"/>
        <v>7370.7755000000006</v>
      </c>
      <c r="AY17" s="110">
        <f t="shared" si="11"/>
        <v>7370.7755000000006</v>
      </c>
      <c r="AZ17" s="110">
        <f>IFERROR(+LOOKUP(AY17,[5]TARIFAS!$A$4:$B$14,[5]TARIFAS!$A$4:$A$14),0)</f>
        <v>5081.41</v>
      </c>
      <c r="BA17" s="110">
        <f t="shared" si="12"/>
        <v>2289.3655000000008</v>
      </c>
      <c r="BB17" s="110">
        <f>IFERROR(+LOOKUP(AY17,[5]TARIFAS!$A$4:$B$14,[5]TARIFAS!$D$4:$D$14),0)</f>
        <v>21.36</v>
      </c>
      <c r="BC17" s="110">
        <f t="shared" si="13"/>
        <v>489.00847080000017</v>
      </c>
      <c r="BD17" s="110">
        <f>IFERROR(+LOOKUP(AY17,[5]TARIFAS!$A$4:$B$14,[5]TARIFAS!$C$4:$C$14),0)</f>
        <v>538.20000000000005</v>
      </c>
      <c r="BE17" s="110">
        <f t="shared" si="14"/>
        <v>1027.21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7563.23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f t="shared" si="2"/>
        <v>226.89689999999999</v>
      </c>
      <c r="T18" s="101" t="s">
        <v>37</v>
      </c>
      <c r="U18" s="102">
        <v>1712</v>
      </c>
      <c r="V18" s="104">
        <f t="shared" si="3"/>
        <v>645.33690000000001</v>
      </c>
      <c r="W18" s="101"/>
      <c r="X18" s="102"/>
      <c r="Y18" s="104"/>
      <c r="Z18" s="104">
        <f t="shared" si="4"/>
        <v>8591.5918999999994</v>
      </c>
      <c r="AA18" s="101" t="s">
        <v>39</v>
      </c>
      <c r="AB18" s="102">
        <v>1431</v>
      </c>
      <c r="AC18" s="104">
        <f t="shared" si="5"/>
        <v>718.50684999999999</v>
      </c>
      <c r="AD18" s="101" t="s">
        <v>39</v>
      </c>
      <c r="AE18" s="105" t="s">
        <v>40</v>
      </c>
      <c r="AF18" s="104">
        <f>523.61+10.13+3666.74+151.2</f>
        <v>4351.6799999999994</v>
      </c>
      <c r="AG18" s="101" t="s">
        <v>39</v>
      </c>
      <c r="AH18" s="105" t="s">
        <v>41</v>
      </c>
      <c r="AI18" s="103">
        <f t="shared" si="6"/>
        <v>1287.97</v>
      </c>
      <c r="AJ18" s="101" t="s">
        <v>39</v>
      </c>
      <c r="AK18" s="105" t="s">
        <v>42</v>
      </c>
      <c r="AL18" s="103">
        <f t="shared" si="15"/>
        <v>75.632300000000001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1431</v>
      </c>
      <c r="AR18" s="103">
        <v>0</v>
      </c>
      <c r="AS18" s="104">
        <f t="shared" si="7"/>
        <v>6433.7891499999996</v>
      </c>
      <c r="AT18" s="106">
        <f t="shared" si="8"/>
        <v>2157.8027499999998</v>
      </c>
      <c r="AU18" s="113"/>
      <c r="AV18" s="108"/>
      <c r="AW18" s="109">
        <f t="shared" si="9"/>
        <v>15</v>
      </c>
      <c r="AX18" s="109">
        <f t="shared" si="10"/>
        <v>8591.5918999999994</v>
      </c>
      <c r="AY18" s="110">
        <f t="shared" si="11"/>
        <v>8591.5918999999994</v>
      </c>
      <c r="AZ18" s="110">
        <f>IFERROR(+LOOKUP(AY18,[5]TARIFAS!$A$4:$B$14,[5]TARIFAS!$A$4:$A$14),0)</f>
        <v>5081.41</v>
      </c>
      <c r="BA18" s="110">
        <f t="shared" si="12"/>
        <v>3510.1818999999996</v>
      </c>
      <c r="BB18" s="110">
        <f>IFERROR(+LOOKUP(AY18,[5]TARIFAS!$A$4:$B$14,[5]TARIFAS!$D$4:$D$14),0)</f>
        <v>21.36</v>
      </c>
      <c r="BC18" s="110">
        <f t="shared" si="13"/>
        <v>749.77485383999988</v>
      </c>
      <c r="BD18" s="110">
        <f>IFERROR(+LOOKUP(AY18,[5]TARIFAS!$A$4:$B$14,[5]TARIFAS!$C$4:$C$14),0)</f>
        <v>538.20000000000005</v>
      </c>
      <c r="BE18" s="110">
        <f t="shared" si="14"/>
        <v>1287.97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v>6322.35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f t="shared" si="2"/>
        <v>189.6705</v>
      </c>
      <c r="T19" s="101" t="s">
        <v>37</v>
      </c>
      <c r="U19" s="102">
        <v>1712</v>
      </c>
      <c r="V19" s="104">
        <f t="shared" si="3"/>
        <v>595.9905</v>
      </c>
      <c r="W19" s="101"/>
      <c r="X19" s="102"/>
      <c r="Y19" s="104"/>
      <c r="Z19" s="104">
        <f t="shared" si="4"/>
        <v>7337.1305000000002</v>
      </c>
      <c r="AA19" s="101" t="s">
        <v>39</v>
      </c>
      <c r="AB19" s="102">
        <v>1431</v>
      </c>
      <c r="AC19" s="104">
        <f t="shared" si="5"/>
        <v>600.6232500000001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41</v>
      </c>
      <c r="AI19" s="103">
        <f t="shared" si="6"/>
        <v>1020.02</v>
      </c>
      <c r="AJ19" s="101" t="s">
        <v>39</v>
      </c>
      <c r="AK19" s="105" t="s">
        <v>42</v>
      </c>
      <c r="AL19" s="103">
        <f t="shared" si="15"/>
        <v>63.223500000000008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1431</v>
      </c>
      <c r="AR19" s="103">
        <v>0</v>
      </c>
      <c r="AS19" s="104">
        <f t="shared" si="7"/>
        <v>2085.8667500000001</v>
      </c>
      <c r="AT19" s="106">
        <f t="shared" si="8"/>
        <v>5251.2637500000001</v>
      </c>
      <c r="AU19" s="113"/>
      <c r="AV19" s="108"/>
      <c r="AW19" s="109">
        <f t="shared" si="9"/>
        <v>15</v>
      </c>
      <c r="AX19" s="109">
        <f t="shared" si="10"/>
        <v>7337.1305000000002</v>
      </c>
      <c r="AY19" s="110">
        <f t="shared" si="11"/>
        <v>7337.1305000000002</v>
      </c>
      <c r="AZ19" s="110">
        <f>IFERROR(+LOOKUP(AY19,[5]TARIFAS!$A$4:$B$14,[5]TARIFAS!$A$4:$A$14),0)</f>
        <v>5081.41</v>
      </c>
      <c r="BA19" s="110">
        <f t="shared" si="12"/>
        <v>2255.7205000000004</v>
      </c>
      <c r="BB19" s="110">
        <f>IFERROR(+LOOKUP(AY19,[5]TARIFAS!$A$4:$B$14,[5]TARIFAS!$D$4:$D$14),0)</f>
        <v>21.36</v>
      </c>
      <c r="BC19" s="110">
        <f t="shared" si="13"/>
        <v>481.82189880000004</v>
      </c>
      <c r="BD19" s="110">
        <f>IFERROR(+LOOKUP(AY19,[5]TARIFAS!$A$4:$B$14,[5]TARIFAS!$C$4:$C$14),0)</f>
        <v>538.20000000000005</v>
      </c>
      <c r="BE19" s="110">
        <f t="shared" si="14"/>
        <v>1020.02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5302.32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f t="shared" si="2"/>
        <v>159.06959999999998</v>
      </c>
      <c r="T20" s="101" t="s">
        <v>37</v>
      </c>
      <c r="U20" s="102">
        <v>1712</v>
      </c>
      <c r="V20" s="104">
        <f t="shared" si="3"/>
        <v>537.66959999999995</v>
      </c>
      <c r="W20" s="101"/>
      <c r="X20" s="102"/>
      <c r="Y20" s="104"/>
      <c r="Z20" s="104">
        <f t="shared" si="4"/>
        <v>6118.7195999999994</v>
      </c>
      <c r="AA20" s="101" t="s">
        <v>39</v>
      </c>
      <c r="AB20" s="102">
        <v>1431</v>
      </c>
      <c r="AC20" s="104">
        <f t="shared" si="5"/>
        <v>503.72039999999998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41</v>
      </c>
      <c r="AI20" s="103">
        <f t="shared" si="6"/>
        <v>759.77</v>
      </c>
      <c r="AJ20" s="101" t="s">
        <v>39</v>
      </c>
      <c r="AK20" s="105" t="s">
        <v>42</v>
      </c>
      <c r="AL20" s="103">
        <f t="shared" si="15"/>
        <v>53.023199999999996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1431</v>
      </c>
      <c r="AR20" s="103">
        <v>0</v>
      </c>
      <c r="AS20" s="104">
        <f t="shared" si="7"/>
        <v>1316.5136</v>
      </c>
      <c r="AT20" s="106">
        <f t="shared" si="8"/>
        <v>4802.2059999999992</v>
      </c>
      <c r="AU20" s="113"/>
      <c r="AV20" s="108"/>
      <c r="AW20" s="109">
        <f t="shared" si="9"/>
        <v>15</v>
      </c>
      <c r="AX20" s="109">
        <f t="shared" si="10"/>
        <v>6118.7195999999994</v>
      </c>
      <c r="AY20" s="110">
        <f t="shared" si="11"/>
        <v>6118.7195999999994</v>
      </c>
      <c r="AZ20" s="110">
        <f>IFERROR(+LOOKUP(AY20,[5]TARIFAS!$A$4:$B$14,[5]TARIFAS!$A$4:$A$14),0)</f>
        <v>5081.41</v>
      </c>
      <c r="BA20" s="110">
        <f t="shared" si="12"/>
        <v>1037.3095999999996</v>
      </c>
      <c r="BB20" s="110">
        <f>IFERROR(+LOOKUP(AY20,[5]TARIFAS!$A$4:$B$14,[5]TARIFAS!$D$4:$D$14),0)</f>
        <v>21.36</v>
      </c>
      <c r="BC20" s="110">
        <f t="shared" si="13"/>
        <v>221.56933055999991</v>
      </c>
      <c r="BD20" s="110">
        <f>IFERROR(+LOOKUP(AY20,[5]TARIFAS!$A$4:$B$14,[5]TARIFAS!$C$4:$C$14),0)</f>
        <v>538.20000000000005</v>
      </c>
      <c r="BE20" s="110">
        <f t="shared" si="14"/>
        <v>759.77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v>6322.35</v>
      </c>
      <c r="L21" s="101" t="s">
        <v>37</v>
      </c>
      <c r="M21" s="102">
        <v>1311</v>
      </c>
      <c r="N21" s="115">
        <v>100.935</v>
      </c>
      <c r="O21" s="101" t="s">
        <v>37</v>
      </c>
      <c r="P21" s="102">
        <v>1713</v>
      </c>
      <c r="Q21" s="115">
        <v>351.5</v>
      </c>
      <c r="R21" s="115">
        <v>406.32</v>
      </c>
      <c r="S21" s="103">
        <f t="shared" si="2"/>
        <v>189.6705</v>
      </c>
      <c r="T21" s="101" t="s">
        <v>37</v>
      </c>
      <c r="U21" s="102">
        <v>1712</v>
      </c>
      <c r="V21" s="104">
        <f t="shared" si="3"/>
        <v>595.9905</v>
      </c>
      <c r="W21" s="101"/>
      <c r="X21" s="102"/>
      <c r="Y21" s="104"/>
      <c r="Z21" s="104">
        <f t="shared" si="4"/>
        <v>7370.7755000000006</v>
      </c>
      <c r="AA21" s="101" t="s">
        <v>39</v>
      </c>
      <c r="AB21" s="102">
        <v>1431</v>
      </c>
      <c r="AC21" s="104">
        <f t="shared" si="5"/>
        <v>600.6232500000001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41</v>
      </c>
      <c r="AI21" s="103">
        <f t="shared" si="6"/>
        <v>1027.21</v>
      </c>
      <c r="AJ21" s="101" t="s">
        <v>39</v>
      </c>
      <c r="AK21" s="105" t="s">
        <v>42</v>
      </c>
      <c r="AL21" s="103">
        <v>0</v>
      </c>
      <c r="AM21" s="101" t="s">
        <v>39</v>
      </c>
      <c r="AN21" s="105" t="s">
        <v>43</v>
      </c>
      <c r="AO21" s="115">
        <v>0</v>
      </c>
      <c r="AP21" s="101" t="s">
        <v>39</v>
      </c>
      <c r="AQ21" s="105">
        <v>1431</v>
      </c>
      <c r="AR21" s="103">
        <v>0</v>
      </c>
      <c r="AS21" s="104">
        <f t="shared" si="7"/>
        <v>3032.8332500000001</v>
      </c>
      <c r="AT21" s="106">
        <f t="shared" si="8"/>
        <v>4337.9422500000001</v>
      </c>
      <c r="AU21" s="113"/>
      <c r="AV21" s="108"/>
      <c r="AW21" s="109">
        <f t="shared" si="9"/>
        <v>15</v>
      </c>
      <c r="AX21" s="109">
        <f t="shared" si="10"/>
        <v>7370.7755000000006</v>
      </c>
      <c r="AY21" s="110">
        <f t="shared" si="11"/>
        <v>7370.7755000000006</v>
      </c>
      <c r="AZ21" s="110">
        <f>IFERROR(+LOOKUP(AY21,[5]TARIFAS!$A$4:$B$14,[5]TARIFAS!$A$4:$A$14),0)</f>
        <v>5081.41</v>
      </c>
      <c r="BA21" s="110">
        <f t="shared" si="12"/>
        <v>2289.3655000000008</v>
      </c>
      <c r="BB21" s="110">
        <f>IFERROR(+LOOKUP(AY21,[5]TARIFAS!$A$4:$B$14,[5]TARIFAS!$D$4:$D$14),0)</f>
        <v>21.36</v>
      </c>
      <c r="BC21" s="110">
        <f t="shared" si="13"/>
        <v>489.00847080000017</v>
      </c>
      <c r="BD21" s="110">
        <f>IFERROR(+LOOKUP(AY21,[5]TARIFAS!$A$4:$B$14,[5]TARIFAS!$C$4:$C$14),0)</f>
        <v>538.20000000000005</v>
      </c>
      <c r="BE21" s="110">
        <f t="shared" si="14"/>
        <v>1027.21</v>
      </c>
      <c r="BF21" s="110"/>
      <c r="BG21" s="110"/>
      <c r="BH21" s="110"/>
      <c r="BI21" s="109"/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v>6322.35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 t="shared" si="2"/>
        <v>189.6705</v>
      </c>
      <c r="T22" s="101" t="s">
        <v>37</v>
      </c>
      <c r="U22" s="102">
        <v>1712</v>
      </c>
      <c r="V22" s="104">
        <f t="shared" si="3"/>
        <v>595.9905</v>
      </c>
      <c r="W22" s="101"/>
      <c r="X22" s="102"/>
      <c r="Y22" s="104"/>
      <c r="Z22" s="104">
        <f t="shared" si="4"/>
        <v>7337.1305000000002</v>
      </c>
      <c r="AA22" s="101" t="s">
        <v>39</v>
      </c>
      <c r="AB22" s="102">
        <v>1431</v>
      </c>
      <c r="AC22" s="104">
        <f t="shared" si="5"/>
        <v>600.6232500000001</v>
      </c>
      <c r="AD22" s="101" t="s">
        <v>39</v>
      </c>
      <c r="AE22" s="105" t="s">
        <v>40</v>
      </c>
      <c r="AF22" s="115">
        <v>2108</v>
      </c>
      <c r="AG22" s="101" t="s">
        <v>39</v>
      </c>
      <c r="AH22" s="105" t="s">
        <v>41</v>
      </c>
      <c r="AI22" s="103">
        <f t="shared" si="6"/>
        <v>1020.02</v>
      </c>
      <c r="AJ22" s="101" t="s">
        <v>39</v>
      </c>
      <c r="AK22" s="105" t="s">
        <v>42</v>
      </c>
      <c r="AL22" s="103">
        <f>(K22*1%)</f>
        <v>63.223500000000008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1431</v>
      </c>
      <c r="AR22" s="103">
        <v>0</v>
      </c>
      <c r="AS22" s="104">
        <f t="shared" si="7"/>
        <v>3791.8667500000001</v>
      </c>
      <c r="AT22" s="106">
        <f t="shared" si="8"/>
        <v>3545.2637500000001</v>
      </c>
      <c r="AU22" s="113"/>
      <c r="AV22" s="108"/>
      <c r="AW22" s="109">
        <f t="shared" si="9"/>
        <v>15</v>
      </c>
      <c r="AX22" s="109">
        <f t="shared" si="10"/>
        <v>7337.1305000000002</v>
      </c>
      <c r="AY22" s="110">
        <f t="shared" si="11"/>
        <v>7337.1305000000002</v>
      </c>
      <c r="AZ22" s="110">
        <f>IFERROR(+LOOKUP(AY22,[5]TARIFAS!$A$4:$B$14,[5]TARIFAS!$A$4:$A$14),0)</f>
        <v>5081.41</v>
      </c>
      <c r="BA22" s="110">
        <f t="shared" si="12"/>
        <v>2255.7205000000004</v>
      </c>
      <c r="BB22" s="110">
        <f>IFERROR(+LOOKUP(AY22,[5]TARIFAS!$A$4:$B$14,[5]TARIFAS!$D$4:$D$14),0)</f>
        <v>21.36</v>
      </c>
      <c r="BC22" s="110">
        <f t="shared" si="13"/>
        <v>481.82189880000004</v>
      </c>
      <c r="BD22" s="110">
        <f>IFERROR(+LOOKUP(AY22,[5]TARIFAS!$A$4:$B$14,[5]TARIFAS!$C$4:$C$14),0)</f>
        <v>538.20000000000005</v>
      </c>
      <c r="BE22" s="110">
        <f t="shared" si="14"/>
        <v>1020.02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v>6322.35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 t="shared" si="2"/>
        <v>189.6705</v>
      </c>
      <c r="T23" s="101" t="s">
        <v>37</v>
      </c>
      <c r="U23" s="102">
        <v>1712</v>
      </c>
      <c r="V23" s="104">
        <f t="shared" si="3"/>
        <v>595.9905</v>
      </c>
      <c r="W23" s="101"/>
      <c r="X23" s="102"/>
      <c r="Y23" s="104"/>
      <c r="Z23" s="104">
        <f t="shared" si="4"/>
        <v>7269.8405000000002</v>
      </c>
      <c r="AA23" s="101" t="s">
        <v>39</v>
      </c>
      <c r="AB23" s="102">
        <v>1431</v>
      </c>
      <c r="AC23" s="104">
        <f t="shared" si="5"/>
        <v>600.6232500000001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41</v>
      </c>
      <c r="AI23" s="103">
        <f t="shared" si="6"/>
        <v>1005.65</v>
      </c>
      <c r="AJ23" s="101" t="s">
        <v>39</v>
      </c>
      <c r="AK23" s="105" t="s">
        <v>42</v>
      </c>
      <c r="AL23" s="103">
        <f>(K23*1%)</f>
        <v>63.223500000000008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1431</v>
      </c>
      <c r="AR23" s="103">
        <v>0</v>
      </c>
      <c r="AS23" s="104">
        <f t="shared" si="7"/>
        <v>1669.4967500000002</v>
      </c>
      <c r="AT23" s="106">
        <f t="shared" si="8"/>
        <v>5600.34375</v>
      </c>
      <c r="AU23" s="113"/>
      <c r="AV23" s="108"/>
      <c r="AW23" s="109">
        <f t="shared" si="9"/>
        <v>15</v>
      </c>
      <c r="AX23" s="109">
        <f t="shared" si="10"/>
        <v>7269.8405000000002</v>
      </c>
      <c r="AY23" s="110">
        <f t="shared" si="11"/>
        <v>7269.8405000000002</v>
      </c>
      <c r="AZ23" s="110">
        <f>IFERROR(+LOOKUP(AY23,[5]TARIFAS!$A$4:$B$14,[5]TARIFAS!$A$4:$A$14),0)</f>
        <v>5081.41</v>
      </c>
      <c r="BA23" s="110">
        <f t="shared" si="12"/>
        <v>2188.4305000000004</v>
      </c>
      <c r="BB23" s="110">
        <f>IFERROR(+LOOKUP(AY23,[5]TARIFAS!$A$4:$B$14,[5]TARIFAS!$D$4:$D$14),0)</f>
        <v>21.36</v>
      </c>
      <c r="BC23" s="110">
        <f t="shared" si="13"/>
        <v>467.44875480000007</v>
      </c>
      <c r="BD23" s="110">
        <f>IFERROR(+LOOKUP(AY23,[5]TARIFAS!$A$4:$B$14,[5]TARIFAS!$C$4:$C$14),0)</f>
        <v>538.20000000000005</v>
      </c>
      <c r="BE23" s="110">
        <f t="shared" si="14"/>
        <v>1005.65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v>4875.54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f t="shared" si="2"/>
        <v>146.2662</v>
      </c>
      <c r="T24" s="101" t="s">
        <v>37</v>
      </c>
      <c r="U24" s="102">
        <v>1712</v>
      </c>
      <c r="V24" s="104">
        <f t="shared" si="3"/>
        <v>517.28620000000001</v>
      </c>
      <c r="W24" s="101"/>
      <c r="X24" s="102"/>
      <c r="Y24" s="104"/>
      <c r="Z24" s="104">
        <f t="shared" si="4"/>
        <v>5600.7361999999994</v>
      </c>
      <c r="AA24" s="101" t="s">
        <v>39</v>
      </c>
      <c r="AB24" s="102">
        <v>1431</v>
      </c>
      <c r="AC24" s="104">
        <f t="shared" si="5"/>
        <v>463.17630000000003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 t="shared" si="6"/>
        <v>649.13</v>
      </c>
      <c r="AJ24" s="101" t="s">
        <v>39</v>
      </c>
      <c r="AK24" s="105" t="s">
        <v>42</v>
      </c>
      <c r="AL24" s="103">
        <f>(K24*1%)</f>
        <v>48.755400000000002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1431</v>
      </c>
      <c r="AR24" s="103">
        <v>0</v>
      </c>
      <c r="AS24" s="104">
        <f t="shared" si="7"/>
        <v>1161.0617</v>
      </c>
      <c r="AT24" s="106">
        <f t="shared" si="8"/>
        <v>4439.6744999999992</v>
      </c>
      <c r="AU24" s="113"/>
      <c r="AV24" s="108"/>
      <c r="AW24" s="109">
        <f t="shared" si="9"/>
        <v>15</v>
      </c>
      <c r="AX24" s="109">
        <f t="shared" si="10"/>
        <v>5600.7361999999994</v>
      </c>
      <c r="AY24" s="110">
        <f t="shared" si="11"/>
        <v>5600.7361999999994</v>
      </c>
      <c r="AZ24" s="110">
        <f>IFERROR(+LOOKUP(AY24,[5]TARIFAS!$A$4:$B$14,[5]TARIFAS!$A$4:$A$14),0)</f>
        <v>5081.41</v>
      </c>
      <c r="BA24" s="110">
        <f t="shared" si="12"/>
        <v>519.32619999999952</v>
      </c>
      <c r="BB24" s="110">
        <f>IFERROR(+LOOKUP(AY24,[5]TARIFAS!$A$4:$B$14,[5]TARIFAS!$D$4:$D$14),0)</f>
        <v>21.36</v>
      </c>
      <c r="BC24" s="110">
        <f t="shared" si="13"/>
        <v>110.92807631999989</v>
      </c>
      <c r="BD24" s="110">
        <f>IFERROR(+LOOKUP(AY24,[5]TARIFAS!$A$4:$B$14,[5]TARIFAS!$C$4:$C$14),0)</f>
        <v>538.20000000000005</v>
      </c>
      <c r="BE24" s="110">
        <f t="shared" si="14"/>
        <v>649.13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v>6322.35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f t="shared" si="2"/>
        <v>189.6705</v>
      </c>
      <c r="T25" s="101" t="s">
        <v>37</v>
      </c>
      <c r="U25" s="102">
        <v>1712</v>
      </c>
      <c r="V25" s="104">
        <f t="shared" si="3"/>
        <v>595.9905</v>
      </c>
      <c r="W25" s="101"/>
      <c r="X25" s="102"/>
      <c r="Y25" s="104"/>
      <c r="Z25" s="104">
        <f t="shared" si="4"/>
        <v>7269.8405000000002</v>
      </c>
      <c r="AA25" s="101" t="s">
        <v>39</v>
      </c>
      <c r="AB25" s="102">
        <v>1431</v>
      </c>
      <c r="AC25" s="104">
        <f t="shared" si="5"/>
        <v>600.6232500000001</v>
      </c>
      <c r="AD25" s="101" t="s">
        <v>39</v>
      </c>
      <c r="AE25" s="105" t="s">
        <v>40</v>
      </c>
      <c r="AF25" s="115">
        <v>1687</v>
      </c>
      <c r="AG25" s="101" t="s">
        <v>39</v>
      </c>
      <c r="AH25" s="105" t="s">
        <v>41</v>
      </c>
      <c r="AI25" s="103">
        <f t="shared" si="6"/>
        <v>1005.65</v>
      </c>
      <c r="AJ25" s="101" t="s">
        <v>39</v>
      </c>
      <c r="AK25" s="105" t="s">
        <v>42</v>
      </c>
      <c r="AL25" s="103">
        <f>(K25*1%)</f>
        <v>63.223500000000008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1431</v>
      </c>
      <c r="AR25" s="103">
        <v>0</v>
      </c>
      <c r="AS25" s="104">
        <f t="shared" si="7"/>
        <v>3356.4967500000002</v>
      </c>
      <c r="AT25" s="106">
        <f t="shared" si="8"/>
        <v>3913.34375</v>
      </c>
      <c r="AU25" s="113"/>
      <c r="AV25" s="108"/>
      <c r="AW25" s="109">
        <f t="shared" si="9"/>
        <v>15</v>
      </c>
      <c r="AX25" s="109">
        <f t="shared" si="10"/>
        <v>7269.8405000000002</v>
      </c>
      <c r="AY25" s="110">
        <f t="shared" si="11"/>
        <v>7269.8405000000002</v>
      </c>
      <c r="AZ25" s="110">
        <f>IFERROR(+LOOKUP(AY25,[5]TARIFAS!$A$4:$B$14,[5]TARIFAS!$A$4:$A$14),0)</f>
        <v>5081.41</v>
      </c>
      <c r="BA25" s="110">
        <f t="shared" si="12"/>
        <v>2188.4305000000004</v>
      </c>
      <c r="BB25" s="110">
        <f>IFERROR(+LOOKUP(AY25,[5]TARIFAS!$A$4:$B$14,[5]TARIFAS!$D$4:$D$14),0)</f>
        <v>21.36</v>
      </c>
      <c r="BC25" s="110">
        <f t="shared" si="13"/>
        <v>467.44875480000007</v>
      </c>
      <c r="BD25" s="110">
        <f>IFERROR(+LOOKUP(AY25,[5]TARIFAS!$A$4:$B$14,[5]TARIFAS!$C$4:$C$14),0)</f>
        <v>538.20000000000005</v>
      </c>
      <c r="BE25" s="110">
        <f t="shared" si="14"/>
        <v>1005.65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v>4875.54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f t="shared" si="2"/>
        <v>146.2662</v>
      </c>
      <c r="T26" s="101" t="s">
        <v>37</v>
      </c>
      <c r="U26" s="102">
        <v>1712</v>
      </c>
      <c r="V26" s="104">
        <f t="shared" si="3"/>
        <v>517.28620000000001</v>
      </c>
      <c r="W26" s="101"/>
      <c r="X26" s="102"/>
      <c r="Y26" s="104"/>
      <c r="Z26" s="104">
        <f t="shared" si="4"/>
        <v>5600.7361999999994</v>
      </c>
      <c r="AA26" s="101" t="s">
        <v>39</v>
      </c>
      <c r="AB26" s="102">
        <v>1431</v>
      </c>
      <c r="AC26" s="104">
        <f t="shared" si="5"/>
        <v>463.17630000000003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41</v>
      </c>
      <c r="AI26" s="103">
        <f t="shared" si="6"/>
        <v>649.13</v>
      </c>
      <c r="AJ26" s="101" t="s">
        <v>39</v>
      </c>
      <c r="AK26" s="105" t="s">
        <v>42</v>
      </c>
      <c r="AL26" s="103">
        <f>(K26*1%)</f>
        <v>48.755400000000002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1431</v>
      </c>
      <c r="AR26" s="103">
        <v>0</v>
      </c>
      <c r="AS26" s="104">
        <f t="shared" si="7"/>
        <v>1161.0617</v>
      </c>
      <c r="AT26" s="106">
        <f t="shared" si="8"/>
        <v>4439.6744999999992</v>
      </c>
      <c r="AU26" s="113"/>
      <c r="AV26" s="108"/>
      <c r="AW26" s="109">
        <f t="shared" si="9"/>
        <v>15</v>
      </c>
      <c r="AX26" s="109">
        <f t="shared" si="10"/>
        <v>5600.7361999999994</v>
      </c>
      <c r="AY26" s="110">
        <f t="shared" si="11"/>
        <v>5600.7361999999994</v>
      </c>
      <c r="AZ26" s="110">
        <f>IFERROR(+LOOKUP(AY26,[5]TARIFAS!$A$4:$B$14,[5]TARIFAS!$A$4:$A$14),0)</f>
        <v>5081.41</v>
      </c>
      <c r="BA26" s="110">
        <f t="shared" si="12"/>
        <v>519.32619999999952</v>
      </c>
      <c r="BB26" s="110">
        <f>IFERROR(+LOOKUP(AY26,[5]TARIFAS!$A$4:$B$14,[5]TARIFAS!$D$4:$D$14),0)</f>
        <v>21.36</v>
      </c>
      <c r="BC26" s="110">
        <f t="shared" si="13"/>
        <v>110.92807631999989</v>
      </c>
      <c r="BD26" s="110">
        <f>IFERROR(+LOOKUP(AY26,[5]TARIFAS!$A$4:$B$14,[5]TARIFAS!$C$4:$C$14),0)</f>
        <v>538.20000000000005</v>
      </c>
      <c r="BE26" s="110">
        <f t="shared" si="14"/>
        <v>649.13</v>
      </c>
      <c r="BF26" s="110"/>
      <c r="BG26" s="110"/>
      <c r="BH26" s="110"/>
      <c r="BI26" s="109"/>
    </row>
    <row r="27" spans="1:62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0" t="s">
        <v>67</v>
      </c>
      <c r="F27" s="101" t="s">
        <v>37</v>
      </c>
      <c r="G27" s="101" t="s">
        <v>38</v>
      </c>
      <c r="H27" s="101">
        <v>15</v>
      </c>
      <c r="I27" s="101">
        <v>1029.4333333333334</v>
      </c>
      <c r="J27" s="160" t="s">
        <v>146</v>
      </c>
      <c r="K27" s="101">
        <v>15441.5</v>
      </c>
      <c r="L27" s="101" t="s">
        <v>37</v>
      </c>
      <c r="M27" s="102">
        <v>1311</v>
      </c>
      <c r="N27" s="115">
        <v>0</v>
      </c>
      <c r="O27" s="101" t="s">
        <v>37</v>
      </c>
      <c r="P27" s="102">
        <v>1713</v>
      </c>
      <c r="Q27" s="115">
        <v>566.5</v>
      </c>
      <c r="R27" s="115">
        <v>835.5</v>
      </c>
      <c r="S27" s="103">
        <f t="shared" si="2"/>
        <v>463.245</v>
      </c>
      <c r="T27" s="101" t="s">
        <v>37</v>
      </c>
      <c r="U27" s="102">
        <v>1712</v>
      </c>
      <c r="V27" s="104">
        <f t="shared" si="3"/>
        <v>1298.7449999999999</v>
      </c>
      <c r="W27" s="101"/>
      <c r="X27" s="102"/>
      <c r="Y27" s="104"/>
      <c r="Z27" s="104">
        <f t="shared" si="4"/>
        <v>17306.744999999999</v>
      </c>
      <c r="AA27" s="101" t="s">
        <v>39</v>
      </c>
      <c r="AB27" s="102">
        <v>1431</v>
      </c>
      <c r="AC27" s="104">
        <f t="shared" si="5"/>
        <v>1466.9425000000001</v>
      </c>
      <c r="AD27" s="101" t="s">
        <v>39</v>
      </c>
      <c r="AE27" s="105" t="s">
        <v>40</v>
      </c>
      <c r="AF27" s="115">
        <v>0</v>
      </c>
      <c r="AG27" s="101" t="s">
        <v>39</v>
      </c>
      <c r="AH27" s="105" t="s">
        <v>41</v>
      </c>
      <c r="AI27" s="103">
        <f t="shared" si="6"/>
        <v>3376.71</v>
      </c>
      <c r="AJ27" s="101" t="s">
        <v>39</v>
      </c>
      <c r="AK27" s="105" t="s">
        <v>42</v>
      </c>
      <c r="AL27" s="103">
        <v>0</v>
      </c>
      <c r="AM27" s="101" t="s">
        <v>39</v>
      </c>
      <c r="AN27" s="105" t="s">
        <v>43</v>
      </c>
      <c r="AO27" s="115">
        <v>0</v>
      </c>
      <c r="AP27" s="101" t="s">
        <v>39</v>
      </c>
      <c r="AQ27" s="105">
        <v>1431</v>
      </c>
      <c r="AR27" s="103">
        <v>0</v>
      </c>
      <c r="AS27" s="104">
        <f t="shared" si="7"/>
        <v>4843.6525000000001</v>
      </c>
      <c r="AT27" s="106">
        <f t="shared" si="8"/>
        <v>12463.092499999999</v>
      </c>
      <c r="AU27" s="113"/>
      <c r="AV27" s="108"/>
      <c r="AW27" s="111">
        <f t="shared" si="9"/>
        <v>15</v>
      </c>
      <c r="AX27" s="109">
        <f t="shared" si="10"/>
        <v>17306.745000000003</v>
      </c>
      <c r="AY27" s="119">
        <f>IFERROR(+AX27/AW27,0)*AW27</f>
        <v>17306.745000000003</v>
      </c>
      <c r="AZ27" s="119">
        <f>IFERROR(+LOOKUP(AY27,[5]TARIFAS!$A$4:$B$14,[5]TARIFAS!$A$4:$A$14),0)</f>
        <v>16153.06</v>
      </c>
      <c r="BA27" s="119">
        <f>+AY27-AZ27</f>
        <v>1153.6850000000031</v>
      </c>
      <c r="BB27" s="119">
        <f>IFERROR(+LOOKUP(AY27,[5]TARIFAS!$A$4:$B$14,[5]TARIFAS!$D$4:$D$14),0)</f>
        <v>30</v>
      </c>
      <c r="BC27" s="119">
        <f>(+BA27*BB27)/100</f>
        <v>346.10550000000092</v>
      </c>
      <c r="BD27" s="119">
        <f>IFERROR(+LOOKUP(AY27,[5]TARIFAS!$A$4:$B$14,[5]TARIFAS!$C$4:$C$14),0)</f>
        <v>3030.6</v>
      </c>
      <c r="BE27" s="119">
        <f>ROUND(+BC27+BD27,2)</f>
        <v>3376.71</v>
      </c>
      <c r="BF27" s="119"/>
      <c r="BG27" s="119"/>
      <c r="BH27" s="119"/>
      <c r="BJ27" s="120"/>
    </row>
    <row r="28" spans="1:62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0" t="s">
        <v>105</v>
      </c>
      <c r="F28" s="101" t="s">
        <v>37</v>
      </c>
      <c r="G28" s="101" t="s">
        <v>38</v>
      </c>
      <c r="H28" s="101">
        <v>15</v>
      </c>
      <c r="I28" s="101">
        <v>1958.6333333333334</v>
      </c>
      <c r="J28" s="160" t="s">
        <v>148</v>
      </c>
      <c r="K28" s="101">
        <v>29379.5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6">
        <v>808.5</v>
      </c>
      <c r="R28" s="115">
        <v>1144</v>
      </c>
      <c r="S28" s="103">
        <f t="shared" si="2"/>
        <v>881.38499999999999</v>
      </c>
      <c r="T28" s="101" t="s">
        <v>37</v>
      </c>
      <c r="U28" s="102">
        <v>1712</v>
      </c>
      <c r="V28" s="104">
        <f t="shared" si="3"/>
        <v>2025.385</v>
      </c>
      <c r="W28" s="101"/>
      <c r="X28" s="102"/>
      <c r="Y28" s="104"/>
      <c r="Z28" s="104">
        <f t="shared" si="4"/>
        <v>32213.384999999998</v>
      </c>
      <c r="AA28" s="101" t="s">
        <v>39</v>
      </c>
      <c r="AB28" s="102">
        <v>1431</v>
      </c>
      <c r="AC28" s="104">
        <f t="shared" si="5"/>
        <v>2791.0525000000002</v>
      </c>
      <c r="AD28" s="101" t="s">
        <v>39</v>
      </c>
      <c r="AE28" s="105" t="s">
        <v>40</v>
      </c>
      <c r="AF28" s="115">
        <v>4897</v>
      </c>
      <c r="AG28" s="101" t="s">
        <v>39</v>
      </c>
      <c r="AH28" s="105" t="s">
        <v>41</v>
      </c>
      <c r="AI28" s="103">
        <f t="shared" si="6"/>
        <v>7876.11</v>
      </c>
      <c r="AJ28" s="101" t="s">
        <v>39</v>
      </c>
      <c r="AK28" s="105" t="s">
        <v>42</v>
      </c>
      <c r="AL28" s="103">
        <v>0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1431</v>
      </c>
      <c r="AR28" s="103">
        <v>0</v>
      </c>
      <c r="AS28" s="104">
        <f t="shared" si="7"/>
        <v>15564.162499999999</v>
      </c>
      <c r="AT28" s="106">
        <f t="shared" si="8"/>
        <v>16649.2225</v>
      </c>
      <c r="AU28" s="113"/>
      <c r="AV28" s="108"/>
      <c r="AW28" s="109">
        <f t="shared" si="9"/>
        <v>15</v>
      </c>
      <c r="AX28" s="109">
        <f t="shared" si="10"/>
        <v>32213.384999999998</v>
      </c>
      <c r="AY28" s="110">
        <f t="shared" si="11"/>
        <v>32213.384999999995</v>
      </c>
      <c r="AZ28" s="110">
        <f>IFERROR(+LOOKUP(AY28,[5]TARIFAS!$A$4:$B$14,[5]TARIFAS!$A$4:$A$14),0)</f>
        <v>30838.81</v>
      </c>
      <c r="BA28" s="110">
        <f t="shared" si="12"/>
        <v>1374.5749999999935</v>
      </c>
      <c r="BB28" s="110">
        <f>IFERROR(+LOOKUP(AY28,[5]TARIFAS!$A$4:$B$14,[5]TARIFAS!$D$4:$D$14),0)</f>
        <v>32</v>
      </c>
      <c r="BC28" s="110">
        <f t="shared" si="13"/>
        <v>439.86399999999793</v>
      </c>
      <c r="BD28" s="110">
        <f>IFERROR(+LOOKUP(AY28,[5]TARIFAS!$A$4:$B$14,[5]TARIFAS!$C$4:$C$14),0)</f>
        <v>7436.25</v>
      </c>
      <c r="BE28" s="110">
        <f t="shared" si="14"/>
        <v>7876.11</v>
      </c>
      <c r="BF28" s="110"/>
      <c r="BG28" s="110"/>
      <c r="BH28" s="110"/>
      <c r="BI28" s="109"/>
    </row>
    <row r="29" spans="1:62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0" t="s">
        <v>35</v>
      </c>
      <c r="F29" s="101" t="s">
        <v>37</v>
      </c>
      <c r="G29" s="101" t="s">
        <v>38</v>
      </c>
      <c r="H29" s="101">
        <v>15</v>
      </c>
      <c r="I29" s="101">
        <v>421.49</v>
      </c>
      <c r="J29" s="160" t="s">
        <v>151</v>
      </c>
      <c r="K29" s="101">
        <v>6322.35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351.5</v>
      </c>
      <c r="R29" s="115">
        <v>406.32</v>
      </c>
      <c r="S29" s="103">
        <f t="shared" si="2"/>
        <v>189.6705</v>
      </c>
      <c r="T29" s="101" t="s">
        <v>37</v>
      </c>
      <c r="U29" s="102">
        <v>1712</v>
      </c>
      <c r="V29" s="104">
        <f t="shared" si="3"/>
        <v>595.9905</v>
      </c>
      <c r="W29" s="101"/>
      <c r="X29" s="102"/>
      <c r="Y29" s="104"/>
      <c r="Z29" s="104">
        <f t="shared" si="4"/>
        <v>7269.8405000000002</v>
      </c>
      <c r="AA29" s="101" t="s">
        <v>39</v>
      </c>
      <c r="AB29" s="102">
        <v>1431</v>
      </c>
      <c r="AC29" s="104">
        <f t="shared" si="5"/>
        <v>600.6232500000001</v>
      </c>
      <c r="AD29" s="101" t="s">
        <v>39</v>
      </c>
      <c r="AE29" s="105" t="s">
        <v>40</v>
      </c>
      <c r="AF29" s="115">
        <v>0</v>
      </c>
      <c r="AG29" s="101" t="s">
        <v>39</v>
      </c>
      <c r="AH29" s="105" t="s">
        <v>41</v>
      </c>
      <c r="AI29" s="103">
        <f t="shared" si="6"/>
        <v>1005.65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1431</v>
      </c>
      <c r="AR29" s="103">
        <v>0</v>
      </c>
      <c r="AS29" s="104">
        <f t="shared" si="7"/>
        <v>1606.2732500000002</v>
      </c>
      <c r="AT29" s="106">
        <f t="shared" si="8"/>
        <v>5663.5672500000001</v>
      </c>
      <c r="AU29" s="113"/>
      <c r="AV29" s="108"/>
      <c r="AW29" s="109">
        <f t="shared" si="9"/>
        <v>15</v>
      </c>
      <c r="AX29" s="109">
        <f t="shared" si="10"/>
        <v>7269.8405000000002</v>
      </c>
      <c r="AY29" s="110">
        <f t="shared" si="11"/>
        <v>7269.8405000000002</v>
      </c>
      <c r="AZ29" s="110">
        <f>IFERROR(+LOOKUP(AY29,[5]TARIFAS!$A$4:$B$14,[5]TARIFAS!$A$4:$A$14),0)</f>
        <v>5081.41</v>
      </c>
      <c r="BA29" s="110">
        <f t="shared" si="12"/>
        <v>2188.4305000000004</v>
      </c>
      <c r="BB29" s="110">
        <f>IFERROR(+LOOKUP(AY29,[5]TARIFAS!$A$4:$B$14,[5]TARIFAS!$D$4:$D$14),0)</f>
        <v>21.36</v>
      </c>
      <c r="BC29" s="110">
        <f t="shared" si="13"/>
        <v>467.44875480000007</v>
      </c>
      <c r="BD29" s="110">
        <f>IFERROR(+LOOKUP(AY29,[5]TARIFAS!$A$4:$B$14,[5]TARIFAS!$C$4:$C$14),0)</f>
        <v>538.20000000000005</v>
      </c>
      <c r="BE29" s="110">
        <f>ROUND(+BC29+BD29,2)</f>
        <v>1005.65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0" t="s">
        <v>67</v>
      </c>
      <c r="F30" s="101" t="s">
        <v>37</v>
      </c>
      <c r="G30" s="101" t="s">
        <v>38</v>
      </c>
      <c r="H30" s="101">
        <v>15</v>
      </c>
      <c r="I30" s="101">
        <v>1029.4333333333334</v>
      </c>
      <c r="J30" s="160" t="s">
        <v>151</v>
      </c>
      <c r="K30" s="101">
        <v>15441.5</v>
      </c>
      <c r="L30" s="101" t="s">
        <v>37</v>
      </c>
      <c r="M30" s="102">
        <v>1311</v>
      </c>
      <c r="N30" s="103">
        <f>67.29</f>
        <v>67.290000000000006</v>
      </c>
      <c r="O30" s="101" t="s">
        <v>37</v>
      </c>
      <c r="P30" s="102">
        <v>1713</v>
      </c>
      <c r="Q30" s="103">
        <v>566.5</v>
      </c>
      <c r="R30" s="103">
        <v>835.5</v>
      </c>
      <c r="S30" s="103">
        <f t="shared" si="2"/>
        <v>463.245</v>
      </c>
      <c r="T30" s="101" t="s">
        <v>37</v>
      </c>
      <c r="U30" s="102">
        <v>1712</v>
      </c>
      <c r="V30" s="104">
        <f t="shared" si="3"/>
        <v>1298.7449999999999</v>
      </c>
      <c r="W30" s="101"/>
      <c r="X30" s="102"/>
      <c r="Y30" s="104"/>
      <c r="Z30" s="104">
        <f t="shared" si="4"/>
        <v>17374.035</v>
      </c>
      <c r="AA30" s="101" t="s">
        <v>39</v>
      </c>
      <c r="AB30" s="102">
        <v>1431</v>
      </c>
      <c r="AC30" s="104">
        <f t="shared" si="5"/>
        <v>1466.9425000000001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41</v>
      </c>
      <c r="AI30" s="103">
        <f t="shared" si="6"/>
        <v>3396.89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1431</v>
      </c>
      <c r="AR30" s="103">
        <v>0</v>
      </c>
      <c r="AS30" s="104">
        <f t="shared" si="7"/>
        <v>4863.8325000000004</v>
      </c>
      <c r="AT30" s="106">
        <f t="shared" si="8"/>
        <v>12510.202499999999</v>
      </c>
      <c r="AU30" s="113"/>
      <c r="AV30" s="108"/>
      <c r="AW30" s="109">
        <f t="shared" si="9"/>
        <v>15</v>
      </c>
      <c r="AX30" s="109">
        <f t="shared" si="10"/>
        <v>17374.035000000003</v>
      </c>
      <c r="AY30" s="110">
        <f t="shared" si="11"/>
        <v>17374.035000000003</v>
      </c>
      <c r="AZ30" s="110">
        <f>IFERROR(+LOOKUP(AY30,[5]TARIFAS!$A$4:$B$14,[5]TARIFAS!$A$4:$A$14),0)</f>
        <v>16153.06</v>
      </c>
      <c r="BA30" s="110">
        <f t="shared" si="12"/>
        <v>1220.975000000004</v>
      </c>
      <c r="BB30" s="110">
        <f>IFERROR(+LOOKUP(AY30,[5]TARIFAS!$A$4:$B$14,[5]TARIFAS!$D$4:$D$14),0)</f>
        <v>30</v>
      </c>
      <c r="BC30" s="110">
        <f t="shared" si="13"/>
        <v>366.29250000000116</v>
      </c>
      <c r="BD30" s="110">
        <f>IFERROR(+LOOKUP(AY30,[5]TARIFAS!$A$4:$B$14,[5]TARIFAS!$C$4:$C$14),0)</f>
        <v>3030.6</v>
      </c>
      <c r="BE30" s="110">
        <f t="shared" si="14"/>
        <v>3396.89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0" t="s">
        <v>35</v>
      </c>
      <c r="F31" s="101" t="s">
        <v>37</v>
      </c>
      <c r="G31" s="101" t="s">
        <v>38</v>
      </c>
      <c r="H31" s="101">
        <v>15</v>
      </c>
      <c r="I31" s="101">
        <v>325.036</v>
      </c>
      <c r="J31" s="160" t="s">
        <v>150</v>
      </c>
      <c r="K31" s="101">
        <v>4875.54</v>
      </c>
      <c r="L31" s="101" t="s">
        <v>37</v>
      </c>
      <c r="M31" s="102">
        <v>1311</v>
      </c>
      <c r="N31" s="115">
        <v>0</v>
      </c>
      <c r="O31" s="101" t="s">
        <v>37</v>
      </c>
      <c r="P31" s="102">
        <v>1713</v>
      </c>
      <c r="Q31" s="115">
        <v>207.91</v>
      </c>
      <c r="R31" s="115">
        <v>371.02</v>
      </c>
      <c r="S31" s="103">
        <f t="shared" si="2"/>
        <v>146.2662</v>
      </c>
      <c r="T31" s="101" t="s">
        <v>37</v>
      </c>
      <c r="U31" s="102">
        <v>1712</v>
      </c>
      <c r="V31" s="104">
        <f t="shared" si="3"/>
        <v>517.28620000000001</v>
      </c>
      <c r="W31" s="101"/>
      <c r="X31" s="102"/>
      <c r="Y31" s="104"/>
      <c r="Z31" s="104">
        <f t="shared" si="4"/>
        <v>5600.7361999999994</v>
      </c>
      <c r="AA31" s="101" t="s">
        <v>39</v>
      </c>
      <c r="AB31" s="102">
        <v>1431</v>
      </c>
      <c r="AC31" s="104">
        <f t="shared" si="5"/>
        <v>463.17630000000003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 t="shared" si="6"/>
        <v>649.13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1431</v>
      </c>
      <c r="AR31" s="103">
        <v>0</v>
      </c>
      <c r="AS31" s="104">
        <f t="shared" si="7"/>
        <v>1112.3063</v>
      </c>
      <c r="AT31" s="106">
        <f t="shared" si="8"/>
        <v>4488.4298999999992</v>
      </c>
      <c r="AU31" s="113"/>
      <c r="AV31" s="108"/>
      <c r="AW31" s="109">
        <f>+H31</f>
        <v>15</v>
      </c>
      <c r="AX31" s="109">
        <f>+K31+S31+N31+Q31+R31+Y31</f>
        <v>5600.7361999999994</v>
      </c>
      <c r="AY31" s="110">
        <f>IFERROR(+AX31/AW31,0)*AW31</f>
        <v>5600.7361999999994</v>
      </c>
      <c r="AZ31" s="110">
        <f>IFERROR(+LOOKUP(AY31,[5]TARIFAS!$A$4:$B$14,[5]TARIFAS!$A$4:$A$14),0)</f>
        <v>5081.41</v>
      </c>
      <c r="BA31" s="110">
        <f>+AY31-AZ31</f>
        <v>519.32619999999952</v>
      </c>
      <c r="BB31" s="110">
        <f>IFERROR(+LOOKUP(AY31,[5]TARIFAS!$A$4:$B$14,[5]TARIFAS!$D$4:$D$14),0)</f>
        <v>21.36</v>
      </c>
      <c r="BC31" s="110">
        <f>(+BA31*BB31)/100</f>
        <v>110.92807631999989</v>
      </c>
      <c r="BD31" s="110">
        <f>IFERROR(+LOOKUP(AY31,[5]TARIFAS!$A$4:$B$14,[5]TARIFAS!$C$4:$C$14),0)</f>
        <v>538.20000000000005</v>
      </c>
      <c r="BE31" s="110">
        <f>ROUND(+BC31+BD31,2)</f>
        <v>649.13</v>
      </c>
      <c r="BF31" s="110"/>
      <c r="BG31" s="110"/>
      <c r="BH31" s="110"/>
      <c r="BI31" s="109"/>
    </row>
    <row r="32" spans="1:62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0" t="s">
        <v>35</v>
      </c>
      <c r="F32" s="101" t="s">
        <v>37</v>
      </c>
      <c r="G32" s="101" t="s">
        <v>38</v>
      </c>
      <c r="H32" s="101">
        <v>11</v>
      </c>
      <c r="I32" s="101">
        <v>421.49</v>
      </c>
      <c r="J32" s="163" t="s">
        <v>147</v>
      </c>
      <c r="K32" s="101">
        <f>421.49*15</f>
        <v>6322.35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6">
        <f>23.43*15</f>
        <v>351.45</v>
      </c>
      <c r="R32" s="115">
        <f>27.09*15</f>
        <v>406.35</v>
      </c>
      <c r="S32" s="103">
        <f t="shared" si="2"/>
        <v>189.6705</v>
      </c>
      <c r="T32" s="101" t="s">
        <v>37</v>
      </c>
      <c r="U32" s="102">
        <v>1712</v>
      </c>
      <c r="V32" s="104">
        <f t="shared" si="3"/>
        <v>596.02050000000008</v>
      </c>
      <c r="W32" s="101"/>
      <c r="X32" s="102"/>
      <c r="Y32" s="104"/>
      <c r="Z32" s="104">
        <f t="shared" si="4"/>
        <v>7269.8204999999998</v>
      </c>
      <c r="AA32" s="101" t="s">
        <v>39</v>
      </c>
      <c r="AB32" s="102">
        <v>1431</v>
      </c>
      <c r="AC32" s="104">
        <f t="shared" si="5"/>
        <v>600.6232500000001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 t="shared" si="6"/>
        <v>1005.64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1431</v>
      </c>
      <c r="AR32" s="103">
        <v>0</v>
      </c>
      <c r="AS32" s="104">
        <f t="shared" si="7"/>
        <v>1606.26325</v>
      </c>
      <c r="AT32" s="106">
        <f t="shared" si="8"/>
        <v>5663.5572499999998</v>
      </c>
      <c r="AU32" s="113"/>
      <c r="AV32" s="108"/>
      <c r="AW32" s="109">
        <f t="shared" si="9"/>
        <v>11</v>
      </c>
      <c r="AX32" s="109">
        <f t="shared" si="10"/>
        <v>7269.8205000000007</v>
      </c>
      <c r="AY32" s="110">
        <f t="shared" si="11"/>
        <v>7269.8205000000007</v>
      </c>
      <c r="AZ32" s="110">
        <f>IFERROR(+LOOKUP(AY32,[5]TARIFAS!$A$4:$B$14,[5]TARIFAS!$A$4:$A$14),0)</f>
        <v>5081.41</v>
      </c>
      <c r="BA32" s="110">
        <f t="shared" si="12"/>
        <v>2188.4105000000009</v>
      </c>
      <c r="BB32" s="110">
        <f>IFERROR(+LOOKUP(AY32,[5]TARIFAS!$A$4:$B$14,[5]TARIFAS!$D$4:$D$14),0)</f>
        <v>21.36</v>
      </c>
      <c r="BC32" s="110">
        <f t="shared" si="13"/>
        <v>467.44448280000017</v>
      </c>
      <c r="BD32" s="110">
        <f>IFERROR(+LOOKUP(AY32,[5]TARIFAS!$A$4:$B$14,[5]TARIFAS!$C$4:$C$14),0)</f>
        <v>538.20000000000005</v>
      </c>
      <c r="BE32" s="110">
        <f t="shared" si="14"/>
        <v>1005.64</v>
      </c>
      <c r="BF32" s="110"/>
      <c r="BG32" s="110"/>
      <c r="BH32" s="110"/>
      <c r="BI32" s="109"/>
    </row>
    <row r="33" spans="1:47" s="128" customFormat="1" ht="21" customHeight="1" thickBot="1" x14ac:dyDescent="0.25">
      <c r="A33" s="121"/>
      <c r="B33" s="122"/>
      <c r="C33" s="123"/>
      <c r="D33" s="123" t="s">
        <v>110</v>
      </c>
      <c r="E33" s="123"/>
      <c r="F33" s="124"/>
      <c r="G33" s="124"/>
      <c r="H33" s="124"/>
      <c r="I33" s="161"/>
      <c r="J33" s="164"/>
      <c r="K33" s="162">
        <f>SUM(K5:K32)</f>
        <v>221462.15000000005</v>
      </c>
      <c r="L33" s="124"/>
      <c r="M33" s="124"/>
      <c r="N33" s="124">
        <f>SUM(N5:N32)</f>
        <v>2489.7299999999996</v>
      </c>
      <c r="O33" s="124"/>
      <c r="P33" s="124"/>
      <c r="Q33" s="124">
        <f>SUM(Q5:Q32)</f>
        <v>9734.119999999999</v>
      </c>
      <c r="R33" s="124">
        <f>SUM(R5:R32)</f>
        <v>13199.05</v>
      </c>
      <c r="S33" s="124">
        <f>SUM(S5:S32)</f>
        <v>6643.8645000000015</v>
      </c>
      <c r="T33" s="124"/>
      <c r="U33" s="124"/>
      <c r="V33" s="124">
        <f>SUM(V5:V32)</f>
        <v>19842.914499999995</v>
      </c>
      <c r="W33" s="124"/>
      <c r="X33" s="125"/>
      <c r="Y33" s="124">
        <f>SUM(Y5:Y30)</f>
        <v>11303.45</v>
      </c>
      <c r="Z33" s="124">
        <f>SUM(Z5:Z32)</f>
        <v>264832.36449999997</v>
      </c>
      <c r="AA33" s="124"/>
      <c r="AB33" s="125"/>
      <c r="AC33" s="124">
        <f>SUM(AC5:AC32)</f>
        <v>21038.904250000007</v>
      </c>
      <c r="AD33" s="124"/>
      <c r="AE33" s="125"/>
      <c r="AF33" s="126">
        <f>SUM(AF5:AF32)</f>
        <v>22484.18</v>
      </c>
      <c r="AG33" s="124"/>
      <c r="AH33" s="125"/>
      <c r="AI33" s="124">
        <f>SUM(AI5:AI32)</f>
        <v>43824.990000000005</v>
      </c>
      <c r="AJ33" s="124"/>
      <c r="AK33" s="125"/>
      <c r="AL33" s="126">
        <f>SUM(AL5:AL32)</f>
        <v>995.19780000000026</v>
      </c>
      <c r="AM33" s="124"/>
      <c r="AN33" s="125"/>
      <c r="AO33" s="124">
        <f>SUM(AO5:AO32)</f>
        <v>0</v>
      </c>
      <c r="AP33" s="124"/>
      <c r="AQ33" s="125"/>
      <c r="AR33" s="124">
        <f>SUM(AR5:AR32)</f>
        <v>0</v>
      </c>
      <c r="AS33" s="124">
        <f>SUM(AS5:AS32)</f>
        <v>88343.27205</v>
      </c>
      <c r="AT33" s="124">
        <f>SUM(AT5:AT32)</f>
        <v>176489.09245</v>
      </c>
      <c r="AU33" s="127"/>
    </row>
    <row r="34" spans="1:47" s="128" customFormat="1" ht="21" customHeight="1" x14ac:dyDescent="0.2">
      <c r="A34" s="129"/>
      <c r="B34" s="129"/>
      <c r="C34" s="130"/>
      <c r="D34" s="130"/>
      <c r="E34" s="130"/>
      <c r="F34" s="129"/>
      <c r="G34" s="129"/>
      <c r="H34" s="129"/>
      <c r="I34" s="129"/>
      <c r="J34" s="141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1"/>
      <c r="Y34" s="129"/>
      <c r="Z34" s="129"/>
      <c r="AA34" s="129"/>
      <c r="AB34" s="131"/>
      <c r="AC34" s="129"/>
      <c r="AD34" s="129"/>
      <c r="AE34" s="131"/>
      <c r="AF34" s="132"/>
      <c r="AG34" s="129"/>
      <c r="AH34" s="131"/>
      <c r="AI34" s="129"/>
      <c r="AJ34" s="129"/>
      <c r="AK34" s="131"/>
      <c r="AL34" s="132"/>
      <c r="AM34" s="129"/>
      <c r="AN34" s="131"/>
      <c r="AO34" s="129"/>
      <c r="AP34" s="129"/>
      <c r="AQ34" s="131"/>
      <c r="AR34" s="129"/>
      <c r="AS34" s="129"/>
      <c r="AT34" s="129"/>
      <c r="AU34" s="129"/>
    </row>
    <row r="35" spans="1:47" ht="15.75" x14ac:dyDescent="0.2">
      <c r="A35" s="133"/>
      <c r="B35" s="133"/>
      <c r="C35" s="134"/>
      <c r="D35" s="135" t="s">
        <v>111</v>
      </c>
      <c r="E35" s="135"/>
      <c r="F35" s="135"/>
      <c r="G35" s="135"/>
      <c r="H35" s="135"/>
      <c r="I35" s="135"/>
      <c r="J35" s="135"/>
      <c r="K35" s="135"/>
      <c r="L35" s="135"/>
      <c r="M35" s="135"/>
      <c r="O35" s="135"/>
      <c r="P35" s="136"/>
      <c r="Q35" s="137"/>
      <c r="R35" s="138"/>
      <c r="S35" s="173" t="s">
        <v>112</v>
      </c>
      <c r="T35" s="173"/>
      <c r="U35" s="173"/>
      <c r="V35" s="173"/>
      <c r="W35" s="173"/>
      <c r="X35" s="173"/>
      <c r="Y35" s="173"/>
      <c r="Z35" s="173"/>
      <c r="AA35" s="133"/>
      <c r="AB35" s="133"/>
      <c r="AC35" s="133"/>
      <c r="AD35" s="133"/>
      <c r="AE35" s="133"/>
      <c r="AG35" s="133"/>
      <c r="AH35" s="133"/>
      <c r="AI35" s="133"/>
      <c r="AJ35" s="133"/>
      <c r="AK35" s="133"/>
      <c r="AL35" s="173" t="s">
        <v>113</v>
      </c>
      <c r="AM35" s="173"/>
      <c r="AN35" s="173"/>
      <c r="AO35" s="173"/>
      <c r="AP35" s="173"/>
      <c r="AQ35" s="173"/>
      <c r="AR35" s="173"/>
      <c r="AS35" s="173"/>
      <c r="AT35" s="173"/>
    </row>
    <row r="36" spans="1:47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35"/>
      <c r="K36" s="141"/>
      <c r="L36" s="141"/>
      <c r="M36" s="141"/>
      <c r="O36" s="141"/>
      <c r="P36" s="142"/>
      <c r="Q36" s="141"/>
      <c r="R36" s="138"/>
      <c r="S36" s="138"/>
      <c r="T36" s="141"/>
      <c r="U36" s="142"/>
      <c r="W36" s="141"/>
      <c r="X36" s="142"/>
      <c r="Z36" s="138"/>
      <c r="AA36" s="141"/>
      <c r="AB36" s="142"/>
      <c r="AC36" s="143"/>
      <c r="AD36" s="141"/>
      <c r="AE36" s="142"/>
      <c r="AF36" s="144"/>
      <c r="AG36" s="141"/>
      <c r="AH36" s="142"/>
      <c r="AI36" s="133"/>
      <c r="AJ36" s="141"/>
      <c r="AK36" s="142"/>
      <c r="AL36" s="145"/>
      <c r="AM36" s="141"/>
      <c r="AN36" s="142"/>
      <c r="AO36" s="133"/>
      <c r="AP36" s="141"/>
      <c r="AQ36" s="142"/>
      <c r="AR36" s="133"/>
      <c r="AT36" s="133"/>
    </row>
    <row r="37" spans="1:47" ht="15.75" x14ac:dyDescent="0.2">
      <c r="A37" s="133"/>
      <c r="B37" s="133"/>
      <c r="C37" s="146"/>
      <c r="D37" s="135" t="s">
        <v>114</v>
      </c>
      <c r="E37" s="135"/>
      <c r="F37" s="135"/>
      <c r="G37" s="135"/>
      <c r="H37" s="135"/>
      <c r="I37" s="135"/>
      <c r="J37" s="133"/>
      <c r="K37" s="135"/>
      <c r="L37" s="135"/>
      <c r="M37" s="135"/>
      <c r="O37" s="135"/>
      <c r="P37" s="136"/>
      <c r="Q37" s="138"/>
      <c r="R37" s="138"/>
      <c r="S37" s="173" t="s">
        <v>115</v>
      </c>
      <c r="T37" s="173"/>
      <c r="U37" s="173"/>
      <c r="V37" s="173"/>
      <c r="W37" s="173"/>
      <c r="X37" s="173"/>
      <c r="Y37" s="173"/>
      <c r="Z37" s="173"/>
      <c r="AA37" s="133"/>
      <c r="AB37" s="133"/>
      <c r="AC37" s="133"/>
      <c r="AD37" s="133"/>
      <c r="AE37" s="133"/>
      <c r="AG37" s="133"/>
      <c r="AH37" s="133"/>
      <c r="AJ37" s="133"/>
      <c r="AK37" s="133"/>
      <c r="AL37" s="173" t="s">
        <v>116</v>
      </c>
      <c r="AM37" s="173"/>
      <c r="AN37" s="173"/>
      <c r="AO37" s="173"/>
      <c r="AP37" s="173"/>
      <c r="AQ37" s="173"/>
      <c r="AR37" s="173"/>
      <c r="AS37" s="173"/>
      <c r="AT37" s="173"/>
      <c r="AU37" s="133"/>
    </row>
    <row r="38" spans="1:47" ht="15.75" x14ac:dyDescent="0.2">
      <c r="A38" s="133"/>
      <c r="B38" s="133"/>
      <c r="C38" s="146"/>
      <c r="D38" s="135" t="s">
        <v>117</v>
      </c>
      <c r="E38" s="135"/>
      <c r="F38" s="135"/>
      <c r="G38" s="135"/>
      <c r="H38" s="135"/>
      <c r="I38" s="135"/>
      <c r="J38" s="133"/>
      <c r="K38" s="135"/>
      <c r="L38" s="135"/>
      <c r="M38" s="135"/>
      <c r="O38" s="135"/>
      <c r="P38" s="136"/>
      <c r="Q38" s="138"/>
      <c r="R38" s="138"/>
      <c r="S38" s="173" t="s">
        <v>118</v>
      </c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119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47" x14ac:dyDescent="0.2">
      <c r="A39" s="133"/>
      <c r="B39" s="133"/>
      <c r="C39" s="146"/>
      <c r="D39" s="146"/>
      <c r="E39" s="146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47"/>
      <c r="Q39" s="133"/>
      <c r="T39" s="133"/>
      <c r="U39" s="147"/>
      <c r="W39" s="133"/>
      <c r="X39" s="147"/>
      <c r="Z39" s="133"/>
      <c r="AA39" s="133"/>
      <c r="AB39" s="147"/>
      <c r="AC39" s="133"/>
      <c r="AD39" s="133"/>
      <c r="AE39" s="147"/>
      <c r="AF39" s="148"/>
      <c r="AG39" s="133"/>
      <c r="AH39" s="147"/>
      <c r="AJ39" s="133"/>
      <c r="AK39" s="147"/>
      <c r="AM39" s="133"/>
      <c r="AN39" s="147"/>
      <c r="AP39" s="133"/>
      <c r="AQ39" s="147"/>
      <c r="AS39" s="133"/>
      <c r="AT39" s="133"/>
      <c r="AU39" s="133"/>
    </row>
    <row r="40" spans="1:47" x14ac:dyDescent="0.2"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R40" s="133"/>
      <c r="S40" s="133"/>
      <c r="T40" s="133"/>
      <c r="U40" s="147"/>
      <c r="V40" s="149"/>
      <c r="W40" s="133"/>
      <c r="X40" s="147"/>
      <c r="Y40" s="149"/>
      <c r="Z40" s="133"/>
      <c r="AA40" s="133"/>
      <c r="AB40" s="147"/>
      <c r="AC40" s="133"/>
      <c r="AD40" s="133"/>
      <c r="AE40" s="147"/>
      <c r="AF40" s="150"/>
      <c r="AG40" s="133"/>
      <c r="AH40" s="147"/>
      <c r="AI40" s="133"/>
      <c r="AJ40" s="133"/>
      <c r="AK40" s="147"/>
      <c r="AL40" s="150"/>
      <c r="AM40" s="133"/>
      <c r="AN40" s="147"/>
      <c r="AO40" s="133"/>
      <c r="AP40" s="133"/>
      <c r="AQ40" s="147"/>
      <c r="AR40" s="133"/>
      <c r="AS40" s="133"/>
    </row>
    <row r="41" spans="1:47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47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  <c r="AT42" s="133"/>
    </row>
    <row r="43" spans="1:47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47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47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47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</row>
    <row r="47" spans="1:47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47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34"/>
      <c r="D55" s="151"/>
      <c r="E55" s="151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46"/>
      <c r="D59" s="146"/>
      <c r="E59" s="146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D59" s="133"/>
      <c r="AE59" s="147"/>
      <c r="AG59" s="133"/>
      <c r="AH59" s="147"/>
      <c r="AJ59" s="133"/>
      <c r="AK59" s="147"/>
      <c r="AM59" s="133"/>
      <c r="AN59" s="147"/>
      <c r="AP59" s="133"/>
      <c r="AQ59" s="147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0"/>
      <c r="D65" s="140"/>
      <c r="E65" s="140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49"/>
      <c r="R65" s="133"/>
      <c r="S65" s="149"/>
      <c r="T65" s="133"/>
      <c r="U65" s="147"/>
      <c r="V65" s="149"/>
      <c r="W65" s="133"/>
      <c r="X65" s="147"/>
      <c r="Y65" s="149"/>
      <c r="Z65" s="133"/>
      <c r="AA65" s="133"/>
      <c r="AB65" s="147"/>
      <c r="AC65" s="133"/>
      <c r="AD65" s="133"/>
      <c r="AE65" s="147"/>
      <c r="AF65" s="150"/>
      <c r="AG65" s="133"/>
      <c r="AH65" s="147"/>
      <c r="AI65" s="133"/>
      <c r="AJ65" s="133"/>
      <c r="AK65" s="147"/>
      <c r="AL65" s="150"/>
      <c r="AM65" s="133"/>
      <c r="AN65" s="147"/>
      <c r="AO65" s="133"/>
      <c r="AP65" s="133"/>
      <c r="AQ65" s="147"/>
      <c r="AR65" s="133"/>
      <c r="AS65" s="133"/>
    </row>
    <row r="66" spans="3:46" x14ac:dyDescent="0.2">
      <c r="C66" s="146"/>
      <c r="D66" s="146"/>
      <c r="E66" s="146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33"/>
      <c r="R66" s="133"/>
      <c r="S66" s="133"/>
      <c r="T66" s="133"/>
      <c r="U66" s="147"/>
      <c r="V66" s="133"/>
      <c r="W66" s="133"/>
      <c r="X66" s="147"/>
      <c r="Y66" s="133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34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46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52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  <c r="AT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D76" s="133"/>
      <c r="AE76" s="147"/>
      <c r="AG76" s="133"/>
      <c r="AH76" s="147"/>
      <c r="AJ76" s="133"/>
      <c r="AK76" s="147"/>
      <c r="AM76" s="133"/>
      <c r="AN76" s="147"/>
      <c r="AP76" s="133"/>
      <c r="AQ76" s="147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53"/>
      <c r="AA79" s="133"/>
      <c r="AB79" s="147"/>
      <c r="AC79" s="153"/>
      <c r="AD79" s="133"/>
      <c r="AE79" s="147"/>
      <c r="AF79" s="154"/>
      <c r="AG79" s="133"/>
      <c r="AH79" s="147"/>
      <c r="AI79" s="153"/>
      <c r="AJ79" s="133"/>
      <c r="AK79" s="147"/>
      <c r="AL79" s="154"/>
      <c r="AM79" s="133"/>
      <c r="AN79" s="147"/>
      <c r="AO79" s="153"/>
      <c r="AP79" s="133"/>
      <c r="AQ79" s="147"/>
      <c r="AR79" s="153"/>
      <c r="AS79" s="153"/>
      <c r="AT79" s="153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33"/>
      <c r="AA80" s="133"/>
      <c r="AB80" s="147"/>
      <c r="AC80" s="133"/>
      <c r="AD80" s="133"/>
      <c r="AE80" s="147"/>
      <c r="AF80" s="150"/>
      <c r="AG80" s="133"/>
      <c r="AH80" s="147"/>
      <c r="AI80" s="133"/>
      <c r="AJ80" s="133"/>
      <c r="AK80" s="147"/>
      <c r="AL80" s="150"/>
      <c r="AM80" s="133"/>
      <c r="AN80" s="147"/>
      <c r="AO80" s="133"/>
      <c r="AP80" s="133"/>
      <c r="AQ80" s="147"/>
      <c r="AR80" s="133"/>
      <c r="AS80" s="133"/>
      <c r="AT80" s="133"/>
    </row>
    <row r="81" spans="3:47" x14ac:dyDescent="0.2">
      <c r="C81" s="140"/>
      <c r="D81" s="140"/>
      <c r="E81" s="140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7" x14ac:dyDescent="0.2">
      <c r="C82" s="146"/>
      <c r="D82" s="146"/>
      <c r="E82" s="146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7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7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7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7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7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7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7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7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7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7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7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33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7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7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7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  <c r="AU96" s="155"/>
    </row>
    <row r="97" spans="1:48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</row>
    <row r="98" spans="1:48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8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8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8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D101" s="133"/>
      <c r="AE101" s="147"/>
      <c r="AG101" s="133"/>
      <c r="AH101" s="147"/>
      <c r="AJ101" s="133"/>
      <c r="AK101" s="147"/>
      <c r="AM101" s="133"/>
      <c r="AN101" s="147"/>
      <c r="AP101" s="133"/>
      <c r="AQ101" s="147"/>
      <c r="AT101" s="133"/>
    </row>
    <row r="102" spans="1:48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8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8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</row>
    <row r="105" spans="1:48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8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8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8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8" x14ac:dyDescent="0.2">
      <c r="A109" s="155"/>
      <c r="B109" s="155"/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8" x14ac:dyDescent="0.2"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8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8" s="155" customFormat="1" x14ac:dyDescent="0.2">
      <c r="A112" s="81"/>
      <c r="B112" s="81"/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C112" s="81"/>
      <c r="AD112" s="133"/>
      <c r="AE112" s="147"/>
      <c r="AF112" s="139"/>
      <c r="AG112" s="133"/>
      <c r="AH112" s="147"/>
      <c r="AI112" s="81"/>
      <c r="AJ112" s="133"/>
      <c r="AK112" s="147"/>
      <c r="AL112" s="139"/>
      <c r="AM112" s="133"/>
      <c r="AN112" s="147"/>
      <c r="AO112" s="81"/>
      <c r="AP112" s="133"/>
      <c r="AQ112" s="147"/>
      <c r="AR112" s="81"/>
      <c r="AS112" s="81"/>
      <c r="AT112" s="81"/>
      <c r="AU112" s="81"/>
      <c r="AV112" s="81"/>
    </row>
    <row r="113" spans="3:43" x14ac:dyDescent="0.2"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D113" s="133"/>
      <c r="AE113" s="147"/>
      <c r="AG113" s="133"/>
      <c r="AH113" s="147"/>
      <c r="AJ113" s="133"/>
      <c r="AK113" s="147"/>
      <c r="AM113" s="133"/>
      <c r="AN113" s="147"/>
      <c r="AP113" s="133"/>
      <c r="AQ113" s="147"/>
    </row>
    <row r="114" spans="3:43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3:43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3:43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3:43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3:43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3:43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3:43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3:43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3:43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3:43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3:43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3:43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3:43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3:43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3:43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</sheetData>
  <mergeCells count="8">
    <mergeCell ref="S38:Z38"/>
    <mergeCell ref="AL38:AT38"/>
    <mergeCell ref="C2:AU2"/>
    <mergeCell ref="B4:C4"/>
    <mergeCell ref="S35:Z35"/>
    <mergeCell ref="AL35:AT35"/>
    <mergeCell ref="S37:Z37"/>
    <mergeCell ref="AL37:AT37"/>
  </mergeCells>
  <printOptions horizontalCentered="1" verticalCentered="1"/>
  <pageMargins left="0" right="7.874015748031496E-2" top="0.78740157480314965" bottom="0.19685039370078741" header="0.39370078740157483" footer="0"/>
  <pageSetup paperSize="256" scale="41" orientation="landscape" r:id="rId1"/>
  <headerFooter differentOddEven="1"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1" sqref="E1:H1048576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6" width="5.7109375" style="81" hidden="1" customWidth="1"/>
    <col min="7" max="8" width="14.28515625" style="81" hidden="1" customWidth="1"/>
    <col min="9" max="9" width="36" style="81" customWidth="1"/>
    <col min="10" max="10" width="14.140625" style="81" customWidth="1"/>
    <col min="11" max="11" width="5.7109375" style="81" hidden="1" customWidth="1"/>
    <col min="12" max="12" width="7" style="81" hidden="1" customWidth="1"/>
    <col min="13" max="13" width="16" style="81" bestFit="1" customWidth="1"/>
    <col min="14" max="14" width="5.85546875" style="81" hidden="1" customWidth="1"/>
    <col min="15" max="15" width="11.28515625" style="157" hidden="1" customWidth="1"/>
    <col min="16" max="16" width="17.42578125" style="81" customWidth="1"/>
    <col min="17" max="17" width="14" style="81" bestFit="1" customWidth="1"/>
    <col min="18" max="18" width="14.140625" style="81" customWidth="1"/>
    <col min="19" max="19" width="5.7109375" style="81" hidden="1" customWidth="1"/>
    <col min="20" max="20" width="11.28515625" style="157" hidden="1" customWidth="1"/>
    <col min="21" max="21" width="13.85546875" style="81" customWidth="1"/>
    <col min="22" max="22" width="5.7109375" style="81" hidden="1" customWidth="1"/>
    <col min="23" max="23" width="11.28515625" style="157" hidden="1" customWidth="1"/>
    <col min="24" max="24" width="20.5703125" style="81" bestFit="1" customWidth="1"/>
    <col min="25" max="25" width="19.140625" style="81" customWidth="1"/>
    <col min="26" max="26" width="5.7109375" style="81" hidden="1" customWidth="1"/>
    <col min="27" max="27" width="11.28515625" style="157" hidden="1" customWidth="1"/>
    <col min="28" max="28" width="14.28515625" style="81" customWidth="1"/>
    <col min="29" max="29" width="5.7109375" style="81" hidden="1" customWidth="1"/>
    <col min="30" max="30" width="11.28515625" style="157" hidden="1" customWidth="1"/>
    <col min="31" max="31" width="18" style="139" customWidth="1"/>
    <col min="32" max="32" width="7.7109375" style="81" hidden="1" customWidth="1"/>
    <col min="33" max="33" width="11.28515625" style="157" hidden="1" customWidth="1"/>
    <col min="34" max="34" width="13.85546875" style="81" customWidth="1"/>
    <col min="35" max="35" width="5.85546875" style="81" hidden="1" customWidth="1"/>
    <col min="36" max="36" width="5.85546875" style="157" hidden="1" customWidth="1"/>
    <col min="37" max="37" width="13" style="139" customWidth="1"/>
    <col min="38" max="38" width="5.7109375" style="81" hidden="1" customWidth="1"/>
    <col min="39" max="39" width="11.28515625" style="157" hidden="1" customWidth="1"/>
    <col min="40" max="40" width="14.85546875" style="81" hidden="1" customWidth="1"/>
    <col min="41" max="41" width="5.7109375" style="81" hidden="1" customWidth="1"/>
    <col min="42" max="42" width="11.28515625" style="157" hidden="1" customWidth="1"/>
    <col min="43" max="43" width="15.5703125" style="81" hidden="1" customWidth="1"/>
    <col min="44" max="44" width="18.5703125" style="81" customWidth="1"/>
    <col min="45" max="45" width="23.42578125" style="81" customWidth="1"/>
    <col min="46" max="46" width="46.28515625" style="81" customWidth="1"/>
    <col min="47" max="47" width="14" style="81" hidden="1" customWidth="1"/>
    <col min="48" max="48" width="11.42578125" style="81" hidden="1" customWidth="1"/>
    <col min="49" max="49" width="15.28515625" style="81" hidden="1" customWidth="1"/>
    <col min="50" max="59" width="11.42578125" style="81" hidden="1" customWidth="1"/>
    <col min="60" max="60" width="10" style="81" hidden="1" customWidth="1"/>
    <col min="61" max="61" width="45.85546875" style="81" customWidth="1"/>
    <col min="62" max="64" width="11.42578125" style="81" customWidth="1"/>
    <col min="65" max="16384" width="11.42578125" style="81"/>
  </cols>
  <sheetData>
    <row r="1" spans="1:61" ht="15.75" x14ac:dyDescent="0.2">
      <c r="M1" s="138"/>
      <c r="N1" s="138"/>
      <c r="O1" s="158"/>
      <c r="P1" s="138"/>
      <c r="Q1" s="138"/>
    </row>
    <row r="2" spans="1:61" ht="35.25" customHeight="1" x14ac:dyDescent="0.2">
      <c r="C2" s="174" t="s">
        <v>132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61" s="82" customFormat="1" ht="9" thickBot="1" x14ac:dyDescent="0.25">
      <c r="A3" s="82">
        <v>1</v>
      </c>
      <c r="B3" s="82">
        <f>+A3+1</f>
        <v>2</v>
      </c>
      <c r="C3" s="82">
        <f t="shared" ref="C3:AS3" si="0">+B3+1</f>
        <v>3</v>
      </c>
      <c r="D3" s="82">
        <f t="shared" si="0"/>
        <v>4</v>
      </c>
      <c r="E3" s="82" t="e">
        <f>+#REF!+1</f>
        <v>#REF!</v>
      </c>
      <c r="F3" s="82" t="e">
        <f t="shared" si="0"/>
        <v>#REF!</v>
      </c>
      <c r="G3" s="82" t="e">
        <f t="shared" si="0"/>
        <v>#REF!</v>
      </c>
      <c r="H3" s="82" t="e">
        <f t="shared" si="0"/>
        <v>#REF!</v>
      </c>
      <c r="J3" s="82" t="e">
        <f>+H3+1</f>
        <v>#REF!</v>
      </c>
      <c r="K3" s="82" t="e">
        <f t="shared" si="0"/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3" t="e">
        <f t="shared" si="0"/>
        <v>#REF!</v>
      </c>
      <c r="AF3" s="82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3" t="e">
        <f t="shared" si="0"/>
        <v>#REF!</v>
      </c>
      <c r="AL3" s="82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</row>
    <row r="4" spans="1:61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7" t="s">
        <v>5</v>
      </c>
      <c r="F4" s="87" t="s">
        <v>6</v>
      </c>
      <c r="G4" s="87" t="s">
        <v>7</v>
      </c>
      <c r="H4" s="87" t="s">
        <v>8</v>
      </c>
      <c r="I4" s="7" t="s">
        <v>145</v>
      </c>
      <c r="J4" s="87" t="s">
        <v>9</v>
      </c>
      <c r="K4" s="87" t="s">
        <v>5</v>
      </c>
      <c r="L4" s="87" t="s">
        <v>6</v>
      </c>
      <c r="M4" s="88" t="s">
        <v>10</v>
      </c>
      <c r="N4" s="88" t="s">
        <v>5</v>
      </c>
      <c r="O4" s="89" t="s">
        <v>6</v>
      </c>
      <c r="P4" s="88" t="s">
        <v>11</v>
      </c>
      <c r="Q4" s="88" t="s">
        <v>12</v>
      </c>
      <c r="R4" s="88" t="s">
        <v>13</v>
      </c>
      <c r="S4" s="87" t="s">
        <v>5</v>
      </c>
      <c r="T4" s="90" t="s">
        <v>6</v>
      </c>
      <c r="U4" s="87" t="s">
        <v>14</v>
      </c>
      <c r="V4" s="91" t="s">
        <v>5</v>
      </c>
      <c r="W4" s="92" t="s">
        <v>6</v>
      </c>
      <c r="X4" s="88" t="s">
        <v>15</v>
      </c>
      <c r="Y4" s="7" t="s">
        <v>152</v>
      </c>
      <c r="Z4" s="87" t="s">
        <v>5</v>
      </c>
      <c r="AA4" s="90" t="s">
        <v>6</v>
      </c>
      <c r="AB4" s="87" t="s">
        <v>16</v>
      </c>
      <c r="AC4" s="87" t="s">
        <v>5</v>
      </c>
      <c r="AD4" s="90" t="s">
        <v>6</v>
      </c>
      <c r="AE4" s="88" t="s">
        <v>21</v>
      </c>
      <c r="AF4" s="87" t="s">
        <v>5</v>
      </c>
      <c r="AG4" s="90" t="s">
        <v>6</v>
      </c>
      <c r="AH4" s="87" t="s">
        <v>18</v>
      </c>
      <c r="AI4" s="87" t="s">
        <v>5</v>
      </c>
      <c r="AJ4" s="90" t="s">
        <v>6</v>
      </c>
      <c r="AK4" s="88" t="s">
        <v>19</v>
      </c>
      <c r="AL4" s="87" t="s">
        <v>5</v>
      </c>
      <c r="AM4" s="90" t="s">
        <v>6</v>
      </c>
      <c r="AN4" s="87" t="s">
        <v>20</v>
      </c>
      <c r="AO4" s="91" t="s">
        <v>5</v>
      </c>
      <c r="AP4" s="92" t="s">
        <v>6</v>
      </c>
      <c r="AQ4" s="88" t="s">
        <v>21</v>
      </c>
      <c r="AR4" s="7" t="s">
        <v>153</v>
      </c>
      <c r="AS4" s="7" t="s">
        <v>154</v>
      </c>
      <c r="AT4" s="93" t="s">
        <v>22</v>
      </c>
      <c r="AV4" s="94"/>
      <c r="AW4" s="94" t="s">
        <v>23</v>
      </c>
      <c r="AX4" s="95" t="s">
        <v>24</v>
      </c>
      <c r="AY4" s="95" t="s">
        <v>25</v>
      </c>
      <c r="AZ4" s="95" t="s">
        <v>26</v>
      </c>
      <c r="BA4" s="95" t="s">
        <v>27</v>
      </c>
      <c r="BB4" s="95" t="s">
        <v>28</v>
      </c>
      <c r="BC4" s="95" t="s">
        <v>29</v>
      </c>
      <c r="BD4" s="95" t="s">
        <v>30</v>
      </c>
      <c r="BE4" s="96"/>
      <c r="BF4" s="96"/>
      <c r="BG4" s="96"/>
      <c r="BH4" s="94"/>
      <c r="BI4" s="93" t="s">
        <v>31</v>
      </c>
    </row>
    <row r="5" spans="1:61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1" t="s">
        <v>37</v>
      </c>
      <c r="F5" s="101" t="s">
        <v>38</v>
      </c>
      <c r="G5" s="101">
        <v>15</v>
      </c>
      <c r="H5" s="101">
        <v>421.49</v>
      </c>
      <c r="I5" s="160" t="s">
        <v>146</v>
      </c>
      <c r="J5" s="101">
        <v>6322.35</v>
      </c>
      <c r="K5" s="101" t="s">
        <v>37</v>
      </c>
      <c r="L5" s="102">
        <v>1311</v>
      </c>
      <c r="M5" s="103">
        <f>134.58+33.65</f>
        <v>168.23000000000002</v>
      </c>
      <c r="N5" s="101" t="s">
        <v>37</v>
      </c>
      <c r="O5" s="102">
        <v>1713</v>
      </c>
      <c r="P5" s="101">
        <v>351.5</v>
      </c>
      <c r="Q5" s="103">
        <v>406.32</v>
      </c>
      <c r="R5" s="103">
        <f t="shared" ref="R5:R32" si="2">(J5*3%)</f>
        <v>189.6705</v>
      </c>
      <c r="S5" s="101" t="s">
        <v>37</v>
      </c>
      <c r="T5" s="102">
        <v>1712</v>
      </c>
      <c r="U5" s="104">
        <f t="shared" ref="U5:U32" si="3">(Q5+R5)</f>
        <v>595.9905</v>
      </c>
      <c r="V5" s="101" t="s">
        <v>37</v>
      </c>
      <c r="W5" s="102">
        <v>1345</v>
      </c>
      <c r="X5" s="104">
        <v>11303.45</v>
      </c>
      <c r="Y5" s="104">
        <f t="shared" ref="Y5:Y32" si="4">J5+M5+P5+U5+X5</f>
        <v>18741.520499999999</v>
      </c>
      <c r="Z5" s="101" t="s">
        <v>39</v>
      </c>
      <c r="AA5" s="102">
        <v>1431</v>
      </c>
      <c r="AB5" s="104">
        <f t="shared" ref="AB5:AB32" si="5">(J5*9.5%)</f>
        <v>600.6232500000001</v>
      </c>
      <c r="AC5" s="101" t="s">
        <v>39</v>
      </c>
      <c r="AD5" s="105" t="s">
        <v>40</v>
      </c>
      <c r="AE5" s="103">
        <v>306</v>
      </c>
      <c r="AF5" s="101" t="s">
        <v>39</v>
      </c>
      <c r="AG5" s="105" t="s">
        <v>41</v>
      </c>
      <c r="AH5" s="103">
        <f t="shared" ref="AH5:AH32" si="6">+BD5</f>
        <v>3807.14</v>
      </c>
      <c r="AI5" s="101" t="s">
        <v>39</v>
      </c>
      <c r="AJ5" s="105" t="s">
        <v>42</v>
      </c>
      <c r="AK5" s="103">
        <f>(J5*0%)</f>
        <v>0</v>
      </c>
      <c r="AL5" s="101" t="s">
        <v>39</v>
      </c>
      <c r="AM5" s="105" t="s">
        <v>43</v>
      </c>
      <c r="AN5" s="103">
        <v>0</v>
      </c>
      <c r="AO5" s="101" t="s">
        <v>39</v>
      </c>
      <c r="AP5" s="105">
        <v>1431</v>
      </c>
      <c r="AQ5" s="103">
        <v>0</v>
      </c>
      <c r="AR5" s="104">
        <f t="shared" ref="AR5:AR32" si="7">(AB5+AE5+AH5+AK5+AN5+AQ5)</f>
        <v>4713.76325</v>
      </c>
      <c r="AS5" s="106">
        <f t="shared" ref="AS5:AS32" si="8">(Y5-AR5)</f>
        <v>14027.757249999999</v>
      </c>
      <c r="AT5" s="107"/>
      <c r="AU5" s="108"/>
      <c r="AV5" s="109">
        <f>+G5</f>
        <v>15</v>
      </c>
      <c r="AW5" s="109">
        <f>+J5+R5+M5+P5+Q5+X5</f>
        <v>18741.520499999999</v>
      </c>
      <c r="AX5" s="110">
        <f>IFERROR(+AW5/AV5,0)*AV5</f>
        <v>18741.520499999999</v>
      </c>
      <c r="AY5" s="110">
        <f>IFERROR(+LOOKUP(AX5,[6]TARIFAS!$A$4:$B$14,[6]TARIFAS!$A$4:$A$14),0)</f>
        <v>16153.06</v>
      </c>
      <c r="AZ5" s="110">
        <f>+AX5-AY5</f>
        <v>2588.4604999999992</v>
      </c>
      <c r="BA5" s="110">
        <f>IFERROR(+LOOKUP(AX5,[6]TARIFAS!$A$4:$B$14,[6]TARIFAS!$D$4:$D$14),0)</f>
        <v>30</v>
      </c>
      <c r="BB5" s="110">
        <f>(+AZ5*BA5)/100</f>
        <v>776.53814999999975</v>
      </c>
      <c r="BC5" s="110">
        <f>IFERROR(+LOOKUP(AX5,[6]TARIFAS!$A$4:$B$14,[6]TARIFAS!$C$4:$C$14),0)</f>
        <v>3030.6</v>
      </c>
      <c r="BD5" s="110">
        <f>ROUND(+BB5+BC5,2)</f>
        <v>3807.14</v>
      </c>
      <c r="BE5" s="110"/>
      <c r="BF5" s="110"/>
      <c r="BG5" s="110"/>
      <c r="BH5" s="109"/>
    </row>
    <row r="6" spans="1:61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1" t="s">
        <v>37</v>
      </c>
      <c r="F6" s="101" t="s">
        <v>38</v>
      </c>
      <c r="G6" s="101">
        <v>15</v>
      </c>
      <c r="H6" s="101">
        <v>421.49</v>
      </c>
      <c r="I6" s="160" t="s">
        <v>147</v>
      </c>
      <c r="J6" s="101">
        <v>6322.35</v>
      </c>
      <c r="K6" s="101" t="s">
        <v>37</v>
      </c>
      <c r="L6" s="102">
        <v>1311</v>
      </c>
      <c r="M6" s="103">
        <v>168.22500000000002</v>
      </c>
      <c r="N6" s="101" t="s">
        <v>37</v>
      </c>
      <c r="O6" s="102">
        <v>1713</v>
      </c>
      <c r="P6" s="101">
        <v>351.5</v>
      </c>
      <c r="Q6" s="103">
        <v>406.32</v>
      </c>
      <c r="R6" s="103">
        <f t="shared" si="2"/>
        <v>189.6705</v>
      </c>
      <c r="S6" s="101" t="s">
        <v>37</v>
      </c>
      <c r="T6" s="102">
        <v>1712</v>
      </c>
      <c r="U6" s="104">
        <f t="shared" si="3"/>
        <v>595.9905</v>
      </c>
      <c r="V6" s="101"/>
      <c r="W6" s="102"/>
      <c r="X6" s="104"/>
      <c r="Y6" s="104">
        <f t="shared" si="4"/>
        <v>7438.0655000000006</v>
      </c>
      <c r="Z6" s="101" t="s">
        <v>39</v>
      </c>
      <c r="AA6" s="102">
        <v>1431</v>
      </c>
      <c r="AB6" s="104">
        <f t="shared" si="5"/>
        <v>600.6232500000001</v>
      </c>
      <c r="AC6" s="101" t="s">
        <v>39</v>
      </c>
      <c r="AD6" s="105" t="s">
        <v>40</v>
      </c>
      <c r="AE6" s="103">
        <v>2529</v>
      </c>
      <c r="AF6" s="101" t="s">
        <v>39</v>
      </c>
      <c r="AG6" s="105" t="s">
        <v>41</v>
      </c>
      <c r="AH6" s="103">
        <f t="shared" si="6"/>
        <v>1041.58</v>
      </c>
      <c r="AI6" s="101" t="s">
        <v>39</v>
      </c>
      <c r="AJ6" s="105" t="s">
        <v>42</v>
      </c>
      <c r="AK6" s="103">
        <f>(J6*1%)</f>
        <v>63.223500000000008</v>
      </c>
      <c r="AL6" s="101" t="s">
        <v>39</v>
      </c>
      <c r="AM6" s="105" t="s">
        <v>43</v>
      </c>
      <c r="AN6" s="103">
        <v>0</v>
      </c>
      <c r="AO6" s="101" t="s">
        <v>39</v>
      </c>
      <c r="AP6" s="105">
        <v>1431</v>
      </c>
      <c r="AQ6" s="103">
        <v>0</v>
      </c>
      <c r="AR6" s="104">
        <f t="shared" si="7"/>
        <v>4234.4267500000005</v>
      </c>
      <c r="AS6" s="106">
        <f t="shared" si="8"/>
        <v>3203.6387500000001</v>
      </c>
      <c r="AT6" s="113"/>
      <c r="AU6" s="108"/>
      <c r="AV6" s="109">
        <f t="shared" ref="AV6:AV32" si="9">+G6</f>
        <v>15</v>
      </c>
      <c r="AW6" s="109">
        <f t="shared" ref="AW6:AW32" si="10">+J6+R6+M6+P6+Q6+X6</f>
        <v>7438.0655000000006</v>
      </c>
      <c r="AX6" s="110">
        <f t="shared" ref="AX6:AX32" si="11">IFERROR(+AW6/AV6,0)*AV6</f>
        <v>7438.0655000000006</v>
      </c>
      <c r="AY6" s="110">
        <f>IFERROR(+LOOKUP(AX6,[6]TARIFAS!$A$4:$B$14,[6]TARIFAS!$A$4:$A$14),0)</f>
        <v>5081.41</v>
      </c>
      <c r="AZ6" s="110">
        <f t="shared" ref="AZ6:AZ32" si="12">+AX6-AY6</f>
        <v>2356.6555000000008</v>
      </c>
      <c r="BA6" s="110">
        <f>IFERROR(+LOOKUP(AX6,[6]TARIFAS!$A$4:$B$14,[6]TARIFAS!$D$4:$D$14),0)</f>
        <v>21.36</v>
      </c>
      <c r="BB6" s="110">
        <f t="shared" ref="BB6:BB32" si="13">(+AZ6*BA6)/100</f>
        <v>503.38161480000019</v>
      </c>
      <c r="BC6" s="110">
        <f>IFERROR(+LOOKUP(AX6,[6]TARIFAS!$A$4:$B$14,[6]TARIFAS!$C$4:$C$14),0)</f>
        <v>538.20000000000005</v>
      </c>
      <c r="BD6" s="110">
        <f t="shared" ref="BD6:BD32" si="14">ROUND(+BB6+BC6,2)</f>
        <v>1041.58</v>
      </c>
      <c r="BE6" s="110"/>
      <c r="BF6" s="110"/>
      <c r="BG6" s="110"/>
      <c r="BH6" s="109"/>
    </row>
    <row r="7" spans="1:61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1" t="s">
        <v>37</v>
      </c>
      <c r="F7" s="101" t="s">
        <v>38</v>
      </c>
      <c r="G7" s="101">
        <v>15</v>
      </c>
      <c r="H7" s="101">
        <v>504.21533333333332</v>
      </c>
      <c r="I7" s="160" t="s">
        <v>147</v>
      </c>
      <c r="J7" s="101">
        <v>7563.23</v>
      </c>
      <c r="K7" s="101" t="s">
        <v>37</v>
      </c>
      <c r="L7" s="102">
        <v>1311</v>
      </c>
      <c r="M7" s="103">
        <v>168.22500000000002</v>
      </c>
      <c r="N7" s="101" t="s">
        <v>37</v>
      </c>
      <c r="O7" s="102">
        <v>1713</v>
      </c>
      <c r="P7" s="101">
        <v>282.08999999999997</v>
      </c>
      <c r="Q7" s="103">
        <v>418.44</v>
      </c>
      <c r="R7" s="103">
        <f t="shared" si="2"/>
        <v>226.89689999999999</v>
      </c>
      <c r="S7" s="101" t="s">
        <v>37</v>
      </c>
      <c r="T7" s="102">
        <v>1712</v>
      </c>
      <c r="U7" s="104">
        <f t="shared" si="3"/>
        <v>645.33690000000001</v>
      </c>
      <c r="V7" s="101"/>
      <c r="W7" s="102"/>
      <c r="X7" s="104"/>
      <c r="Y7" s="104">
        <f t="shared" si="4"/>
        <v>8658.8819000000003</v>
      </c>
      <c r="Z7" s="101" t="s">
        <v>39</v>
      </c>
      <c r="AA7" s="102">
        <v>1431</v>
      </c>
      <c r="AB7" s="104">
        <f t="shared" si="5"/>
        <v>718.50684999999999</v>
      </c>
      <c r="AC7" s="101" t="s">
        <v>39</v>
      </c>
      <c r="AD7" s="105" t="s">
        <v>40</v>
      </c>
      <c r="AE7" s="103">
        <v>1158.5</v>
      </c>
      <c r="AF7" s="101" t="s">
        <v>39</v>
      </c>
      <c r="AG7" s="105" t="s">
        <v>41</v>
      </c>
      <c r="AH7" s="103">
        <f t="shared" si="6"/>
        <v>1302.3499999999999</v>
      </c>
      <c r="AI7" s="101" t="s">
        <v>39</v>
      </c>
      <c r="AJ7" s="105" t="s">
        <v>42</v>
      </c>
      <c r="AK7" s="103">
        <f>(J7*1%)</f>
        <v>75.632300000000001</v>
      </c>
      <c r="AL7" s="101" t="s">
        <v>39</v>
      </c>
      <c r="AM7" s="105" t="s">
        <v>43</v>
      </c>
      <c r="AN7" s="103">
        <v>0</v>
      </c>
      <c r="AO7" s="101" t="s">
        <v>39</v>
      </c>
      <c r="AP7" s="105">
        <v>1431</v>
      </c>
      <c r="AQ7" s="103">
        <v>0</v>
      </c>
      <c r="AR7" s="104">
        <f t="shared" si="7"/>
        <v>3254.9891500000003</v>
      </c>
      <c r="AS7" s="106">
        <f t="shared" si="8"/>
        <v>5403.89275</v>
      </c>
      <c r="AT7" s="113"/>
      <c r="AU7" s="108"/>
      <c r="AV7" s="109">
        <f t="shared" si="9"/>
        <v>15</v>
      </c>
      <c r="AW7" s="109">
        <f t="shared" si="10"/>
        <v>8658.8819000000003</v>
      </c>
      <c r="AX7" s="110">
        <f t="shared" si="11"/>
        <v>8658.8819000000003</v>
      </c>
      <c r="AY7" s="110">
        <f>IFERROR(+LOOKUP(AX7,[6]TARIFAS!$A$4:$B$14,[6]TARIFAS!$A$4:$A$14),0)</f>
        <v>5081.41</v>
      </c>
      <c r="AZ7" s="110">
        <f t="shared" si="12"/>
        <v>3577.4719000000005</v>
      </c>
      <c r="BA7" s="110">
        <f>IFERROR(+LOOKUP(AX7,[6]TARIFAS!$A$4:$B$14,[6]TARIFAS!$D$4:$D$14),0)</f>
        <v>21.36</v>
      </c>
      <c r="BB7" s="110">
        <f t="shared" si="13"/>
        <v>764.14799784000002</v>
      </c>
      <c r="BC7" s="110">
        <f>IFERROR(+LOOKUP(AX7,[6]TARIFAS!$A$4:$B$14,[6]TARIFAS!$C$4:$C$14),0)</f>
        <v>538.20000000000005</v>
      </c>
      <c r="BD7" s="110">
        <f t="shared" si="14"/>
        <v>1302.3499999999999</v>
      </c>
      <c r="BE7" s="110"/>
      <c r="BF7" s="110"/>
      <c r="BG7" s="110"/>
      <c r="BH7" s="109"/>
    </row>
    <row r="8" spans="1:61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1" t="s">
        <v>37</v>
      </c>
      <c r="F8" s="101" t="s">
        <v>38</v>
      </c>
      <c r="G8" s="101">
        <v>15</v>
      </c>
      <c r="H8" s="101">
        <v>421.49</v>
      </c>
      <c r="I8" s="160" t="s">
        <v>148</v>
      </c>
      <c r="J8" s="101">
        <v>6322.35</v>
      </c>
      <c r="K8" s="101" t="s">
        <v>37</v>
      </c>
      <c r="L8" s="102">
        <v>1311</v>
      </c>
      <c r="M8" s="103">
        <v>201.87</v>
      </c>
      <c r="N8" s="101" t="s">
        <v>37</v>
      </c>
      <c r="O8" s="102">
        <v>1713</v>
      </c>
      <c r="P8" s="101">
        <v>351.5</v>
      </c>
      <c r="Q8" s="103">
        <v>406.32</v>
      </c>
      <c r="R8" s="103">
        <f t="shared" si="2"/>
        <v>189.6705</v>
      </c>
      <c r="S8" s="101" t="s">
        <v>37</v>
      </c>
      <c r="T8" s="102">
        <v>1712</v>
      </c>
      <c r="U8" s="104">
        <f t="shared" si="3"/>
        <v>595.9905</v>
      </c>
      <c r="V8" s="101"/>
      <c r="W8" s="102"/>
      <c r="X8" s="104"/>
      <c r="Y8" s="104">
        <f t="shared" si="4"/>
        <v>7471.7105000000001</v>
      </c>
      <c r="Z8" s="101" t="s">
        <v>39</v>
      </c>
      <c r="AA8" s="102">
        <v>1431</v>
      </c>
      <c r="AB8" s="104">
        <f t="shared" si="5"/>
        <v>600.6232500000001</v>
      </c>
      <c r="AC8" s="101" t="s">
        <v>39</v>
      </c>
      <c r="AD8" s="105" t="s">
        <v>40</v>
      </c>
      <c r="AE8" s="103">
        <v>1542</v>
      </c>
      <c r="AF8" s="101" t="s">
        <v>39</v>
      </c>
      <c r="AG8" s="105" t="s">
        <v>41</v>
      </c>
      <c r="AH8" s="103">
        <f t="shared" si="6"/>
        <v>1048.77</v>
      </c>
      <c r="AI8" s="101" t="s">
        <v>39</v>
      </c>
      <c r="AJ8" s="105" t="s">
        <v>42</v>
      </c>
      <c r="AK8" s="103">
        <f>(J8*1%)</f>
        <v>63.223500000000008</v>
      </c>
      <c r="AL8" s="101" t="s">
        <v>39</v>
      </c>
      <c r="AM8" s="105" t="s">
        <v>43</v>
      </c>
      <c r="AN8" s="103">
        <v>0</v>
      </c>
      <c r="AO8" s="101" t="s">
        <v>39</v>
      </c>
      <c r="AP8" s="105">
        <v>1431</v>
      </c>
      <c r="AQ8" s="103">
        <v>0</v>
      </c>
      <c r="AR8" s="104">
        <f t="shared" si="7"/>
        <v>3254.6167500000001</v>
      </c>
      <c r="AS8" s="106">
        <f t="shared" si="8"/>
        <v>4217.09375</v>
      </c>
      <c r="AT8" s="113"/>
      <c r="AU8" s="108"/>
      <c r="AV8" s="109">
        <f t="shared" si="9"/>
        <v>15</v>
      </c>
      <c r="AW8" s="109">
        <f t="shared" si="10"/>
        <v>7471.7105000000001</v>
      </c>
      <c r="AX8" s="110">
        <f>IFERROR(+AW8/AV8,0)*AV8</f>
        <v>7471.7105000000001</v>
      </c>
      <c r="AY8" s="110">
        <f>IFERROR(+LOOKUP(AX8,[6]TARIFAS!$A$4:$B$14,[6]TARIFAS!$A$4:$A$14),0)</f>
        <v>5081.41</v>
      </c>
      <c r="AZ8" s="110">
        <f t="shared" si="12"/>
        <v>2390.3005000000003</v>
      </c>
      <c r="BA8" s="110">
        <f>IFERROR(+LOOKUP(AX8,[6]TARIFAS!$A$4:$B$14,[6]TARIFAS!$D$4:$D$14),0)</f>
        <v>21.36</v>
      </c>
      <c r="BB8" s="110">
        <f t="shared" si="13"/>
        <v>510.56818680000003</v>
      </c>
      <c r="BC8" s="110">
        <f>IFERROR(+LOOKUP(AX8,[6]TARIFAS!$A$4:$B$14,[6]TARIFAS!$C$4:$C$14),0)</f>
        <v>538.20000000000005</v>
      </c>
      <c r="BD8" s="110">
        <f t="shared" si="14"/>
        <v>1048.77</v>
      </c>
      <c r="BE8" s="110"/>
      <c r="BF8" s="110"/>
      <c r="BG8" s="110"/>
      <c r="BH8" s="109"/>
    </row>
    <row r="9" spans="1:61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1" t="s">
        <v>37</v>
      </c>
      <c r="F9" s="101" t="s">
        <v>38</v>
      </c>
      <c r="G9" s="101">
        <v>15</v>
      </c>
      <c r="H9" s="101">
        <v>504.21533333333332</v>
      </c>
      <c r="I9" s="160" t="s">
        <v>147</v>
      </c>
      <c r="J9" s="101">
        <v>7563.23</v>
      </c>
      <c r="K9" s="101" t="s">
        <v>37</v>
      </c>
      <c r="L9" s="102">
        <v>1311</v>
      </c>
      <c r="M9" s="103">
        <v>168.22500000000002</v>
      </c>
      <c r="N9" s="101" t="s">
        <v>37</v>
      </c>
      <c r="O9" s="102">
        <v>1713</v>
      </c>
      <c r="P9" s="101">
        <v>282.08999999999997</v>
      </c>
      <c r="Q9" s="103">
        <v>418.44</v>
      </c>
      <c r="R9" s="103">
        <f t="shared" si="2"/>
        <v>226.89689999999999</v>
      </c>
      <c r="S9" s="101" t="s">
        <v>37</v>
      </c>
      <c r="T9" s="102">
        <v>1712</v>
      </c>
      <c r="U9" s="104">
        <f t="shared" si="3"/>
        <v>645.33690000000001</v>
      </c>
      <c r="V9" s="101"/>
      <c r="W9" s="102"/>
      <c r="X9" s="104"/>
      <c r="Y9" s="104">
        <f t="shared" si="4"/>
        <v>8658.8819000000003</v>
      </c>
      <c r="Z9" s="101" t="s">
        <v>39</v>
      </c>
      <c r="AA9" s="102">
        <v>1431</v>
      </c>
      <c r="AB9" s="104">
        <f t="shared" si="5"/>
        <v>718.50684999999999</v>
      </c>
      <c r="AC9" s="101" t="s">
        <v>39</v>
      </c>
      <c r="AD9" s="105" t="s">
        <v>40</v>
      </c>
      <c r="AE9" s="103">
        <v>0</v>
      </c>
      <c r="AF9" s="101" t="s">
        <v>39</v>
      </c>
      <c r="AG9" s="105" t="s">
        <v>41</v>
      </c>
      <c r="AH9" s="103">
        <f t="shared" si="6"/>
        <v>1302.3499999999999</v>
      </c>
      <c r="AI9" s="101" t="s">
        <v>39</v>
      </c>
      <c r="AJ9" s="105" t="s">
        <v>42</v>
      </c>
      <c r="AK9" s="103">
        <f>(J9*1%)</f>
        <v>75.632300000000001</v>
      </c>
      <c r="AL9" s="101" t="s">
        <v>39</v>
      </c>
      <c r="AM9" s="105" t="s">
        <v>43</v>
      </c>
      <c r="AN9" s="103">
        <v>0</v>
      </c>
      <c r="AO9" s="101" t="s">
        <v>39</v>
      </c>
      <c r="AP9" s="105">
        <v>1431</v>
      </c>
      <c r="AQ9" s="103">
        <v>0</v>
      </c>
      <c r="AR9" s="104">
        <f t="shared" si="7"/>
        <v>2096.4891499999999</v>
      </c>
      <c r="AS9" s="106">
        <f t="shared" si="8"/>
        <v>6562.3927500000009</v>
      </c>
      <c r="AT9" s="113"/>
      <c r="AU9" s="108"/>
      <c r="AV9" s="109">
        <f t="shared" si="9"/>
        <v>15</v>
      </c>
      <c r="AW9" s="109">
        <f t="shared" si="10"/>
        <v>8658.8819000000003</v>
      </c>
      <c r="AX9" s="110">
        <f>IFERROR(+AW9/AV9,0)*AV9</f>
        <v>8658.8819000000003</v>
      </c>
      <c r="AY9" s="110">
        <f>IFERROR(+LOOKUP(AX9,[6]TARIFAS!$A$4:$B$14,[6]TARIFAS!$A$4:$A$14),0)</f>
        <v>5081.41</v>
      </c>
      <c r="AZ9" s="110">
        <f t="shared" si="12"/>
        <v>3577.4719000000005</v>
      </c>
      <c r="BA9" s="110">
        <f>IFERROR(+LOOKUP(AX9,[6]TARIFAS!$A$4:$B$14,[6]TARIFAS!$D$4:$D$14),0)</f>
        <v>21.36</v>
      </c>
      <c r="BB9" s="110">
        <f t="shared" si="13"/>
        <v>764.14799784000002</v>
      </c>
      <c r="BC9" s="110">
        <f>IFERROR(+LOOKUP(AX9,[6]TARIFAS!$A$4:$B$14,[6]TARIFAS!$C$4:$C$14),0)</f>
        <v>538.20000000000005</v>
      </c>
      <c r="BD9" s="110">
        <f t="shared" si="14"/>
        <v>1302.3499999999999</v>
      </c>
      <c r="BE9" s="110"/>
      <c r="BF9" s="110"/>
      <c r="BG9" s="110"/>
      <c r="BH9" s="109"/>
    </row>
    <row r="10" spans="1:61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1" t="s">
        <v>37</v>
      </c>
      <c r="F10" s="101" t="s">
        <v>38</v>
      </c>
      <c r="G10" s="101">
        <v>15</v>
      </c>
      <c r="H10" s="101">
        <v>421.49</v>
      </c>
      <c r="I10" s="160" t="s">
        <v>147</v>
      </c>
      <c r="J10" s="101">
        <v>6322.35</v>
      </c>
      <c r="K10" s="101" t="s">
        <v>37</v>
      </c>
      <c r="L10" s="102">
        <v>1311</v>
      </c>
      <c r="M10" s="103">
        <v>201.87</v>
      </c>
      <c r="N10" s="101" t="s">
        <v>37</v>
      </c>
      <c r="O10" s="102">
        <v>1713</v>
      </c>
      <c r="P10" s="101">
        <v>351.5</v>
      </c>
      <c r="Q10" s="103">
        <v>406.32</v>
      </c>
      <c r="R10" s="103">
        <f t="shared" si="2"/>
        <v>189.6705</v>
      </c>
      <c r="S10" s="101" t="s">
        <v>37</v>
      </c>
      <c r="T10" s="102">
        <v>1712</v>
      </c>
      <c r="U10" s="104">
        <f t="shared" si="3"/>
        <v>595.9905</v>
      </c>
      <c r="V10" s="101"/>
      <c r="W10" s="102"/>
      <c r="X10" s="104"/>
      <c r="Y10" s="104">
        <f t="shared" si="4"/>
        <v>7471.7105000000001</v>
      </c>
      <c r="Z10" s="101" t="s">
        <v>39</v>
      </c>
      <c r="AA10" s="102">
        <v>1431</v>
      </c>
      <c r="AB10" s="104">
        <f t="shared" si="5"/>
        <v>600.6232500000001</v>
      </c>
      <c r="AC10" s="101" t="s">
        <v>39</v>
      </c>
      <c r="AD10" s="105" t="s">
        <v>40</v>
      </c>
      <c r="AE10" s="103">
        <v>2108</v>
      </c>
      <c r="AF10" s="101" t="s">
        <v>39</v>
      </c>
      <c r="AG10" s="105" t="s">
        <v>41</v>
      </c>
      <c r="AH10" s="103">
        <f t="shared" si="6"/>
        <v>1048.77</v>
      </c>
      <c r="AI10" s="101" t="s">
        <v>39</v>
      </c>
      <c r="AJ10" s="105" t="s">
        <v>42</v>
      </c>
      <c r="AK10" s="103">
        <f>(J10*1%)</f>
        <v>63.223500000000008</v>
      </c>
      <c r="AL10" s="101" t="s">
        <v>39</v>
      </c>
      <c r="AM10" s="105" t="s">
        <v>43</v>
      </c>
      <c r="AN10" s="103">
        <v>0</v>
      </c>
      <c r="AO10" s="101" t="s">
        <v>39</v>
      </c>
      <c r="AP10" s="105">
        <v>1431</v>
      </c>
      <c r="AQ10" s="103">
        <v>0</v>
      </c>
      <c r="AR10" s="104">
        <f t="shared" si="7"/>
        <v>3820.6167500000001</v>
      </c>
      <c r="AS10" s="106">
        <f t="shared" si="8"/>
        <v>3651.09375</v>
      </c>
      <c r="AT10" s="113"/>
      <c r="AU10" s="108"/>
      <c r="AV10" s="109">
        <f t="shared" si="9"/>
        <v>15</v>
      </c>
      <c r="AW10" s="109">
        <f t="shared" si="10"/>
        <v>7471.7105000000001</v>
      </c>
      <c r="AX10" s="110">
        <f>IFERROR(+AW10/AV10,0)*AV10</f>
        <v>7471.7105000000001</v>
      </c>
      <c r="AY10" s="110">
        <f>IFERROR(+LOOKUP(AX10,[6]TARIFAS!$A$4:$B$14,[6]TARIFAS!$A$4:$A$14),0)</f>
        <v>5081.41</v>
      </c>
      <c r="AZ10" s="110">
        <f t="shared" si="12"/>
        <v>2390.3005000000003</v>
      </c>
      <c r="BA10" s="110">
        <f>IFERROR(+LOOKUP(AX10,[6]TARIFAS!$A$4:$B$14,[6]TARIFAS!$D$4:$D$14),0)</f>
        <v>21.36</v>
      </c>
      <c r="BB10" s="110">
        <f t="shared" si="13"/>
        <v>510.56818680000003</v>
      </c>
      <c r="BC10" s="110">
        <f>IFERROR(+LOOKUP(AX10,[6]TARIFAS!$A$4:$B$14,[6]TARIFAS!$C$4:$C$14),0)</f>
        <v>538.20000000000005</v>
      </c>
      <c r="BD10" s="110">
        <f t="shared" si="14"/>
        <v>1048.77</v>
      </c>
      <c r="BE10" s="110"/>
      <c r="BF10" s="110"/>
      <c r="BG10" s="110"/>
      <c r="BH10" s="109"/>
    </row>
    <row r="11" spans="1:61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1" t="s">
        <v>37</v>
      </c>
      <c r="F11" s="101" t="s">
        <v>38</v>
      </c>
      <c r="G11" s="101">
        <v>15</v>
      </c>
      <c r="H11" s="101">
        <v>325.036</v>
      </c>
      <c r="I11" s="160" t="s">
        <v>149</v>
      </c>
      <c r="J11" s="101">
        <v>4875.54</v>
      </c>
      <c r="K11" s="101" t="s">
        <v>37</v>
      </c>
      <c r="L11" s="102">
        <v>1311</v>
      </c>
      <c r="M11" s="103">
        <v>235.51499999999999</v>
      </c>
      <c r="N11" s="101" t="s">
        <v>37</v>
      </c>
      <c r="O11" s="102">
        <v>1713</v>
      </c>
      <c r="P11" s="101">
        <v>207.91</v>
      </c>
      <c r="Q11" s="103">
        <v>371.02</v>
      </c>
      <c r="R11" s="103">
        <f t="shared" si="2"/>
        <v>146.2662</v>
      </c>
      <c r="S11" s="101" t="s">
        <v>37</v>
      </c>
      <c r="T11" s="102">
        <v>1712</v>
      </c>
      <c r="U11" s="104">
        <f t="shared" si="3"/>
        <v>517.28620000000001</v>
      </c>
      <c r="V11" s="101"/>
      <c r="W11" s="102"/>
      <c r="X11" s="104"/>
      <c r="Y11" s="104">
        <f t="shared" si="4"/>
        <v>5836.2512000000006</v>
      </c>
      <c r="Z11" s="101" t="s">
        <v>39</v>
      </c>
      <c r="AA11" s="102">
        <v>1431</v>
      </c>
      <c r="AB11" s="104">
        <f t="shared" si="5"/>
        <v>463.17630000000003</v>
      </c>
      <c r="AC11" s="101" t="s">
        <v>39</v>
      </c>
      <c r="AD11" s="105" t="s">
        <v>40</v>
      </c>
      <c r="AE11" s="103">
        <v>0</v>
      </c>
      <c r="AF11" s="101" t="s">
        <v>39</v>
      </c>
      <c r="AG11" s="105" t="s">
        <v>41</v>
      </c>
      <c r="AH11" s="103">
        <f t="shared" si="6"/>
        <v>699.43</v>
      </c>
      <c r="AI11" s="101" t="s">
        <v>39</v>
      </c>
      <c r="AJ11" s="105" t="s">
        <v>42</v>
      </c>
      <c r="AK11" s="103">
        <v>0</v>
      </c>
      <c r="AL11" s="101" t="s">
        <v>39</v>
      </c>
      <c r="AM11" s="105" t="s">
        <v>43</v>
      </c>
      <c r="AN11" s="103">
        <v>0</v>
      </c>
      <c r="AO11" s="101" t="s">
        <v>39</v>
      </c>
      <c r="AP11" s="105">
        <v>1431</v>
      </c>
      <c r="AQ11" s="103">
        <v>0</v>
      </c>
      <c r="AR11" s="104">
        <f t="shared" si="7"/>
        <v>1162.6062999999999</v>
      </c>
      <c r="AS11" s="106">
        <f t="shared" si="8"/>
        <v>4673.6449000000011</v>
      </c>
      <c r="AT11" s="113"/>
      <c r="AU11" s="108"/>
      <c r="AV11" s="109">
        <f t="shared" si="9"/>
        <v>15</v>
      </c>
      <c r="AW11" s="109">
        <f t="shared" si="10"/>
        <v>5836.2512000000006</v>
      </c>
      <c r="AX11" s="110">
        <f t="shared" si="11"/>
        <v>5836.2512000000006</v>
      </c>
      <c r="AY11" s="110">
        <f>IFERROR(+LOOKUP(AX11,[6]TARIFAS!$A$4:$B$14,[6]TARIFAS!$A$4:$A$14),0)</f>
        <v>5081.41</v>
      </c>
      <c r="AZ11" s="110">
        <f t="shared" si="12"/>
        <v>754.84120000000075</v>
      </c>
      <c r="BA11" s="110">
        <f>IFERROR(+LOOKUP(AX11,[6]TARIFAS!$A$4:$B$14,[6]TARIFAS!$D$4:$D$14),0)</f>
        <v>21.36</v>
      </c>
      <c r="BB11" s="110">
        <f t="shared" si="13"/>
        <v>161.23408032000015</v>
      </c>
      <c r="BC11" s="110">
        <f>IFERROR(+LOOKUP(AX11,[6]TARIFAS!$A$4:$B$14,[6]TARIFAS!$C$4:$C$14),0)</f>
        <v>538.20000000000005</v>
      </c>
      <c r="BD11" s="110">
        <f t="shared" si="14"/>
        <v>699.43</v>
      </c>
      <c r="BE11" s="110"/>
      <c r="BF11" s="110"/>
      <c r="BG11" s="110"/>
      <c r="BH11" s="109"/>
    </row>
    <row r="12" spans="1:61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1" t="s">
        <v>37</v>
      </c>
      <c r="F12" s="101" t="s">
        <v>38</v>
      </c>
      <c r="G12" s="101">
        <v>15</v>
      </c>
      <c r="H12" s="101">
        <v>325.036</v>
      </c>
      <c r="I12" s="160" t="s">
        <v>149</v>
      </c>
      <c r="J12" s="101">
        <v>4875.54</v>
      </c>
      <c r="K12" s="101" t="s">
        <v>37</v>
      </c>
      <c r="L12" s="102">
        <v>1311</v>
      </c>
      <c r="M12" s="103">
        <v>201.87</v>
      </c>
      <c r="N12" s="101" t="s">
        <v>37</v>
      </c>
      <c r="O12" s="102">
        <v>1713</v>
      </c>
      <c r="P12" s="101">
        <v>207.91</v>
      </c>
      <c r="Q12" s="103">
        <v>371.02</v>
      </c>
      <c r="R12" s="103">
        <f t="shared" si="2"/>
        <v>146.2662</v>
      </c>
      <c r="S12" s="101" t="s">
        <v>37</v>
      </c>
      <c r="T12" s="102">
        <v>1712</v>
      </c>
      <c r="U12" s="104">
        <f t="shared" si="3"/>
        <v>517.28620000000001</v>
      </c>
      <c r="V12" s="101"/>
      <c r="W12" s="102"/>
      <c r="X12" s="104"/>
      <c r="Y12" s="104">
        <f t="shared" si="4"/>
        <v>5802.6062000000002</v>
      </c>
      <c r="Z12" s="101" t="s">
        <v>39</v>
      </c>
      <c r="AA12" s="102">
        <v>1431</v>
      </c>
      <c r="AB12" s="104">
        <f t="shared" si="5"/>
        <v>463.17630000000003</v>
      </c>
      <c r="AC12" s="101" t="s">
        <v>39</v>
      </c>
      <c r="AD12" s="105" t="s">
        <v>40</v>
      </c>
      <c r="AE12" s="103">
        <v>0</v>
      </c>
      <c r="AF12" s="101" t="s">
        <v>39</v>
      </c>
      <c r="AG12" s="105" t="s">
        <v>41</v>
      </c>
      <c r="AH12" s="103">
        <f t="shared" si="6"/>
        <v>692.25</v>
      </c>
      <c r="AI12" s="101" t="s">
        <v>39</v>
      </c>
      <c r="AJ12" s="105" t="s">
        <v>42</v>
      </c>
      <c r="AK12" s="103">
        <v>0</v>
      </c>
      <c r="AL12" s="101" t="s">
        <v>39</v>
      </c>
      <c r="AM12" s="105" t="s">
        <v>43</v>
      </c>
      <c r="AN12" s="103">
        <v>0</v>
      </c>
      <c r="AO12" s="101" t="s">
        <v>39</v>
      </c>
      <c r="AP12" s="105">
        <v>1431</v>
      </c>
      <c r="AQ12" s="103">
        <v>0</v>
      </c>
      <c r="AR12" s="104">
        <f t="shared" si="7"/>
        <v>1155.4263000000001</v>
      </c>
      <c r="AS12" s="106">
        <f t="shared" si="8"/>
        <v>4647.1799000000001</v>
      </c>
      <c r="AT12" s="113"/>
      <c r="AU12" s="108"/>
      <c r="AV12" s="109">
        <f t="shared" si="9"/>
        <v>15</v>
      </c>
      <c r="AW12" s="109">
        <f t="shared" si="10"/>
        <v>5802.6062000000002</v>
      </c>
      <c r="AX12" s="110">
        <f t="shared" si="11"/>
        <v>5802.6062000000002</v>
      </c>
      <c r="AY12" s="110">
        <f>IFERROR(+LOOKUP(AX12,[6]TARIFAS!$A$4:$B$14,[6]TARIFAS!$A$4:$A$14),0)</f>
        <v>5081.41</v>
      </c>
      <c r="AZ12" s="110">
        <f t="shared" si="12"/>
        <v>721.19620000000032</v>
      </c>
      <c r="BA12" s="110">
        <f>IFERROR(+LOOKUP(AX12,[6]TARIFAS!$A$4:$B$14,[6]TARIFAS!$D$4:$D$14),0)</f>
        <v>21.36</v>
      </c>
      <c r="BB12" s="110">
        <f t="shared" si="13"/>
        <v>154.04750832000008</v>
      </c>
      <c r="BC12" s="110">
        <f>IFERROR(+LOOKUP(AX12,[6]TARIFAS!$A$4:$B$14,[6]TARIFAS!$C$4:$C$14),0)</f>
        <v>538.20000000000005</v>
      </c>
      <c r="BD12" s="110">
        <f t="shared" si="14"/>
        <v>692.25</v>
      </c>
      <c r="BE12" s="110"/>
      <c r="BF12" s="110"/>
      <c r="BG12" s="110"/>
      <c r="BH12" s="109"/>
    </row>
    <row r="13" spans="1:61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1" t="s">
        <v>37</v>
      </c>
      <c r="F13" s="101" t="s">
        <v>38</v>
      </c>
      <c r="G13" s="101">
        <v>15</v>
      </c>
      <c r="H13" s="101">
        <v>421.49</v>
      </c>
      <c r="I13" s="160" t="s">
        <v>149</v>
      </c>
      <c r="J13" s="101">
        <v>6322.35</v>
      </c>
      <c r="K13" s="101" t="s">
        <v>37</v>
      </c>
      <c r="L13" s="102">
        <v>1311</v>
      </c>
      <c r="M13" s="103">
        <v>235.51499999999999</v>
      </c>
      <c r="N13" s="101" t="s">
        <v>37</v>
      </c>
      <c r="O13" s="102">
        <v>1713</v>
      </c>
      <c r="P13" s="101">
        <v>351.5</v>
      </c>
      <c r="Q13" s="103">
        <v>406.32</v>
      </c>
      <c r="R13" s="103">
        <f t="shared" si="2"/>
        <v>189.6705</v>
      </c>
      <c r="S13" s="101" t="s">
        <v>37</v>
      </c>
      <c r="T13" s="102">
        <v>1712</v>
      </c>
      <c r="U13" s="104">
        <f t="shared" si="3"/>
        <v>595.9905</v>
      </c>
      <c r="V13" s="101"/>
      <c r="W13" s="102"/>
      <c r="X13" s="104"/>
      <c r="Y13" s="104">
        <f t="shared" si="4"/>
        <v>7505.3555000000006</v>
      </c>
      <c r="Z13" s="101" t="s">
        <v>39</v>
      </c>
      <c r="AA13" s="102">
        <v>1431</v>
      </c>
      <c r="AB13" s="104">
        <f t="shared" si="5"/>
        <v>600.6232500000001</v>
      </c>
      <c r="AC13" s="101" t="s">
        <v>39</v>
      </c>
      <c r="AD13" s="105" t="s">
        <v>40</v>
      </c>
      <c r="AE13" s="103">
        <v>0</v>
      </c>
      <c r="AF13" s="101" t="s">
        <v>39</v>
      </c>
      <c r="AG13" s="105" t="s">
        <v>41</v>
      </c>
      <c r="AH13" s="103">
        <f t="shared" si="6"/>
        <v>1055.95</v>
      </c>
      <c r="AI13" s="101" t="s">
        <v>39</v>
      </c>
      <c r="AJ13" s="105" t="s">
        <v>42</v>
      </c>
      <c r="AK13" s="103">
        <v>0</v>
      </c>
      <c r="AL13" s="101" t="s">
        <v>39</v>
      </c>
      <c r="AM13" s="105" t="s">
        <v>43</v>
      </c>
      <c r="AN13" s="103">
        <v>0</v>
      </c>
      <c r="AO13" s="101" t="s">
        <v>39</v>
      </c>
      <c r="AP13" s="105">
        <v>1431</v>
      </c>
      <c r="AQ13" s="103">
        <v>0</v>
      </c>
      <c r="AR13" s="104">
        <f t="shared" si="7"/>
        <v>1656.5732500000001</v>
      </c>
      <c r="AS13" s="106">
        <f t="shared" si="8"/>
        <v>5848.7822500000002</v>
      </c>
      <c r="AT13" s="113"/>
      <c r="AU13" s="108"/>
      <c r="AV13" s="109">
        <f t="shared" si="9"/>
        <v>15</v>
      </c>
      <c r="AW13" s="109">
        <f t="shared" si="10"/>
        <v>7505.3555000000006</v>
      </c>
      <c r="AX13" s="110">
        <f t="shared" si="11"/>
        <v>7505.3555000000006</v>
      </c>
      <c r="AY13" s="110">
        <f>IFERROR(+LOOKUP(AX13,[6]TARIFAS!$A$4:$B$14,[6]TARIFAS!$A$4:$A$14),0)</f>
        <v>5081.41</v>
      </c>
      <c r="AZ13" s="110">
        <f t="shared" si="12"/>
        <v>2423.9455000000007</v>
      </c>
      <c r="BA13" s="110">
        <f>IFERROR(+LOOKUP(AX13,[6]TARIFAS!$A$4:$B$14,[6]TARIFAS!$D$4:$D$14),0)</f>
        <v>21.36</v>
      </c>
      <c r="BB13" s="110">
        <f t="shared" si="13"/>
        <v>517.7547588000001</v>
      </c>
      <c r="BC13" s="110">
        <f>IFERROR(+LOOKUP(AX13,[6]TARIFAS!$A$4:$B$14,[6]TARIFAS!$C$4:$C$14),0)</f>
        <v>538.20000000000005</v>
      </c>
      <c r="BD13" s="110">
        <f t="shared" si="14"/>
        <v>1055.95</v>
      </c>
      <c r="BE13" s="110"/>
      <c r="BF13" s="110"/>
      <c r="BG13" s="110"/>
      <c r="BH13" s="109"/>
    </row>
    <row r="14" spans="1:61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1" t="s">
        <v>37</v>
      </c>
      <c r="F14" s="101" t="s">
        <v>38</v>
      </c>
      <c r="G14" s="101">
        <v>15</v>
      </c>
      <c r="H14" s="101">
        <v>1029.4333333333334</v>
      </c>
      <c r="I14" s="160" t="s">
        <v>147</v>
      </c>
      <c r="J14" s="101">
        <v>15441.5</v>
      </c>
      <c r="K14" s="101" t="s">
        <v>37</v>
      </c>
      <c r="L14" s="102">
        <v>1311</v>
      </c>
      <c r="M14" s="103">
        <v>0</v>
      </c>
      <c r="N14" s="101" t="s">
        <v>37</v>
      </c>
      <c r="O14" s="102">
        <v>1713</v>
      </c>
      <c r="P14" s="103">
        <v>566.5</v>
      </c>
      <c r="Q14" s="103">
        <v>835.5</v>
      </c>
      <c r="R14" s="103">
        <f t="shared" si="2"/>
        <v>463.245</v>
      </c>
      <c r="S14" s="101" t="s">
        <v>37</v>
      </c>
      <c r="T14" s="102">
        <v>1712</v>
      </c>
      <c r="U14" s="104">
        <f t="shared" si="3"/>
        <v>1298.7449999999999</v>
      </c>
      <c r="V14" s="101"/>
      <c r="W14" s="102"/>
      <c r="X14" s="104"/>
      <c r="Y14" s="104">
        <f t="shared" si="4"/>
        <v>17306.744999999999</v>
      </c>
      <c r="Z14" s="101" t="s">
        <v>39</v>
      </c>
      <c r="AA14" s="102">
        <v>1431</v>
      </c>
      <c r="AB14" s="104">
        <f t="shared" si="5"/>
        <v>1466.9425000000001</v>
      </c>
      <c r="AC14" s="101" t="s">
        <v>39</v>
      </c>
      <c r="AD14" s="105" t="s">
        <v>40</v>
      </c>
      <c r="AE14" s="103">
        <v>0</v>
      </c>
      <c r="AF14" s="101" t="s">
        <v>39</v>
      </c>
      <c r="AG14" s="105" t="s">
        <v>41</v>
      </c>
      <c r="AH14" s="103">
        <f t="shared" si="6"/>
        <v>3376.71</v>
      </c>
      <c r="AI14" s="101" t="s">
        <v>39</v>
      </c>
      <c r="AJ14" s="105" t="s">
        <v>42</v>
      </c>
      <c r="AK14" s="103">
        <v>0</v>
      </c>
      <c r="AL14" s="101" t="s">
        <v>39</v>
      </c>
      <c r="AM14" s="105" t="s">
        <v>43</v>
      </c>
      <c r="AN14" s="103">
        <v>0</v>
      </c>
      <c r="AO14" s="101" t="s">
        <v>39</v>
      </c>
      <c r="AP14" s="105">
        <v>1431</v>
      </c>
      <c r="AQ14" s="103">
        <v>0</v>
      </c>
      <c r="AR14" s="104">
        <f t="shared" si="7"/>
        <v>4843.6525000000001</v>
      </c>
      <c r="AS14" s="106">
        <f t="shared" si="8"/>
        <v>12463.092499999999</v>
      </c>
      <c r="AT14" s="113"/>
      <c r="AU14" s="108"/>
      <c r="AV14" s="109">
        <f t="shared" si="9"/>
        <v>15</v>
      </c>
      <c r="AW14" s="109">
        <f t="shared" si="10"/>
        <v>17306.745000000003</v>
      </c>
      <c r="AX14" s="110">
        <f t="shared" si="11"/>
        <v>17306.745000000003</v>
      </c>
      <c r="AY14" s="110">
        <f>IFERROR(+LOOKUP(AX14,[6]TARIFAS!$A$4:$B$14,[6]TARIFAS!$A$4:$A$14),0)</f>
        <v>16153.06</v>
      </c>
      <c r="AZ14" s="110">
        <f t="shared" si="12"/>
        <v>1153.6850000000031</v>
      </c>
      <c r="BA14" s="110">
        <f>IFERROR(+LOOKUP(AX14,[6]TARIFAS!$A$4:$B$14,[6]TARIFAS!$D$4:$D$14),0)</f>
        <v>30</v>
      </c>
      <c r="BB14" s="110">
        <f t="shared" si="13"/>
        <v>346.10550000000092</v>
      </c>
      <c r="BC14" s="110">
        <f>IFERROR(+LOOKUP(AX14,[6]TARIFAS!$A$4:$B$14,[6]TARIFAS!$C$4:$C$14),0)</f>
        <v>3030.6</v>
      </c>
      <c r="BD14" s="110">
        <f t="shared" si="14"/>
        <v>3376.71</v>
      </c>
      <c r="BE14" s="110"/>
      <c r="BF14" s="110"/>
      <c r="BG14" s="110"/>
      <c r="BH14" s="109"/>
    </row>
    <row r="15" spans="1:61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1" t="s">
        <v>37</v>
      </c>
      <c r="F15" s="101" t="s">
        <v>38</v>
      </c>
      <c r="G15" s="101">
        <v>15</v>
      </c>
      <c r="H15" s="101">
        <v>325.036</v>
      </c>
      <c r="I15" s="160" t="s">
        <v>147</v>
      </c>
      <c r="J15" s="101">
        <v>4875.54</v>
      </c>
      <c r="K15" s="101" t="s">
        <v>37</v>
      </c>
      <c r="L15" s="102">
        <v>1311</v>
      </c>
      <c r="M15" s="115">
        <v>100.935</v>
      </c>
      <c r="N15" s="101" t="s">
        <v>37</v>
      </c>
      <c r="O15" s="102">
        <v>1713</v>
      </c>
      <c r="P15" s="116">
        <v>207.91</v>
      </c>
      <c r="Q15" s="115">
        <v>371.02</v>
      </c>
      <c r="R15" s="103">
        <f t="shared" si="2"/>
        <v>146.2662</v>
      </c>
      <c r="S15" s="101" t="s">
        <v>37</v>
      </c>
      <c r="T15" s="102">
        <v>1712</v>
      </c>
      <c r="U15" s="104">
        <f t="shared" si="3"/>
        <v>517.28620000000001</v>
      </c>
      <c r="V15" s="101"/>
      <c r="W15" s="102"/>
      <c r="X15" s="104"/>
      <c r="Y15" s="104">
        <f t="shared" si="4"/>
        <v>5701.6712000000007</v>
      </c>
      <c r="Z15" s="101" t="s">
        <v>39</v>
      </c>
      <c r="AA15" s="102">
        <v>1431</v>
      </c>
      <c r="AB15" s="104">
        <f t="shared" si="5"/>
        <v>463.17630000000003</v>
      </c>
      <c r="AC15" s="101" t="s">
        <v>39</v>
      </c>
      <c r="AD15" s="105" t="s">
        <v>40</v>
      </c>
      <c r="AE15" s="115">
        <v>0</v>
      </c>
      <c r="AF15" s="101" t="s">
        <v>39</v>
      </c>
      <c r="AG15" s="105" t="s">
        <v>41</v>
      </c>
      <c r="AH15" s="103">
        <f t="shared" si="6"/>
        <v>670.69</v>
      </c>
      <c r="AI15" s="101" t="s">
        <v>39</v>
      </c>
      <c r="AJ15" s="105" t="s">
        <v>42</v>
      </c>
      <c r="AK15" s="103">
        <f t="shared" ref="AK15:AK20" si="15">(J15*1%)</f>
        <v>48.755400000000002</v>
      </c>
      <c r="AL15" s="101" t="s">
        <v>39</v>
      </c>
      <c r="AM15" s="105" t="s">
        <v>43</v>
      </c>
      <c r="AN15" s="115">
        <v>0</v>
      </c>
      <c r="AO15" s="101" t="s">
        <v>39</v>
      </c>
      <c r="AP15" s="105">
        <v>1431</v>
      </c>
      <c r="AQ15" s="103">
        <v>0</v>
      </c>
      <c r="AR15" s="104">
        <f t="shared" si="7"/>
        <v>1182.6217000000001</v>
      </c>
      <c r="AS15" s="106">
        <f t="shared" si="8"/>
        <v>4519.049500000001</v>
      </c>
      <c r="AT15" s="117"/>
      <c r="AU15" s="108"/>
      <c r="AV15" s="109">
        <f t="shared" si="9"/>
        <v>15</v>
      </c>
      <c r="AW15" s="109">
        <f t="shared" si="10"/>
        <v>5701.6712000000007</v>
      </c>
      <c r="AX15" s="110">
        <f t="shared" si="11"/>
        <v>5701.6712000000007</v>
      </c>
      <c r="AY15" s="110">
        <f>IFERROR(+LOOKUP(AX15,[6]TARIFAS!$A$4:$B$14,[6]TARIFAS!$A$4:$A$14),0)</f>
        <v>5081.41</v>
      </c>
      <c r="AZ15" s="110">
        <f t="shared" si="12"/>
        <v>620.26120000000083</v>
      </c>
      <c r="BA15" s="110">
        <f>IFERROR(+LOOKUP(AX15,[6]TARIFAS!$A$4:$B$14,[6]TARIFAS!$D$4:$D$14),0)</f>
        <v>21.36</v>
      </c>
      <c r="BB15" s="110">
        <f t="shared" si="13"/>
        <v>132.48779232000018</v>
      </c>
      <c r="BC15" s="110">
        <f>IFERROR(+LOOKUP(AX15,[6]TARIFAS!$A$4:$B$14,[6]TARIFAS!$C$4:$C$14),0)</f>
        <v>538.20000000000005</v>
      </c>
      <c r="BD15" s="110">
        <f t="shared" si="14"/>
        <v>670.69</v>
      </c>
      <c r="BE15" s="110"/>
      <c r="BF15" s="110"/>
      <c r="BG15" s="110"/>
      <c r="BH15" s="109"/>
    </row>
    <row r="16" spans="1:61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1" t="s">
        <v>37</v>
      </c>
      <c r="F16" s="101" t="s">
        <v>38</v>
      </c>
      <c r="G16" s="101">
        <v>15</v>
      </c>
      <c r="H16" s="101">
        <v>421.49</v>
      </c>
      <c r="I16" s="160" t="s">
        <v>147</v>
      </c>
      <c r="J16" s="101">
        <v>6322.35</v>
      </c>
      <c r="K16" s="101" t="s">
        <v>37</v>
      </c>
      <c r="L16" s="102">
        <v>1311</v>
      </c>
      <c r="M16" s="103">
        <v>100.935</v>
      </c>
      <c r="N16" s="101" t="s">
        <v>37</v>
      </c>
      <c r="O16" s="102">
        <v>1713</v>
      </c>
      <c r="P16" s="101">
        <v>351.5</v>
      </c>
      <c r="Q16" s="103">
        <v>406.32</v>
      </c>
      <c r="R16" s="103">
        <f t="shared" si="2"/>
        <v>189.6705</v>
      </c>
      <c r="S16" s="101" t="s">
        <v>37</v>
      </c>
      <c r="T16" s="102">
        <v>1712</v>
      </c>
      <c r="U16" s="104">
        <f t="shared" si="3"/>
        <v>595.9905</v>
      </c>
      <c r="V16" s="101"/>
      <c r="W16" s="102"/>
      <c r="X16" s="104"/>
      <c r="Y16" s="104">
        <f t="shared" si="4"/>
        <v>7370.7755000000006</v>
      </c>
      <c r="Z16" s="101" t="s">
        <v>39</v>
      </c>
      <c r="AA16" s="102">
        <v>1431</v>
      </c>
      <c r="AB16" s="104">
        <f t="shared" si="5"/>
        <v>600.6232500000001</v>
      </c>
      <c r="AC16" s="101" t="s">
        <v>39</v>
      </c>
      <c r="AD16" s="105" t="s">
        <v>40</v>
      </c>
      <c r="AE16" s="103">
        <v>411</v>
      </c>
      <c r="AF16" s="101" t="s">
        <v>39</v>
      </c>
      <c r="AG16" s="105" t="s">
        <v>41</v>
      </c>
      <c r="AH16" s="103">
        <f t="shared" si="6"/>
        <v>1027.21</v>
      </c>
      <c r="AI16" s="101" t="s">
        <v>39</v>
      </c>
      <c r="AJ16" s="105" t="s">
        <v>42</v>
      </c>
      <c r="AK16" s="103">
        <f t="shared" si="15"/>
        <v>63.223500000000008</v>
      </c>
      <c r="AL16" s="101" t="s">
        <v>39</v>
      </c>
      <c r="AM16" s="105" t="s">
        <v>43</v>
      </c>
      <c r="AN16" s="103">
        <v>0</v>
      </c>
      <c r="AO16" s="101" t="s">
        <v>39</v>
      </c>
      <c r="AP16" s="105">
        <v>1431</v>
      </c>
      <c r="AQ16" s="103">
        <v>0</v>
      </c>
      <c r="AR16" s="104">
        <f t="shared" si="7"/>
        <v>2102.0567500000002</v>
      </c>
      <c r="AS16" s="106">
        <f t="shared" si="8"/>
        <v>5268.71875</v>
      </c>
      <c r="AT16" s="113"/>
      <c r="AU16" s="108"/>
      <c r="AV16" s="109">
        <f t="shared" si="9"/>
        <v>15</v>
      </c>
      <c r="AW16" s="109">
        <f t="shared" si="10"/>
        <v>7370.7755000000006</v>
      </c>
      <c r="AX16" s="110">
        <f t="shared" si="11"/>
        <v>7370.7755000000006</v>
      </c>
      <c r="AY16" s="110">
        <f>IFERROR(+LOOKUP(AX16,[6]TARIFAS!$A$4:$B$14,[6]TARIFAS!$A$4:$A$14),0)</f>
        <v>5081.41</v>
      </c>
      <c r="AZ16" s="110">
        <f t="shared" si="12"/>
        <v>2289.3655000000008</v>
      </c>
      <c r="BA16" s="110">
        <f>IFERROR(+LOOKUP(AX16,[6]TARIFAS!$A$4:$B$14,[6]TARIFAS!$D$4:$D$14),0)</f>
        <v>21.36</v>
      </c>
      <c r="BB16" s="110">
        <f t="shared" si="13"/>
        <v>489.00847080000017</v>
      </c>
      <c r="BC16" s="110">
        <f>IFERROR(+LOOKUP(AX16,[6]TARIFAS!$A$4:$B$14,[6]TARIFAS!$C$4:$C$14),0)</f>
        <v>538.20000000000005</v>
      </c>
      <c r="BD16" s="110">
        <f t="shared" si="14"/>
        <v>1027.21</v>
      </c>
      <c r="BE16" s="110"/>
      <c r="BF16" s="110"/>
      <c r="BG16" s="110"/>
      <c r="BH16" s="109"/>
    </row>
    <row r="17" spans="1:61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1" t="s">
        <v>37</v>
      </c>
      <c r="F17" s="101" t="s">
        <v>38</v>
      </c>
      <c r="G17" s="101">
        <v>15</v>
      </c>
      <c r="H17" s="101">
        <v>421.49</v>
      </c>
      <c r="I17" s="160" t="s">
        <v>149</v>
      </c>
      <c r="J17" s="101">
        <v>6322.35</v>
      </c>
      <c r="K17" s="101" t="s">
        <v>37</v>
      </c>
      <c r="L17" s="102">
        <v>1311</v>
      </c>
      <c r="M17" s="103">
        <v>100.935</v>
      </c>
      <c r="N17" s="101" t="s">
        <v>37</v>
      </c>
      <c r="O17" s="102">
        <v>1713</v>
      </c>
      <c r="P17" s="101">
        <v>351.5</v>
      </c>
      <c r="Q17" s="103">
        <v>406.32</v>
      </c>
      <c r="R17" s="103">
        <f t="shared" si="2"/>
        <v>189.6705</v>
      </c>
      <c r="S17" s="101" t="s">
        <v>37</v>
      </c>
      <c r="T17" s="102">
        <v>1712</v>
      </c>
      <c r="U17" s="104">
        <f t="shared" si="3"/>
        <v>595.9905</v>
      </c>
      <c r="V17" s="101"/>
      <c r="W17" s="102"/>
      <c r="X17" s="104"/>
      <c r="Y17" s="104">
        <f t="shared" si="4"/>
        <v>7370.7755000000006</v>
      </c>
      <c r="Z17" s="101" t="s">
        <v>39</v>
      </c>
      <c r="AA17" s="102">
        <v>1431</v>
      </c>
      <c r="AB17" s="104">
        <f t="shared" si="5"/>
        <v>600.6232500000001</v>
      </c>
      <c r="AC17" s="101" t="s">
        <v>39</v>
      </c>
      <c r="AD17" s="105" t="s">
        <v>40</v>
      </c>
      <c r="AE17" s="103">
        <v>0</v>
      </c>
      <c r="AF17" s="101" t="s">
        <v>39</v>
      </c>
      <c r="AG17" s="105" t="s">
        <v>41</v>
      </c>
      <c r="AH17" s="103">
        <f t="shared" si="6"/>
        <v>1027.21</v>
      </c>
      <c r="AI17" s="101" t="s">
        <v>39</v>
      </c>
      <c r="AJ17" s="105" t="s">
        <v>42</v>
      </c>
      <c r="AK17" s="103">
        <f t="shared" si="15"/>
        <v>63.223500000000008</v>
      </c>
      <c r="AL17" s="101" t="s">
        <v>39</v>
      </c>
      <c r="AM17" s="105" t="s">
        <v>43</v>
      </c>
      <c r="AN17" s="103">
        <v>0</v>
      </c>
      <c r="AO17" s="101" t="s">
        <v>39</v>
      </c>
      <c r="AP17" s="105">
        <v>1431</v>
      </c>
      <c r="AQ17" s="103">
        <v>0</v>
      </c>
      <c r="AR17" s="104">
        <f t="shared" si="7"/>
        <v>1691.0567500000002</v>
      </c>
      <c r="AS17" s="106">
        <f t="shared" si="8"/>
        <v>5679.71875</v>
      </c>
      <c r="AT17" s="113"/>
      <c r="AU17" s="108"/>
      <c r="AV17" s="109">
        <f t="shared" si="9"/>
        <v>15</v>
      </c>
      <c r="AW17" s="109">
        <f t="shared" si="10"/>
        <v>7370.7755000000006</v>
      </c>
      <c r="AX17" s="110">
        <f t="shared" si="11"/>
        <v>7370.7755000000006</v>
      </c>
      <c r="AY17" s="110">
        <f>IFERROR(+LOOKUP(AX17,[6]TARIFAS!$A$4:$B$14,[6]TARIFAS!$A$4:$A$14),0)</f>
        <v>5081.41</v>
      </c>
      <c r="AZ17" s="110">
        <f t="shared" si="12"/>
        <v>2289.3655000000008</v>
      </c>
      <c r="BA17" s="110">
        <f>IFERROR(+LOOKUP(AX17,[6]TARIFAS!$A$4:$B$14,[6]TARIFAS!$D$4:$D$14),0)</f>
        <v>21.36</v>
      </c>
      <c r="BB17" s="110">
        <f t="shared" si="13"/>
        <v>489.00847080000017</v>
      </c>
      <c r="BC17" s="110">
        <f>IFERROR(+LOOKUP(AX17,[6]TARIFAS!$A$4:$B$14,[6]TARIFAS!$C$4:$C$14),0)</f>
        <v>538.20000000000005</v>
      </c>
      <c r="BD17" s="110">
        <f t="shared" si="14"/>
        <v>1027.21</v>
      </c>
      <c r="BE17" s="110"/>
      <c r="BF17" s="110"/>
      <c r="BG17" s="110"/>
      <c r="BH17" s="109"/>
    </row>
    <row r="18" spans="1:61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1" t="s">
        <v>37</v>
      </c>
      <c r="F18" s="101" t="s">
        <v>38</v>
      </c>
      <c r="G18" s="101">
        <v>15</v>
      </c>
      <c r="H18" s="101">
        <v>504.21533333333332</v>
      </c>
      <c r="I18" s="160" t="s">
        <v>150</v>
      </c>
      <c r="J18" s="101">
        <v>7563.23</v>
      </c>
      <c r="K18" s="101" t="s">
        <v>37</v>
      </c>
      <c r="L18" s="102">
        <v>1311</v>
      </c>
      <c r="M18" s="103">
        <v>100.935</v>
      </c>
      <c r="N18" s="101" t="s">
        <v>37</v>
      </c>
      <c r="O18" s="102">
        <v>1713</v>
      </c>
      <c r="P18" s="103">
        <v>282.08999999999997</v>
      </c>
      <c r="Q18" s="103">
        <v>418.44</v>
      </c>
      <c r="R18" s="103">
        <f t="shared" si="2"/>
        <v>226.89689999999999</v>
      </c>
      <c r="S18" s="101" t="s">
        <v>37</v>
      </c>
      <c r="T18" s="102">
        <v>1712</v>
      </c>
      <c r="U18" s="104">
        <f t="shared" si="3"/>
        <v>645.33690000000001</v>
      </c>
      <c r="V18" s="101"/>
      <c r="W18" s="102"/>
      <c r="X18" s="104"/>
      <c r="Y18" s="104">
        <f t="shared" si="4"/>
        <v>8591.5918999999994</v>
      </c>
      <c r="Z18" s="101" t="s">
        <v>39</v>
      </c>
      <c r="AA18" s="102">
        <v>1431</v>
      </c>
      <c r="AB18" s="104">
        <f t="shared" si="5"/>
        <v>718.50684999999999</v>
      </c>
      <c r="AC18" s="101" t="s">
        <v>39</v>
      </c>
      <c r="AD18" s="105" t="s">
        <v>40</v>
      </c>
      <c r="AE18" s="104">
        <f>523.61+10.13+3666.74+151.2</f>
        <v>4351.6799999999994</v>
      </c>
      <c r="AF18" s="101" t="s">
        <v>39</v>
      </c>
      <c r="AG18" s="105" t="s">
        <v>41</v>
      </c>
      <c r="AH18" s="103">
        <f t="shared" si="6"/>
        <v>1287.97</v>
      </c>
      <c r="AI18" s="101" t="s">
        <v>39</v>
      </c>
      <c r="AJ18" s="105" t="s">
        <v>42</v>
      </c>
      <c r="AK18" s="103">
        <f t="shared" si="15"/>
        <v>75.632300000000001</v>
      </c>
      <c r="AL18" s="101" t="s">
        <v>39</v>
      </c>
      <c r="AM18" s="105" t="s">
        <v>43</v>
      </c>
      <c r="AN18" s="103">
        <v>0</v>
      </c>
      <c r="AO18" s="101" t="s">
        <v>39</v>
      </c>
      <c r="AP18" s="105">
        <v>1431</v>
      </c>
      <c r="AQ18" s="103">
        <v>0</v>
      </c>
      <c r="AR18" s="104">
        <f t="shared" si="7"/>
        <v>6433.7891499999996</v>
      </c>
      <c r="AS18" s="106">
        <f t="shared" si="8"/>
        <v>2157.8027499999998</v>
      </c>
      <c r="AT18" s="113"/>
      <c r="AU18" s="108"/>
      <c r="AV18" s="109">
        <f t="shared" si="9"/>
        <v>15</v>
      </c>
      <c r="AW18" s="109">
        <f t="shared" si="10"/>
        <v>8591.5918999999994</v>
      </c>
      <c r="AX18" s="110">
        <f t="shared" si="11"/>
        <v>8591.5918999999994</v>
      </c>
      <c r="AY18" s="110">
        <f>IFERROR(+LOOKUP(AX18,[6]TARIFAS!$A$4:$B$14,[6]TARIFAS!$A$4:$A$14),0)</f>
        <v>5081.41</v>
      </c>
      <c r="AZ18" s="110">
        <f t="shared" si="12"/>
        <v>3510.1818999999996</v>
      </c>
      <c r="BA18" s="110">
        <f>IFERROR(+LOOKUP(AX18,[6]TARIFAS!$A$4:$B$14,[6]TARIFAS!$D$4:$D$14),0)</f>
        <v>21.36</v>
      </c>
      <c r="BB18" s="110">
        <f t="shared" si="13"/>
        <v>749.77485383999988</v>
      </c>
      <c r="BC18" s="110">
        <f>IFERROR(+LOOKUP(AX18,[6]TARIFAS!$A$4:$B$14,[6]TARIFAS!$C$4:$C$14),0)</f>
        <v>538.20000000000005</v>
      </c>
      <c r="BD18" s="110">
        <f t="shared" si="14"/>
        <v>1287.97</v>
      </c>
      <c r="BE18" s="110"/>
      <c r="BF18" s="110"/>
      <c r="BG18" s="110"/>
      <c r="BH18" s="109"/>
    </row>
    <row r="19" spans="1:61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1" t="s">
        <v>37</v>
      </c>
      <c r="F19" s="101" t="s">
        <v>38</v>
      </c>
      <c r="G19" s="101">
        <v>15</v>
      </c>
      <c r="H19" s="101">
        <v>421.49</v>
      </c>
      <c r="I19" s="160" t="s">
        <v>146</v>
      </c>
      <c r="J19" s="101">
        <v>6322.35</v>
      </c>
      <c r="K19" s="101" t="s">
        <v>37</v>
      </c>
      <c r="L19" s="102">
        <v>1311</v>
      </c>
      <c r="M19" s="103">
        <v>67.290000000000006</v>
      </c>
      <c r="N19" s="101" t="s">
        <v>37</v>
      </c>
      <c r="O19" s="102">
        <v>1713</v>
      </c>
      <c r="P19" s="103">
        <v>351.5</v>
      </c>
      <c r="Q19" s="103">
        <v>406.32</v>
      </c>
      <c r="R19" s="103">
        <f t="shared" si="2"/>
        <v>189.6705</v>
      </c>
      <c r="S19" s="101" t="s">
        <v>37</v>
      </c>
      <c r="T19" s="102">
        <v>1712</v>
      </c>
      <c r="U19" s="104">
        <f t="shared" si="3"/>
        <v>595.9905</v>
      </c>
      <c r="V19" s="101"/>
      <c r="W19" s="102"/>
      <c r="X19" s="104"/>
      <c r="Y19" s="104">
        <f t="shared" si="4"/>
        <v>7337.1305000000002</v>
      </c>
      <c r="Z19" s="101" t="s">
        <v>39</v>
      </c>
      <c r="AA19" s="102">
        <v>1431</v>
      </c>
      <c r="AB19" s="104">
        <f t="shared" si="5"/>
        <v>600.6232500000001</v>
      </c>
      <c r="AC19" s="101" t="s">
        <v>39</v>
      </c>
      <c r="AD19" s="105" t="s">
        <v>40</v>
      </c>
      <c r="AE19" s="103">
        <v>402</v>
      </c>
      <c r="AF19" s="101" t="s">
        <v>39</v>
      </c>
      <c r="AG19" s="105" t="s">
        <v>41</v>
      </c>
      <c r="AH19" s="103">
        <f t="shared" si="6"/>
        <v>1020.02</v>
      </c>
      <c r="AI19" s="101" t="s">
        <v>39</v>
      </c>
      <c r="AJ19" s="105" t="s">
        <v>42</v>
      </c>
      <c r="AK19" s="103">
        <f t="shared" si="15"/>
        <v>63.223500000000008</v>
      </c>
      <c r="AL19" s="101" t="s">
        <v>39</v>
      </c>
      <c r="AM19" s="105" t="s">
        <v>43</v>
      </c>
      <c r="AN19" s="103">
        <v>0</v>
      </c>
      <c r="AO19" s="101" t="s">
        <v>39</v>
      </c>
      <c r="AP19" s="105">
        <v>1431</v>
      </c>
      <c r="AQ19" s="103">
        <v>0</v>
      </c>
      <c r="AR19" s="104">
        <f t="shared" si="7"/>
        <v>2085.8667500000001</v>
      </c>
      <c r="AS19" s="106">
        <f t="shared" si="8"/>
        <v>5251.2637500000001</v>
      </c>
      <c r="AT19" s="113"/>
      <c r="AU19" s="108"/>
      <c r="AV19" s="109">
        <f t="shared" si="9"/>
        <v>15</v>
      </c>
      <c r="AW19" s="109">
        <f t="shared" si="10"/>
        <v>7337.1305000000002</v>
      </c>
      <c r="AX19" s="110">
        <f t="shared" si="11"/>
        <v>7337.1305000000002</v>
      </c>
      <c r="AY19" s="110">
        <f>IFERROR(+LOOKUP(AX19,[6]TARIFAS!$A$4:$B$14,[6]TARIFAS!$A$4:$A$14),0)</f>
        <v>5081.41</v>
      </c>
      <c r="AZ19" s="110">
        <f t="shared" si="12"/>
        <v>2255.7205000000004</v>
      </c>
      <c r="BA19" s="110">
        <f>IFERROR(+LOOKUP(AX19,[6]TARIFAS!$A$4:$B$14,[6]TARIFAS!$D$4:$D$14),0)</f>
        <v>21.36</v>
      </c>
      <c r="BB19" s="110">
        <f t="shared" si="13"/>
        <v>481.82189880000004</v>
      </c>
      <c r="BC19" s="110">
        <f>IFERROR(+LOOKUP(AX19,[6]TARIFAS!$A$4:$B$14,[6]TARIFAS!$C$4:$C$14),0)</f>
        <v>538.20000000000005</v>
      </c>
      <c r="BD19" s="110">
        <f t="shared" si="14"/>
        <v>1020.02</v>
      </c>
      <c r="BE19" s="110"/>
      <c r="BF19" s="110"/>
      <c r="BG19" s="110"/>
      <c r="BH19" s="109"/>
    </row>
    <row r="20" spans="1:61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1" t="s">
        <v>37</v>
      </c>
      <c r="F20" s="101" t="s">
        <v>38</v>
      </c>
      <c r="G20" s="101">
        <v>15</v>
      </c>
      <c r="H20" s="101">
        <v>353.488</v>
      </c>
      <c r="I20" s="160" t="s">
        <v>150</v>
      </c>
      <c r="J20" s="101">
        <v>5302.32</v>
      </c>
      <c r="K20" s="101" t="s">
        <v>37</v>
      </c>
      <c r="L20" s="102">
        <v>1311</v>
      </c>
      <c r="M20" s="103">
        <v>67.290000000000006</v>
      </c>
      <c r="N20" s="101" t="s">
        <v>37</v>
      </c>
      <c r="O20" s="102">
        <v>1713</v>
      </c>
      <c r="P20" s="103">
        <v>211.44</v>
      </c>
      <c r="Q20" s="103">
        <v>378.6</v>
      </c>
      <c r="R20" s="103">
        <f t="shared" si="2"/>
        <v>159.06959999999998</v>
      </c>
      <c r="S20" s="101" t="s">
        <v>37</v>
      </c>
      <c r="T20" s="102">
        <v>1712</v>
      </c>
      <c r="U20" s="104">
        <f t="shared" si="3"/>
        <v>537.66959999999995</v>
      </c>
      <c r="V20" s="101"/>
      <c r="W20" s="102"/>
      <c r="X20" s="104"/>
      <c r="Y20" s="104">
        <f t="shared" si="4"/>
        <v>6118.7195999999994</v>
      </c>
      <c r="Z20" s="101" t="s">
        <v>39</v>
      </c>
      <c r="AA20" s="102">
        <v>1431</v>
      </c>
      <c r="AB20" s="104">
        <f t="shared" si="5"/>
        <v>503.72039999999998</v>
      </c>
      <c r="AC20" s="101" t="s">
        <v>39</v>
      </c>
      <c r="AD20" s="105" t="s">
        <v>40</v>
      </c>
      <c r="AE20" s="103">
        <v>0</v>
      </c>
      <c r="AF20" s="101" t="s">
        <v>39</v>
      </c>
      <c r="AG20" s="105" t="s">
        <v>41</v>
      </c>
      <c r="AH20" s="103">
        <f t="shared" si="6"/>
        <v>759.77</v>
      </c>
      <c r="AI20" s="101" t="s">
        <v>39</v>
      </c>
      <c r="AJ20" s="105" t="s">
        <v>42</v>
      </c>
      <c r="AK20" s="103">
        <f t="shared" si="15"/>
        <v>53.023199999999996</v>
      </c>
      <c r="AL20" s="101" t="s">
        <v>39</v>
      </c>
      <c r="AM20" s="105" t="s">
        <v>43</v>
      </c>
      <c r="AN20" s="103">
        <v>0</v>
      </c>
      <c r="AO20" s="101" t="s">
        <v>39</v>
      </c>
      <c r="AP20" s="105">
        <v>1431</v>
      </c>
      <c r="AQ20" s="103">
        <v>0</v>
      </c>
      <c r="AR20" s="104">
        <f t="shared" si="7"/>
        <v>1316.5136</v>
      </c>
      <c r="AS20" s="106">
        <f t="shared" si="8"/>
        <v>4802.2059999999992</v>
      </c>
      <c r="AT20" s="113"/>
      <c r="AU20" s="108"/>
      <c r="AV20" s="109">
        <f t="shared" si="9"/>
        <v>15</v>
      </c>
      <c r="AW20" s="109">
        <f t="shared" si="10"/>
        <v>6118.7195999999994</v>
      </c>
      <c r="AX20" s="110">
        <f t="shared" si="11"/>
        <v>6118.7195999999994</v>
      </c>
      <c r="AY20" s="110">
        <f>IFERROR(+LOOKUP(AX20,[6]TARIFAS!$A$4:$B$14,[6]TARIFAS!$A$4:$A$14),0)</f>
        <v>5081.41</v>
      </c>
      <c r="AZ20" s="110">
        <f t="shared" si="12"/>
        <v>1037.3095999999996</v>
      </c>
      <c r="BA20" s="110">
        <f>IFERROR(+LOOKUP(AX20,[6]TARIFAS!$A$4:$B$14,[6]TARIFAS!$D$4:$D$14),0)</f>
        <v>21.36</v>
      </c>
      <c r="BB20" s="110">
        <f t="shared" si="13"/>
        <v>221.56933055999991</v>
      </c>
      <c r="BC20" s="110">
        <f>IFERROR(+LOOKUP(AX20,[6]TARIFAS!$A$4:$B$14,[6]TARIFAS!$C$4:$C$14),0)</f>
        <v>538.20000000000005</v>
      </c>
      <c r="BD20" s="110">
        <f t="shared" si="14"/>
        <v>759.77</v>
      </c>
      <c r="BE20" s="110"/>
      <c r="BF20" s="110"/>
      <c r="BG20" s="110"/>
      <c r="BH20" s="109"/>
    </row>
    <row r="21" spans="1:61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1" t="s">
        <v>37</v>
      </c>
      <c r="F21" s="101" t="s">
        <v>38</v>
      </c>
      <c r="G21" s="101">
        <v>15</v>
      </c>
      <c r="H21" s="101">
        <v>421.49</v>
      </c>
      <c r="I21" s="160" t="s">
        <v>149</v>
      </c>
      <c r="J21" s="101">
        <v>6322.35</v>
      </c>
      <c r="K21" s="101" t="s">
        <v>37</v>
      </c>
      <c r="L21" s="102">
        <v>1311</v>
      </c>
      <c r="M21" s="115">
        <v>100.935</v>
      </c>
      <c r="N21" s="101" t="s">
        <v>37</v>
      </c>
      <c r="O21" s="102">
        <v>1713</v>
      </c>
      <c r="P21" s="115">
        <v>351.5</v>
      </c>
      <c r="Q21" s="115">
        <v>406.32</v>
      </c>
      <c r="R21" s="103">
        <f t="shared" si="2"/>
        <v>189.6705</v>
      </c>
      <c r="S21" s="101" t="s">
        <v>37</v>
      </c>
      <c r="T21" s="102">
        <v>1712</v>
      </c>
      <c r="U21" s="104">
        <f t="shared" si="3"/>
        <v>595.9905</v>
      </c>
      <c r="V21" s="101"/>
      <c r="W21" s="102"/>
      <c r="X21" s="104"/>
      <c r="Y21" s="104">
        <f t="shared" si="4"/>
        <v>7370.7755000000006</v>
      </c>
      <c r="Z21" s="101" t="s">
        <v>39</v>
      </c>
      <c r="AA21" s="102">
        <v>1431</v>
      </c>
      <c r="AB21" s="104">
        <f t="shared" si="5"/>
        <v>600.6232500000001</v>
      </c>
      <c r="AC21" s="101" t="s">
        <v>39</v>
      </c>
      <c r="AD21" s="105" t="s">
        <v>40</v>
      </c>
      <c r="AE21" s="115">
        <v>1405</v>
      </c>
      <c r="AF21" s="101" t="s">
        <v>39</v>
      </c>
      <c r="AG21" s="105" t="s">
        <v>41</v>
      </c>
      <c r="AH21" s="103">
        <f t="shared" si="6"/>
        <v>1027.21</v>
      </c>
      <c r="AI21" s="101" t="s">
        <v>39</v>
      </c>
      <c r="AJ21" s="105" t="s">
        <v>42</v>
      </c>
      <c r="AK21" s="103">
        <v>0</v>
      </c>
      <c r="AL21" s="101" t="s">
        <v>39</v>
      </c>
      <c r="AM21" s="105" t="s">
        <v>43</v>
      </c>
      <c r="AN21" s="115">
        <v>0</v>
      </c>
      <c r="AO21" s="101" t="s">
        <v>39</v>
      </c>
      <c r="AP21" s="105">
        <v>1431</v>
      </c>
      <c r="AQ21" s="103">
        <v>0</v>
      </c>
      <c r="AR21" s="104">
        <f t="shared" si="7"/>
        <v>3032.8332500000001</v>
      </c>
      <c r="AS21" s="106">
        <f t="shared" si="8"/>
        <v>4337.9422500000001</v>
      </c>
      <c r="AT21" s="113"/>
      <c r="AU21" s="108"/>
      <c r="AV21" s="109">
        <f t="shared" si="9"/>
        <v>15</v>
      </c>
      <c r="AW21" s="109">
        <f t="shared" si="10"/>
        <v>7370.7755000000006</v>
      </c>
      <c r="AX21" s="110">
        <f t="shared" si="11"/>
        <v>7370.7755000000006</v>
      </c>
      <c r="AY21" s="110">
        <f>IFERROR(+LOOKUP(AX21,[6]TARIFAS!$A$4:$B$14,[6]TARIFAS!$A$4:$A$14),0)</f>
        <v>5081.41</v>
      </c>
      <c r="AZ21" s="110">
        <f t="shared" si="12"/>
        <v>2289.3655000000008</v>
      </c>
      <c r="BA21" s="110">
        <f>IFERROR(+LOOKUP(AX21,[6]TARIFAS!$A$4:$B$14,[6]TARIFAS!$D$4:$D$14),0)</f>
        <v>21.36</v>
      </c>
      <c r="BB21" s="110">
        <f t="shared" si="13"/>
        <v>489.00847080000017</v>
      </c>
      <c r="BC21" s="110">
        <f>IFERROR(+LOOKUP(AX21,[6]TARIFAS!$A$4:$B$14,[6]TARIFAS!$C$4:$C$14),0)</f>
        <v>538.20000000000005</v>
      </c>
      <c r="BD21" s="110">
        <f t="shared" si="14"/>
        <v>1027.21</v>
      </c>
      <c r="BE21" s="110"/>
      <c r="BF21" s="110"/>
      <c r="BG21" s="110"/>
      <c r="BH21" s="109"/>
    </row>
    <row r="22" spans="1:61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1" t="s">
        <v>37</v>
      </c>
      <c r="F22" s="101" t="s">
        <v>38</v>
      </c>
      <c r="G22" s="101">
        <v>15</v>
      </c>
      <c r="H22" s="101">
        <v>421.49</v>
      </c>
      <c r="I22" s="160" t="s">
        <v>151</v>
      </c>
      <c r="J22" s="101">
        <v>6322.35</v>
      </c>
      <c r="K22" s="101" t="s">
        <v>37</v>
      </c>
      <c r="L22" s="102">
        <v>1311</v>
      </c>
      <c r="M22" s="115">
        <v>67.290000000000006</v>
      </c>
      <c r="N22" s="101" t="s">
        <v>37</v>
      </c>
      <c r="O22" s="102">
        <v>1713</v>
      </c>
      <c r="P22" s="115">
        <v>351.5</v>
      </c>
      <c r="Q22" s="115">
        <v>406.32</v>
      </c>
      <c r="R22" s="103">
        <f t="shared" si="2"/>
        <v>189.6705</v>
      </c>
      <c r="S22" s="101" t="s">
        <v>37</v>
      </c>
      <c r="T22" s="102">
        <v>1712</v>
      </c>
      <c r="U22" s="104">
        <f t="shared" si="3"/>
        <v>595.9905</v>
      </c>
      <c r="V22" s="101"/>
      <c r="W22" s="102"/>
      <c r="X22" s="104"/>
      <c r="Y22" s="104">
        <f t="shared" si="4"/>
        <v>7337.1305000000002</v>
      </c>
      <c r="Z22" s="101" t="s">
        <v>39</v>
      </c>
      <c r="AA22" s="102">
        <v>1431</v>
      </c>
      <c r="AB22" s="104">
        <f t="shared" si="5"/>
        <v>600.6232500000001</v>
      </c>
      <c r="AC22" s="101" t="s">
        <v>39</v>
      </c>
      <c r="AD22" s="105" t="s">
        <v>40</v>
      </c>
      <c r="AE22" s="115">
        <v>2108</v>
      </c>
      <c r="AF22" s="101" t="s">
        <v>39</v>
      </c>
      <c r="AG22" s="105" t="s">
        <v>41</v>
      </c>
      <c r="AH22" s="103">
        <f t="shared" si="6"/>
        <v>1020.02</v>
      </c>
      <c r="AI22" s="101" t="s">
        <v>39</v>
      </c>
      <c r="AJ22" s="105" t="s">
        <v>42</v>
      </c>
      <c r="AK22" s="103">
        <f>(J22*1%)</f>
        <v>63.223500000000008</v>
      </c>
      <c r="AL22" s="101" t="s">
        <v>39</v>
      </c>
      <c r="AM22" s="105" t="s">
        <v>43</v>
      </c>
      <c r="AN22" s="115">
        <v>0</v>
      </c>
      <c r="AO22" s="101" t="s">
        <v>39</v>
      </c>
      <c r="AP22" s="105">
        <v>1431</v>
      </c>
      <c r="AQ22" s="103">
        <v>0</v>
      </c>
      <c r="AR22" s="104">
        <f t="shared" si="7"/>
        <v>3791.8667500000001</v>
      </c>
      <c r="AS22" s="106">
        <f t="shared" si="8"/>
        <v>3545.2637500000001</v>
      </c>
      <c r="AT22" s="113"/>
      <c r="AU22" s="108"/>
      <c r="AV22" s="109">
        <f t="shared" si="9"/>
        <v>15</v>
      </c>
      <c r="AW22" s="109">
        <f t="shared" si="10"/>
        <v>7337.1305000000002</v>
      </c>
      <c r="AX22" s="110">
        <f t="shared" si="11"/>
        <v>7337.1305000000002</v>
      </c>
      <c r="AY22" s="110">
        <f>IFERROR(+LOOKUP(AX22,[6]TARIFAS!$A$4:$B$14,[6]TARIFAS!$A$4:$A$14),0)</f>
        <v>5081.41</v>
      </c>
      <c r="AZ22" s="110">
        <f t="shared" si="12"/>
        <v>2255.7205000000004</v>
      </c>
      <c r="BA22" s="110">
        <f>IFERROR(+LOOKUP(AX22,[6]TARIFAS!$A$4:$B$14,[6]TARIFAS!$D$4:$D$14),0)</f>
        <v>21.36</v>
      </c>
      <c r="BB22" s="110">
        <f t="shared" si="13"/>
        <v>481.82189880000004</v>
      </c>
      <c r="BC22" s="110">
        <f>IFERROR(+LOOKUP(AX22,[6]TARIFAS!$A$4:$B$14,[6]TARIFAS!$C$4:$C$14),0)</f>
        <v>538.20000000000005</v>
      </c>
      <c r="BD22" s="110">
        <f t="shared" si="14"/>
        <v>1020.02</v>
      </c>
      <c r="BE22" s="110"/>
      <c r="BF22" s="110"/>
      <c r="BG22" s="110"/>
      <c r="BH22" s="109"/>
    </row>
    <row r="23" spans="1:61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1" t="s">
        <v>37</v>
      </c>
      <c r="F23" s="101" t="s">
        <v>38</v>
      </c>
      <c r="G23" s="101">
        <v>15</v>
      </c>
      <c r="H23" s="101">
        <v>421.49</v>
      </c>
      <c r="I23" s="160" t="s">
        <v>149</v>
      </c>
      <c r="J23" s="101">
        <v>6322.35</v>
      </c>
      <c r="K23" s="101" t="s">
        <v>37</v>
      </c>
      <c r="L23" s="102">
        <v>1311</v>
      </c>
      <c r="M23" s="115">
        <v>0</v>
      </c>
      <c r="N23" s="101" t="s">
        <v>37</v>
      </c>
      <c r="O23" s="102">
        <v>1713</v>
      </c>
      <c r="P23" s="115">
        <v>351.5</v>
      </c>
      <c r="Q23" s="115">
        <v>406.32</v>
      </c>
      <c r="R23" s="103">
        <f t="shared" si="2"/>
        <v>189.6705</v>
      </c>
      <c r="S23" s="101" t="s">
        <v>37</v>
      </c>
      <c r="T23" s="102">
        <v>1712</v>
      </c>
      <c r="U23" s="104">
        <f t="shared" si="3"/>
        <v>595.9905</v>
      </c>
      <c r="V23" s="101"/>
      <c r="W23" s="102"/>
      <c r="X23" s="104"/>
      <c r="Y23" s="104">
        <f t="shared" si="4"/>
        <v>7269.8405000000002</v>
      </c>
      <c r="Z23" s="101" t="s">
        <v>39</v>
      </c>
      <c r="AA23" s="102">
        <v>1431</v>
      </c>
      <c r="AB23" s="104">
        <f t="shared" si="5"/>
        <v>600.6232500000001</v>
      </c>
      <c r="AC23" s="101" t="s">
        <v>39</v>
      </c>
      <c r="AD23" s="105" t="s">
        <v>40</v>
      </c>
      <c r="AE23" s="115">
        <v>0</v>
      </c>
      <c r="AF23" s="101" t="s">
        <v>39</v>
      </c>
      <c r="AG23" s="105" t="s">
        <v>41</v>
      </c>
      <c r="AH23" s="103">
        <f t="shared" si="6"/>
        <v>1005.65</v>
      </c>
      <c r="AI23" s="101" t="s">
        <v>39</v>
      </c>
      <c r="AJ23" s="105" t="s">
        <v>42</v>
      </c>
      <c r="AK23" s="103">
        <f>(J23*1%)</f>
        <v>63.223500000000008</v>
      </c>
      <c r="AL23" s="101" t="s">
        <v>39</v>
      </c>
      <c r="AM23" s="105" t="s">
        <v>43</v>
      </c>
      <c r="AN23" s="115">
        <v>0</v>
      </c>
      <c r="AO23" s="101" t="s">
        <v>39</v>
      </c>
      <c r="AP23" s="105">
        <v>1431</v>
      </c>
      <c r="AQ23" s="103">
        <v>0</v>
      </c>
      <c r="AR23" s="104">
        <f t="shared" si="7"/>
        <v>1669.4967500000002</v>
      </c>
      <c r="AS23" s="106">
        <f t="shared" si="8"/>
        <v>5600.34375</v>
      </c>
      <c r="AT23" s="113"/>
      <c r="AU23" s="108"/>
      <c r="AV23" s="109">
        <f t="shared" si="9"/>
        <v>15</v>
      </c>
      <c r="AW23" s="109">
        <f t="shared" si="10"/>
        <v>7269.8405000000002</v>
      </c>
      <c r="AX23" s="110">
        <f t="shared" si="11"/>
        <v>7269.8405000000002</v>
      </c>
      <c r="AY23" s="110">
        <f>IFERROR(+LOOKUP(AX23,[6]TARIFAS!$A$4:$B$14,[6]TARIFAS!$A$4:$A$14),0)</f>
        <v>5081.41</v>
      </c>
      <c r="AZ23" s="110">
        <f t="shared" si="12"/>
        <v>2188.4305000000004</v>
      </c>
      <c r="BA23" s="110">
        <f>IFERROR(+LOOKUP(AX23,[6]TARIFAS!$A$4:$B$14,[6]TARIFAS!$D$4:$D$14),0)</f>
        <v>21.36</v>
      </c>
      <c r="BB23" s="110">
        <f t="shared" si="13"/>
        <v>467.44875480000007</v>
      </c>
      <c r="BC23" s="110">
        <f>IFERROR(+LOOKUP(AX23,[6]TARIFAS!$A$4:$B$14,[6]TARIFAS!$C$4:$C$14),0)</f>
        <v>538.20000000000005</v>
      </c>
      <c r="BD23" s="110">
        <f t="shared" si="14"/>
        <v>1005.65</v>
      </c>
      <c r="BE23" s="110"/>
      <c r="BF23" s="110"/>
      <c r="BG23" s="110"/>
      <c r="BH23" s="109"/>
    </row>
    <row r="24" spans="1:61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1" t="s">
        <v>37</v>
      </c>
      <c r="F24" s="101" t="s">
        <v>38</v>
      </c>
      <c r="G24" s="101">
        <v>15</v>
      </c>
      <c r="H24" s="101">
        <v>325.036</v>
      </c>
      <c r="I24" s="160" t="s">
        <v>150</v>
      </c>
      <c r="J24" s="101">
        <v>4875.54</v>
      </c>
      <c r="K24" s="101" t="s">
        <v>37</v>
      </c>
      <c r="L24" s="102">
        <v>1311</v>
      </c>
      <c r="M24" s="115">
        <v>0</v>
      </c>
      <c r="N24" s="101" t="s">
        <v>37</v>
      </c>
      <c r="O24" s="102">
        <v>1713</v>
      </c>
      <c r="P24" s="115">
        <v>207.91</v>
      </c>
      <c r="Q24" s="115">
        <v>371.02</v>
      </c>
      <c r="R24" s="103">
        <f t="shared" si="2"/>
        <v>146.2662</v>
      </c>
      <c r="S24" s="101" t="s">
        <v>37</v>
      </c>
      <c r="T24" s="102">
        <v>1712</v>
      </c>
      <c r="U24" s="104">
        <f t="shared" si="3"/>
        <v>517.28620000000001</v>
      </c>
      <c r="V24" s="101"/>
      <c r="W24" s="102"/>
      <c r="X24" s="104"/>
      <c r="Y24" s="104">
        <f t="shared" si="4"/>
        <v>5600.7361999999994</v>
      </c>
      <c r="Z24" s="101" t="s">
        <v>39</v>
      </c>
      <c r="AA24" s="102">
        <v>1431</v>
      </c>
      <c r="AB24" s="104">
        <f t="shared" si="5"/>
        <v>463.17630000000003</v>
      </c>
      <c r="AC24" s="101" t="s">
        <v>39</v>
      </c>
      <c r="AD24" s="105" t="s">
        <v>40</v>
      </c>
      <c r="AE24" s="115">
        <v>0</v>
      </c>
      <c r="AF24" s="101" t="s">
        <v>39</v>
      </c>
      <c r="AG24" s="105" t="s">
        <v>41</v>
      </c>
      <c r="AH24" s="103">
        <f t="shared" si="6"/>
        <v>649.13</v>
      </c>
      <c r="AI24" s="101" t="s">
        <v>39</v>
      </c>
      <c r="AJ24" s="105" t="s">
        <v>42</v>
      </c>
      <c r="AK24" s="103">
        <f>(J24*1%)</f>
        <v>48.755400000000002</v>
      </c>
      <c r="AL24" s="101" t="s">
        <v>39</v>
      </c>
      <c r="AM24" s="105" t="s">
        <v>43</v>
      </c>
      <c r="AN24" s="115">
        <v>0</v>
      </c>
      <c r="AO24" s="101" t="s">
        <v>39</v>
      </c>
      <c r="AP24" s="105">
        <v>1431</v>
      </c>
      <c r="AQ24" s="103">
        <v>0</v>
      </c>
      <c r="AR24" s="104">
        <f t="shared" si="7"/>
        <v>1161.0617</v>
      </c>
      <c r="AS24" s="106">
        <f t="shared" si="8"/>
        <v>4439.6744999999992</v>
      </c>
      <c r="AT24" s="113"/>
      <c r="AU24" s="108"/>
      <c r="AV24" s="109">
        <f t="shared" si="9"/>
        <v>15</v>
      </c>
      <c r="AW24" s="109">
        <f t="shared" si="10"/>
        <v>5600.7361999999994</v>
      </c>
      <c r="AX24" s="110">
        <f t="shared" si="11"/>
        <v>5600.7361999999994</v>
      </c>
      <c r="AY24" s="110">
        <f>IFERROR(+LOOKUP(AX24,[6]TARIFAS!$A$4:$B$14,[6]TARIFAS!$A$4:$A$14),0)</f>
        <v>5081.41</v>
      </c>
      <c r="AZ24" s="110">
        <f t="shared" si="12"/>
        <v>519.32619999999952</v>
      </c>
      <c r="BA24" s="110">
        <f>IFERROR(+LOOKUP(AX24,[6]TARIFAS!$A$4:$B$14,[6]TARIFAS!$D$4:$D$14),0)</f>
        <v>21.36</v>
      </c>
      <c r="BB24" s="110">
        <f t="shared" si="13"/>
        <v>110.92807631999989</v>
      </c>
      <c r="BC24" s="110">
        <f>IFERROR(+LOOKUP(AX24,[6]TARIFAS!$A$4:$B$14,[6]TARIFAS!$C$4:$C$14),0)</f>
        <v>538.20000000000005</v>
      </c>
      <c r="BD24" s="110">
        <f t="shared" si="14"/>
        <v>649.13</v>
      </c>
      <c r="BE24" s="110"/>
      <c r="BF24" s="110"/>
      <c r="BG24" s="110"/>
      <c r="BH24" s="109"/>
    </row>
    <row r="25" spans="1:61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1" t="s">
        <v>37</v>
      </c>
      <c r="F25" s="101" t="s">
        <v>38</v>
      </c>
      <c r="G25" s="101">
        <v>15</v>
      </c>
      <c r="H25" s="101">
        <v>421.49</v>
      </c>
      <c r="I25" s="160" t="s">
        <v>151</v>
      </c>
      <c r="J25" s="101">
        <v>6322.35</v>
      </c>
      <c r="K25" s="101" t="s">
        <v>37</v>
      </c>
      <c r="L25" s="102">
        <v>1311</v>
      </c>
      <c r="M25" s="115">
        <v>0</v>
      </c>
      <c r="N25" s="101" t="s">
        <v>37</v>
      </c>
      <c r="O25" s="102">
        <v>1713</v>
      </c>
      <c r="P25" s="115">
        <v>351.5</v>
      </c>
      <c r="Q25" s="115">
        <v>406.32</v>
      </c>
      <c r="R25" s="103">
        <f t="shared" si="2"/>
        <v>189.6705</v>
      </c>
      <c r="S25" s="101" t="s">
        <v>37</v>
      </c>
      <c r="T25" s="102">
        <v>1712</v>
      </c>
      <c r="U25" s="104">
        <f t="shared" si="3"/>
        <v>595.9905</v>
      </c>
      <c r="V25" s="101"/>
      <c r="W25" s="102"/>
      <c r="X25" s="104"/>
      <c r="Y25" s="104">
        <f t="shared" si="4"/>
        <v>7269.8405000000002</v>
      </c>
      <c r="Z25" s="101" t="s">
        <v>39</v>
      </c>
      <c r="AA25" s="102">
        <v>1431</v>
      </c>
      <c r="AB25" s="104">
        <f t="shared" si="5"/>
        <v>600.6232500000001</v>
      </c>
      <c r="AC25" s="101" t="s">
        <v>39</v>
      </c>
      <c r="AD25" s="105" t="s">
        <v>40</v>
      </c>
      <c r="AE25" s="115">
        <v>1687</v>
      </c>
      <c r="AF25" s="101" t="s">
        <v>39</v>
      </c>
      <c r="AG25" s="105" t="s">
        <v>41</v>
      </c>
      <c r="AH25" s="103">
        <f t="shared" si="6"/>
        <v>1005.65</v>
      </c>
      <c r="AI25" s="101" t="s">
        <v>39</v>
      </c>
      <c r="AJ25" s="105" t="s">
        <v>42</v>
      </c>
      <c r="AK25" s="103">
        <f>(J25*1%)</f>
        <v>63.223500000000008</v>
      </c>
      <c r="AL25" s="101" t="s">
        <v>39</v>
      </c>
      <c r="AM25" s="105" t="s">
        <v>43</v>
      </c>
      <c r="AN25" s="115">
        <v>0</v>
      </c>
      <c r="AO25" s="101" t="s">
        <v>39</v>
      </c>
      <c r="AP25" s="105">
        <v>1431</v>
      </c>
      <c r="AQ25" s="103">
        <v>0</v>
      </c>
      <c r="AR25" s="104">
        <f t="shared" si="7"/>
        <v>3356.4967500000002</v>
      </c>
      <c r="AS25" s="106">
        <f t="shared" si="8"/>
        <v>3913.34375</v>
      </c>
      <c r="AT25" s="113"/>
      <c r="AU25" s="108"/>
      <c r="AV25" s="109">
        <f t="shared" si="9"/>
        <v>15</v>
      </c>
      <c r="AW25" s="109">
        <f t="shared" si="10"/>
        <v>7269.8405000000002</v>
      </c>
      <c r="AX25" s="110">
        <f t="shared" si="11"/>
        <v>7269.8405000000002</v>
      </c>
      <c r="AY25" s="110">
        <f>IFERROR(+LOOKUP(AX25,[6]TARIFAS!$A$4:$B$14,[6]TARIFAS!$A$4:$A$14),0)</f>
        <v>5081.41</v>
      </c>
      <c r="AZ25" s="110">
        <f t="shared" si="12"/>
        <v>2188.4305000000004</v>
      </c>
      <c r="BA25" s="110">
        <f>IFERROR(+LOOKUP(AX25,[6]TARIFAS!$A$4:$B$14,[6]TARIFAS!$D$4:$D$14),0)</f>
        <v>21.36</v>
      </c>
      <c r="BB25" s="110">
        <f t="shared" si="13"/>
        <v>467.44875480000007</v>
      </c>
      <c r="BC25" s="110">
        <f>IFERROR(+LOOKUP(AX25,[6]TARIFAS!$A$4:$B$14,[6]TARIFAS!$C$4:$C$14),0)</f>
        <v>538.20000000000005</v>
      </c>
      <c r="BD25" s="110">
        <f t="shared" si="14"/>
        <v>1005.65</v>
      </c>
      <c r="BE25" s="110"/>
      <c r="BF25" s="110"/>
      <c r="BG25" s="110"/>
      <c r="BH25" s="109"/>
    </row>
    <row r="26" spans="1:61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1" t="s">
        <v>37</v>
      </c>
      <c r="F26" s="101" t="s">
        <v>38</v>
      </c>
      <c r="G26" s="101">
        <v>15</v>
      </c>
      <c r="H26" s="101">
        <v>325.036</v>
      </c>
      <c r="I26" s="160" t="s">
        <v>149</v>
      </c>
      <c r="J26" s="101">
        <v>4875.54</v>
      </c>
      <c r="K26" s="101" t="s">
        <v>37</v>
      </c>
      <c r="L26" s="102">
        <v>1311</v>
      </c>
      <c r="M26" s="115">
        <v>0</v>
      </c>
      <c r="N26" s="101" t="s">
        <v>37</v>
      </c>
      <c r="O26" s="102">
        <v>1713</v>
      </c>
      <c r="P26" s="115">
        <v>207.91</v>
      </c>
      <c r="Q26" s="115">
        <v>371.02</v>
      </c>
      <c r="R26" s="103">
        <f t="shared" si="2"/>
        <v>146.2662</v>
      </c>
      <c r="S26" s="101" t="s">
        <v>37</v>
      </c>
      <c r="T26" s="102">
        <v>1712</v>
      </c>
      <c r="U26" s="104">
        <f t="shared" si="3"/>
        <v>517.28620000000001</v>
      </c>
      <c r="V26" s="101"/>
      <c r="W26" s="102"/>
      <c r="X26" s="104"/>
      <c r="Y26" s="104">
        <f t="shared" si="4"/>
        <v>5600.7361999999994</v>
      </c>
      <c r="Z26" s="101" t="s">
        <v>39</v>
      </c>
      <c r="AA26" s="102">
        <v>1431</v>
      </c>
      <c r="AB26" s="104">
        <f t="shared" si="5"/>
        <v>463.17630000000003</v>
      </c>
      <c r="AC26" s="101" t="s">
        <v>39</v>
      </c>
      <c r="AD26" s="105" t="s">
        <v>40</v>
      </c>
      <c r="AE26" s="115">
        <v>0</v>
      </c>
      <c r="AF26" s="101" t="s">
        <v>39</v>
      </c>
      <c r="AG26" s="105" t="s">
        <v>41</v>
      </c>
      <c r="AH26" s="103">
        <f t="shared" si="6"/>
        <v>649.13</v>
      </c>
      <c r="AI26" s="101" t="s">
        <v>39</v>
      </c>
      <c r="AJ26" s="105" t="s">
        <v>42</v>
      </c>
      <c r="AK26" s="103">
        <f>(J26*1%)</f>
        <v>48.755400000000002</v>
      </c>
      <c r="AL26" s="101" t="s">
        <v>39</v>
      </c>
      <c r="AM26" s="105" t="s">
        <v>43</v>
      </c>
      <c r="AN26" s="115">
        <v>0</v>
      </c>
      <c r="AO26" s="101" t="s">
        <v>39</v>
      </c>
      <c r="AP26" s="105">
        <v>1431</v>
      </c>
      <c r="AQ26" s="103">
        <v>0</v>
      </c>
      <c r="AR26" s="104">
        <f t="shared" si="7"/>
        <v>1161.0617</v>
      </c>
      <c r="AS26" s="106">
        <f t="shared" si="8"/>
        <v>4439.6744999999992</v>
      </c>
      <c r="AT26" s="113"/>
      <c r="AU26" s="108"/>
      <c r="AV26" s="109">
        <f t="shared" si="9"/>
        <v>15</v>
      </c>
      <c r="AW26" s="109">
        <f t="shared" si="10"/>
        <v>5600.7361999999994</v>
      </c>
      <c r="AX26" s="110">
        <f t="shared" si="11"/>
        <v>5600.7361999999994</v>
      </c>
      <c r="AY26" s="110">
        <f>IFERROR(+LOOKUP(AX26,[6]TARIFAS!$A$4:$B$14,[6]TARIFAS!$A$4:$A$14),0)</f>
        <v>5081.41</v>
      </c>
      <c r="AZ26" s="110">
        <f t="shared" si="12"/>
        <v>519.32619999999952</v>
      </c>
      <c r="BA26" s="110">
        <f>IFERROR(+LOOKUP(AX26,[6]TARIFAS!$A$4:$B$14,[6]TARIFAS!$D$4:$D$14),0)</f>
        <v>21.36</v>
      </c>
      <c r="BB26" s="110">
        <f t="shared" si="13"/>
        <v>110.92807631999989</v>
      </c>
      <c r="BC26" s="110">
        <f>IFERROR(+LOOKUP(AX26,[6]TARIFAS!$A$4:$B$14,[6]TARIFAS!$C$4:$C$14),0)</f>
        <v>538.20000000000005</v>
      </c>
      <c r="BD26" s="110">
        <f t="shared" si="14"/>
        <v>649.13</v>
      </c>
      <c r="BE26" s="110"/>
      <c r="BF26" s="110"/>
      <c r="BG26" s="110"/>
      <c r="BH26" s="109"/>
    </row>
    <row r="27" spans="1:61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1" t="s">
        <v>37</v>
      </c>
      <c r="F27" s="101" t="s">
        <v>38</v>
      </c>
      <c r="G27" s="101">
        <v>15</v>
      </c>
      <c r="H27" s="101">
        <v>1029.4333333333334</v>
      </c>
      <c r="I27" s="160" t="s">
        <v>146</v>
      </c>
      <c r="J27" s="101">
        <v>15441.5</v>
      </c>
      <c r="K27" s="101" t="s">
        <v>37</v>
      </c>
      <c r="L27" s="102">
        <v>1311</v>
      </c>
      <c r="M27" s="115">
        <v>0</v>
      </c>
      <c r="N27" s="101" t="s">
        <v>37</v>
      </c>
      <c r="O27" s="102">
        <v>1713</v>
      </c>
      <c r="P27" s="115">
        <v>566.5</v>
      </c>
      <c r="Q27" s="115">
        <v>835.5</v>
      </c>
      <c r="R27" s="103">
        <f t="shared" si="2"/>
        <v>463.245</v>
      </c>
      <c r="S27" s="101" t="s">
        <v>37</v>
      </c>
      <c r="T27" s="102">
        <v>1712</v>
      </c>
      <c r="U27" s="104">
        <f t="shared" si="3"/>
        <v>1298.7449999999999</v>
      </c>
      <c r="V27" s="101"/>
      <c r="W27" s="102"/>
      <c r="X27" s="104"/>
      <c r="Y27" s="104">
        <f t="shared" si="4"/>
        <v>17306.744999999999</v>
      </c>
      <c r="Z27" s="101" t="s">
        <v>39</v>
      </c>
      <c r="AA27" s="102">
        <v>1431</v>
      </c>
      <c r="AB27" s="104">
        <f t="shared" si="5"/>
        <v>1466.9425000000001</v>
      </c>
      <c r="AC27" s="101" t="s">
        <v>39</v>
      </c>
      <c r="AD27" s="105" t="s">
        <v>40</v>
      </c>
      <c r="AE27" s="115">
        <v>0</v>
      </c>
      <c r="AF27" s="101" t="s">
        <v>39</v>
      </c>
      <c r="AG27" s="105" t="s">
        <v>41</v>
      </c>
      <c r="AH27" s="103">
        <f t="shared" si="6"/>
        <v>3376.71</v>
      </c>
      <c r="AI27" s="101" t="s">
        <v>39</v>
      </c>
      <c r="AJ27" s="105" t="s">
        <v>42</v>
      </c>
      <c r="AK27" s="103">
        <v>0</v>
      </c>
      <c r="AL27" s="101" t="s">
        <v>39</v>
      </c>
      <c r="AM27" s="105" t="s">
        <v>43</v>
      </c>
      <c r="AN27" s="115">
        <v>0</v>
      </c>
      <c r="AO27" s="101" t="s">
        <v>39</v>
      </c>
      <c r="AP27" s="105">
        <v>1431</v>
      </c>
      <c r="AQ27" s="103">
        <v>0</v>
      </c>
      <c r="AR27" s="104">
        <f t="shared" si="7"/>
        <v>4843.6525000000001</v>
      </c>
      <c r="AS27" s="106">
        <f t="shared" si="8"/>
        <v>12463.092499999999</v>
      </c>
      <c r="AT27" s="113"/>
      <c r="AU27" s="108"/>
      <c r="AV27" s="111">
        <f t="shared" si="9"/>
        <v>15</v>
      </c>
      <c r="AW27" s="109">
        <f t="shared" si="10"/>
        <v>17306.745000000003</v>
      </c>
      <c r="AX27" s="119">
        <f>IFERROR(+AW27/AV27,0)*AV27</f>
        <v>17306.745000000003</v>
      </c>
      <c r="AY27" s="119">
        <f>IFERROR(+LOOKUP(AX27,[6]TARIFAS!$A$4:$B$14,[6]TARIFAS!$A$4:$A$14),0)</f>
        <v>16153.06</v>
      </c>
      <c r="AZ27" s="119">
        <f>+AX27-AY27</f>
        <v>1153.6850000000031</v>
      </c>
      <c r="BA27" s="119">
        <f>IFERROR(+LOOKUP(AX27,[6]TARIFAS!$A$4:$B$14,[6]TARIFAS!$D$4:$D$14),0)</f>
        <v>30</v>
      </c>
      <c r="BB27" s="119">
        <f>(+AZ27*BA27)/100</f>
        <v>346.10550000000092</v>
      </c>
      <c r="BC27" s="119">
        <f>IFERROR(+LOOKUP(AX27,[6]TARIFAS!$A$4:$B$14,[6]TARIFAS!$C$4:$C$14),0)</f>
        <v>3030.6</v>
      </c>
      <c r="BD27" s="119">
        <f>ROUND(+BB27+BC27,2)</f>
        <v>3376.71</v>
      </c>
      <c r="BE27" s="119"/>
      <c r="BF27" s="119"/>
      <c r="BG27" s="119"/>
      <c r="BI27" s="120"/>
    </row>
    <row r="28" spans="1:61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1" t="s">
        <v>37</v>
      </c>
      <c r="F28" s="101" t="s">
        <v>38</v>
      </c>
      <c r="G28" s="101">
        <v>15</v>
      </c>
      <c r="H28" s="101">
        <v>1958.6333333333334</v>
      </c>
      <c r="I28" s="160" t="s">
        <v>148</v>
      </c>
      <c r="J28" s="101">
        <v>29379.5</v>
      </c>
      <c r="K28" s="101" t="s">
        <v>37</v>
      </c>
      <c r="L28" s="102">
        <v>1311</v>
      </c>
      <c r="M28" s="115">
        <v>0</v>
      </c>
      <c r="N28" s="101" t="s">
        <v>37</v>
      </c>
      <c r="O28" s="102">
        <v>1713</v>
      </c>
      <c r="P28" s="116">
        <v>808.5</v>
      </c>
      <c r="Q28" s="115">
        <v>1144</v>
      </c>
      <c r="R28" s="103">
        <f t="shared" si="2"/>
        <v>881.38499999999999</v>
      </c>
      <c r="S28" s="101" t="s">
        <v>37</v>
      </c>
      <c r="T28" s="102">
        <v>1712</v>
      </c>
      <c r="U28" s="104">
        <f t="shared" si="3"/>
        <v>2025.385</v>
      </c>
      <c r="V28" s="101"/>
      <c r="W28" s="102"/>
      <c r="X28" s="104"/>
      <c r="Y28" s="104">
        <f t="shared" si="4"/>
        <v>32213.384999999998</v>
      </c>
      <c r="Z28" s="101" t="s">
        <v>39</v>
      </c>
      <c r="AA28" s="102">
        <v>1431</v>
      </c>
      <c r="AB28" s="104">
        <f t="shared" si="5"/>
        <v>2791.0525000000002</v>
      </c>
      <c r="AC28" s="101" t="s">
        <v>39</v>
      </c>
      <c r="AD28" s="105" t="s">
        <v>40</v>
      </c>
      <c r="AE28" s="115">
        <v>4897</v>
      </c>
      <c r="AF28" s="101" t="s">
        <v>39</v>
      </c>
      <c r="AG28" s="105" t="s">
        <v>41</v>
      </c>
      <c r="AH28" s="103">
        <f t="shared" si="6"/>
        <v>7876.11</v>
      </c>
      <c r="AI28" s="101" t="s">
        <v>39</v>
      </c>
      <c r="AJ28" s="105" t="s">
        <v>42</v>
      </c>
      <c r="AK28" s="103">
        <v>0</v>
      </c>
      <c r="AL28" s="101" t="s">
        <v>39</v>
      </c>
      <c r="AM28" s="105" t="s">
        <v>43</v>
      </c>
      <c r="AN28" s="115">
        <v>0</v>
      </c>
      <c r="AO28" s="101" t="s">
        <v>39</v>
      </c>
      <c r="AP28" s="105">
        <v>1431</v>
      </c>
      <c r="AQ28" s="103">
        <v>0</v>
      </c>
      <c r="AR28" s="104">
        <f t="shared" si="7"/>
        <v>15564.162499999999</v>
      </c>
      <c r="AS28" s="106">
        <f t="shared" si="8"/>
        <v>16649.2225</v>
      </c>
      <c r="AT28" s="113"/>
      <c r="AU28" s="108"/>
      <c r="AV28" s="109">
        <f t="shared" si="9"/>
        <v>15</v>
      </c>
      <c r="AW28" s="109">
        <f t="shared" si="10"/>
        <v>32213.384999999998</v>
      </c>
      <c r="AX28" s="110">
        <f t="shared" si="11"/>
        <v>32213.384999999995</v>
      </c>
      <c r="AY28" s="110">
        <f>IFERROR(+LOOKUP(AX28,[6]TARIFAS!$A$4:$B$14,[6]TARIFAS!$A$4:$A$14),0)</f>
        <v>30838.81</v>
      </c>
      <c r="AZ28" s="110">
        <f t="shared" si="12"/>
        <v>1374.5749999999935</v>
      </c>
      <c r="BA28" s="110">
        <f>IFERROR(+LOOKUP(AX28,[6]TARIFAS!$A$4:$B$14,[6]TARIFAS!$D$4:$D$14),0)</f>
        <v>32</v>
      </c>
      <c r="BB28" s="110">
        <f t="shared" si="13"/>
        <v>439.86399999999793</v>
      </c>
      <c r="BC28" s="110">
        <f>IFERROR(+LOOKUP(AX28,[6]TARIFAS!$A$4:$B$14,[6]TARIFAS!$C$4:$C$14),0)</f>
        <v>7436.25</v>
      </c>
      <c r="BD28" s="110">
        <f t="shared" si="14"/>
        <v>7876.11</v>
      </c>
      <c r="BE28" s="110"/>
      <c r="BF28" s="110"/>
      <c r="BG28" s="110"/>
      <c r="BH28" s="109"/>
    </row>
    <row r="29" spans="1:61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1" t="s">
        <v>37</v>
      </c>
      <c r="F29" s="101" t="s">
        <v>38</v>
      </c>
      <c r="G29" s="101">
        <v>15</v>
      </c>
      <c r="H29" s="101">
        <v>421.49</v>
      </c>
      <c r="I29" s="160" t="s">
        <v>151</v>
      </c>
      <c r="J29" s="101">
        <v>6322.35</v>
      </c>
      <c r="K29" s="101" t="s">
        <v>37</v>
      </c>
      <c r="L29" s="102">
        <v>1311</v>
      </c>
      <c r="M29" s="115">
        <v>0</v>
      </c>
      <c r="N29" s="101" t="s">
        <v>37</v>
      </c>
      <c r="O29" s="102">
        <v>1713</v>
      </c>
      <c r="P29" s="116">
        <v>351.5</v>
      </c>
      <c r="Q29" s="115">
        <v>406.32</v>
      </c>
      <c r="R29" s="103">
        <f t="shared" si="2"/>
        <v>189.6705</v>
      </c>
      <c r="S29" s="101" t="s">
        <v>37</v>
      </c>
      <c r="T29" s="102">
        <v>1712</v>
      </c>
      <c r="U29" s="104">
        <f t="shared" si="3"/>
        <v>595.9905</v>
      </c>
      <c r="V29" s="101"/>
      <c r="W29" s="102"/>
      <c r="X29" s="104"/>
      <c r="Y29" s="104">
        <f t="shared" si="4"/>
        <v>7269.8405000000002</v>
      </c>
      <c r="Z29" s="101" t="s">
        <v>39</v>
      </c>
      <c r="AA29" s="102">
        <v>1431</v>
      </c>
      <c r="AB29" s="104">
        <f t="shared" si="5"/>
        <v>600.6232500000001</v>
      </c>
      <c r="AC29" s="101" t="s">
        <v>39</v>
      </c>
      <c r="AD29" s="105" t="s">
        <v>40</v>
      </c>
      <c r="AE29" s="115">
        <v>0</v>
      </c>
      <c r="AF29" s="101" t="s">
        <v>39</v>
      </c>
      <c r="AG29" s="105" t="s">
        <v>41</v>
      </c>
      <c r="AH29" s="103">
        <f t="shared" si="6"/>
        <v>1005.65</v>
      </c>
      <c r="AI29" s="101" t="s">
        <v>39</v>
      </c>
      <c r="AJ29" s="105" t="s">
        <v>42</v>
      </c>
      <c r="AK29" s="103">
        <v>0</v>
      </c>
      <c r="AL29" s="101" t="s">
        <v>39</v>
      </c>
      <c r="AM29" s="105" t="s">
        <v>43</v>
      </c>
      <c r="AN29" s="115">
        <v>0</v>
      </c>
      <c r="AO29" s="101" t="s">
        <v>39</v>
      </c>
      <c r="AP29" s="105">
        <v>1431</v>
      </c>
      <c r="AQ29" s="103">
        <v>0</v>
      </c>
      <c r="AR29" s="104">
        <f t="shared" si="7"/>
        <v>1606.2732500000002</v>
      </c>
      <c r="AS29" s="106">
        <f t="shared" si="8"/>
        <v>5663.5672500000001</v>
      </c>
      <c r="AT29" s="113"/>
      <c r="AU29" s="108"/>
      <c r="AV29" s="109">
        <f t="shared" si="9"/>
        <v>15</v>
      </c>
      <c r="AW29" s="109">
        <f t="shared" si="10"/>
        <v>7269.8405000000002</v>
      </c>
      <c r="AX29" s="110">
        <f t="shared" si="11"/>
        <v>7269.8405000000002</v>
      </c>
      <c r="AY29" s="110">
        <f>IFERROR(+LOOKUP(AX29,[6]TARIFAS!$A$4:$B$14,[6]TARIFAS!$A$4:$A$14),0)</f>
        <v>5081.41</v>
      </c>
      <c r="AZ29" s="110">
        <f t="shared" si="12"/>
        <v>2188.4305000000004</v>
      </c>
      <c r="BA29" s="110">
        <f>IFERROR(+LOOKUP(AX29,[6]TARIFAS!$A$4:$B$14,[6]TARIFAS!$D$4:$D$14),0)</f>
        <v>21.36</v>
      </c>
      <c r="BB29" s="110">
        <f t="shared" si="13"/>
        <v>467.44875480000007</v>
      </c>
      <c r="BC29" s="110">
        <f>IFERROR(+LOOKUP(AX29,[6]TARIFAS!$A$4:$B$14,[6]TARIFAS!$C$4:$C$14),0)</f>
        <v>538.20000000000005</v>
      </c>
      <c r="BD29" s="110">
        <f>ROUND(+BB29+BC29,2)</f>
        <v>1005.65</v>
      </c>
      <c r="BE29" s="110"/>
      <c r="BF29" s="110"/>
      <c r="BG29" s="110"/>
      <c r="BH29" s="109"/>
    </row>
    <row r="30" spans="1:61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1" t="s">
        <v>37</v>
      </c>
      <c r="F30" s="101" t="s">
        <v>38</v>
      </c>
      <c r="G30" s="101">
        <v>15</v>
      </c>
      <c r="H30" s="101">
        <v>1029.4333333333334</v>
      </c>
      <c r="I30" s="160" t="s">
        <v>151</v>
      </c>
      <c r="J30" s="101">
        <v>15441.5</v>
      </c>
      <c r="K30" s="101" t="s">
        <v>37</v>
      </c>
      <c r="L30" s="102">
        <v>1311</v>
      </c>
      <c r="M30" s="103">
        <f>67.29</f>
        <v>67.290000000000006</v>
      </c>
      <c r="N30" s="101" t="s">
        <v>37</v>
      </c>
      <c r="O30" s="102">
        <v>1713</v>
      </c>
      <c r="P30" s="103">
        <v>566.5</v>
      </c>
      <c r="Q30" s="103">
        <v>835.5</v>
      </c>
      <c r="R30" s="103">
        <f t="shared" si="2"/>
        <v>463.245</v>
      </c>
      <c r="S30" s="101" t="s">
        <v>37</v>
      </c>
      <c r="T30" s="102">
        <v>1712</v>
      </c>
      <c r="U30" s="104">
        <f t="shared" si="3"/>
        <v>1298.7449999999999</v>
      </c>
      <c r="V30" s="101"/>
      <c r="W30" s="102"/>
      <c r="X30" s="104"/>
      <c r="Y30" s="104">
        <f t="shared" si="4"/>
        <v>17374.035</v>
      </c>
      <c r="Z30" s="101" t="s">
        <v>39</v>
      </c>
      <c r="AA30" s="102">
        <v>1431</v>
      </c>
      <c r="AB30" s="104">
        <f t="shared" si="5"/>
        <v>1466.9425000000001</v>
      </c>
      <c r="AC30" s="101" t="s">
        <v>39</v>
      </c>
      <c r="AD30" s="105" t="s">
        <v>40</v>
      </c>
      <c r="AE30" s="115">
        <v>0</v>
      </c>
      <c r="AF30" s="101" t="s">
        <v>39</v>
      </c>
      <c r="AG30" s="105" t="s">
        <v>41</v>
      </c>
      <c r="AH30" s="103">
        <f t="shared" si="6"/>
        <v>3396.89</v>
      </c>
      <c r="AI30" s="101" t="s">
        <v>39</v>
      </c>
      <c r="AJ30" s="105" t="s">
        <v>42</v>
      </c>
      <c r="AK30" s="103">
        <v>0</v>
      </c>
      <c r="AL30" s="101" t="s">
        <v>39</v>
      </c>
      <c r="AM30" s="105" t="s">
        <v>43</v>
      </c>
      <c r="AN30" s="115">
        <v>0</v>
      </c>
      <c r="AO30" s="101" t="s">
        <v>39</v>
      </c>
      <c r="AP30" s="105">
        <v>1431</v>
      </c>
      <c r="AQ30" s="103">
        <v>0</v>
      </c>
      <c r="AR30" s="104">
        <f t="shared" si="7"/>
        <v>4863.8325000000004</v>
      </c>
      <c r="AS30" s="106">
        <f t="shared" si="8"/>
        <v>12510.202499999999</v>
      </c>
      <c r="AT30" s="113"/>
      <c r="AU30" s="108"/>
      <c r="AV30" s="109">
        <f t="shared" si="9"/>
        <v>15</v>
      </c>
      <c r="AW30" s="109">
        <f t="shared" si="10"/>
        <v>17374.035000000003</v>
      </c>
      <c r="AX30" s="110">
        <f t="shared" si="11"/>
        <v>17374.035000000003</v>
      </c>
      <c r="AY30" s="110">
        <f>IFERROR(+LOOKUP(AX30,[6]TARIFAS!$A$4:$B$14,[6]TARIFAS!$A$4:$A$14),0)</f>
        <v>16153.06</v>
      </c>
      <c r="AZ30" s="110">
        <f t="shared" si="12"/>
        <v>1220.975000000004</v>
      </c>
      <c r="BA30" s="110">
        <f>IFERROR(+LOOKUP(AX30,[6]TARIFAS!$A$4:$B$14,[6]TARIFAS!$D$4:$D$14),0)</f>
        <v>30</v>
      </c>
      <c r="BB30" s="110">
        <f t="shared" si="13"/>
        <v>366.29250000000116</v>
      </c>
      <c r="BC30" s="110">
        <f>IFERROR(+LOOKUP(AX30,[6]TARIFAS!$A$4:$B$14,[6]TARIFAS!$C$4:$C$14),0)</f>
        <v>3030.6</v>
      </c>
      <c r="BD30" s="110">
        <f t="shared" si="14"/>
        <v>3396.89</v>
      </c>
      <c r="BE30" s="110"/>
      <c r="BF30" s="110"/>
      <c r="BG30" s="110"/>
      <c r="BH30" s="109"/>
    </row>
    <row r="31" spans="1:61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1" t="s">
        <v>37</v>
      </c>
      <c r="F31" s="101" t="s">
        <v>38</v>
      </c>
      <c r="G31" s="101">
        <v>15</v>
      </c>
      <c r="H31" s="101">
        <v>325.036</v>
      </c>
      <c r="I31" s="160" t="s">
        <v>150</v>
      </c>
      <c r="J31" s="101">
        <v>4875.54</v>
      </c>
      <c r="K31" s="101" t="s">
        <v>37</v>
      </c>
      <c r="L31" s="102">
        <v>1311</v>
      </c>
      <c r="M31" s="115">
        <v>0</v>
      </c>
      <c r="N31" s="101" t="s">
        <v>37</v>
      </c>
      <c r="O31" s="102">
        <v>1713</v>
      </c>
      <c r="P31" s="115">
        <v>207.91</v>
      </c>
      <c r="Q31" s="115">
        <v>371.02</v>
      </c>
      <c r="R31" s="103">
        <f t="shared" si="2"/>
        <v>146.2662</v>
      </c>
      <c r="S31" s="101" t="s">
        <v>37</v>
      </c>
      <c r="T31" s="102">
        <v>1712</v>
      </c>
      <c r="U31" s="104">
        <f t="shared" si="3"/>
        <v>517.28620000000001</v>
      </c>
      <c r="V31" s="101"/>
      <c r="W31" s="102"/>
      <c r="X31" s="104"/>
      <c r="Y31" s="104">
        <f t="shared" si="4"/>
        <v>5600.7361999999994</v>
      </c>
      <c r="Z31" s="101" t="s">
        <v>39</v>
      </c>
      <c r="AA31" s="102">
        <v>1431</v>
      </c>
      <c r="AB31" s="104">
        <f t="shared" si="5"/>
        <v>463.17630000000003</v>
      </c>
      <c r="AC31" s="101" t="s">
        <v>39</v>
      </c>
      <c r="AD31" s="105" t="s">
        <v>40</v>
      </c>
      <c r="AE31" s="115">
        <v>0</v>
      </c>
      <c r="AF31" s="101" t="s">
        <v>39</v>
      </c>
      <c r="AG31" s="105" t="s">
        <v>41</v>
      </c>
      <c r="AH31" s="103">
        <f t="shared" si="6"/>
        <v>649.13</v>
      </c>
      <c r="AI31" s="101" t="s">
        <v>39</v>
      </c>
      <c r="AJ31" s="105" t="s">
        <v>42</v>
      </c>
      <c r="AK31" s="103">
        <v>0</v>
      </c>
      <c r="AL31" s="101" t="s">
        <v>39</v>
      </c>
      <c r="AM31" s="105" t="s">
        <v>43</v>
      </c>
      <c r="AN31" s="115">
        <v>0</v>
      </c>
      <c r="AO31" s="101" t="s">
        <v>39</v>
      </c>
      <c r="AP31" s="105">
        <v>1431</v>
      </c>
      <c r="AQ31" s="103">
        <v>0</v>
      </c>
      <c r="AR31" s="104">
        <f t="shared" si="7"/>
        <v>1112.3063</v>
      </c>
      <c r="AS31" s="106">
        <f t="shared" si="8"/>
        <v>4488.4298999999992</v>
      </c>
      <c r="AT31" s="113"/>
      <c r="AU31" s="108"/>
      <c r="AV31" s="109">
        <f>+G31</f>
        <v>15</v>
      </c>
      <c r="AW31" s="109">
        <f>+J31+R31+M31+P31+Q31+X31</f>
        <v>5600.7361999999994</v>
      </c>
      <c r="AX31" s="110">
        <f>IFERROR(+AW31/AV31,0)*AV31</f>
        <v>5600.7361999999994</v>
      </c>
      <c r="AY31" s="110">
        <f>IFERROR(+LOOKUP(AX31,[6]TARIFAS!$A$4:$B$14,[6]TARIFAS!$A$4:$A$14),0)</f>
        <v>5081.41</v>
      </c>
      <c r="AZ31" s="110">
        <f>+AX31-AY31</f>
        <v>519.32619999999952</v>
      </c>
      <c r="BA31" s="110">
        <f>IFERROR(+LOOKUP(AX31,[6]TARIFAS!$A$4:$B$14,[6]TARIFAS!$D$4:$D$14),0)</f>
        <v>21.36</v>
      </c>
      <c r="BB31" s="110">
        <f>(+AZ31*BA31)/100</f>
        <v>110.92807631999989</v>
      </c>
      <c r="BC31" s="110">
        <f>IFERROR(+LOOKUP(AX31,[6]TARIFAS!$A$4:$B$14,[6]TARIFAS!$C$4:$C$14),0)</f>
        <v>538.20000000000005</v>
      </c>
      <c r="BD31" s="110">
        <f>ROUND(+BB31+BC31,2)</f>
        <v>649.13</v>
      </c>
      <c r="BE31" s="110"/>
      <c r="BF31" s="110"/>
      <c r="BG31" s="110"/>
      <c r="BH31" s="109"/>
    </row>
    <row r="32" spans="1:61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1" t="s">
        <v>37</v>
      </c>
      <c r="F32" s="101" t="s">
        <v>38</v>
      </c>
      <c r="G32" s="101">
        <v>11</v>
      </c>
      <c r="H32" s="101">
        <v>421.49</v>
      </c>
      <c r="I32" s="163" t="s">
        <v>147</v>
      </c>
      <c r="J32" s="101">
        <f>421.49*15</f>
        <v>6322.35</v>
      </c>
      <c r="K32" s="101" t="s">
        <v>37</v>
      </c>
      <c r="L32" s="102">
        <v>1311</v>
      </c>
      <c r="M32" s="115">
        <v>0</v>
      </c>
      <c r="N32" s="101" t="s">
        <v>37</v>
      </c>
      <c r="O32" s="102">
        <v>1713</v>
      </c>
      <c r="P32" s="116">
        <f>23.43*15</f>
        <v>351.45</v>
      </c>
      <c r="Q32" s="115">
        <f>27.09*15</f>
        <v>406.35</v>
      </c>
      <c r="R32" s="103">
        <f t="shared" si="2"/>
        <v>189.6705</v>
      </c>
      <c r="S32" s="101" t="s">
        <v>37</v>
      </c>
      <c r="T32" s="102">
        <v>1712</v>
      </c>
      <c r="U32" s="104">
        <f t="shared" si="3"/>
        <v>596.02050000000008</v>
      </c>
      <c r="V32" s="101"/>
      <c r="W32" s="102"/>
      <c r="X32" s="104"/>
      <c r="Y32" s="104">
        <f t="shared" si="4"/>
        <v>7269.8204999999998</v>
      </c>
      <c r="Z32" s="101" t="s">
        <v>39</v>
      </c>
      <c r="AA32" s="102">
        <v>1431</v>
      </c>
      <c r="AB32" s="104">
        <f t="shared" si="5"/>
        <v>600.6232500000001</v>
      </c>
      <c r="AC32" s="101" t="s">
        <v>39</v>
      </c>
      <c r="AD32" s="105" t="s">
        <v>40</v>
      </c>
      <c r="AE32" s="115">
        <v>0</v>
      </c>
      <c r="AF32" s="101" t="s">
        <v>39</v>
      </c>
      <c r="AG32" s="105" t="s">
        <v>41</v>
      </c>
      <c r="AH32" s="103">
        <f t="shared" si="6"/>
        <v>1005.64</v>
      </c>
      <c r="AI32" s="101" t="s">
        <v>39</v>
      </c>
      <c r="AJ32" s="105" t="s">
        <v>42</v>
      </c>
      <c r="AK32" s="103">
        <v>0</v>
      </c>
      <c r="AL32" s="101" t="s">
        <v>39</v>
      </c>
      <c r="AM32" s="105" t="s">
        <v>43</v>
      </c>
      <c r="AN32" s="115">
        <v>0</v>
      </c>
      <c r="AO32" s="101" t="s">
        <v>39</v>
      </c>
      <c r="AP32" s="105">
        <v>1431</v>
      </c>
      <c r="AQ32" s="103">
        <v>0</v>
      </c>
      <c r="AR32" s="104">
        <f t="shared" si="7"/>
        <v>1606.26325</v>
      </c>
      <c r="AS32" s="106">
        <f t="shared" si="8"/>
        <v>5663.5572499999998</v>
      </c>
      <c r="AT32" s="113"/>
      <c r="AU32" s="108"/>
      <c r="AV32" s="109">
        <f t="shared" si="9"/>
        <v>11</v>
      </c>
      <c r="AW32" s="109">
        <f t="shared" si="10"/>
        <v>7269.8205000000007</v>
      </c>
      <c r="AX32" s="110">
        <f t="shared" si="11"/>
        <v>7269.8205000000007</v>
      </c>
      <c r="AY32" s="110">
        <f>IFERROR(+LOOKUP(AX32,[6]TARIFAS!$A$4:$B$14,[6]TARIFAS!$A$4:$A$14),0)</f>
        <v>5081.41</v>
      </c>
      <c r="AZ32" s="110">
        <f t="shared" si="12"/>
        <v>2188.4105000000009</v>
      </c>
      <c r="BA32" s="110">
        <f>IFERROR(+LOOKUP(AX32,[6]TARIFAS!$A$4:$B$14,[6]TARIFAS!$D$4:$D$14),0)</f>
        <v>21.36</v>
      </c>
      <c r="BB32" s="110">
        <f t="shared" si="13"/>
        <v>467.44448280000017</v>
      </c>
      <c r="BC32" s="110">
        <f>IFERROR(+LOOKUP(AX32,[6]TARIFAS!$A$4:$B$14,[6]TARIFAS!$C$4:$C$14),0)</f>
        <v>538.20000000000005</v>
      </c>
      <c r="BD32" s="110">
        <f t="shared" si="14"/>
        <v>1005.64</v>
      </c>
      <c r="BE32" s="110"/>
      <c r="BF32" s="110"/>
      <c r="BG32" s="110"/>
      <c r="BH32" s="109"/>
    </row>
    <row r="33" spans="1:46" s="128" customFormat="1" ht="21" customHeight="1" thickBot="1" x14ac:dyDescent="0.25">
      <c r="A33" s="121"/>
      <c r="B33" s="122"/>
      <c r="C33" s="123"/>
      <c r="D33" s="123" t="s">
        <v>110</v>
      </c>
      <c r="E33" s="124"/>
      <c r="F33" s="124"/>
      <c r="G33" s="124"/>
      <c r="H33" s="124"/>
      <c r="I33" s="124"/>
      <c r="J33" s="124">
        <f>SUM(J5:J32)</f>
        <v>221462.15000000005</v>
      </c>
      <c r="K33" s="124"/>
      <c r="L33" s="124"/>
      <c r="M33" s="124">
        <f>SUM(M5:M32)</f>
        <v>2523.3799999999992</v>
      </c>
      <c r="N33" s="124"/>
      <c r="O33" s="124"/>
      <c r="P33" s="124">
        <f>SUM(P5:P32)</f>
        <v>9734.119999999999</v>
      </c>
      <c r="Q33" s="124">
        <f>SUM(Q5:Q32)</f>
        <v>13199.05</v>
      </c>
      <c r="R33" s="124">
        <f>SUM(R5:R32)</f>
        <v>6643.8645000000015</v>
      </c>
      <c r="S33" s="124"/>
      <c r="T33" s="124"/>
      <c r="U33" s="124">
        <f>SUM(U5:U32)</f>
        <v>19842.914499999995</v>
      </c>
      <c r="V33" s="124"/>
      <c r="W33" s="125"/>
      <c r="X33" s="124">
        <f>SUM(X5:X30)</f>
        <v>11303.45</v>
      </c>
      <c r="Y33" s="124">
        <f>SUM(Y5:Y32)</f>
        <v>264866.01449999999</v>
      </c>
      <c r="Z33" s="124"/>
      <c r="AA33" s="125"/>
      <c r="AB33" s="124">
        <f>SUM(AB5:AB32)</f>
        <v>21038.904250000007</v>
      </c>
      <c r="AC33" s="124"/>
      <c r="AD33" s="125"/>
      <c r="AE33" s="126">
        <f>SUM(AE5:AE32)</f>
        <v>22905.18</v>
      </c>
      <c r="AF33" s="124"/>
      <c r="AG33" s="125"/>
      <c r="AH33" s="124">
        <f>SUM(AH5:AH32)</f>
        <v>43835.090000000004</v>
      </c>
      <c r="AI33" s="124"/>
      <c r="AJ33" s="125"/>
      <c r="AK33" s="126">
        <f>SUM(AK5:AK32)</f>
        <v>995.19780000000026</v>
      </c>
      <c r="AL33" s="124"/>
      <c r="AM33" s="125"/>
      <c r="AN33" s="124">
        <f>SUM(AN5:AN32)</f>
        <v>0</v>
      </c>
      <c r="AO33" s="124"/>
      <c r="AP33" s="125"/>
      <c r="AQ33" s="124">
        <f>SUM(AQ5:AQ32)</f>
        <v>0</v>
      </c>
      <c r="AR33" s="124">
        <f>SUM(AR5:AR32)</f>
        <v>88774.372050000005</v>
      </c>
      <c r="AS33" s="124">
        <f>SUM(AS5:AS32)</f>
        <v>176091.64244999998</v>
      </c>
      <c r="AT33" s="127"/>
    </row>
    <row r="34" spans="1:46" s="128" customFormat="1" ht="21" customHeight="1" x14ac:dyDescent="0.2">
      <c r="A34" s="129"/>
      <c r="B34" s="129"/>
      <c r="C34" s="130"/>
      <c r="D34" s="130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1"/>
      <c r="X34" s="129"/>
      <c r="Y34" s="129"/>
      <c r="Z34" s="129"/>
      <c r="AA34" s="131"/>
      <c r="AB34" s="129"/>
      <c r="AC34" s="129"/>
      <c r="AD34" s="131"/>
      <c r="AE34" s="132"/>
      <c r="AF34" s="129"/>
      <c r="AG34" s="131"/>
      <c r="AH34" s="129"/>
      <c r="AI34" s="129"/>
      <c r="AJ34" s="131"/>
      <c r="AK34" s="132"/>
      <c r="AL34" s="129"/>
      <c r="AM34" s="131"/>
      <c r="AN34" s="129"/>
      <c r="AO34" s="129"/>
      <c r="AP34" s="131"/>
      <c r="AQ34" s="129"/>
      <c r="AR34" s="129"/>
      <c r="AS34" s="129"/>
      <c r="AT34" s="129"/>
    </row>
    <row r="35" spans="1:46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35"/>
      <c r="L35" s="135"/>
      <c r="N35" s="135"/>
      <c r="O35" s="136"/>
      <c r="P35" s="137"/>
      <c r="Q35" s="138"/>
      <c r="R35" s="173" t="s">
        <v>112</v>
      </c>
      <c r="S35" s="173"/>
      <c r="T35" s="173"/>
      <c r="U35" s="173"/>
      <c r="V35" s="173"/>
      <c r="W35" s="173"/>
      <c r="X35" s="173"/>
      <c r="Y35" s="173"/>
      <c r="Z35" s="133"/>
      <c r="AA35" s="133"/>
      <c r="AB35" s="133"/>
      <c r="AC35" s="133"/>
      <c r="AD35" s="133"/>
      <c r="AF35" s="133"/>
      <c r="AG35" s="133"/>
      <c r="AH35" s="133"/>
      <c r="AI35" s="133"/>
      <c r="AJ35" s="133"/>
      <c r="AK35" s="173" t="s">
        <v>113</v>
      </c>
      <c r="AL35" s="173"/>
      <c r="AM35" s="173"/>
      <c r="AN35" s="173"/>
      <c r="AO35" s="173"/>
      <c r="AP35" s="173"/>
      <c r="AQ35" s="173"/>
      <c r="AR35" s="173"/>
      <c r="AS35" s="173"/>
    </row>
    <row r="36" spans="1:46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N36" s="141"/>
      <c r="O36" s="142"/>
      <c r="P36" s="141"/>
      <c r="Q36" s="138"/>
      <c r="R36" s="138"/>
      <c r="S36" s="141"/>
      <c r="T36" s="142"/>
      <c r="V36" s="141"/>
      <c r="W36" s="142"/>
      <c r="Y36" s="138"/>
      <c r="Z36" s="141"/>
      <c r="AA36" s="142"/>
      <c r="AB36" s="143"/>
      <c r="AC36" s="141"/>
      <c r="AD36" s="142"/>
      <c r="AE36" s="144"/>
      <c r="AF36" s="141"/>
      <c r="AG36" s="142"/>
      <c r="AH36" s="133"/>
      <c r="AI36" s="141"/>
      <c r="AJ36" s="142"/>
      <c r="AK36" s="145"/>
      <c r="AL36" s="141"/>
      <c r="AM36" s="142"/>
      <c r="AN36" s="133"/>
      <c r="AO36" s="141"/>
      <c r="AP36" s="142"/>
      <c r="AQ36" s="133"/>
      <c r="AS36" s="133"/>
    </row>
    <row r="37" spans="1:46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35"/>
      <c r="L37" s="135"/>
      <c r="N37" s="135"/>
      <c r="O37" s="136"/>
      <c r="P37" s="138"/>
      <c r="Q37" s="138"/>
      <c r="R37" s="173" t="s">
        <v>115</v>
      </c>
      <c r="S37" s="173"/>
      <c r="T37" s="173"/>
      <c r="U37" s="173"/>
      <c r="V37" s="173"/>
      <c r="W37" s="173"/>
      <c r="X37" s="173"/>
      <c r="Y37" s="173"/>
      <c r="Z37" s="133"/>
      <c r="AA37" s="133"/>
      <c r="AB37" s="133"/>
      <c r="AC37" s="133"/>
      <c r="AD37" s="133"/>
      <c r="AF37" s="133"/>
      <c r="AG37" s="133"/>
      <c r="AI37" s="133"/>
      <c r="AJ37" s="133"/>
      <c r="AK37" s="173" t="s">
        <v>116</v>
      </c>
      <c r="AL37" s="173"/>
      <c r="AM37" s="173"/>
      <c r="AN37" s="173"/>
      <c r="AO37" s="173"/>
      <c r="AP37" s="173"/>
      <c r="AQ37" s="173"/>
      <c r="AR37" s="173"/>
      <c r="AS37" s="173"/>
      <c r="AT37" s="133"/>
    </row>
    <row r="38" spans="1:46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35"/>
      <c r="L38" s="135"/>
      <c r="N38" s="135"/>
      <c r="O38" s="136"/>
      <c r="P38" s="138"/>
      <c r="Q38" s="138"/>
      <c r="R38" s="173" t="s">
        <v>118</v>
      </c>
      <c r="S38" s="173"/>
      <c r="T38" s="173"/>
      <c r="U38" s="173"/>
      <c r="V38" s="173"/>
      <c r="W38" s="173"/>
      <c r="X38" s="173"/>
      <c r="Y38" s="173"/>
      <c r="Z38" s="133"/>
      <c r="AA38" s="133"/>
      <c r="AB38" s="133"/>
      <c r="AC38" s="133"/>
      <c r="AD38" s="133"/>
      <c r="AF38" s="133"/>
      <c r="AG38" s="133"/>
      <c r="AI38" s="133"/>
      <c r="AJ38" s="133"/>
      <c r="AK38" s="173" t="s">
        <v>119</v>
      </c>
      <c r="AL38" s="173"/>
      <c r="AM38" s="173"/>
      <c r="AN38" s="173"/>
      <c r="AO38" s="173"/>
      <c r="AP38" s="173"/>
      <c r="AQ38" s="173"/>
      <c r="AR38" s="173"/>
      <c r="AS38" s="173"/>
      <c r="AT38" s="133"/>
    </row>
    <row r="39" spans="1:46" x14ac:dyDescent="0.2">
      <c r="A39" s="133"/>
      <c r="B39" s="133"/>
      <c r="C39" s="146"/>
      <c r="D39" s="146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47"/>
      <c r="P39" s="133"/>
      <c r="S39" s="133"/>
      <c r="T39" s="147"/>
      <c r="V39" s="133"/>
      <c r="W39" s="147"/>
      <c r="Y39" s="133"/>
      <c r="Z39" s="133"/>
      <c r="AA39" s="147"/>
      <c r="AB39" s="133"/>
      <c r="AC39" s="133"/>
      <c r="AD39" s="147"/>
      <c r="AE39" s="148"/>
      <c r="AF39" s="133"/>
      <c r="AG39" s="147"/>
      <c r="AI39" s="133"/>
      <c r="AJ39" s="147"/>
      <c r="AL39" s="133"/>
      <c r="AM39" s="147"/>
      <c r="AO39" s="133"/>
      <c r="AP39" s="147"/>
      <c r="AR39" s="133"/>
      <c r="AS39" s="133"/>
      <c r="AT39" s="133"/>
    </row>
    <row r="40" spans="1:46" x14ac:dyDescent="0.2">
      <c r="C40" s="146"/>
      <c r="D40" s="146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47"/>
      <c r="P40" s="133"/>
      <c r="Q40" s="133"/>
      <c r="R40" s="133"/>
      <c r="S40" s="133"/>
      <c r="T40" s="147"/>
      <c r="U40" s="149"/>
      <c r="V40" s="133"/>
      <c r="W40" s="147"/>
      <c r="X40" s="149"/>
      <c r="Y40" s="133"/>
      <c r="Z40" s="133"/>
      <c r="AA40" s="147"/>
      <c r="AB40" s="133"/>
      <c r="AC40" s="133"/>
      <c r="AD40" s="147"/>
      <c r="AE40" s="150"/>
      <c r="AF40" s="133"/>
      <c r="AG40" s="147"/>
      <c r="AH40" s="133"/>
      <c r="AI40" s="133"/>
      <c r="AJ40" s="147"/>
      <c r="AK40" s="150"/>
      <c r="AL40" s="133"/>
      <c r="AM40" s="147"/>
      <c r="AN40" s="133"/>
      <c r="AO40" s="133"/>
      <c r="AP40" s="147"/>
      <c r="AQ40" s="133"/>
      <c r="AR40" s="133"/>
    </row>
    <row r="41" spans="1:46" x14ac:dyDescent="0.2">
      <c r="C41" s="146"/>
      <c r="D41" s="146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47"/>
      <c r="P41" s="133"/>
      <c r="Q41" s="133"/>
      <c r="R41" s="133"/>
      <c r="S41" s="133"/>
      <c r="T41" s="147"/>
      <c r="U41" s="149"/>
      <c r="V41" s="133"/>
      <c r="W41" s="147"/>
      <c r="X41" s="149"/>
      <c r="Y41" s="133"/>
      <c r="Z41" s="133"/>
      <c r="AA41" s="147"/>
      <c r="AB41" s="133"/>
      <c r="AC41" s="133"/>
      <c r="AD41" s="147"/>
      <c r="AE41" s="150"/>
      <c r="AF41" s="133"/>
      <c r="AG41" s="147"/>
      <c r="AH41" s="133"/>
      <c r="AI41" s="133"/>
      <c r="AJ41" s="147"/>
      <c r="AK41" s="150"/>
      <c r="AL41" s="133"/>
      <c r="AM41" s="147"/>
      <c r="AN41" s="133"/>
      <c r="AO41" s="133"/>
      <c r="AP41" s="147"/>
      <c r="AQ41" s="133"/>
      <c r="AR41" s="133"/>
    </row>
    <row r="42" spans="1:46" x14ac:dyDescent="0.2">
      <c r="C42" s="146"/>
      <c r="D42" s="146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47"/>
      <c r="P42" s="133"/>
      <c r="Q42" s="133"/>
      <c r="R42" s="133"/>
      <c r="S42" s="133"/>
      <c r="T42" s="147"/>
      <c r="U42" s="149"/>
      <c r="V42" s="133"/>
      <c r="W42" s="147"/>
      <c r="X42" s="149"/>
      <c r="Y42" s="133"/>
      <c r="Z42" s="133"/>
      <c r="AA42" s="147"/>
      <c r="AB42" s="133"/>
      <c r="AC42" s="133"/>
      <c r="AD42" s="147"/>
      <c r="AE42" s="150"/>
      <c r="AF42" s="133"/>
      <c r="AG42" s="147"/>
      <c r="AH42" s="133"/>
      <c r="AI42" s="133"/>
      <c r="AJ42" s="147"/>
      <c r="AK42" s="150"/>
      <c r="AL42" s="133"/>
      <c r="AM42" s="147"/>
      <c r="AN42" s="133"/>
      <c r="AO42" s="133"/>
      <c r="AP42" s="147"/>
      <c r="AQ42" s="133"/>
      <c r="AR42" s="133"/>
      <c r="AS42" s="133"/>
    </row>
    <row r="43" spans="1:46" x14ac:dyDescent="0.2">
      <c r="C43" s="146"/>
      <c r="D43" s="146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47"/>
      <c r="P43" s="133"/>
      <c r="Q43" s="133"/>
      <c r="R43" s="133"/>
      <c r="S43" s="133"/>
      <c r="T43" s="147"/>
      <c r="U43" s="149"/>
      <c r="V43" s="133"/>
      <c r="W43" s="147"/>
      <c r="X43" s="149"/>
      <c r="Y43" s="133"/>
      <c r="Z43" s="133"/>
      <c r="AA43" s="147"/>
      <c r="AB43" s="133"/>
      <c r="AC43" s="133"/>
      <c r="AD43" s="147"/>
      <c r="AE43" s="150"/>
      <c r="AF43" s="133"/>
      <c r="AG43" s="147"/>
      <c r="AH43" s="133"/>
      <c r="AI43" s="133"/>
      <c r="AJ43" s="147"/>
      <c r="AK43" s="150"/>
      <c r="AL43" s="133"/>
      <c r="AM43" s="147"/>
      <c r="AN43" s="133"/>
      <c r="AO43" s="133"/>
      <c r="AP43" s="147"/>
      <c r="AQ43" s="133"/>
      <c r="AR43" s="133"/>
      <c r="AS43" s="133"/>
    </row>
    <row r="44" spans="1:46" x14ac:dyDescent="0.2">
      <c r="C44" s="146"/>
      <c r="D44" s="146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47"/>
      <c r="P44" s="133"/>
      <c r="Q44" s="133"/>
      <c r="R44" s="133"/>
      <c r="S44" s="133"/>
      <c r="T44" s="147"/>
      <c r="U44" s="149"/>
      <c r="V44" s="133"/>
      <c r="W44" s="147"/>
      <c r="X44" s="149"/>
      <c r="Y44" s="133"/>
      <c r="Z44" s="133"/>
      <c r="AA44" s="147"/>
      <c r="AB44" s="133"/>
      <c r="AC44" s="133"/>
      <c r="AD44" s="147"/>
      <c r="AE44" s="150"/>
      <c r="AF44" s="133"/>
      <c r="AG44" s="147"/>
      <c r="AH44" s="133"/>
      <c r="AI44" s="133"/>
      <c r="AJ44" s="147"/>
      <c r="AK44" s="150"/>
      <c r="AL44" s="133"/>
      <c r="AM44" s="147"/>
      <c r="AN44" s="133"/>
      <c r="AO44" s="133"/>
      <c r="AP44" s="147"/>
      <c r="AQ44" s="133"/>
      <c r="AR44" s="133"/>
      <c r="AS44" s="133"/>
    </row>
    <row r="45" spans="1:46" x14ac:dyDescent="0.2">
      <c r="C45" s="146"/>
      <c r="D45" s="146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47"/>
      <c r="P45" s="133"/>
      <c r="Q45" s="133"/>
      <c r="R45" s="133"/>
      <c r="S45" s="133"/>
      <c r="T45" s="147"/>
      <c r="U45" s="149"/>
      <c r="V45" s="133"/>
      <c r="W45" s="147"/>
      <c r="X45" s="149"/>
      <c r="Y45" s="133"/>
      <c r="Z45" s="133"/>
      <c r="AA45" s="147"/>
      <c r="AB45" s="133"/>
      <c r="AC45" s="133"/>
      <c r="AD45" s="147"/>
      <c r="AE45" s="150"/>
      <c r="AF45" s="133"/>
      <c r="AG45" s="147"/>
      <c r="AH45" s="133"/>
      <c r="AI45" s="133"/>
      <c r="AJ45" s="147"/>
      <c r="AK45" s="150"/>
      <c r="AL45" s="133"/>
      <c r="AM45" s="147"/>
      <c r="AN45" s="133"/>
      <c r="AO45" s="133"/>
      <c r="AP45" s="147"/>
      <c r="AQ45" s="133"/>
      <c r="AR45" s="133"/>
      <c r="AS45" s="133"/>
    </row>
    <row r="46" spans="1:46" x14ac:dyDescent="0.2">
      <c r="C46" s="146"/>
      <c r="D46" s="146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47"/>
      <c r="P46" s="133"/>
      <c r="Q46" s="133"/>
      <c r="R46" s="133"/>
      <c r="S46" s="133"/>
      <c r="T46" s="147"/>
      <c r="U46" s="149"/>
      <c r="V46" s="133"/>
      <c r="W46" s="147"/>
      <c r="X46" s="149"/>
      <c r="Y46" s="133"/>
      <c r="Z46" s="133"/>
      <c r="AA46" s="147"/>
      <c r="AB46" s="133"/>
      <c r="AC46" s="133"/>
      <c r="AD46" s="147"/>
      <c r="AE46" s="150"/>
      <c r="AF46" s="133"/>
      <c r="AG46" s="147"/>
      <c r="AH46" s="133"/>
      <c r="AI46" s="133"/>
      <c r="AJ46" s="147"/>
      <c r="AK46" s="150"/>
      <c r="AL46" s="133"/>
      <c r="AM46" s="147"/>
      <c r="AN46" s="133"/>
      <c r="AO46" s="133"/>
      <c r="AP46" s="147"/>
      <c r="AQ46" s="133"/>
      <c r="AR46" s="133"/>
    </row>
    <row r="47" spans="1:46" x14ac:dyDescent="0.2">
      <c r="C47" s="146"/>
      <c r="D47" s="146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47"/>
      <c r="P47" s="133"/>
      <c r="Q47" s="133"/>
      <c r="R47" s="133"/>
      <c r="S47" s="133"/>
      <c r="T47" s="147"/>
      <c r="U47" s="149"/>
      <c r="V47" s="133"/>
      <c r="W47" s="147"/>
      <c r="X47" s="149"/>
      <c r="Y47" s="133"/>
      <c r="Z47" s="133"/>
      <c r="AA47" s="147"/>
      <c r="AB47" s="133"/>
      <c r="AC47" s="133"/>
      <c r="AD47" s="147"/>
      <c r="AE47" s="150"/>
      <c r="AF47" s="133"/>
      <c r="AG47" s="147"/>
      <c r="AH47" s="133"/>
      <c r="AI47" s="133"/>
      <c r="AJ47" s="147"/>
      <c r="AK47" s="150"/>
      <c r="AL47" s="133"/>
      <c r="AM47" s="147"/>
      <c r="AN47" s="133"/>
      <c r="AO47" s="133"/>
      <c r="AP47" s="147"/>
      <c r="AQ47" s="133"/>
      <c r="AR47" s="133"/>
    </row>
    <row r="48" spans="1:46" x14ac:dyDescent="0.2">
      <c r="C48" s="146"/>
      <c r="D48" s="146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47"/>
      <c r="P48" s="133"/>
      <c r="Q48" s="133"/>
      <c r="R48" s="133"/>
      <c r="S48" s="133"/>
      <c r="T48" s="147"/>
      <c r="U48" s="149"/>
      <c r="V48" s="133"/>
      <c r="W48" s="147"/>
      <c r="X48" s="149"/>
      <c r="Y48" s="133"/>
      <c r="Z48" s="133"/>
      <c r="AA48" s="147"/>
      <c r="AB48" s="133"/>
      <c r="AC48" s="133"/>
      <c r="AD48" s="147"/>
      <c r="AE48" s="150"/>
      <c r="AF48" s="133"/>
      <c r="AG48" s="147"/>
      <c r="AH48" s="133"/>
      <c r="AI48" s="133"/>
      <c r="AJ48" s="147"/>
      <c r="AK48" s="150"/>
      <c r="AL48" s="133"/>
      <c r="AM48" s="147"/>
      <c r="AN48" s="133"/>
      <c r="AO48" s="133"/>
      <c r="AP48" s="147"/>
      <c r="AQ48" s="133"/>
      <c r="AR48" s="133"/>
    </row>
    <row r="49" spans="3:44" x14ac:dyDescent="0.2">
      <c r="C49" s="146"/>
      <c r="D49" s="146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47"/>
      <c r="P49" s="133"/>
      <c r="Q49" s="133"/>
      <c r="R49" s="133"/>
      <c r="S49" s="133"/>
      <c r="T49" s="147"/>
      <c r="U49" s="149"/>
      <c r="V49" s="133"/>
      <c r="W49" s="147"/>
      <c r="X49" s="149"/>
      <c r="Y49" s="133"/>
      <c r="Z49" s="133"/>
      <c r="AA49" s="147"/>
      <c r="AB49" s="133"/>
      <c r="AC49" s="133"/>
      <c r="AD49" s="147"/>
      <c r="AE49" s="150"/>
      <c r="AF49" s="133"/>
      <c r="AG49" s="147"/>
      <c r="AH49" s="133"/>
      <c r="AI49" s="133"/>
      <c r="AJ49" s="147"/>
      <c r="AK49" s="150"/>
      <c r="AL49" s="133"/>
      <c r="AM49" s="147"/>
      <c r="AN49" s="133"/>
      <c r="AO49" s="133"/>
      <c r="AP49" s="147"/>
      <c r="AQ49" s="133"/>
      <c r="AR49" s="133"/>
    </row>
    <row r="50" spans="3:44" x14ac:dyDescent="0.2">
      <c r="C50" s="146"/>
      <c r="D50" s="146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47"/>
      <c r="P50" s="133"/>
      <c r="Q50" s="133"/>
      <c r="R50" s="133"/>
      <c r="S50" s="133"/>
      <c r="T50" s="147"/>
      <c r="U50" s="149"/>
      <c r="V50" s="133"/>
      <c r="W50" s="147"/>
      <c r="X50" s="149"/>
      <c r="Y50" s="133"/>
      <c r="Z50" s="133"/>
      <c r="AA50" s="147"/>
      <c r="AB50" s="133"/>
      <c r="AC50" s="133"/>
      <c r="AD50" s="147"/>
      <c r="AE50" s="150"/>
      <c r="AF50" s="133"/>
      <c r="AG50" s="147"/>
      <c r="AH50" s="133"/>
      <c r="AI50" s="133"/>
      <c r="AJ50" s="147"/>
      <c r="AK50" s="150"/>
      <c r="AL50" s="133"/>
      <c r="AM50" s="147"/>
      <c r="AN50" s="133"/>
      <c r="AO50" s="133"/>
      <c r="AP50" s="147"/>
      <c r="AQ50" s="133"/>
      <c r="AR50" s="133"/>
    </row>
    <row r="51" spans="3:44" x14ac:dyDescent="0.2">
      <c r="C51" s="146"/>
      <c r="D51" s="146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47"/>
      <c r="P51" s="133"/>
      <c r="Q51" s="133"/>
      <c r="R51" s="133"/>
      <c r="S51" s="133"/>
      <c r="T51" s="147"/>
      <c r="U51" s="149"/>
      <c r="V51" s="133"/>
      <c r="W51" s="147"/>
      <c r="X51" s="149"/>
      <c r="Y51" s="133"/>
      <c r="Z51" s="133"/>
      <c r="AA51" s="147"/>
      <c r="AB51" s="133"/>
      <c r="AC51" s="133"/>
      <c r="AD51" s="147"/>
      <c r="AE51" s="150"/>
      <c r="AF51" s="133"/>
      <c r="AG51" s="147"/>
      <c r="AH51" s="133"/>
      <c r="AI51" s="133"/>
      <c r="AJ51" s="147"/>
      <c r="AK51" s="150"/>
      <c r="AL51" s="133"/>
      <c r="AM51" s="147"/>
      <c r="AN51" s="133"/>
      <c r="AO51" s="133"/>
      <c r="AP51" s="147"/>
      <c r="AQ51" s="133"/>
      <c r="AR51" s="133"/>
    </row>
    <row r="52" spans="3:44" x14ac:dyDescent="0.2">
      <c r="C52" s="146"/>
      <c r="D52" s="146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47"/>
      <c r="P52" s="133"/>
      <c r="Q52" s="133"/>
      <c r="R52" s="133"/>
      <c r="S52" s="133"/>
      <c r="T52" s="147"/>
      <c r="U52" s="149"/>
      <c r="V52" s="133"/>
      <c r="W52" s="147"/>
      <c r="X52" s="149"/>
      <c r="Y52" s="133"/>
      <c r="Z52" s="133"/>
      <c r="AA52" s="147"/>
      <c r="AB52" s="133"/>
      <c r="AC52" s="133"/>
      <c r="AD52" s="147"/>
      <c r="AE52" s="150"/>
      <c r="AF52" s="133"/>
      <c r="AG52" s="147"/>
      <c r="AH52" s="133"/>
      <c r="AI52" s="133"/>
      <c r="AJ52" s="147"/>
      <c r="AK52" s="150"/>
      <c r="AL52" s="133"/>
      <c r="AM52" s="147"/>
      <c r="AN52" s="133"/>
      <c r="AO52" s="133"/>
      <c r="AP52" s="147"/>
      <c r="AQ52" s="133"/>
      <c r="AR52" s="133"/>
    </row>
    <row r="53" spans="3:44" x14ac:dyDescent="0.2">
      <c r="C53" s="146"/>
      <c r="D53" s="146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47"/>
      <c r="P53" s="133"/>
      <c r="Q53" s="133"/>
      <c r="R53" s="133"/>
      <c r="S53" s="133"/>
      <c r="T53" s="147"/>
      <c r="U53" s="149"/>
      <c r="V53" s="133"/>
      <c r="W53" s="147"/>
      <c r="X53" s="149"/>
      <c r="Y53" s="133"/>
      <c r="Z53" s="133"/>
      <c r="AA53" s="147"/>
      <c r="AB53" s="133"/>
      <c r="AC53" s="133"/>
      <c r="AD53" s="147"/>
      <c r="AE53" s="150"/>
      <c r="AF53" s="133"/>
      <c r="AG53" s="147"/>
      <c r="AH53" s="133"/>
      <c r="AI53" s="133"/>
      <c r="AJ53" s="147"/>
      <c r="AK53" s="150"/>
      <c r="AL53" s="133"/>
      <c r="AM53" s="147"/>
      <c r="AN53" s="133"/>
      <c r="AO53" s="133"/>
      <c r="AP53" s="147"/>
      <c r="AQ53" s="133"/>
      <c r="AR53" s="133"/>
    </row>
    <row r="54" spans="3:44" x14ac:dyDescent="0.2">
      <c r="C54" s="146"/>
      <c r="D54" s="146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47"/>
      <c r="P54" s="133"/>
      <c r="Q54" s="133"/>
      <c r="R54" s="133"/>
      <c r="S54" s="133"/>
      <c r="T54" s="147"/>
      <c r="U54" s="149"/>
      <c r="V54" s="133"/>
      <c r="W54" s="147"/>
      <c r="X54" s="149"/>
      <c r="Y54" s="133"/>
      <c r="Z54" s="133"/>
      <c r="AA54" s="147"/>
      <c r="AB54" s="133"/>
      <c r="AC54" s="133"/>
      <c r="AD54" s="147"/>
      <c r="AE54" s="150"/>
      <c r="AF54" s="133"/>
      <c r="AG54" s="147"/>
      <c r="AH54" s="133"/>
      <c r="AI54" s="133"/>
      <c r="AJ54" s="147"/>
      <c r="AK54" s="150"/>
      <c r="AL54" s="133"/>
      <c r="AM54" s="147"/>
      <c r="AN54" s="133"/>
      <c r="AO54" s="133"/>
      <c r="AP54" s="147"/>
      <c r="AQ54" s="133"/>
      <c r="AR54" s="133"/>
    </row>
    <row r="55" spans="3:44" x14ac:dyDescent="0.2">
      <c r="C55" s="134"/>
      <c r="D55" s="151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47"/>
      <c r="P55" s="133"/>
      <c r="Q55" s="133"/>
      <c r="R55" s="133"/>
      <c r="S55" s="133"/>
      <c r="T55" s="147"/>
      <c r="U55" s="149"/>
      <c r="V55" s="133"/>
      <c r="W55" s="147"/>
      <c r="X55" s="149"/>
      <c r="Y55" s="133"/>
      <c r="Z55" s="133"/>
      <c r="AA55" s="147"/>
      <c r="AB55" s="133"/>
      <c r="AC55" s="133"/>
      <c r="AD55" s="147"/>
      <c r="AE55" s="150"/>
      <c r="AF55" s="133"/>
      <c r="AG55" s="147"/>
      <c r="AH55" s="133"/>
      <c r="AI55" s="133"/>
      <c r="AJ55" s="147"/>
      <c r="AK55" s="150"/>
      <c r="AL55" s="133"/>
      <c r="AM55" s="147"/>
      <c r="AN55" s="133"/>
      <c r="AO55" s="133"/>
      <c r="AP55" s="147"/>
      <c r="AQ55" s="133"/>
      <c r="AR55" s="133"/>
    </row>
    <row r="56" spans="3:44" x14ac:dyDescent="0.2">
      <c r="C56" s="134"/>
      <c r="D56" s="151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47"/>
      <c r="P56" s="133"/>
      <c r="Q56" s="133"/>
      <c r="R56" s="133"/>
      <c r="S56" s="133"/>
      <c r="T56" s="147"/>
      <c r="U56" s="149"/>
      <c r="V56" s="133"/>
      <c r="W56" s="147"/>
      <c r="X56" s="149"/>
      <c r="Y56" s="133"/>
      <c r="Z56" s="133"/>
      <c r="AA56" s="147"/>
      <c r="AB56" s="133"/>
      <c r="AC56" s="133"/>
      <c r="AD56" s="147"/>
      <c r="AE56" s="150"/>
      <c r="AF56" s="133"/>
      <c r="AG56" s="147"/>
      <c r="AH56" s="133"/>
      <c r="AI56" s="133"/>
      <c r="AJ56" s="147"/>
      <c r="AK56" s="150"/>
      <c r="AL56" s="133"/>
      <c r="AM56" s="147"/>
      <c r="AN56" s="133"/>
      <c r="AO56" s="133"/>
      <c r="AP56" s="147"/>
      <c r="AQ56" s="133"/>
      <c r="AR56" s="133"/>
    </row>
    <row r="57" spans="3:44" x14ac:dyDescent="0.2">
      <c r="C57" s="134"/>
      <c r="D57" s="151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47"/>
      <c r="P57" s="133"/>
      <c r="Q57" s="133"/>
      <c r="R57" s="133"/>
      <c r="S57" s="133"/>
      <c r="T57" s="147"/>
      <c r="U57" s="149"/>
      <c r="V57" s="133"/>
      <c r="W57" s="147"/>
      <c r="X57" s="149"/>
      <c r="Y57" s="133"/>
      <c r="Z57" s="133"/>
      <c r="AA57" s="147"/>
      <c r="AB57" s="133"/>
      <c r="AC57" s="133"/>
      <c r="AD57" s="147"/>
      <c r="AE57" s="150"/>
      <c r="AF57" s="133"/>
      <c r="AG57" s="147"/>
      <c r="AH57" s="133"/>
      <c r="AI57" s="133"/>
      <c r="AJ57" s="147"/>
      <c r="AK57" s="150"/>
      <c r="AL57" s="133"/>
      <c r="AM57" s="147"/>
      <c r="AN57" s="133"/>
      <c r="AO57" s="133"/>
      <c r="AP57" s="147"/>
      <c r="AQ57" s="133"/>
      <c r="AR57" s="133"/>
    </row>
    <row r="58" spans="3:44" x14ac:dyDescent="0.2">
      <c r="C58" s="134"/>
      <c r="D58" s="151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47"/>
      <c r="P58" s="133"/>
      <c r="Q58" s="133"/>
      <c r="R58" s="133"/>
      <c r="S58" s="133"/>
      <c r="T58" s="147"/>
      <c r="U58" s="149"/>
      <c r="V58" s="133"/>
      <c r="W58" s="147"/>
      <c r="X58" s="149"/>
      <c r="Y58" s="133"/>
      <c r="Z58" s="133"/>
      <c r="AA58" s="147"/>
      <c r="AB58" s="133"/>
      <c r="AC58" s="133"/>
      <c r="AD58" s="147"/>
      <c r="AE58" s="150"/>
      <c r="AF58" s="133"/>
      <c r="AG58" s="147"/>
      <c r="AH58" s="133"/>
      <c r="AI58" s="133"/>
      <c r="AJ58" s="147"/>
      <c r="AK58" s="150"/>
      <c r="AL58" s="133"/>
      <c r="AM58" s="147"/>
      <c r="AN58" s="133"/>
      <c r="AO58" s="133"/>
      <c r="AP58" s="147"/>
      <c r="AQ58" s="133"/>
      <c r="AR58" s="133"/>
    </row>
    <row r="59" spans="3:44" x14ac:dyDescent="0.2">
      <c r="C59" s="146"/>
      <c r="D59" s="146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47"/>
      <c r="P59" s="133"/>
      <c r="Q59" s="133"/>
      <c r="R59" s="133"/>
      <c r="S59" s="133"/>
      <c r="T59" s="147"/>
      <c r="U59" s="149"/>
      <c r="V59" s="133"/>
      <c r="W59" s="147"/>
      <c r="X59" s="149"/>
      <c r="Y59" s="133"/>
      <c r="Z59" s="133"/>
      <c r="AA59" s="147"/>
      <c r="AC59" s="133"/>
      <c r="AD59" s="147"/>
      <c r="AF59" s="133"/>
      <c r="AG59" s="147"/>
      <c r="AI59" s="133"/>
      <c r="AJ59" s="147"/>
      <c r="AL59" s="133"/>
      <c r="AM59" s="147"/>
      <c r="AO59" s="133"/>
      <c r="AP59" s="147"/>
    </row>
    <row r="60" spans="3:44" x14ac:dyDescent="0.2">
      <c r="C60" s="146"/>
      <c r="D60" s="146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47"/>
      <c r="P60" s="133"/>
      <c r="Q60" s="133"/>
      <c r="R60" s="133"/>
      <c r="S60" s="133"/>
      <c r="T60" s="147"/>
      <c r="U60" s="149"/>
      <c r="V60" s="133"/>
      <c r="W60" s="147"/>
      <c r="X60" s="149"/>
      <c r="Y60" s="133"/>
      <c r="Z60" s="133"/>
      <c r="AA60" s="147"/>
      <c r="AC60" s="133"/>
      <c r="AD60" s="147"/>
      <c r="AF60" s="133"/>
      <c r="AG60" s="147"/>
      <c r="AI60" s="133"/>
      <c r="AJ60" s="147"/>
      <c r="AL60" s="133"/>
      <c r="AM60" s="147"/>
      <c r="AO60" s="133"/>
      <c r="AP60" s="147"/>
    </row>
    <row r="61" spans="3:44" x14ac:dyDescent="0.2">
      <c r="C61" s="146"/>
      <c r="D61" s="146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47"/>
      <c r="P61" s="133"/>
      <c r="Q61" s="133"/>
      <c r="R61" s="133"/>
      <c r="S61" s="133"/>
      <c r="T61" s="147"/>
      <c r="U61" s="149"/>
      <c r="V61" s="133"/>
      <c r="W61" s="147"/>
      <c r="X61" s="149"/>
      <c r="Y61" s="133"/>
      <c r="Z61" s="133"/>
      <c r="AA61" s="147"/>
      <c r="AC61" s="133"/>
      <c r="AD61" s="147"/>
      <c r="AF61" s="133"/>
      <c r="AG61" s="147"/>
      <c r="AI61" s="133"/>
      <c r="AJ61" s="147"/>
      <c r="AL61" s="133"/>
      <c r="AM61" s="147"/>
      <c r="AO61" s="133"/>
      <c r="AP61" s="147"/>
    </row>
    <row r="62" spans="3:44" x14ac:dyDescent="0.2">
      <c r="C62" s="146"/>
      <c r="D62" s="146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47"/>
      <c r="P62" s="133"/>
      <c r="Q62" s="133"/>
      <c r="R62" s="133"/>
      <c r="S62" s="133"/>
      <c r="T62" s="147"/>
      <c r="U62" s="149"/>
      <c r="V62" s="133"/>
      <c r="W62" s="147"/>
      <c r="X62" s="149"/>
      <c r="Y62" s="133"/>
      <c r="Z62" s="133"/>
      <c r="AA62" s="147"/>
      <c r="AC62" s="133"/>
      <c r="AD62" s="147"/>
      <c r="AF62" s="133"/>
      <c r="AG62" s="147"/>
      <c r="AI62" s="133"/>
      <c r="AJ62" s="147"/>
      <c r="AL62" s="133"/>
      <c r="AM62" s="147"/>
      <c r="AO62" s="133"/>
      <c r="AP62" s="147"/>
    </row>
    <row r="63" spans="3:44" x14ac:dyDescent="0.2">
      <c r="C63" s="146"/>
      <c r="D63" s="146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47"/>
      <c r="P63" s="133"/>
      <c r="Q63" s="133"/>
      <c r="R63" s="133"/>
      <c r="S63" s="133"/>
      <c r="T63" s="147"/>
      <c r="U63" s="149"/>
      <c r="V63" s="133"/>
      <c r="W63" s="147"/>
      <c r="X63" s="149"/>
      <c r="Y63" s="133"/>
      <c r="Z63" s="133"/>
      <c r="AA63" s="147"/>
      <c r="AC63" s="133"/>
      <c r="AD63" s="147"/>
      <c r="AF63" s="133"/>
      <c r="AG63" s="147"/>
      <c r="AI63" s="133"/>
      <c r="AJ63" s="147"/>
      <c r="AL63" s="133"/>
      <c r="AM63" s="147"/>
      <c r="AO63" s="133"/>
      <c r="AP63" s="147"/>
    </row>
    <row r="64" spans="3:44" x14ac:dyDescent="0.2">
      <c r="C64" s="146"/>
      <c r="D64" s="146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47"/>
      <c r="P64" s="133"/>
      <c r="Q64" s="133"/>
      <c r="R64" s="133"/>
      <c r="S64" s="133"/>
      <c r="T64" s="147"/>
      <c r="U64" s="149"/>
      <c r="V64" s="133"/>
      <c r="W64" s="147"/>
      <c r="X64" s="149"/>
      <c r="Y64" s="133"/>
      <c r="Z64" s="133"/>
      <c r="AA64" s="147"/>
      <c r="AC64" s="133"/>
      <c r="AD64" s="147"/>
      <c r="AF64" s="133"/>
      <c r="AG64" s="147"/>
      <c r="AI64" s="133"/>
      <c r="AJ64" s="147"/>
      <c r="AL64" s="133"/>
      <c r="AM64" s="147"/>
      <c r="AO64" s="133"/>
      <c r="AP64" s="147"/>
    </row>
    <row r="65" spans="3:45" x14ac:dyDescent="0.2">
      <c r="C65" s="140"/>
      <c r="D65" s="140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47"/>
      <c r="P65" s="149"/>
      <c r="Q65" s="133"/>
      <c r="R65" s="149"/>
      <c r="S65" s="133"/>
      <c r="T65" s="147"/>
      <c r="U65" s="149"/>
      <c r="V65" s="133"/>
      <c r="W65" s="147"/>
      <c r="X65" s="149"/>
      <c r="Y65" s="133"/>
      <c r="Z65" s="133"/>
      <c r="AA65" s="147"/>
      <c r="AB65" s="133"/>
      <c r="AC65" s="133"/>
      <c r="AD65" s="147"/>
      <c r="AE65" s="150"/>
      <c r="AF65" s="133"/>
      <c r="AG65" s="147"/>
      <c r="AH65" s="133"/>
      <c r="AI65" s="133"/>
      <c r="AJ65" s="147"/>
      <c r="AK65" s="150"/>
      <c r="AL65" s="133"/>
      <c r="AM65" s="147"/>
      <c r="AN65" s="133"/>
      <c r="AO65" s="133"/>
      <c r="AP65" s="147"/>
      <c r="AQ65" s="133"/>
      <c r="AR65" s="133"/>
    </row>
    <row r="66" spans="3:45" x14ac:dyDescent="0.2">
      <c r="C66" s="146"/>
      <c r="D66" s="146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47"/>
      <c r="P66" s="133"/>
      <c r="Q66" s="133"/>
      <c r="R66" s="133"/>
      <c r="S66" s="133"/>
      <c r="T66" s="147"/>
      <c r="U66" s="133"/>
      <c r="V66" s="133"/>
      <c r="W66" s="147"/>
      <c r="X66" s="133"/>
      <c r="Y66" s="133"/>
      <c r="Z66" s="133"/>
      <c r="AA66" s="147"/>
      <c r="AB66" s="133"/>
      <c r="AC66" s="133"/>
      <c r="AD66" s="147"/>
      <c r="AE66" s="150"/>
      <c r="AF66" s="133"/>
      <c r="AG66" s="147"/>
      <c r="AH66" s="133"/>
      <c r="AI66" s="133"/>
      <c r="AJ66" s="147"/>
      <c r="AK66" s="150"/>
      <c r="AL66" s="133"/>
      <c r="AM66" s="147"/>
      <c r="AN66" s="133"/>
      <c r="AO66" s="133"/>
      <c r="AP66" s="147"/>
      <c r="AQ66" s="133"/>
      <c r="AR66" s="133"/>
    </row>
    <row r="67" spans="3:45" x14ac:dyDescent="0.2">
      <c r="C67" s="134"/>
      <c r="D67" s="146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47"/>
      <c r="P67" s="133"/>
      <c r="Q67" s="133"/>
      <c r="R67" s="133"/>
      <c r="S67" s="133"/>
      <c r="T67" s="147"/>
      <c r="U67" s="133"/>
      <c r="V67" s="133"/>
      <c r="W67" s="147"/>
      <c r="X67" s="133"/>
      <c r="Y67" s="133"/>
      <c r="Z67" s="133"/>
      <c r="AA67" s="147"/>
      <c r="AB67" s="133"/>
      <c r="AC67" s="133"/>
      <c r="AD67" s="147"/>
      <c r="AE67" s="150"/>
      <c r="AF67" s="133"/>
      <c r="AG67" s="147"/>
      <c r="AH67" s="133"/>
      <c r="AI67" s="133"/>
      <c r="AJ67" s="147"/>
      <c r="AK67" s="150"/>
      <c r="AL67" s="133"/>
      <c r="AM67" s="147"/>
      <c r="AN67" s="133"/>
      <c r="AO67" s="133"/>
      <c r="AP67" s="147"/>
      <c r="AQ67" s="133"/>
      <c r="AR67" s="133"/>
    </row>
    <row r="68" spans="3:45" x14ac:dyDescent="0.2">
      <c r="C68" s="146"/>
      <c r="D68" s="146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47"/>
      <c r="P68" s="133"/>
      <c r="Q68" s="133"/>
      <c r="R68" s="133"/>
      <c r="S68" s="133"/>
      <c r="T68" s="147"/>
      <c r="U68" s="133"/>
      <c r="V68" s="133"/>
      <c r="W68" s="147"/>
      <c r="X68" s="133"/>
      <c r="Y68" s="133"/>
      <c r="Z68" s="133"/>
      <c r="AA68" s="147"/>
      <c r="AB68" s="133"/>
      <c r="AC68" s="133"/>
      <c r="AD68" s="147"/>
      <c r="AE68" s="150"/>
      <c r="AF68" s="133"/>
      <c r="AG68" s="147"/>
      <c r="AH68" s="133"/>
      <c r="AI68" s="133"/>
      <c r="AJ68" s="147"/>
      <c r="AK68" s="150"/>
      <c r="AL68" s="133"/>
      <c r="AM68" s="147"/>
      <c r="AN68" s="133"/>
      <c r="AO68" s="133"/>
      <c r="AP68" s="147"/>
      <c r="AQ68" s="133"/>
      <c r="AR68" s="133"/>
    </row>
    <row r="69" spans="3:45" x14ac:dyDescent="0.2">
      <c r="C69" s="146"/>
      <c r="D69" s="146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47"/>
      <c r="P69" s="133"/>
      <c r="Q69" s="133"/>
      <c r="R69" s="133"/>
      <c r="S69" s="133"/>
      <c r="T69" s="147"/>
      <c r="U69" s="133"/>
      <c r="V69" s="133"/>
      <c r="W69" s="147"/>
      <c r="X69" s="133"/>
      <c r="Y69" s="133"/>
      <c r="Z69" s="133"/>
      <c r="AA69" s="147"/>
      <c r="AB69" s="133"/>
      <c r="AC69" s="133"/>
      <c r="AD69" s="147"/>
      <c r="AE69" s="150"/>
      <c r="AF69" s="133"/>
      <c r="AG69" s="147"/>
      <c r="AH69" s="133"/>
      <c r="AI69" s="133"/>
      <c r="AJ69" s="147"/>
      <c r="AK69" s="150"/>
      <c r="AL69" s="133"/>
      <c r="AM69" s="147"/>
      <c r="AN69" s="133"/>
      <c r="AO69" s="133"/>
      <c r="AP69" s="147"/>
      <c r="AQ69" s="133"/>
      <c r="AR69" s="133"/>
    </row>
    <row r="70" spans="3:45" x14ac:dyDescent="0.2">
      <c r="C70" s="146"/>
      <c r="D70" s="146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47"/>
      <c r="P70" s="133"/>
      <c r="Q70" s="133"/>
      <c r="R70" s="133"/>
      <c r="S70" s="133"/>
      <c r="T70" s="147"/>
      <c r="U70" s="133"/>
      <c r="V70" s="133"/>
      <c r="W70" s="147"/>
      <c r="X70" s="133"/>
      <c r="Y70" s="133"/>
      <c r="Z70" s="133"/>
      <c r="AA70" s="147"/>
      <c r="AB70" s="133"/>
      <c r="AC70" s="133"/>
      <c r="AD70" s="147"/>
      <c r="AE70" s="150"/>
      <c r="AF70" s="133"/>
      <c r="AG70" s="147"/>
      <c r="AH70" s="133"/>
      <c r="AI70" s="133"/>
      <c r="AJ70" s="147"/>
      <c r="AK70" s="150"/>
      <c r="AL70" s="133"/>
      <c r="AM70" s="147"/>
      <c r="AN70" s="133"/>
      <c r="AO70" s="133"/>
      <c r="AP70" s="147"/>
      <c r="AQ70" s="133"/>
      <c r="AR70" s="133"/>
    </row>
    <row r="71" spans="3:45" x14ac:dyDescent="0.2">
      <c r="C71" s="146"/>
      <c r="D71" s="146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47"/>
      <c r="P71" s="133"/>
      <c r="Q71" s="152"/>
      <c r="R71" s="133"/>
      <c r="S71" s="133"/>
      <c r="T71" s="147"/>
      <c r="U71" s="133"/>
      <c r="V71" s="133"/>
      <c r="W71" s="147"/>
      <c r="X71" s="133"/>
      <c r="Y71" s="133"/>
      <c r="Z71" s="133"/>
      <c r="AA71" s="147"/>
      <c r="AB71" s="133"/>
      <c r="AC71" s="133"/>
      <c r="AD71" s="147"/>
      <c r="AE71" s="150"/>
      <c r="AF71" s="133"/>
      <c r="AG71" s="147"/>
      <c r="AH71" s="133"/>
      <c r="AI71" s="133"/>
      <c r="AJ71" s="147"/>
      <c r="AK71" s="150"/>
      <c r="AL71" s="133"/>
      <c r="AM71" s="147"/>
      <c r="AN71" s="133"/>
      <c r="AO71" s="133"/>
      <c r="AP71" s="147"/>
      <c r="AQ71" s="133"/>
      <c r="AR71" s="133"/>
    </row>
    <row r="72" spans="3:45" x14ac:dyDescent="0.2">
      <c r="C72" s="146"/>
      <c r="D72" s="146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47"/>
      <c r="P72" s="133"/>
      <c r="Q72" s="152"/>
      <c r="R72" s="133"/>
      <c r="S72" s="133"/>
      <c r="T72" s="147"/>
      <c r="U72" s="133"/>
      <c r="V72" s="133"/>
      <c r="W72" s="147"/>
      <c r="X72" s="133"/>
      <c r="Y72" s="133"/>
      <c r="Z72" s="133"/>
      <c r="AA72" s="147"/>
      <c r="AB72" s="133"/>
      <c r="AC72" s="133"/>
      <c r="AD72" s="147"/>
      <c r="AE72" s="150"/>
      <c r="AF72" s="133"/>
      <c r="AG72" s="147"/>
      <c r="AH72" s="133"/>
      <c r="AI72" s="133"/>
      <c r="AJ72" s="147"/>
      <c r="AK72" s="150"/>
      <c r="AL72" s="133"/>
      <c r="AM72" s="147"/>
      <c r="AN72" s="133"/>
      <c r="AO72" s="133"/>
      <c r="AP72" s="147"/>
      <c r="AQ72" s="133"/>
      <c r="AR72" s="133"/>
    </row>
    <row r="73" spans="3:45" x14ac:dyDescent="0.2">
      <c r="C73" s="146"/>
      <c r="D73" s="146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47"/>
      <c r="P73" s="133"/>
      <c r="Q73" s="152"/>
      <c r="R73" s="133"/>
      <c r="S73" s="133"/>
      <c r="T73" s="147"/>
      <c r="U73" s="133"/>
      <c r="V73" s="133"/>
      <c r="W73" s="147"/>
      <c r="X73" s="133"/>
      <c r="Y73" s="133"/>
      <c r="Z73" s="133"/>
      <c r="AA73" s="147"/>
      <c r="AB73" s="133"/>
      <c r="AC73" s="133"/>
      <c r="AD73" s="147"/>
      <c r="AE73" s="150"/>
      <c r="AF73" s="133"/>
      <c r="AG73" s="147"/>
      <c r="AH73" s="133"/>
      <c r="AI73" s="133"/>
      <c r="AJ73" s="147"/>
      <c r="AK73" s="150"/>
      <c r="AL73" s="133"/>
      <c r="AM73" s="147"/>
      <c r="AN73" s="133"/>
      <c r="AO73" s="133"/>
      <c r="AP73" s="147"/>
      <c r="AQ73" s="133"/>
      <c r="AR73" s="133"/>
    </row>
    <row r="74" spans="3:45" x14ac:dyDescent="0.2">
      <c r="C74" s="146"/>
      <c r="D74" s="146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47"/>
      <c r="P74" s="133"/>
      <c r="Q74" s="152"/>
      <c r="R74" s="133"/>
      <c r="S74" s="133"/>
      <c r="T74" s="147"/>
      <c r="U74" s="133"/>
      <c r="V74" s="133"/>
      <c r="W74" s="147"/>
      <c r="X74" s="133"/>
      <c r="Y74" s="133"/>
      <c r="Z74" s="133"/>
      <c r="AA74" s="147"/>
      <c r="AB74" s="133"/>
      <c r="AC74" s="133"/>
      <c r="AD74" s="147"/>
      <c r="AE74" s="150"/>
      <c r="AF74" s="133"/>
      <c r="AG74" s="147"/>
      <c r="AH74" s="133"/>
      <c r="AI74" s="133"/>
      <c r="AJ74" s="147"/>
      <c r="AK74" s="150"/>
      <c r="AL74" s="133"/>
      <c r="AM74" s="147"/>
      <c r="AN74" s="133"/>
      <c r="AO74" s="133"/>
      <c r="AP74" s="147"/>
      <c r="AQ74" s="133"/>
      <c r="AR74" s="133"/>
      <c r="AS74" s="133"/>
    </row>
    <row r="75" spans="3:45" x14ac:dyDescent="0.2">
      <c r="C75" s="146"/>
      <c r="D75" s="146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47"/>
      <c r="P75" s="133"/>
      <c r="Q75" s="152"/>
      <c r="R75" s="133"/>
      <c r="S75" s="133"/>
      <c r="T75" s="147"/>
      <c r="U75" s="133"/>
      <c r="V75" s="133"/>
      <c r="W75" s="147"/>
      <c r="X75" s="133"/>
      <c r="Y75" s="133"/>
      <c r="Z75" s="133"/>
      <c r="AA75" s="147"/>
      <c r="AB75" s="133"/>
      <c r="AC75" s="133"/>
      <c r="AD75" s="147"/>
      <c r="AE75" s="150"/>
      <c r="AF75" s="133"/>
      <c r="AG75" s="147"/>
      <c r="AH75" s="133"/>
      <c r="AI75" s="133"/>
      <c r="AJ75" s="147"/>
      <c r="AK75" s="150"/>
      <c r="AL75" s="133"/>
      <c r="AM75" s="147"/>
      <c r="AN75" s="133"/>
      <c r="AO75" s="133"/>
      <c r="AP75" s="147"/>
      <c r="AQ75" s="133"/>
      <c r="AR75" s="133"/>
      <c r="AS75" s="133"/>
    </row>
    <row r="76" spans="3:45" x14ac:dyDescent="0.2">
      <c r="C76" s="146"/>
      <c r="D76" s="146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47"/>
      <c r="P76" s="133"/>
      <c r="Q76" s="152"/>
      <c r="R76" s="133"/>
      <c r="S76" s="133"/>
      <c r="T76" s="147"/>
      <c r="U76" s="133"/>
      <c r="V76" s="133"/>
      <c r="W76" s="147"/>
      <c r="X76" s="133"/>
      <c r="Y76" s="133"/>
      <c r="Z76" s="133"/>
      <c r="AA76" s="147"/>
      <c r="AC76" s="133"/>
      <c r="AD76" s="147"/>
      <c r="AF76" s="133"/>
      <c r="AG76" s="147"/>
      <c r="AI76" s="133"/>
      <c r="AJ76" s="147"/>
      <c r="AL76" s="133"/>
      <c r="AM76" s="147"/>
      <c r="AO76" s="133"/>
      <c r="AP76" s="147"/>
      <c r="AS76" s="133"/>
    </row>
    <row r="77" spans="3:45" x14ac:dyDescent="0.2">
      <c r="C77" s="146"/>
      <c r="D77" s="146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47"/>
      <c r="P77" s="133"/>
      <c r="Q77" s="152"/>
      <c r="R77" s="133"/>
      <c r="S77" s="133"/>
      <c r="T77" s="147"/>
      <c r="U77" s="133"/>
      <c r="V77" s="133"/>
      <c r="W77" s="147"/>
      <c r="X77" s="133"/>
      <c r="Y77" s="133"/>
      <c r="Z77" s="133"/>
      <c r="AA77" s="147"/>
      <c r="AC77" s="133"/>
      <c r="AD77" s="147"/>
      <c r="AF77" s="133"/>
      <c r="AG77" s="147"/>
      <c r="AI77" s="133"/>
      <c r="AJ77" s="147"/>
      <c r="AL77" s="133"/>
      <c r="AM77" s="147"/>
      <c r="AO77" s="133"/>
      <c r="AP77" s="147"/>
      <c r="AS77" s="133"/>
    </row>
    <row r="78" spans="3:45" x14ac:dyDescent="0.2">
      <c r="C78" s="146"/>
      <c r="D78" s="146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47"/>
      <c r="P78" s="133"/>
      <c r="Q78" s="152"/>
      <c r="R78" s="133"/>
      <c r="S78" s="133"/>
      <c r="T78" s="147"/>
      <c r="U78" s="133"/>
      <c r="V78" s="133"/>
      <c r="W78" s="147"/>
      <c r="X78" s="133"/>
      <c r="Y78" s="133"/>
      <c r="Z78" s="133"/>
      <c r="AA78" s="147"/>
      <c r="AC78" s="133"/>
      <c r="AD78" s="147"/>
      <c r="AF78" s="133"/>
      <c r="AG78" s="147"/>
      <c r="AI78" s="133"/>
      <c r="AJ78" s="147"/>
      <c r="AL78" s="133"/>
      <c r="AM78" s="147"/>
      <c r="AO78" s="133"/>
      <c r="AP78" s="147"/>
    </row>
    <row r="79" spans="3:45" x14ac:dyDescent="0.2">
      <c r="C79" s="146"/>
      <c r="D79" s="146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47"/>
      <c r="P79" s="133"/>
      <c r="Q79" s="152"/>
      <c r="R79" s="133"/>
      <c r="S79" s="133"/>
      <c r="T79" s="147"/>
      <c r="U79" s="133"/>
      <c r="V79" s="133"/>
      <c r="W79" s="147"/>
      <c r="X79" s="133"/>
      <c r="Y79" s="153"/>
      <c r="Z79" s="133"/>
      <c r="AA79" s="147"/>
      <c r="AB79" s="153"/>
      <c r="AC79" s="133"/>
      <c r="AD79" s="147"/>
      <c r="AE79" s="154"/>
      <c r="AF79" s="133"/>
      <c r="AG79" s="147"/>
      <c r="AH79" s="153"/>
      <c r="AI79" s="133"/>
      <c r="AJ79" s="147"/>
      <c r="AK79" s="154"/>
      <c r="AL79" s="133"/>
      <c r="AM79" s="147"/>
      <c r="AN79" s="153"/>
      <c r="AO79" s="133"/>
      <c r="AP79" s="147"/>
      <c r="AQ79" s="153"/>
      <c r="AR79" s="153"/>
      <c r="AS79" s="153"/>
    </row>
    <row r="80" spans="3:45" x14ac:dyDescent="0.2">
      <c r="C80" s="146"/>
      <c r="D80" s="146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47"/>
      <c r="P80" s="133"/>
      <c r="Q80" s="152"/>
      <c r="R80" s="133"/>
      <c r="S80" s="133"/>
      <c r="T80" s="147"/>
      <c r="U80" s="133"/>
      <c r="V80" s="133"/>
      <c r="W80" s="147"/>
      <c r="X80" s="133"/>
      <c r="Y80" s="133"/>
      <c r="Z80" s="133"/>
      <c r="AA80" s="147"/>
      <c r="AB80" s="133"/>
      <c r="AC80" s="133"/>
      <c r="AD80" s="147"/>
      <c r="AE80" s="150"/>
      <c r="AF80" s="133"/>
      <c r="AG80" s="147"/>
      <c r="AH80" s="133"/>
      <c r="AI80" s="133"/>
      <c r="AJ80" s="147"/>
      <c r="AK80" s="150"/>
      <c r="AL80" s="133"/>
      <c r="AM80" s="147"/>
      <c r="AN80" s="133"/>
      <c r="AO80" s="133"/>
      <c r="AP80" s="147"/>
      <c r="AQ80" s="133"/>
      <c r="AR80" s="133"/>
      <c r="AS80" s="133"/>
    </row>
    <row r="81" spans="3:46" x14ac:dyDescent="0.2">
      <c r="C81" s="140"/>
      <c r="D81" s="140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47"/>
      <c r="P81" s="133"/>
      <c r="Q81" s="152"/>
      <c r="R81" s="133"/>
      <c r="S81" s="133"/>
      <c r="T81" s="147"/>
      <c r="U81" s="133"/>
      <c r="V81" s="133"/>
      <c r="W81" s="147"/>
      <c r="X81" s="133"/>
      <c r="Y81" s="133"/>
      <c r="Z81" s="133"/>
      <c r="AA81" s="147"/>
      <c r="AB81" s="133"/>
      <c r="AC81" s="133"/>
      <c r="AD81" s="147"/>
      <c r="AE81" s="150"/>
      <c r="AF81" s="133"/>
      <c r="AG81" s="147"/>
      <c r="AH81" s="133"/>
      <c r="AI81" s="133"/>
      <c r="AJ81" s="147"/>
      <c r="AK81" s="150"/>
      <c r="AL81" s="133"/>
      <c r="AM81" s="147"/>
      <c r="AN81" s="133"/>
      <c r="AO81" s="133"/>
      <c r="AP81" s="147"/>
      <c r="AQ81" s="133"/>
      <c r="AR81" s="133"/>
      <c r="AS81" s="133"/>
    </row>
    <row r="82" spans="3:46" x14ac:dyDescent="0.2">
      <c r="C82" s="146"/>
      <c r="D82" s="146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47"/>
      <c r="P82" s="133"/>
      <c r="Q82" s="152"/>
      <c r="R82" s="133"/>
      <c r="S82" s="133"/>
      <c r="T82" s="147"/>
      <c r="U82" s="133"/>
      <c r="V82" s="133"/>
      <c r="W82" s="147"/>
      <c r="X82" s="133"/>
      <c r="Y82" s="133"/>
      <c r="Z82" s="133"/>
      <c r="AA82" s="147"/>
      <c r="AB82" s="133"/>
      <c r="AC82" s="133"/>
      <c r="AD82" s="147"/>
      <c r="AE82" s="150"/>
      <c r="AF82" s="133"/>
      <c r="AG82" s="147"/>
      <c r="AH82" s="133"/>
      <c r="AI82" s="133"/>
      <c r="AJ82" s="147"/>
      <c r="AK82" s="150"/>
      <c r="AL82" s="133"/>
      <c r="AM82" s="147"/>
      <c r="AN82" s="133"/>
      <c r="AO82" s="133"/>
      <c r="AP82" s="147"/>
      <c r="AQ82" s="133"/>
      <c r="AR82" s="133"/>
      <c r="AS82" s="133"/>
    </row>
    <row r="83" spans="3:46" x14ac:dyDescent="0.2">
      <c r="C83" s="146"/>
      <c r="D83" s="146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47"/>
      <c r="P83" s="133"/>
      <c r="Q83" s="152"/>
      <c r="R83" s="133"/>
      <c r="S83" s="133"/>
      <c r="T83" s="147"/>
      <c r="U83" s="133"/>
      <c r="V83" s="133"/>
      <c r="W83" s="147"/>
      <c r="X83" s="133"/>
      <c r="Y83" s="133"/>
      <c r="Z83" s="133"/>
      <c r="AA83" s="147"/>
      <c r="AB83" s="133"/>
      <c r="AC83" s="133"/>
      <c r="AD83" s="147"/>
      <c r="AE83" s="150"/>
      <c r="AF83" s="133"/>
      <c r="AG83" s="147"/>
      <c r="AH83" s="133"/>
      <c r="AI83" s="133"/>
      <c r="AJ83" s="147"/>
      <c r="AK83" s="150"/>
      <c r="AL83" s="133"/>
      <c r="AM83" s="147"/>
      <c r="AN83" s="133"/>
      <c r="AO83" s="133"/>
      <c r="AP83" s="147"/>
      <c r="AQ83" s="133"/>
      <c r="AR83" s="133"/>
      <c r="AS83" s="133"/>
    </row>
    <row r="84" spans="3:46" x14ac:dyDescent="0.2">
      <c r="C84" s="146"/>
      <c r="D84" s="146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47"/>
      <c r="P84" s="133"/>
      <c r="Q84" s="152"/>
      <c r="R84" s="133"/>
      <c r="S84" s="133"/>
      <c r="T84" s="147"/>
      <c r="U84" s="133"/>
      <c r="V84" s="133"/>
      <c r="W84" s="147"/>
      <c r="X84" s="133"/>
      <c r="Y84" s="133"/>
      <c r="Z84" s="133"/>
      <c r="AA84" s="147"/>
      <c r="AB84" s="133"/>
      <c r="AC84" s="133"/>
      <c r="AD84" s="147"/>
      <c r="AE84" s="150"/>
      <c r="AF84" s="133"/>
      <c r="AG84" s="147"/>
      <c r="AH84" s="133"/>
      <c r="AI84" s="133"/>
      <c r="AJ84" s="147"/>
      <c r="AK84" s="150"/>
      <c r="AL84" s="133"/>
      <c r="AM84" s="147"/>
      <c r="AN84" s="133"/>
      <c r="AO84" s="133"/>
      <c r="AP84" s="147"/>
      <c r="AQ84" s="133"/>
      <c r="AR84" s="133"/>
      <c r="AS84" s="133"/>
    </row>
    <row r="85" spans="3:46" x14ac:dyDescent="0.2">
      <c r="C85" s="146"/>
      <c r="D85" s="146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47"/>
      <c r="P85" s="133"/>
      <c r="Q85" s="152"/>
      <c r="R85" s="133"/>
      <c r="S85" s="133"/>
      <c r="T85" s="147"/>
      <c r="U85" s="133"/>
      <c r="V85" s="133"/>
      <c r="W85" s="147"/>
      <c r="X85" s="133"/>
      <c r="Y85" s="133"/>
      <c r="Z85" s="133"/>
      <c r="AA85" s="147"/>
      <c r="AB85" s="133"/>
      <c r="AC85" s="133"/>
      <c r="AD85" s="147"/>
      <c r="AE85" s="150"/>
      <c r="AF85" s="133"/>
      <c r="AG85" s="147"/>
      <c r="AH85" s="133"/>
      <c r="AI85" s="133"/>
      <c r="AJ85" s="147"/>
      <c r="AK85" s="150"/>
      <c r="AL85" s="133"/>
      <c r="AM85" s="147"/>
      <c r="AN85" s="133"/>
      <c r="AO85" s="133"/>
      <c r="AP85" s="147"/>
      <c r="AQ85" s="133"/>
      <c r="AR85" s="133"/>
      <c r="AS85" s="133"/>
    </row>
    <row r="86" spans="3:46" x14ac:dyDescent="0.2">
      <c r="C86" s="146"/>
      <c r="D86" s="146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47"/>
      <c r="P86" s="133"/>
      <c r="Q86" s="152"/>
      <c r="R86" s="133"/>
      <c r="S86" s="133"/>
      <c r="T86" s="147"/>
      <c r="U86" s="133"/>
      <c r="V86" s="133"/>
      <c r="W86" s="147"/>
      <c r="X86" s="133"/>
      <c r="Y86" s="133"/>
      <c r="Z86" s="133"/>
      <c r="AA86" s="147"/>
      <c r="AB86" s="133"/>
      <c r="AC86" s="133"/>
      <c r="AD86" s="147"/>
      <c r="AE86" s="150"/>
      <c r="AF86" s="133"/>
      <c r="AG86" s="147"/>
      <c r="AH86" s="133"/>
      <c r="AI86" s="133"/>
      <c r="AJ86" s="147"/>
      <c r="AK86" s="150"/>
      <c r="AL86" s="133"/>
      <c r="AM86" s="147"/>
      <c r="AN86" s="133"/>
      <c r="AO86" s="133"/>
      <c r="AP86" s="147"/>
      <c r="AQ86" s="133"/>
      <c r="AR86" s="133"/>
      <c r="AS86" s="133"/>
    </row>
    <row r="87" spans="3:46" x14ac:dyDescent="0.2">
      <c r="C87" s="146"/>
      <c r="D87" s="146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47"/>
      <c r="P87" s="133"/>
      <c r="Q87" s="152"/>
      <c r="R87" s="133"/>
      <c r="S87" s="133"/>
      <c r="T87" s="147"/>
      <c r="U87" s="133"/>
      <c r="V87" s="133"/>
      <c r="W87" s="147"/>
      <c r="X87" s="133"/>
      <c r="Y87" s="133"/>
      <c r="Z87" s="133"/>
      <c r="AA87" s="147"/>
      <c r="AB87" s="133"/>
      <c r="AC87" s="133"/>
      <c r="AD87" s="147"/>
      <c r="AE87" s="150"/>
      <c r="AF87" s="133"/>
      <c r="AG87" s="147"/>
      <c r="AH87" s="133"/>
      <c r="AI87" s="133"/>
      <c r="AJ87" s="147"/>
      <c r="AK87" s="150"/>
      <c r="AL87" s="133"/>
      <c r="AM87" s="147"/>
      <c r="AN87" s="133"/>
      <c r="AO87" s="133"/>
      <c r="AP87" s="147"/>
      <c r="AQ87" s="133"/>
      <c r="AR87" s="133"/>
      <c r="AS87" s="133"/>
    </row>
    <row r="88" spans="3:46" x14ac:dyDescent="0.2">
      <c r="C88" s="146"/>
      <c r="D88" s="146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47"/>
      <c r="P88" s="133"/>
      <c r="Q88" s="152"/>
      <c r="R88" s="133"/>
      <c r="S88" s="133"/>
      <c r="T88" s="147"/>
      <c r="U88" s="133"/>
      <c r="V88" s="133"/>
      <c r="W88" s="147"/>
      <c r="X88" s="133"/>
      <c r="Y88" s="133"/>
      <c r="Z88" s="133"/>
      <c r="AA88" s="147"/>
      <c r="AB88" s="133"/>
      <c r="AC88" s="133"/>
      <c r="AD88" s="147"/>
      <c r="AE88" s="150"/>
      <c r="AF88" s="133"/>
      <c r="AG88" s="147"/>
      <c r="AH88" s="133"/>
      <c r="AI88" s="133"/>
      <c r="AJ88" s="147"/>
      <c r="AK88" s="150"/>
      <c r="AL88" s="133"/>
      <c r="AM88" s="147"/>
      <c r="AN88" s="133"/>
      <c r="AO88" s="133"/>
      <c r="AP88" s="147"/>
      <c r="AQ88" s="133"/>
      <c r="AR88" s="133"/>
      <c r="AS88" s="133"/>
    </row>
    <row r="89" spans="3:46" x14ac:dyDescent="0.2">
      <c r="C89" s="146"/>
      <c r="D89" s="146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47"/>
      <c r="P89" s="133"/>
      <c r="Q89" s="152"/>
      <c r="R89" s="133"/>
      <c r="S89" s="133"/>
      <c r="T89" s="147"/>
      <c r="U89" s="133"/>
      <c r="V89" s="133"/>
      <c r="W89" s="147"/>
      <c r="X89" s="133"/>
      <c r="Y89" s="133"/>
      <c r="Z89" s="133"/>
      <c r="AA89" s="147"/>
      <c r="AB89" s="133"/>
      <c r="AC89" s="133"/>
      <c r="AD89" s="147"/>
      <c r="AE89" s="150"/>
      <c r="AF89" s="133"/>
      <c r="AG89" s="147"/>
      <c r="AH89" s="133"/>
      <c r="AI89" s="133"/>
      <c r="AJ89" s="147"/>
      <c r="AK89" s="150"/>
      <c r="AL89" s="133"/>
      <c r="AM89" s="147"/>
      <c r="AN89" s="133"/>
      <c r="AO89" s="133"/>
      <c r="AP89" s="147"/>
      <c r="AQ89" s="133"/>
      <c r="AR89" s="133"/>
      <c r="AS89" s="133"/>
    </row>
    <row r="90" spans="3:46" x14ac:dyDescent="0.2">
      <c r="C90" s="146"/>
      <c r="D90" s="146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47"/>
      <c r="P90" s="133"/>
      <c r="Q90" s="152"/>
      <c r="R90" s="133"/>
      <c r="S90" s="133"/>
      <c r="T90" s="147"/>
      <c r="U90" s="133"/>
      <c r="V90" s="133"/>
      <c r="W90" s="147"/>
      <c r="X90" s="133"/>
      <c r="Y90" s="133"/>
      <c r="Z90" s="133"/>
      <c r="AA90" s="147"/>
      <c r="AB90" s="133"/>
      <c r="AC90" s="133"/>
      <c r="AD90" s="147"/>
      <c r="AE90" s="150"/>
      <c r="AF90" s="133"/>
      <c r="AG90" s="147"/>
      <c r="AH90" s="133"/>
      <c r="AI90" s="133"/>
      <c r="AJ90" s="147"/>
      <c r="AK90" s="150"/>
      <c r="AL90" s="133"/>
      <c r="AM90" s="147"/>
      <c r="AN90" s="133"/>
      <c r="AO90" s="133"/>
      <c r="AP90" s="147"/>
      <c r="AQ90" s="133"/>
      <c r="AR90" s="133"/>
      <c r="AS90" s="133"/>
    </row>
    <row r="91" spans="3:46" x14ac:dyDescent="0.2">
      <c r="C91" s="146"/>
      <c r="D91" s="146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47"/>
      <c r="P91" s="133"/>
      <c r="Q91" s="152"/>
      <c r="R91" s="133"/>
      <c r="S91" s="133"/>
      <c r="T91" s="147"/>
      <c r="U91" s="133"/>
      <c r="V91" s="133"/>
      <c r="W91" s="147"/>
      <c r="X91" s="133"/>
      <c r="Y91" s="133"/>
      <c r="Z91" s="133"/>
      <c r="AA91" s="147"/>
      <c r="AB91" s="133"/>
      <c r="AC91" s="133"/>
      <c r="AD91" s="147"/>
      <c r="AE91" s="150"/>
      <c r="AF91" s="133"/>
      <c r="AG91" s="147"/>
      <c r="AH91" s="133"/>
      <c r="AI91" s="133"/>
      <c r="AJ91" s="147"/>
      <c r="AK91" s="150"/>
      <c r="AL91" s="133"/>
      <c r="AM91" s="147"/>
      <c r="AN91" s="133"/>
      <c r="AO91" s="133"/>
      <c r="AP91" s="147"/>
      <c r="AQ91" s="133"/>
      <c r="AR91" s="133"/>
      <c r="AS91" s="133"/>
    </row>
    <row r="92" spans="3:46" x14ac:dyDescent="0.2">
      <c r="C92" s="146"/>
      <c r="D92" s="146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47"/>
      <c r="P92" s="133"/>
      <c r="Q92" s="152"/>
      <c r="R92" s="133"/>
      <c r="S92" s="133"/>
      <c r="T92" s="147"/>
      <c r="U92" s="133"/>
      <c r="V92" s="133"/>
      <c r="W92" s="147"/>
      <c r="X92" s="133"/>
      <c r="Y92" s="133"/>
      <c r="Z92" s="133"/>
      <c r="AA92" s="147"/>
      <c r="AB92" s="133"/>
      <c r="AC92" s="133"/>
      <c r="AD92" s="147"/>
      <c r="AE92" s="150"/>
      <c r="AF92" s="133"/>
      <c r="AG92" s="147"/>
      <c r="AH92" s="133"/>
      <c r="AI92" s="133"/>
      <c r="AJ92" s="147"/>
      <c r="AK92" s="150"/>
      <c r="AL92" s="133"/>
      <c r="AM92" s="147"/>
      <c r="AN92" s="133"/>
      <c r="AO92" s="133"/>
      <c r="AP92" s="147"/>
      <c r="AQ92" s="133"/>
      <c r="AR92" s="133"/>
      <c r="AS92" s="133"/>
    </row>
    <row r="93" spans="3:46" x14ac:dyDescent="0.2">
      <c r="C93" s="146"/>
      <c r="D93" s="146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47"/>
      <c r="P93" s="133"/>
      <c r="Q93" s="133"/>
      <c r="R93" s="133"/>
      <c r="S93" s="133"/>
      <c r="T93" s="147"/>
      <c r="U93" s="133"/>
      <c r="V93" s="133"/>
      <c r="W93" s="147"/>
      <c r="X93" s="133"/>
      <c r="Y93" s="133"/>
      <c r="Z93" s="133"/>
      <c r="AA93" s="147"/>
      <c r="AB93" s="133"/>
      <c r="AC93" s="133"/>
      <c r="AD93" s="147"/>
      <c r="AE93" s="150"/>
      <c r="AF93" s="133"/>
      <c r="AG93" s="147"/>
      <c r="AH93" s="133"/>
      <c r="AI93" s="133"/>
      <c r="AJ93" s="147"/>
      <c r="AK93" s="150"/>
      <c r="AL93" s="133"/>
      <c r="AM93" s="147"/>
      <c r="AN93" s="133"/>
      <c r="AO93" s="133"/>
      <c r="AP93" s="147"/>
      <c r="AQ93" s="133"/>
      <c r="AR93" s="133"/>
      <c r="AS93" s="133"/>
    </row>
    <row r="94" spans="3:46" x14ac:dyDescent="0.2">
      <c r="C94" s="146"/>
      <c r="D94" s="146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47"/>
      <c r="P94" s="133"/>
      <c r="Q94" s="133"/>
      <c r="R94" s="133"/>
      <c r="S94" s="133"/>
      <c r="T94" s="147"/>
      <c r="U94" s="133"/>
      <c r="V94" s="133"/>
      <c r="W94" s="147"/>
      <c r="X94" s="133"/>
      <c r="Y94" s="133"/>
      <c r="Z94" s="133"/>
      <c r="AA94" s="147"/>
      <c r="AB94" s="133"/>
      <c r="AC94" s="133"/>
      <c r="AD94" s="147"/>
      <c r="AE94" s="150"/>
      <c r="AF94" s="133"/>
      <c r="AG94" s="147"/>
      <c r="AH94" s="133"/>
      <c r="AI94" s="133"/>
      <c r="AJ94" s="147"/>
      <c r="AK94" s="150"/>
      <c r="AL94" s="133"/>
      <c r="AM94" s="147"/>
      <c r="AN94" s="133"/>
      <c r="AO94" s="133"/>
      <c r="AP94" s="147"/>
      <c r="AQ94" s="133"/>
      <c r="AR94" s="133"/>
      <c r="AS94" s="133"/>
    </row>
    <row r="95" spans="3:46" x14ac:dyDescent="0.2">
      <c r="C95" s="146"/>
      <c r="D95" s="146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47"/>
      <c r="P95" s="133"/>
      <c r="Q95" s="133"/>
      <c r="R95" s="133"/>
      <c r="S95" s="133"/>
      <c r="T95" s="147"/>
      <c r="U95" s="133"/>
      <c r="V95" s="133"/>
      <c r="W95" s="147"/>
      <c r="X95" s="133"/>
      <c r="Y95" s="133"/>
      <c r="Z95" s="133"/>
      <c r="AA95" s="147"/>
      <c r="AB95" s="133"/>
      <c r="AC95" s="133"/>
      <c r="AD95" s="147"/>
      <c r="AE95" s="150"/>
      <c r="AF95" s="133"/>
      <c r="AG95" s="147"/>
      <c r="AH95" s="133"/>
      <c r="AI95" s="133"/>
      <c r="AJ95" s="147"/>
      <c r="AK95" s="150"/>
      <c r="AL95" s="133"/>
      <c r="AM95" s="147"/>
      <c r="AN95" s="133"/>
      <c r="AO95" s="133"/>
      <c r="AP95" s="147"/>
      <c r="AQ95" s="133"/>
      <c r="AR95" s="133"/>
      <c r="AS95" s="133"/>
    </row>
    <row r="96" spans="3:46" x14ac:dyDescent="0.2">
      <c r="C96" s="146"/>
      <c r="D96" s="146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47"/>
      <c r="P96" s="133"/>
      <c r="Q96" s="133"/>
      <c r="R96" s="133"/>
      <c r="S96" s="133"/>
      <c r="T96" s="147"/>
      <c r="U96" s="133"/>
      <c r="V96" s="133"/>
      <c r="W96" s="147"/>
      <c r="X96" s="133"/>
      <c r="Y96" s="133"/>
      <c r="Z96" s="133"/>
      <c r="AA96" s="147"/>
      <c r="AB96" s="133"/>
      <c r="AC96" s="133"/>
      <c r="AD96" s="147"/>
      <c r="AE96" s="150"/>
      <c r="AF96" s="133"/>
      <c r="AG96" s="147"/>
      <c r="AH96" s="133"/>
      <c r="AI96" s="133"/>
      <c r="AJ96" s="147"/>
      <c r="AK96" s="150"/>
      <c r="AL96" s="133"/>
      <c r="AM96" s="147"/>
      <c r="AN96" s="133"/>
      <c r="AO96" s="133"/>
      <c r="AP96" s="147"/>
      <c r="AQ96" s="133"/>
      <c r="AR96" s="133"/>
      <c r="AS96" s="133"/>
      <c r="AT96" s="155"/>
    </row>
    <row r="97" spans="1:47" x14ac:dyDescent="0.2">
      <c r="C97" s="146"/>
      <c r="D97" s="146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47"/>
      <c r="P97" s="133"/>
      <c r="Q97" s="133"/>
      <c r="R97" s="133"/>
      <c r="S97" s="133"/>
      <c r="T97" s="147"/>
      <c r="U97" s="133"/>
      <c r="V97" s="133"/>
      <c r="W97" s="147"/>
      <c r="X97" s="133"/>
      <c r="Y97" s="133"/>
      <c r="Z97" s="133"/>
      <c r="AA97" s="147"/>
      <c r="AB97" s="133"/>
      <c r="AC97" s="133"/>
      <c r="AD97" s="147"/>
      <c r="AE97" s="150"/>
      <c r="AF97" s="133"/>
      <c r="AG97" s="147"/>
      <c r="AH97" s="133"/>
      <c r="AI97" s="133"/>
      <c r="AJ97" s="147"/>
      <c r="AK97" s="150"/>
      <c r="AL97" s="133"/>
      <c r="AM97" s="147"/>
      <c r="AN97" s="133"/>
      <c r="AO97" s="133"/>
      <c r="AP97" s="147"/>
      <c r="AQ97" s="133"/>
      <c r="AR97" s="133"/>
      <c r="AS97" s="133"/>
    </row>
    <row r="98" spans="1:47" x14ac:dyDescent="0.2">
      <c r="C98" s="146"/>
      <c r="D98" s="146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47"/>
      <c r="P98" s="133"/>
      <c r="Q98" s="133"/>
      <c r="R98" s="133"/>
      <c r="S98" s="133"/>
      <c r="T98" s="147"/>
      <c r="U98" s="133"/>
      <c r="V98" s="133"/>
      <c r="W98" s="147"/>
      <c r="X98" s="133"/>
      <c r="Y98" s="133"/>
      <c r="Z98" s="133"/>
      <c r="AA98" s="147"/>
      <c r="AB98" s="133"/>
      <c r="AC98" s="133"/>
      <c r="AD98" s="147"/>
      <c r="AE98" s="150"/>
      <c r="AF98" s="133"/>
      <c r="AG98" s="147"/>
      <c r="AH98" s="133"/>
      <c r="AI98" s="133"/>
      <c r="AJ98" s="147"/>
      <c r="AK98" s="150"/>
      <c r="AL98" s="133"/>
      <c r="AM98" s="147"/>
      <c r="AN98" s="133"/>
      <c r="AO98" s="133"/>
      <c r="AP98" s="147"/>
      <c r="AQ98" s="133"/>
      <c r="AR98" s="133"/>
      <c r="AS98" s="133"/>
    </row>
    <row r="99" spans="1:47" x14ac:dyDescent="0.2">
      <c r="C99" s="146"/>
      <c r="D99" s="146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47"/>
      <c r="P99" s="133"/>
      <c r="Q99" s="133"/>
      <c r="R99" s="133"/>
      <c r="S99" s="133"/>
      <c r="T99" s="147"/>
      <c r="U99" s="133"/>
      <c r="V99" s="133"/>
      <c r="W99" s="147"/>
      <c r="X99" s="133"/>
      <c r="Y99" s="133"/>
      <c r="Z99" s="133"/>
      <c r="AA99" s="147"/>
      <c r="AB99" s="133"/>
      <c r="AC99" s="133"/>
      <c r="AD99" s="147"/>
      <c r="AE99" s="150"/>
      <c r="AF99" s="133"/>
      <c r="AG99" s="147"/>
      <c r="AH99" s="133"/>
      <c r="AI99" s="133"/>
      <c r="AJ99" s="147"/>
      <c r="AK99" s="150"/>
      <c r="AL99" s="133"/>
      <c r="AM99" s="147"/>
      <c r="AN99" s="133"/>
      <c r="AO99" s="133"/>
      <c r="AP99" s="147"/>
      <c r="AQ99" s="133"/>
      <c r="AR99" s="133"/>
      <c r="AS99" s="133"/>
    </row>
    <row r="100" spans="1:47" x14ac:dyDescent="0.2">
      <c r="C100" s="146"/>
      <c r="D100" s="146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47"/>
      <c r="P100" s="133"/>
      <c r="Q100" s="133"/>
      <c r="R100" s="133"/>
      <c r="S100" s="133"/>
      <c r="T100" s="147"/>
      <c r="U100" s="133"/>
      <c r="V100" s="133"/>
      <c r="W100" s="147"/>
      <c r="X100" s="133"/>
      <c r="Y100" s="133"/>
      <c r="Z100" s="133"/>
      <c r="AA100" s="147"/>
      <c r="AB100" s="133"/>
      <c r="AC100" s="133"/>
      <c r="AD100" s="147"/>
      <c r="AE100" s="150"/>
      <c r="AF100" s="133"/>
      <c r="AG100" s="147"/>
      <c r="AH100" s="133"/>
      <c r="AI100" s="133"/>
      <c r="AJ100" s="147"/>
      <c r="AK100" s="150"/>
      <c r="AL100" s="133"/>
      <c r="AM100" s="147"/>
      <c r="AN100" s="133"/>
      <c r="AO100" s="133"/>
      <c r="AP100" s="147"/>
      <c r="AQ100" s="133"/>
      <c r="AR100" s="133"/>
      <c r="AS100" s="133"/>
    </row>
    <row r="101" spans="1:47" x14ac:dyDescent="0.2">
      <c r="C101" s="146"/>
      <c r="D101" s="146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47"/>
      <c r="P101" s="133"/>
      <c r="Q101" s="133"/>
      <c r="R101" s="133"/>
      <c r="S101" s="133"/>
      <c r="T101" s="147"/>
      <c r="U101" s="133"/>
      <c r="V101" s="133"/>
      <c r="W101" s="147"/>
      <c r="X101" s="133"/>
      <c r="Y101" s="133"/>
      <c r="Z101" s="133"/>
      <c r="AA101" s="147"/>
      <c r="AC101" s="133"/>
      <c r="AD101" s="147"/>
      <c r="AF101" s="133"/>
      <c r="AG101" s="147"/>
      <c r="AI101" s="133"/>
      <c r="AJ101" s="147"/>
      <c r="AL101" s="133"/>
      <c r="AM101" s="147"/>
      <c r="AO101" s="133"/>
      <c r="AP101" s="147"/>
      <c r="AS101" s="133"/>
    </row>
    <row r="102" spans="1:47" x14ac:dyDescent="0.2">
      <c r="C102" s="146"/>
      <c r="D102" s="146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47"/>
      <c r="P102" s="133"/>
      <c r="Q102" s="133"/>
      <c r="R102" s="133"/>
      <c r="S102" s="133"/>
      <c r="T102" s="147"/>
      <c r="U102" s="133"/>
      <c r="V102" s="133"/>
      <c r="W102" s="147"/>
      <c r="X102" s="133"/>
      <c r="Y102" s="133"/>
      <c r="Z102" s="133"/>
      <c r="AA102" s="147"/>
      <c r="AC102" s="133"/>
      <c r="AD102" s="147"/>
      <c r="AF102" s="133"/>
      <c r="AG102" s="147"/>
      <c r="AI102" s="133"/>
      <c r="AJ102" s="147"/>
      <c r="AL102" s="133"/>
      <c r="AM102" s="147"/>
      <c r="AO102" s="133"/>
      <c r="AP102" s="147"/>
      <c r="AS102" s="133"/>
    </row>
    <row r="103" spans="1:47" x14ac:dyDescent="0.2">
      <c r="C103" s="146"/>
      <c r="D103" s="146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47"/>
      <c r="P103" s="133"/>
      <c r="Q103" s="133"/>
      <c r="R103" s="133"/>
      <c r="S103" s="133"/>
      <c r="T103" s="147"/>
      <c r="U103" s="133"/>
      <c r="V103" s="133"/>
      <c r="W103" s="147"/>
      <c r="X103" s="133"/>
      <c r="Y103" s="133"/>
      <c r="Z103" s="133"/>
      <c r="AA103" s="147"/>
      <c r="AC103" s="133"/>
      <c r="AD103" s="147"/>
      <c r="AF103" s="133"/>
      <c r="AG103" s="147"/>
      <c r="AI103" s="133"/>
      <c r="AJ103" s="147"/>
      <c r="AL103" s="133"/>
      <c r="AM103" s="147"/>
      <c r="AO103" s="133"/>
      <c r="AP103" s="147"/>
      <c r="AS103" s="133"/>
    </row>
    <row r="104" spans="1:47" x14ac:dyDescent="0.2">
      <c r="C104" s="146"/>
      <c r="D104" s="146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47"/>
      <c r="P104" s="133"/>
      <c r="Q104" s="133"/>
      <c r="R104" s="133"/>
      <c r="S104" s="133"/>
      <c r="T104" s="147"/>
      <c r="U104" s="133"/>
      <c r="V104" s="133"/>
      <c r="W104" s="147"/>
      <c r="X104" s="133"/>
      <c r="Y104" s="133"/>
      <c r="Z104" s="133"/>
      <c r="AA104" s="147"/>
      <c r="AC104" s="133"/>
      <c r="AD104" s="147"/>
      <c r="AF104" s="133"/>
      <c r="AG104" s="147"/>
      <c r="AI104" s="133"/>
      <c r="AJ104" s="147"/>
      <c r="AL104" s="133"/>
      <c r="AM104" s="147"/>
      <c r="AO104" s="133"/>
      <c r="AP104" s="147"/>
    </row>
    <row r="105" spans="1:47" x14ac:dyDescent="0.2">
      <c r="C105" s="146"/>
      <c r="D105" s="146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47"/>
      <c r="P105" s="133"/>
      <c r="Q105" s="133"/>
      <c r="R105" s="133"/>
      <c r="S105" s="133"/>
      <c r="T105" s="147"/>
      <c r="U105" s="133"/>
      <c r="V105" s="133"/>
      <c r="W105" s="147"/>
      <c r="X105" s="133"/>
      <c r="Y105" s="133"/>
      <c r="Z105" s="133"/>
      <c r="AA105" s="147"/>
      <c r="AC105" s="133"/>
      <c r="AD105" s="147"/>
      <c r="AF105" s="133"/>
      <c r="AG105" s="147"/>
      <c r="AI105" s="133"/>
      <c r="AJ105" s="147"/>
      <c r="AL105" s="133"/>
      <c r="AM105" s="147"/>
      <c r="AO105" s="133"/>
      <c r="AP105" s="147"/>
    </row>
    <row r="106" spans="1:47" x14ac:dyDescent="0.2">
      <c r="C106" s="146"/>
      <c r="D106" s="146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47"/>
      <c r="P106" s="133"/>
      <c r="Q106" s="133"/>
      <c r="R106" s="133"/>
      <c r="S106" s="133"/>
      <c r="T106" s="147"/>
      <c r="U106" s="133"/>
      <c r="V106" s="133"/>
      <c r="W106" s="147"/>
      <c r="X106" s="133"/>
      <c r="Y106" s="133"/>
      <c r="Z106" s="133"/>
      <c r="AA106" s="147"/>
      <c r="AC106" s="133"/>
      <c r="AD106" s="147"/>
      <c r="AF106" s="133"/>
      <c r="AG106" s="147"/>
      <c r="AI106" s="133"/>
      <c r="AJ106" s="147"/>
      <c r="AL106" s="133"/>
      <c r="AM106" s="147"/>
      <c r="AO106" s="133"/>
      <c r="AP106" s="147"/>
    </row>
    <row r="107" spans="1:47" x14ac:dyDescent="0.2">
      <c r="C107" s="146"/>
      <c r="D107" s="146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47"/>
      <c r="P107" s="133"/>
      <c r="Q107" s="133"/>
      <c r="R107" s="133"/>
      <c r="S107" s="133"/>
      <c r="T107" s="147"/>
      <c r="U107" s="133"/>
      <c r="V107" s="133"/>
      <c r="W107" s="147"/>
      <c r="X107" s="133"/>
      <c r="Y107" s="133"/>
      <c r="Z107" s="133"/>
      <c r="AA107" s="147"/>
      <c r="AC107" s="133"/>
      <c r="AD107" s="147"/>
      <c r="AF107" s="133"/>
      <c r="AG107" s="147"/>
      <c r="AI107" s="133"/>
      <c r="AJ107" s="147"/>
      <c r="AL107" s="133"/>
      <c r="AM107" s="147"/>
      <c r="AO107" s="133"/>
      <c r="AP107" s="147"/>
    </row>
    <row r="108" spans="1:47" x14ac:dyDescent="0.2">
      <c r="C108" s="146"/>
      <c r="D108" s="146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47"/>
      <c r="P108" s="133"/>
      <c r="Q108" s="133"/>
      <c r="R108" s="133"/>
      <c r="S108" s="133"/>
      <c r="T108" s="147"/>
      <c r="U108" s="133"/>
      <c r="V108" s="133"/>
      <c r="W108" s="147"/>
      <c r="X108" s="133"/>
      <c r="Y108" s="133"/>
      <c r="Z108" s="133"/>
      <c r="AA108" s="147"/>
      <c r="AC108" s="133"/>
      <c r="AD108" s="147"/>
      <c r="AF108" s="133"/>
      <c r="AG108" s="147"/>
      <c r="AI108" s="133"/>
      <c r="AJ108" s="147"/>
      <c r="AL108" s="133"/>
      <c r="AM108" s="147"/>
      <c r="AO108" s="133"/>
      <c r="AP108" s="147"/>
    </row>
    <row r="109" spans="1:47" x14ac:dyDescent="0.2">
      <c r="A109" s="155"/>
      <c r="B109" s="155"/>
      <c r="C109" s="146"/>
      <c r="D109" s="146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47"/>
      <c r="P109" s="133"/>
      <c r="Q109" s="133"/>
      <c r="R109" s="133"/>
      <c r="S109" s="133"/>
      <c r="T109" s="147"/>
      <c r="U109" s="133"/>
      <c r="V109" s="133"/>
      <c r="W109" s="147"/>
      <c r="X109" s="133"/>
      <c r="Y109" s="133"/>
      <c r="Z109" s="133"/>
      <c r="AA109" s="147"/>
      <c r="AC109" s="133"/>
      <c r="AD109" s="147"/>
      <c r="AF109" s="133"/>
      <c r="AG109" s="147"/>
      <c r="AI109" s="133"/>
      <c r="AJ109" s="147"/>
      <c r="AL109" s="133"/>
      <c r="AM109" s="147"/>
      <c r="AO109" s="133"/>
      <c r="AP109" s="147"/>
    </row>
    <row r="110" spans="1:47" x14ac:dyDescent="0.2">
      <c r="C110" s="146"/>
      <c r="D110" s="146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47"/>
      <c r="P110" s="133"/>
      <c r="Q110" s="133"/>
      <c r="R110" s="133"/>
      <c r="S110" s="133"/>
      <c r="T110" s="147"/>
      <c r="U110" s="133"/>
      <c r="V110" s="133"/>
      <c r="W110" s="147"/>
      <c r="X110" s="133"/>
      <c r="Y110" s="133"/>
      <c r="Z110" s="133"/>
      <c r="AA110" s="147"/>
      <c r="AC110" s="133"/>
      <c r="AD110" s="147"/>
      <c r="AF110" s="133"/>
      <c r="AG110" s="147"/>
      <c r="AI110" s="133"/>
      <c r="AJ110" s="147"/>
      <c r="AL110" s="133"/>
      <c r="AM110" s="147"/>
      <c r="AO110" s="133"/>
      <c r="AP110" s="147"/>
    </row>
    <row r="111" spans="1:47" x14ac:dyDescent="0.2">
      <c r="C111" s="146"/>
      <c r="D111" s="146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47"/>
      <c r="P111" s="133"/>
      <c r="Q111" s="133"/>
      <c r="R111" s="133"/>
      <c r="S111" s="133"/>
      <c r="T111" s="147"/>
      <c r="U111" s="133"/>
      <c r="V111" s="133"/>
      <c r="W111" s="147"/>
      <c r="X111" s="133"/>
      <c r="Y111" s="133"/>
      <c r="Z111" s="133"/>
      <c r="AA111" s="147"/>
      <c r="AC111" s="133"/>
      <c r="AD111" s="147"/>
      <c r="AF111" s="133"/>
      <c r="AG111" s="147"/>
      <c r="AI111" s="133"/>
      <c r="AJ111" s="147"/>
      <c r="AL111" s="133"/>
      <c r="AM111" s="147"/>
      <c r="AO111" s="133"/>
      <c r="AP111" s="147"/>
    </row>
    <row r="112" spans="1:47" s="155" customFormat="1" x14ac:dyDescent="0.2">
      <c r="A112" s="81"/>
      <c r="B112" s="81"/>
      <c r="C112" s="146"/>
      <c r="D112" s="146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47"/>
      <c r="P112" s="133"/>
      <c r="Q112" s="133"/>
      <c r="R112" s="133"/>
      <c r="S112" s="133"/>
      <c r="T112" s="147"/>
      <c r="U112" s="133"/>
      <c r="V112" s="133"/>
      <c r="W112" s="147"/>
      <c r="X112" s="133"/>
      <c r="Y112" s="133"/>
      <c r="Z112" s="133"/>
      <c r="AA112" s="147"/>
      <c r="AB112" s="81"/>
      <c r="AC112" s="133"/>
      <c r="AD112" s="147"/>
      <c r="AE112" s="139"/>
      <c r="AF112" s="133"/>
      <c r="AG112" s="147"/>
      <c r="AH112" s="81"/>
      <c r="AI112" s="133"/>
      <c r="AJ112" s="147"/>
      <c r="AK112" s="139"/>
      <c r="AL112" s="133"/>
      <c r="AM112" s="147"/>
      <c r="AN112" s="81"/>
      <c r="AO112" s="133"/>
      <c r="AP112" s="147"/>
      <c r="AQ112" s="81"/>
      <c r="AR112" s="81"/>
      <c r="AS112" s="81"/>
      <c r="AT112" s="81"/>
      <c r="AU112" s="81"/>
    </row>
    <row r="113" spans="3:42" x14ac:dyDescent="0.2">
      <c r="C113" s="146"/>
      <c r="D113" s="146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47"/>
      <c r="P113" s="133"/>
      <c r="Q113" s="133"/>
      <c r="R113" s="133"/>
      <c r="S113" s="133"/>
      <c r="T113" s="147"/>
      <c r="U113" s="133"/>
      <c r="V113" s="133"/>
      <c r="W113" s="147"/>
      <c r="X113" s="133"/>
      <c r="Y113" s="133"/>
      <c r="Z113" s="133"/>
      <c r="AA113" s="147"/>
      <c r="AC113" s="133"/>
      <c r="AD113" s="147"/>
      <c r="AF113" s="133"/>
      <c r="AG113" s="147"/>
      <c r="AI113" s="133"/>
      <c r="AJ113" s="147"/>
      <c r="AL113" s="133"/>
      <c r="AM113" s="147"/>
      <c r="AO113" s="133"/>
      <c r="AP113" s="147"/>
    </row>
    <row r="114" spans="3:42" x14ac:dyDescent="0.2">
      <c r="C114" s="146"/>
      <c r="D114" s="146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47"/>
      <c r="P114" s="133"/>
      <c r="Q114" s="133"/>
      <c r="R114" s="133"/>
      <c r="S114" s="133"/>
      <c r="T114" s="147"/>
      <c r="U114" s="133"/>
      <c r="V114" s="133"/>
      <c r="W114" s="147"/>
      <c r="X114" s="133"/>
      <c r="Y114" s="133"/>
      <c r="Z114" s="133"/>
      <c r="AA114" s="147"/>
      <c r="AC114" s="133"/>
      <c r="AD114" s="147"/>
      <c r="AF114" s="133"/>
      <c r="AG114" s="147"/>
      <c r="AI114" s="133"/>
      <c r="AJ114" s="147"/>
      <c r="AL114" s="133"/>
      <c r="AM114" s="147"/>
      <c r="AO114" s="133"/>
      <c r="AP114" s="147"/>
    </row>
    <row r="115" spans="3:42" x14ac:dyDescent="0.2">
      <c r="C115" s="146"/>
      <c r="D115" s="146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47"/>
      <c r="P115" s="133"/>
      <c r="Q115" s="133"/>
      <c r="R115" s="133"/>
      <c r="S115" s="133"/>
      <c r="T115" s="147"/>
      <c r="U115" s="133"/>
      <c r="V115" s="133"/>
      <c r="W115" s="147"/>
      <c r="X115" s="133"/>
      <c r="Y115" s="133"/>
      <c r="Z115" s="133"/>
      <c r="AA115" s="147"/>
      <c r="AC115" s="133"/>
      <c r="AD115" s="147"/>
      <c r="AF115" s="133"/>
      <c r="AG115" s="147"/>
      <c r="AI115" s="133"/>
      <c r="AJ115" s="147"/>
      <c r="AL115" s="133"/>
      <c r="AM115" s="147"/>
      <c r="AO115" s="133"/>
      <c r="AP115" s="147"/>
    </row>
    <row r="116" spans="3:42" x14ac:dyDescent="0.2">
      <c r="C116" s="146"/>
      <c r="D116" s="146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47"/>
      <c r="P116" s="133"/>
      <c r="Q116" s="133"/>
      <c r="R116" s="133"/>
      <c r="S116" s="133"/>
      <c r="T116" s="147"/>
      <c r="U116" s="133"/>
      <c r="V116" s="133"/>
      <c r="W116" s="147"/>
      <c r="X116" s="133"/>
      <c r="Y116" s="133"/>
      <c r="Z116" s="133"/>
      <c r="AA116" s="147"/>
      <c r="AC116" s="133"/>
      <c r="AD116" s="147"/>
      <c r="AF116" s="133"/>
      <c r="AG116" s="147"/>
      <c r="AI116" s="133"/>
      <c r="AJ116" s="147"/>
      <c r="AL116" s="133"/>
      <c r="AM116" s="147"/>
      <c r="AO116" s="133"/>
      <c r="AP116" s="147"/>
    </row>
    <row r="117" spans="3:42" x14ac:dyDescent="0.2">
      <c r="C117" s="146"/>
      <c r="D117" s="146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47"/>
      <c r="P117" s="133"/>
      <c r="Q117" s="133"/>
      <c r="R117" s="133"/>
      <c r="S117" s="133"/>
      <c r="T117" s="147"/>
      <c r="U117" s="133"/>
      <c r="V117" s="133"/>
      <c r="W117" s="147"/>
      <c r="X117" s="133"/>
      <c r="Y117" s="133"/>
      <c r="Z117" s="133"/>
      <c r="AA117" s="147"/>
      <c r="AC117" s="133"/>
      <c r="AD117" s="147"/>
      <c r="AF117" s="133"/>
      <c r="AG117" s="147"/>
      <c r="AI117" s="133"/>
      <c r="AJ117" s="147"/>
      <c r="AL117" s="133"/>
      <c r="AM117" s="147"/>
      <c r="AO117" s="133"/>
      <c r="AP117" s="147"/>
    </row>
    <row r="118" spans="3:42" x14ac:dyDescent="0.2">
      <c r="C118" s="146"/>
      <c r="D118" s="146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47"/>
      <c r="P118" s="133"/>
      <c r="Q118" s="133"/>
      <c r="R118" s="133"/>
      <c r="S118" s="133"/>
      <c r="T118" s="147"/>
      <c r="U118" s="133"/>
      <c r="V118" s="133"/>
      <c r="W118" s="147"/>
      <c r="X118" s="133"/>
      <c r="Y118" s="133"/>
      <c r="Z118" s="133"/>
      <c r="AA118" s="147"/>
      <c r="AC118" s="133"/>
      <c r="AD118" s="147"/>
      <c r="AF118" s="133"/>
      <c r="AG118" s="147"/>
      <c r="AI118" s="133"/>
      <c r="AJ118" s="147"/>
      <c r="AL118" s="133"/>
      <c r="AM118" s="147"/>
      <c r="AO118" s="133"/>
      <c r="AP118" s="147"/>
    </row>
    <row r="119" spans="3:42" x14ac:dyDescent="0.2">
      <c r="C119" s="146"/>
      <c r="D119" s="146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47"/>
      <c r="P119" s="133"/>
      <c r="Q119" s="133"/>
      <c r="R119" s="133"/>
      <c r="S119" s="133"/>
      <c r="T119" s="147"/>
      <c r="U119" s="133"/>
      <c r="V119" s="133"/>
      <c r="W119" s="147"/>
      <c r="X119" s="133"/>
      <c r="Y119" s="133"/>
      <c r="Z119" s="133"/>
      <c r="AA119" s="147"/>
      <c r="AC119" s="133"/>
      <c r="AD119" s="147"/>
      <c r="AF119" s="133"/>
      <c r="AG119" s="147"/>
      <c r="AI119" s="133"/>
      <c r="AJ119" s="147"/>
      <c r="AL119" s="133"/>
      <c r="AM119" s="147"/>
      <c r="AO119" s="133"/>
      <c r="AP119" s="147"/>
    </row>
    <row r="120" spans="3:42" x14ac:dyDescent="0.2">
      <c r="C120" s="146"/>
      <c r="D120" s="146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47"/>
      <c r="P120" s="133"/>
      <c r="Q120" s="133"/>
      <c r="R120" s="133"/>
      <c r="S120" s="133"/>
      <c r="T120" s="147"/>
      <c r="U120" s="133"/>
      <c r="V120" s="133"/>
      <c r="W120" s="147"/>
      <c r="X120" s="133"/>
      <c r="Y120" s="133"/>
      <c r="Z120" s="133"/>
      <c r="AA120" s="147"/>
      <c r="AC120" s="133"/>
      <c r="AD120" s="147"/>
      <c r="AF120" s="133"/>
      <c r="AG120" s="147"/>
      <c r="AI120" s="133"/>
      <c r="AJ120" s="147"/>
      <c r="AL120" s="133"/>
      <c r="AM120" s="147"/>
      <c r="AO120" s="133"/>
      <c r="AP120" s="147"/>
    </row>
    <row r="121" spans="3:42" x14ac:dyDescent="0.2">
      <c r="C121" s="146"/>
      <c r="D121" s="146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47"/>
      <c r="P121" s="133"/>
      <c r="Q121" s="133"/>
      <c r="R121" s="133"/>
      <c r="S121" s="133"/>
      <c r="T121" s="147"/>
      <c r="U121" s="133"/>
      <c r="V121" s="133"/>
      <c r="W121" s="147"/>
      <c r="X121" s="133"/>
      <c r="Y121" s="133"/>
      <c r="Z121" s="133"/>
      <c r="AA121" s="147"/>
      <c r="AC121" s="133"/>
      <c r="AD121" s="147"/>
      <c r="AF121" s="133"/>
      <c r="AG121" s="147"/>
      <c r="AI121" s="133"/>
      <c r="AJ121" s="147"/>
      <c r="AL121" s="133"/>
      <c r="AM121" s="147"/>
      <c r="AO121" s="133"/>
      <c r="AP121" s="147"/>
    </row>
    <row r="122" spans="3:42" x14ac:dyDescent="0.2">
      <c r="C122" s="146"/>
      <c r="D122" s="146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47"/>
      <c r="P122" s="133"/>
      <c r="Q122" s="133"/>
      <c r="R122" s="133"/>
      <c r="S122" s="133"/>
      <c r="T122" s="147"/>
      <c r="U122" s="133"/>
      <c r="V122" s="133"/>
      <c r="W122" s="147"/>
      <c r="X122" s="133"/>
      <c r="Y122" s="133"/>
      <c r="Z122" s="133"/>
      <c r="AA122" s="147"/>
      <c r="AC122" s="133"/>
      <c r="AD122" s="147"/>
      <c r="AF122" s="133"/>
      <c r="AG122" s="147"/>
      <c r="AI122" s="133"/>
      <c r="AJ122" s="147"/>
      <c r="AL122" s="133"/>
      <c r="AM122" s="147"/>
      <c r="AO122" s="133"/>
      <c r="AP122" s="147"/>
    </row>
    <row r="123" spans="3:42" x14ac:dyDescent="0.2">
      <c r="C123" s="146"/>
      <c r="D123" s="146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47"/>
      <c r="P123" s="133"/>
      <c r="Q123" s="133"/>
      <c r="R123" s="133"/>
      <c r="S123" s="133"/>
      <c r="T123" s="147"/>
      <c r="U123" s="133"/>
      <c r="V123" s="133"/>
      <c r="W123" s="147"/>
      <c r="X123" s="133"/>
      <c r="Y123" s="133"/>
      <c r="Z123" s="133"/>
      <c r="AA123" s="147"/>
      <c r="AC123" s="133"/>
      <c r="AD123" s="147"/>
      <c r="AF123" s="133"/>
      <c r="AG123" s="147"/>
      <c r="AI123" s="133"/>
      <c r="AJ123" s="147"/>
      <c r="AL123" s="133"/>
      <c r="AM123" s="147"/>
      <c r="AO123" s="133"/>
      <c r="AP123" s="147"/>
    </row>
    <row r="124" spans="3:42" x14ac:dyDescent="0.2">
      <c r="C124" s="146"/>
      <c r="D124" s="146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47"/>
      <c r="P124" s="133"/>
      <c r="Q124" s="133"/>
      <c r="R124" s="133"/>
      <c r="S124" s="133"/>
      <c r="T124" s="147"/>
      <c r="U124" s="133"/>
      <c r="V124" s="133"/>
      <c r="W124" s="147"/>
      <c r="X124" s="133"/>
      <c r="Y124" s="133"/>
      <c r="Z124" s="133"/>
      <c r="AA124" s="147"/>
      <c r="AC124" s="133"/>
      <c r="AD124" s="147"/>
      <c r="AF124" s="133"/>
      <c r="AG124" s="147"/>
      <c r="AI124" s="133"/>
      <c r="AJ124" s="147"/>
      <c r="AL124" s="133"/>
      <c r="AM124" s="147"/>
      <c r="AO124" s="133"/>
      <c r="AP124" s="147"/>
    </row>
    <row r="125" spans="3:42" x14ac:dyDescent="0.2">
      <c r="C125" s="146"/>
      <c r="D125" s="14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47"/>
      <c r="P125" s="133"/>
      <c r="Q125" s="133"/>
      <c r="R125" s="133"/>
      <c r="S125" s="133"/>
      <c r="T125" s="147"/>
      <c r="U125" s="133"/>
      <c r="V125" s="133"/>
      <c r="W125" s="147"/>
      <c r="X125" s="133"/>
      <c r="Y125" s="133"/>
      <c r="Z125" s="133"/>
      <c r="AA125" s="147"/>
      <c r="AC125" s="133"/>
      <c r="AD125" s="147"/>
      <c r="AF125" s="133"/>
      <c r="AG125" s="147"/>
      <c r="AI125" s="133"/>
      <c r="AJ125" s="147"/>
      <c r="AL125" s="133"/>
      <c r="AM125" s="147"/>
      <c r="AO125" s="133"/>
      <c r="AP125" s="147"/>
    </row>
    <row r="126" spans="3:42" x14ac:dyDescent="0.2">
      <c r="C126" s="146"/>
      <c r="D126" s="146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47"/>
      <c r="P126" s="133"/>
      <c r="Q126" s="133"/>
      <c r="R126" s="133"/>
      <c r="S126" s="133"/>
      <c r="T126" s="147"/>
      <c r="U126" s="133"/>
      <c r="V126" s="133"/>
      <c r="W126" s="147"/>
      <c r="X126" s="133"/>
      <c r="Y126" s="133"/>
      <c r="Z126" s="133"/>
      <c r="AA126" s="147"/>
      <c r="AC126" s="133"/>
      <c r="AD126" s="147"/>
      <c r="AF126" s="133"/>
      <c r="AG126" s="147"/>
      <c r="AI126" s="133"/>
      <c r="AJ126" s="147"/>
      <c r="AL126" s="133"/>
      <c r="AM126" s="147"/>
      <c r="AO126" s="133"/>
      <c r="AP126" s="147"/>
    </row>
    <row r="127" spans="3:42" x14ac:dyDescent="0.2">
      <c r="C127" s="146"/>
      <c r="D127" s="146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47"/>
      <c r="P127" s="133"/>
      <c r="Q127" s="133"/>
      <c r="R127" s="133"/>
      <c r="S127" s="133"/>
      <c r="T127" s="147"/>
      <c r="U127" s="133"/>
      <c r="V127" s="133"/>
      <c r="W127" s="147"/>
      <c r="X127" s="133"/>
      <c r="Y127" s="133"/>
      <c r="Z127" s="133"/>
      <c r="AA127" s="147"/>
      <c r="AC127" s="133"/>
      <c r="AD127" s="147"/>
      <c r="AF127" s="133"/>
      <c r="AG127" s="147"/>
      <c r="AI127" s="133"/>
      <c r="AJ127" s="147"/>
      <c r="AL127" s="133"/>
      <c r="AM127" s="147"/>
      <c r="AO127" s="133"/>
      <c r="AP127" s="147"/>
    </row>
    <row r="128" spans="3:42" x14ac:dyDescent="0.2">
      <c r="C128" s="146"/>
      <c r="D128" s="146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47"/>
      <c r="P128" s="133"/>
      <c r="Q128" s="133"/>
      <c r="R128" s="133"/>
      <c r="S128" s="133"/>
      <c r="T128" s="147"/>
      <c r="U128" s="133"/>
      <c r="V128" s="133"/>
      <c r="W128" s="147"/>
      <c r="X128" s="133"/>
      <c r="Y128" s="133"/>
      <c r="Z128" s="133"/>
      <c r="AA128" s="147"/>
      <c r="AC128" s="133"/>
      <c r="AD128" s="147"/>
      <c r="AF128" s="133"/>
      <c r="AG128" s="147"/>
      <c r="AI128" s="133"/>
      <c r="AJ128" s="147"/>
      <c r="AL128" s="133"/>
      <c r="AM128" s="147"/>
      <c r="AO128" s="133"/>
      <c r="AP128" s="147"/>
    </row>
    <row r="129" spans="3:42" x14ac:dyDescent="0.2">
      <c r="C129" s="146"/>
      <c r="D129" s="146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47"/>
      <c r="P129" s="133"/>
      <c r="Q129" s="133"/>
      <c r="R129" s="133"/>
      <c r="S129" s="133"/>
      <c r="T129" s="147"/>
      <c r="U129" s="133"/>
      <c r="V129" s="133"/>
      <c r="W129" s="147"/>
      <c r="X129" s="133"/>
      <c r="Y129" s="133"/>
      <c r="Z129" s="133"/>
      <c r="AA129" s="147"/>
      <c r="AC129" s="133"/>
      <c r="AD129" s="147"/>
      <c r="AF129" s="133"/>
      <c r="AG129" s="147"/>
      <c r="AI129" s="133"/>
      <c r="AJ129" s="147"/>
      <c r="AL129" s="133"/>
      <c r="AM129" s="147"/>
      <c r="AO129" s="133"/>
      <c r="AP129" s="147"/>
    </row>
    <row r="130" spans="3:42" x14ac:dyDescent="0.2">
      <c r="C130" s="146"/>
      <c r="D130" s="146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47"/>
      <c r="P130" s="133"/>
      <c r="Q130" s="133"/>
      <c r="R130" s="133"/>
      <c r="S130" s="133"/>
      <c r="T130" s="147"/>
      <c r="U130" s="133"/>
      <c r="V130" s="133"/>
      <c r="W130" s="147"/>
      <c r="X130" s="133"/>
      <c r="Y130" s="133"/>
      <c r="Z130" s="133"/>
      <c r="AA130" s="147"/>
      <c r="AC130" s="133"/>
      <c r="AD130" s="147"/>
      <c r="AF130" s="133"/>
      <c r="AG130" s="147"/>
      <c r="AI130" s="133"/>
      <c r="AJ130" s="147"/>
      <c r="AL130" s="133"/>
      <c r="AM130" s="147"/>
      <c r="AO130" s="133"/>
      <c r="AP130" s="147"/>
    </row>
    <row r="131" spans="3:42" x14ac:dyDescent="0.2">
      <c r="C131" s="146"/>
      <c r="D131" s="146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47"/>
      <c r="P131" s="133"/>
      <c r="Q131" s="133"/>
      <c r="R131" s="133"/>
      <c r="S131" s="133"/>
      <c r="T131" s="147"/>
      <c r="U131" s="133"/>
      <c r="V131" s="133"/>
      <c r="W131" s="147"/>
      <c r="X131" s="133"/>
      <c r="Y131" s="133"/>
      <c r="Z131" s="133"/>
      <c r="AA131" s="147"/>
      <c r="AC131" s="133"/>
      <c r="AD131" s="147"/>
      <c r="AF131" s="133"/>
      <c r="AG131" s="147"/>
      <c r="AI131" s="133"/>
      <c r="AJ131" s="147"/>
      <c r="AL131" s="133"/>
      <c r="AM131" s="147"/>
      <c r="AO131" s="133"/>
      <c r="AP131" s="147"/>
    </row>
    <row r="132" spans="3:42" x14ac:dyDescent="0.2">
      <c r="C132" s="146"/>
      <c r="D132" s="146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47"/>
      <c r="P132" s="133"/>
      <c r="Q132" s="133"/>
      <c r="R132" s="133"/>
      <c r="S132" s="133"/>
      <c r="T132" s="147"/>
      <c r="U132" s="133"/>
      <c r="V132" s="133"/>
      <c r="W132" s="147"/>
      <c r="X132" s="133"/>
      <c r="Y132" s="133"/>
      <c r="Z132" s="133"/>
      <c r="AA132" s="147"/>
      <c r="AC132" s="133"/>
      <c r="AD132" s="147"/>
      <c r="AF132" s="133"/>
      <c r="AG132" s="147"/>
      <c r="AI132" s="133"/>
      <c r="AJ132" s="147"/>
      <c r="AL132" s="133"/>
      <c r="AM132" s="147"/>
      <c r="AO132" s="133"/>
      <c r="AP132" s="147"/>
    </row>
    <row r="133" spans="3:42" x14ac:dyDescent="0.2">
      <c r="C133" s="146"/>
      <c r="D133" s="146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47"/>
      <c r="P133" s="133"/>
      <c r="Q133" s="133"/>
      <c r="R133" s="133"/>
      <c r="S133" s="133"/>
      <c r="T133" s="147"/>
      <c r="U133" s="133"/>
      <c r="V133" s="133"/>
      <c r="W133" s="147"/>
      <c r="X133" s="133"/>
      <c r="Y133" s="133"/>
      <c r="Z133" s="133"/>
      <c r="AA133" s="147"/>
      <c r="AC133" s="133"/>
      <c r="AD133" s="147"/>
      <c r="AF133" s="133"/>
      <c r="AG133" s="147"/>
      <c r="AI133" s="133"/>
      <c r="AJ133" s="147"/>
      <c r="AL133" s="133"/>
      <c r="AM133" s="147"/>
      <c r="AO133" s="133"/>
      <c r="AP133" s="147"/>
    </row>
    <row r="134" spans="3:42" x14ac:dyDescent="0.2">
      <c r="C134" s="146"/>
      <c r="D134" s="146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47"/>
      <c r="P134" s="133"/>
      <c r="Q134" s="133"/>
      <c r="R134" s="133"/>
      <c r="S134" s="133"/>
      <c r="T134" s="147"/>
      <c r="U134" s="133"/>
      <c r="V134" s="133"/>
      <c r="W134" s="147"/>
      <c r="X134" s="133"/>
      <c r="Y134" s="133"/>
      <c r="Z134" s="133"/>
      <c r="AA134" s="147"/>
      <c r="AC134" s="133"/>
      <c r="AD134" s="147"/>
      <c r="AF134" s="133"/>
      <c r="AG134" s="147"/>
      <c r="AI134" s="133"/>
      <c r="AJ134" s="147"/>
      <c r="AL134" s="133"/>
      <c r="AM134" s="147"/>
      <c r="AO134" s="133"/>
      <c r="AP134" s="147"/>
    </row>
    <row r="135" spans="3:42" x14ac:dyDescent="0.2">
      <c r="C135" s="146"/>
      <c r="D135" s="146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47"/>
      <c r="P135" s="133"/>
      <c r="Q135" s="133"/>
      <c r="R135" s="133"/>
      <c r="S135" s="133"/>
      <c r="T135" s="147"/>
      <c r="U135" s="133"/>
      <c r="V135" s="133"/>
      <c r="W135" s="147"/>
      <c r="X135" s="133"/>
      <c r="Y135" s="133"/>
      <c r="Z135" s="133"/>
      <c r="AA135" s="147"/>
      <c r="AC135" s="133"/>
      <c r="AD135" s="147"/>
      <c r="AF135" s="133"/>
      <c r="AG135" s="147"/>
      <c r="AI135" s="133"/>
      <c r="AJ135" s="147"/>
      <c r="AL135" s="133"/>
      <c r="AM135" s="147"/>
      <c r="AO135" s="133"/>
      <c r="AP135" s="147"/>
    </row>
    <row r="136" spans="3:42" x14ac:dyDescent="0.2">
      <c r="C136" s="146"/>
      <c r="D136" s="146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47"/>
      <c r="P136" s="133"/>
      <c r="Q136" s="133"/>
      <c r="R136" s="133"/>
      <c r="S136" s="133"/>
      <c r="T136" s="147"/>
      <c r="U136" s="133"/>
      <c r="V136" s="133"/>
      <c r="W136" s="147"/>
      <c r="X136" s="133"/>
      <c r="Y136" s="133"/>
      <c r="Z136" s="133"/>
      <c r="AA136" s="147"/>
      <c r="AC136" s="133"/>
      <c r="AD136" s="147"/>
      <c r="AF136" s="133"/>
      <c r="AG136" s="147"/>
      <c r="AI136" s="133"/>
      <c r="AJ136" s="147"/>
      <c r="AL136" s="133"/>
      <c r="AM136" s="147"/>
      <c r="AO136" s="133"/>
      <c r="AP136" s="147"/>
    </row>
    <row r="137" spans="3:42" x14ac:dyDescent="0.2">
      <c r="C137" s="146"/>
      <c r="D137" s="146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47"/>
      <c r="P137" s="133"/>
      <c r="Q137" s="133"/>
      <c r="R137" s="133"/>
      <c r="S137" s="133"/>
      <c r="T137" s="147"/>
      <c r="U137" s="133"/>
      <c r="V137" s="133"/>
      <c r="W137" s="147"/>
      <c r="X137" s="133"/>
      <c r="Y137" s="133"/>
      <c r="Z137" s="133"/>
      <c r="AA137" s="147"/>
      <c r="AC137" s="133"/>
      <c r="AD137" s="147"/>
      <c r="AF137" s="133"/>
      <c r="AG137" s="147"/>
      <c r="AI137" s="133"/>
      <c r="AJ137" s="147"/>
      <c r="AL137" s="133"/>
      <c r="AM137" s="147"/>
      <c r="AO137" s="133"/>
      <c r="AP137" s="147"/>
    </row>
    <row r="138" spans="3:42" x14ac:dyDescent="0.2">
      <c r="C138" s="146"/>
      <c r="D138" s="146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47"/>
      <c r="P138" s="133"/>
      <c r="Q138" s="133"/>
      <c r="R138" s="133"/>
      <c r="S138" s="133"/>
      <c r="T138" s="147"/>
      <c r="U138" s="133"/>
      <c r="V138" s="133"/>
      <c r="W138" s="147"/>
      <c r="X138" s="133"/>
      <c r="Y138" s="133"/>
      <c r="Z138" s="133"/>
      <c r="AA138" s="147"/>
      <c r="AC138" s="133"/>
      <c r="AD138" s="147"/>
      <c r="AF138" s="133"/>
      <c r="AG138" s="147"/>
      <c r="AI138" s="133"/>
      <c r="AJ138" s="147"/>
      <c r="AL138" s="133"/>
      <c r="AM138" s="147"/>
      <c r="AO138" s="133"/>
      <c r="AP138" s="147"/>
    </row>
    <row r="139" spans="3:42" x14ac:dyDescent="0.2">
      <c r="C139" s="146"/>
      <c r="D139" s="146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47"/>
      <c r="P139" s="133"/>
      <c r="Q139" s="133"/>
      <c r="R139" s="133"/>
      <c r="S139" s="133"/>
      <c r="T139" s="147"/>
      <c r="U139" s="133"/>
      <c r="V139" s="133"/>
      <c r="W139" s="147"/>
      <c r="X139" s="133"/>
      <c r="Y139" s="133"/>
      <c r="Z139" s="133"/>
      <c r="AA139" s="147"/>
      <c r="AC139" s="133"/>
      <c r="AD139" s="147"/>
      <c r="AF139" s="133"/>
      <c r="AG139" s="147"/>
      <c r="AI139" s="133"/>
      <c r="AJ139" s="147"/>
      <c r="AL139" s="133"/>
      <c r="AM139" s="147"/>
      <c r="AO139" s="133"/>
      <c r="AP139" s="147"/>
    </row>
    <row r="140" spans="3:42" x14ac:dyDescent="0.2">
      <c r="C140" s="146"/>
      <c r="D140" s="146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47"/>
      <c r="P140" s="133"/>
      <c r="Q140" s="133"/>
      <c r="R140" s="133"/>
      <c r="S140" s="133"/>
      <c r="T140" s="147"/>
      <c r="U140" s="133"/>
      <c r="V140" s="133"/>
      <c r="W140" s="147"/>
      <c r="X140" s="133"/>
      <c r="Y140" s="133"/>
      <c r="Z140" s="133"/>
      <c r="AA140" s="147"/>
      <c r="AC140" s="133"/>
      <c r="AD140" s="147"/>
      <c r="AF140" s="133"/>
      <c r="AG140" s="147"/>
      <c r="AI140" s="133"/>
      <c r="AJ140" s="147"/>
      <c r="AL140" s="133"/>
      <c r="AM140" s="147"/>
      <c r="AO140" s="133"/>
      <c r="AP140" s="147"/>
    </row>
    <row r="141" spans="3:42" x14ac:dyDescent="0.2">
      <c r="C141" s="146"/>
      <c r="D141" s="146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47"/>
      <c r="P141" s="133"/>
      <c r="Q141" s="133"/>
      <c r="R141" s="133"/>
      <c r="S141" s="133"/>
      <c r="T141" s="147"/>
      <c r="U141" s="133"/>
      <c r="V141" s="133"/>
      <c r="W141" s="147"/>
      <c r="X141" s="133"/>
      <c r="Y141" s="133"/>
      <c r="Z141" s="133"/>
      <c r="AA141" s="147"/>
      <c r="AC141" s="133"/>
      <c r="AD141" s="147"/>
      <c r="AF141" s="133"/>
      <c r="AG141" s="147"/>
      <c r="AI141" s="133"/>
      <c r="AJ141" s="147"/>
      <c r="AL141" s="133"/>
      <c r="AM141" s="147"/>
      <c r="AO141" s="133"/>
      <c r="AP141" s="147"/>
    </row>
    <row r="142" spans="3:42" x14ac:dyDescent="0.2">
      <c r="C142" s="146"/>
      <c r="D142" s="146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47"/>
      <c r="P142" s="133"/>
      <c r="Q142" s="133"/>
      <c r="R142" s="133"/>
      <c r="S142" s="133"/>
      <c r="T142" s="147"/>
      <c r="U142" s="133"/>
      <c r="V142" s="133"/>
      <c r="W142" s="147"/>
      <c r="X142" s="133"/>
      <c r="Y142" s="133"/>
      <c r="Z142" s="133"/>
      <c r="AA142" s="147"/>
      <c r="AC142" s="133"/>
      <c r="AD142" s="147"/>
      <c r="AF142" s="133"/>
      <c r="AG142" s="147"/>
      <c r="AI142" s="133"/>
      <c r="AJ142" s="147"/>
      <c r="AL142" s="133"/>
      <c r="AM142" s="147"/>
      <c r="AO142" s="133"/>
      <c r="AP142" s="147"/>
    </row>
    <row r="143" spans="3:42" x14ac:dyDescent="0.2">
      <c r="C143" s="146"/>
      <c r="D143" s="146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47"/>
      <c r="P143" s="133"/>
      <c r="Q143" s="133"/>
      <c r="R143" s="133"/>
      <c r="S143" s="133"/>
      <c r="T143" s="147"/>
      <c r="U143" s="133"/>
      <c r="V143" s="133"/>
      <c r="W143" s="147"/>
      <c r="X143" s="133"/>
      <c r="Y143" s="133"/>
      <c r="Z143" s="133"/>
      <c r="AA143" s="147"/>
      <c r="AC143" s="133"/>
      <c r="AD143" s="147"/>
      <c r="AF143" s="133"/>
      <c r="AG143" s="147"/>
      <c r="AI143" s="133"/>
      <c r="AJ143" s="147"/>
      <c r="AL143" s="133"/>
      <c r="AM143" s="147"/>
      <c r="AO143" s="133"/>
      <c r="AP143" s="147"/>
    </row>
    <row r="144" spans="3:42" x14ac:dyDescent="0.2">
      <c r="C144" s="146"/>
      <c r="D144" s="146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47"/>
      <c r="P144" s="133"/>
      <c r="Q144" s="133"/>
      <c r="R144" s="133"/>
      <c r="S144" s="133"/>
      <c r="T144" s="147"/>
      <c r="U144" s="133"/>
      <c r="V144" s="133"/>
      <c r="W144" s="147"/>
      <c r="X144" s="133"/>
      <c r="Y144" s="133"/>
      <c r="Z144" s="133"/>
      <c r="AA144" s="147"/>
      <c r="AC144" s="133"/>
      <c r="AD144" s="147"/>
      <c r="AF144" s="133"/>
      <c r="AG144" s="147"/>
      <c r="AI144" s="133"/>
      <c r="AJ144" s="147"/>
      <c r="AL144" s="133"/>
      <c r="AM144" s="147"/>
      <c r="AO144" s="133"/>
      <c r="AP144" s="147"/>
    </row>
    <row r="145" spans="3:42" x14ac:dyDescent="0.2">
      <c r="C145" s="146"/>
      <c r="D145" s="146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47"/>
      <c r="P145" s="133"/>
      <c r="Q145" s="133"/>
      <c r="R145" s="133"/>
      <c r="S145" s="133"/>
      <c r="T145" s="147"/>
      <c r="U145" s="133"/>
      <c r="V145" s="133"/>
      <c r="W145" s="147"/>
      <c r="X145" s="133"/>
      <c r="Y145" s="133"/>
      <c r="Z145" s="133"/>
      <c r="AA145" s="147"/>
      <c r="AC145" s="133"/>
      <c r="AD145" s="147"/>
      <c r="AF145" s="133"/>
      <c r="AG145" s="147"/>
      <c r="AI145" s="133"/>
      <c r="AJ145" s="147"/>
      <c r="AL145" s="133"/>
      <c r="AM145" s="147"/>
      <c r="AO145" s="133"/>
      <c r="AP145" s="147"/>
    </row>
    <row r="146" spans="3:42" x14ac:dyDescent="0.2">
      <c r="C146" s="146"/>
      <c r="D146" s="146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47"/>
      <c r="P146" s="133"/>
      <c r="Q146" s="133"/>
      <c r="R146" s="133"/>
      <c r="S146" s="133"/>
      <c r="T146" s="147"/>
      <c r="U146" s="133"/>
      <c r="V146" s="133"/>
      <c r="W146" s="147"/>
      <c r="X146" s="133"/>
      <c r="Y146" s="133"/>
      <c r="Z146" s="133"/>
      <c r="AA146" s="147"/>
      <c r="AC146" s="133"/>
      <c r="AD146" s="147"/>
      <c r="AF146" s="133"/>
      <c r="AG146" s="147"/>
      <c r="AI146" s="133"/>
      <c r="AJ146" s="147"/>
      <c r="AL146" s="133"/>
      <c r="AM146" s="147"/>
      <c r="AO146" s="133"/>
      <c r="AP146" s="147"/>
    </row>
    <row r="147" spans="3:42" x14ac:dyDescent="0.2">
      <c r="C147" s="146"/>
      <c r="D147" s="146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47"/>
      <c r="P147" s="133"/>
      <c r="Q147" s="133"/>
      <c r="R147" s="133"/>
      <c r="S147" s="133"/>
      <c r="T147" s="147"/>
      <c r="U147" s="133"/>
      <c r="V147" s="133"/>
      <c r="W147" s="147"/>
      <c r="X147" s="133"/>
      <c r="Y147" s="133"/>
      <c r="Z147" s="133"/>
      <c r="AA147" s="147"/>
      <c r="AC147" s="133"/>
      <c r="AD147" s="147"/>
      <c r="AF147" s="133"/>
      <c r="AG147" s="147"/>
      <c r="AI147" s="133"/>
      <c r="AJ147" s="147"/>
      <c r="AL147" s="133"/>
      <c r="AM147" s="147"/>
      <c r="AO147" s="133"/>
      <c r="AP147" s="147"/>
    </row>
    <row r="148" spans="3:42" x14ac:dyDescent="0.2">
      <c r="C148" s="146"/>
      <c r="D148" s="146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47"/>
      <c r="P148" s="133"/>
      <c r="Q148" s="133"/>
      <c r="R148" s="133"/>
      <c r="S148" s="133"/>
      <c r="T148" s="147"/>
      <c r="U148" s="133"/>
      <c r="V148" s="133"/>
      <c r="W148" s="147"/>
      <c r="X148" s="133"/>
      <c r="Y148" s="133"/>
      <c r="Z148" s="133"/>
      <c r="AA148" s="147"/>
      <c r="AC148" s="133"/>
      <c r="AD148" s="147"/>
      <c r="AF148" s="133"/>
      <c r="AG148" s="147"/>
      <c r="AI148" s="133"/>
      <c r="AJ148" s="147"/>
      <c r="AL148" s="133"/>
      <c r="AM148" s="147"/>
      <c r="AO148" s="133"/>
      <c r="AP148" s="147"/>
    </row>
    <row r="149" spans="3:42" x14ac:dyDescent="0.2">
      <c r="C149" s="146"/>
      <c r="D149" s="146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47"/>
      <c r="P149" s="133"/>
      <c r="Q149" s="133"/>
      <c r="R149" s="133"/>
      <c r="S149" s="133"/>
      <c r="T149" s="147"/>
      <c r="U149" s="133"/>
      <c r="V149" s="133"/>
      <c r="W149" s="147"/>
      <c r="X149" s="133"/>
      <c r="Y149" s="133"/>
      <c r="Z149" s="133"/>
      <c r="AA149" s="147"/>
      <c r="AC149" s="133"/>
      <c r="AD149" s="147"/>
      <c r="AF149" s="133"/>
      <c r="AG149" s="147"/>
      <c r="AI149" s="133"/>
      <c r="AJ149" s="147"/>
      <c r="AL149" s="133"/>
      <c r="AM149" s="147"/>
      <c r="AO149" s="133"/>
      <c r="AP149" s="147"/>
    </row>
    <row r="150" spans="3:42" x14ac:dyDescent="0.2">
      <c r="C150" s="146"/>
      <c r="D150" s="146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47"/>
      <c r="P150" s="133"/>
      <c r="Q150" s="133"/>
      <c r="R150" s="133"/>
      <c r="S150" s="133"/>
      <c r="T150" s="147"/>
      <c r="U150" s="133"/>
      <c r="V150" s="133"/>
      <c r="W150" s="147"/>
      <c r="X150" s="133"/>
      <c r="Y150" s="133"/>
      <c r="Z150" s="133"/>
      <c r="AA150" s="147"/>
      <c r="AC150" s="133"/>
      <c r="AD150" s="147"/>
      <c r="AF150" s="133"/>
      <c r="AG150" s="147"/>
      <c r="AI150" s="133"/>
      <c r="AJ150" s="147"/>
      <c r="AL150" s="133"/>
      <c r="AM150" s="147"/>
      <c r="AO150" s="133"/>
      <c r="AP150" s="147"/>
    </row>
    <row r="151" spans="3:42" x14ac:dyDescent="0.2">
      <c r="C151" s="146"/>
      <c r="D151" s="146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47"/>
      <c r="P151" s="133"/>
      <c r="Q151" s="133"/>
      <c r="R151" s="133"/>
      <c r="S151" s="133"/>
      <c r="T151" s="147"/>
      <c r="U151" s="133"/>
      <c r="V151" s="133"/>
      <c r="W151" s="147"/>
      <c r="X151" s="133"/>
      <c r="Y151" s="133"/>
      <c r="Z151" s="133"/>
      <c r="AA151" s="147"/>
      <c r="AC151" s="133"/>
      <c r="AD151" s="147"/>
      <c r="AF151" s="133"/>
      <c r="AG151" s="147"/>
      <c r="AI151" s="133"/>
      <c r="AJ151" s="147"/>
      <c r="AL151" s="133"/>
      <c r="AM151" s="147"/>
      <c r="AO151" s="133"/>
      <c r="AP151" s="147"/>
    </row>
    <row r="152" spans="3:42" x14ac:dyDescent="0.2">
      <c r="C152" s="146"/>
      <c r="D152" s="146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47"/>
      <c r="P152" s="133"/>
      <c r="Q152" s="133"/>
      <c r="R152" s="133"/>
      <c r="S152" s="133"/>
      <c r="T152" s="147"/>
      <c r="U152" s="133"/>
      <c r="V152" s="133"/>
      <c r="W152" s="147"/>
      <c r="X152" s="133"/>
      <c r="Y152" s="133"/>
      <c r="Z152" s="133"/>
      <c r="AA152" s="147"/>
      <c r="AC152" s="133"/>
      <c r="AD152" s="147"/>
      <c r="AF152" s="133"/>
      <c r="AG152" s="147"/>
      <c r="AI152" s="133"/>
      <c r="AJ152" s="147"/>
      <c r="AL152" s="133"/>
      <c r="AM152" s="147"/>
      <c r="AO152" s="133"/>
      <c r="AP152" s="147"/>
    </row>
    <row r="153" spans="3:42" x14ac:dyDescent="0.2">
      <c r="C153" s="146"/>
      <c r="D153" s="146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47"/>
      <c r="P153" s="133"/>
      <c r="Q153" s="133"/>
      <c r="R153" s="133"/>
      <c r="S153" s="133"/>
      <c r="T153" s="147"/>
      <c r="U153" s="133"/>
      <c r="V153" s="133"/>
      <c r="W153" s="147"/>
      <c r="X153" s="133"/>
      <c r="Y153" s="133"/>
      <c r="Z153" s="133"/>
      <c r="AA153" s="147"/>
      <c r="AC153" s="133"/>
      <c r="AD153" s="147"/>
      <c r="AF153" s="133"/>
      <c r="AG153" s="147"/>
      <c r="AI153" s="133"/>
      <c r="AJ153" s="147"/>
      <c r="AL153" s="133"/>
      <c r="AM153" s="147"/>
      <c r="AO153" s="133"/>
      <c r="AP153" s="147"/>
    </row>
    <row r="154" spans="3:42" x14ac:dyDescent="0.2">
      <c r="C154" s="146"/>
      <c r="D154" s="146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47"/>
      <c r="P154" s="133"/>
      <c r="Q154" s="133"/>
      <c r="R154" s="133"/>
      <c r="S154" s="133"/>
      <c r="T154" s="147"/>
      <c r="U154" s="133"/>
      <c r="V154" s="133"/>
      <c r="W154" s="147"/>
      <c r="X154" s="133"/>
      <c r="Y154" s="133"/>
      <c r="Z154" s="133"/>
      <c r="AA154" s="147"/>
      <c r="AC154" s="133"/>
      <c r="AD154" s="147"/>
      <c r="AF154" s="133"/>
      <c r="AG154" s="147"/>
      <c r="AI154" s="133"/>
      <c r="AJ154" s="147"/>
      <c r="AL154" s="133"/>
      <c r="AM154" s="147"/>
      <c r="AO154" s="133"/>
      <c r="AP154" s="147"/>
    </row>
    <row r="155" spans="3:42" x14ac:dyDescent="0.2">
      <c r="C155" s="146"/>
      <c r="D155" s="146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47"/>
      <c r="P155" s="133"/>
      <c r="Q155" s="133"/>
      <c r="R155" s="133"/>
      <c r="S155" s="133"/>
      <c r="T155" s="147"/>
      <c r="U155" s="133"/>
      <c r="V155" s="133"/>
      <c r="W155" s="147"/>
      <c r="X155" s="133"/>
      <c r="Y155" s="133"/>
      <c r="Z155" s="133"/>
      <c r="AA155" s="147"/>
      <c r="AC155" s="133"/>
      <c r="AD155" s="147"/>
      <c r="AF155" s="133"/>
      <c r="AG155" s="147"/>
      <c r="AI155" s="133"/>
      <c r="AJ155" s="147"/>
      <c r="AL155" s="133"/>
      <c r="AM155" s="147"/>
      <c r="AO155" s="133"/>
      <c r="AP155" s="147"/>
    </row>
    <row r="156" spans="3:42" x14ac:dyDescent="0.2">
      <c r="C156" s="146"/>
      <c r="D156" s="146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47"/>
      <c r="P156" s="133"/>
      <c r="Q156" s="133"/>
      <c r="R156" s="133"/>
      <c r="S156" s="133"/>
      <c r="T156" s="147"/>
      <c r="U156" s="133"/>
      <c r="V156" s="133"/>
      <c r="W156" s="147"/>
      <c r="X156" s="133"/>
      <c r="Y156" s="133"/>
      <c r="Z156" s="133"/>
      <c r="AA156" s="147"/>
      <c r="AC156" s="133"/>
      <c r="AD156" s="147"/>
      <c r="AF156" s="133"/>
      <c r="AG156" s="147"/>
      <c r="AI156" s="133"/>
      <c r="AJ156" s="147"/>
      <c r="AL156" s="133"/>
      <c r="AM156" s="147"/>
      <c r="AO156" s="133"/>
      <c r="AP156" s="147"/>
    </row>
    <row r="157" spans="3:42" x14ac:dyDescent="0.2">
      <c r="C157" s="146"/>
      <c r="D157" s="146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47"/>
      <c r="P157" s="133"/>
      <c r="Q157" s="133"/>
      <c r="R157" s="133"/>
      <c r="S157" s="133"/>
      <c r="T157" s="147"/>
      <c r="U157" s="133"/>
      <c r="V157" s="133"/>
      <c r="W157" s="147"/>
      <c r="X157" s="133"/>
      <c r="Y157" s="133"/>
      <c r="Z157" s="133"/>
      <c r="AA157" s="147"/>
      <c r="AC157" s="133"/>
      <c r="AD157" s="147"/>
      <c r="AF157" s="133"/>
      <c r="AG157" s="147"/>
      <c r="AI157" s="133"/>
      <c r="AJ157" s="147"/>
      <c r="AL157" s="133"/>
      <c r="AM157" s="147"/>
      <c r="AO157" s="133"/>
      <c r="AP157" s="147"/>
    </row>
    <row r="158" spans="3:42" x14ac:dyDescent="0.2">
      <c r="C158" s="146"/>
      <c r="D158" s="146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47"/>
      <c r="P158" s="133"/>
      <c r="Q158" s="133"/>
      <c r="R158" s="133"/>
      <c r="S158" s="133"/>
      <c r="T158" s="147"/>
      <c r="U158" s="133"/>
      <c r="V158" s="133"/>
      <c r="W158" s="147"/>
      <c r="X158" s="133"/>
      <c r="Y158" s="133"/>
      <c r="Z158" s="133"/>
      <c r="AA158" s="147"/>
      <c r="AC158" s="133"/>
      <c r="AD158" s="147"/>
      <c r="AF158" s="133"/>
      <c r="AG158" s="147"/>
      <c r="AI158" s="133"/>
      <c r="AJ158" s="147"/>
      <c r="AL158" s="133"/>
      <c r="AM158" s="147"/>
      <c r="AO158" s="133"/>
      <c r="AP158" s="147"/>
    </row>
    <row r="159" spans="3:42" x14ac:dyDescent="0.2">
      <c r="C159" s="146"/>
      <c r="D159" s="146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47"/>
      <c r="P159" s="133"/>
      <c r="Q159" s="133"/>
      <c r="R159" s="133"/>
      <c r="S159" s="133"/>
      <c r="T159" s="147"/>
      <c r="U159" s="133"/>
      <c r="V159" s="133"/>
      <c r="W159" s="147"/>
      <c r="X159" s="133"/>
      <c r="Y159" s="133"/>
      <c r="Z159" s="133"/>
      <c r="AA159" s="147"/>
      <c r="AC159" s="133"/>
      <c r="AD159" s="147"/>
      <c r="AF159" s="133"/>
      <c r="AG159" s="147"/>
      <c r="AI159" s="133"/>
      <c r="AJ159" s="147"/>
      <c r="AL159" s="133"/>
      <c r="AM159" s="147"/>
      <c r="AO159" s="133"/>
      <c r="AP159" s="147"/>
    </row>
    <row r="160" spans="3:42" x14ac:dyDescent="0.2">
      <c r="C160" s="146"/>
      <c r="D160" s="146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47"/>
      <c r="P160" s="133"/>
      <c r="Q160" s="133"/>
      <c r="R160" s="133"/>
      <c r="S160" s="133"/>
      <c r="T160" s="147"/>
      <c r="U160" s="133"/>
      <c r="V160" s="133"/>
      <c r="W160" s="147"/>
      <c r="X160" s="133"/>
      <c r="Y160" s="133"/>
      <c r="Z160" s="133"/>
      <c r="AA160" s="147"/>
      <c r="AC160" s="133"/>
      <c r="AD160" s="147"/>
      <c r="AF160" s="133"/>
      <c r="AG160" s="147"/>
      <c r="AI160" s="133"/>
      <c r="AJ160" s="147"/>
      <c r="AL160" s="133"/>
      <c r="AM160" s="147"/>
      <c r="AO160" s="133"/>
      <c r="AP160" s="147"/>
    </row>
    <row r="161" spans="3:42" x14ac:dyDescent="0.2">
      <c r="C161" s="146"/>
      <c r="D161" s="146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47"/>
      <c r="P161" s="133"/>
      <c r="Q161" s="133"/>
      <c r="R161" s="133"/>
      <c r="S161" s="133"/>
      <c r="T161" s="147"/>
      <c r="U161" s="133"/>
      <c r="V161" s="133"/>
      <c r="W161" s="147"/>
      <c r="X161" s="133"/>
      <c r="Y161" s="133"/>
      <c r="Z161" s="133"/>
      <c r="AA161" s="147"/>
      <c r="AC161" s="133"/>
      <c r="AD161" s="147"/>
      <c r="AF161" s="133"/>
      <c r="AG161" s="147"/>
      <c r="AI161" s="133"/>
      <c r="AJ161" s="147"/>
      <c r="AL161" s="133"/>
      <c r="AM161" s="147"/>
      <c r="AO161" s="133"/>
      <c r="AP161" s="147"/>
    </row>
    <row r="162" spans="3:42" x14ac:dyDescent="0.2">
      <c r="C162" s="146"/>
      <c r="D162" s="146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47"/>
      <c r="P162" s="133"/>
      <c r="Q162" s="133"/>
      <c r="R162" s="133"/>
      <c r="S162" s="133"/>
      <c r="T162" s="147"/>
      <c r="U162" s="133"/>
      <c r="V162" s="133"/>
      <c r="W162" s="147"/>
      <c r="X162" s="133"/>
      <c r="Y162" s="133"/>
      <c r="Z162" s="133"/>
      <c r="AA162" s="147"/>
      <c r="AC162" s="133"/>
      <c r="AD162" s="147"/>
      <c r="AF162" s="133"/>
      <c r="AG162" s="147"/>
      <c r="AI162" s="133"/>
      <c r="AJ162" s="147"/>
      <c r="AL162" s="133"/>
      <c r="AM162" s="147"/>
      <c r="AO162" s="133"/>
      <c r="AP162" s="147"/>
    </row>
    <row r="163" spans="3:42" x14ac:dyDescent="0.2">
      <c r="C163" s="146"/>
      <c r="D163" s="146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47"/>
      <c r="P163" s="133"/>
      <c r="Q163" s="133"/>
      <c r="R163" s="133"/>
      <c r="S163" s="133"/>
      <c r="T163" s="147"/>
      <c r="U163" s="133"/>
      <c r="V163" s="133"/>
      <c r="W163" s="147"/>
      <c r="X163" s="133"/>
      <c r="Y163" s="133"/>
      <c r="Z163" s="133"/>
      <c r="AA163" s="147"/>
      <c r="AC163" s="133"/>
      <c r="AD163" s="147"/>
      <c r="AF163" s="133"/>
      <c r="AG163" s="147"/>
      <c r="AI163" s="133"/>
      <c r="AJ163" s="147"/>
      <c r="AL163" s="133"/>
      <c r="AM163" s="147"/>
      <c r="AO163" s="133"/>
      <c r="AP163" s="147"/>
    </row>
    <row r="164" spans="3:42" x14ac:dyDescent="0.2">
      <c r="C164" s="146"/>
      <c r="D164" s="146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47"/>
      <c r="P164" s="133"/>
      <c r="Q164" s="133"/>
      <c r="R164" s="133"/>
      <c r="S164" s="133"/>
      <c r="T164" s="147"/>
      <c r="U164" s="133"/>
      <c r="V164" s="133"/>
      <c r="W164" s="147"/>
      <c r="X164" s="133"/>
      <c r="Y164" s="133"/>
      <c r="Z164" s="133"/>
      <c r="AA164" s="147"/>
      <c r="AC164" s="133"/>
      <c r="AD164" s="147"/>
      <c r="AF164" s="133"/>
      <c r="AG164" s="147"/>
      <c r="AI164" s="133"/>
      <c r="AJ164" s="147"/>
      <c r="AL164" s="133"/>
      <c r="AM164" s="147"/>
      <c r="AO164" s="133"/>
      <c r="AP164" s="147"/>
    </row>
    <row r="165" spans="3:42" x14ac:dyDescent="0.2">
      <c r="C165" s="146"/>
      <c r="D165" s="146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47"/>
      <c r="P165" s="133"/>
      <c r="Q165" s="133"/>
      <c r="R165" s="133"/>
      <c r="S165" s="133"/>
      <c r="T165" s="147"/>
      <c r="U165" s="133"/>
      <c r="V165" s="133"/>
      <c r="W165" s="147"/>
      <c r="X165" s="133"/>
      <c r="Y165" s="133"/>
      <c r="Z165" s="133"/>
      <c r="AA165" s="147"/>
      <c r="AC165" s="133"/>
      <c r="AD165" s="147"/>
      <c r="AF165" s="133"/>
      <c r="AG165" s="147"/>
      <c r="AI165" s="133"/>
      <c r="AJ165" s="147"/>
      <c r="AL165" s="133"/>
      <c r="AM165" s="147"/>
      <c r="AO165" s="133"/>
      <c r="AP165" s="147"/>
    </row>
    <row r="166" spans="3:42" x14ac:dyDescent="0.2">
      <c r="C166" s="146"/>
      <c r="D166" s="146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47"/>
      <c r="P166" s="133"/>
      <c r="Q166" s="133"/>
      <c r="R166" s="133"/>
      <c r="S166" s="133"/>
      <c r="T166" s="147"/>
      <c r="U166" s="133"/>
      <c r="V166" s="133"/>
      <c r="W166" s="147"/>
      <c r="X166" s="133"/>
      <c r="Y166" s="133"/>
      <c r="Z166" s="133"/>
      <c r="AA166" s="147"/>
      <c r="AC166" s="133"/>
      <c r="AD166" s="147"/>
      <c r="AF166" s="133"/>
      <c r="AG166" s="147"/>
      <c r="AI166" s="133"/>
      <c r="AJ166" s="147"/>
      <c r="AL166" s="133"/>
      <c r="AM166" s="147"/>
      <c r="AO166" s="133"/>
      <c r="AP166" s="147"/>
    </row>
    <row r="167" spans="3:42" x14ac:dyDescent="0.2">
      <c r="C167" s="146"/>
      <c r="D167" s="146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47"/>
      <c r="P167" s="133"/>
      <c r="Q167" s="133"/>
      <c r="R167" s="133"/>
      <c r="S167" s="133"/>
      <c r="T167" s="147"/>
      <c r="U167" s="133"/>
      <c r="V167" s="133"/>
      <c r="W167" s="147"/>
      <c r="X167" s="133"/>
      <c r="Y167" s="133"/>
      <c r="Z167" s="133"/>
      <c r="AA167" s="147"/>
      <c r="AC167" s="133"/>
      <c r="AD167" s="147"/>
      <c r="AF167" s="133"/>
      <c r="AG167" s="147"/>
      <c r="AI167" s="133"/>
      <c r="AJ167" s="147"/>
      <c r="AL167" s="133"/>
      <c r="AM167" s="147"/>
      <c r="AO167" s="133"/>
      <c r="AP167" s="147"/>
    </row>
    <row r="168" spans="3:42" x14ac:dyDescent="0.2">
      <c r="C168" s="146"/>
      <c r="D168" s="146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47"/>
      <c r="P168" s="133"/>
      <c r="Q168" s="133"/>
      <c r="R168" s="133"/>
      <c r="S168" s="133"/>
      <c r="T168" s="147"/>
      <c r="U168" s="133"/>
      <c r="V168" s="133"/>
      <c r="W168" s="147"/>
      <c r="X168" s="133"/>
      <c r="Y168" s="133"/>
      <c r="Z168" s="133"/>
      <c r="AA168" s="147"/>
      <c r="AC168" s="133"/>
      <c r="AD168" s="147"/>
      <c r="AF168" s="133"/>
      <c r="AG168" s="147"/>
      <c r="AI168" s="133"/>
      <c r="AJ168" s="147"/>
      <c r="AL168" s="133"/>
      <c r="AM168" s="147"/>
      <c r="AO168" s="133"/>
      <c r="AP168" s="147"/>
    </row>
    <row r="169" spans="3:42" x14ac:dyDescent="0.2">
      <c r="C169" s="146"/>
      <c r="D169" s="146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47"/>
      <c r="P169" s="133"/>
      <c r="Q169" s="133"/>
      <c r="R169" s="133"/>
      <c r="S169" s="133"/>
      <c r="T169" s="147"/>
      <c r="U169" s="133"/>
      <c r="V169" s="133"/>
      <c r="W169" s="147"/>
      <c r="X169" s="133"/>
      <c r="Y169" s="133"/>
      <c r="Z169" s="133"/>
      <c r="AA169" s="147"/>
      <c r="AC169" s="133"/>
      <c r="AD169" s="147"/>
      <c r="AF169" s="133"/>
      <c r="AG169" s="147"/>
      <c r="AI169" s="133"/>
      <c r="AJ169" s="147"/>
      <c r="AL169" s="133"/>
      <c r="AM169" s="147"/>
      <c r="AO169" s="133"/>
      <c r="AP169" s="147"/>
    </row>
    <row r="170" spans="3:42" x14ac:dyDescent="0.2">
      <c r="C170" s="146"/>
      <c r="D170" s="146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47"/>
      <c r="P170" s="133"/>
      <c r="Q170" s="133"/>
      <c r="R170" s="133"/>
      <c r="S170" s="133"/>
      <c r="T170" s="147"/>
      <c r="U170" s="133"/>
      <c r="V170" s="133"/>
      <c r="W170" s="147"/>
      <c r="X170" s="133"/>
      <c r="Y170" s="133"/>
      <c r="Z170" s="133"/>
      <c r="AA170" s="147"/>
      <c r="AC170" s="133"/>
      <c r="AD170" s="147"/>
      <c r="AF170" s="133"/>
      <c r="AG170" s="147"/>
      <c r="AI170" s="133"/>
      <c r="AJ170" s="147"/>
      <c r="AL170" s="133"/>
      <c r="AM170" s="147"/>
      <c r="AO170" s="133"/>
      <c r="AP170" s="147"/>
    </row>
    <row r="171" spans="3:42" x14ac:dyDescent="0.2">
      <c r="C171" s="146"/>
      <c r="D171" s="146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47"/>
      <c r="P171" s="133"/>
      <c r="Q171" s="133"/>
      <c r="R171" s="133"/>
      <c r="S171" s="133"/>
      <c r="T171" s="147"/>
      <c r="U171" s="133"/>
      <c r="V171" s="133"/>
      <c r="W171" s="147"/>
      <c r="X171" s="133"/>
      <c r="Y171" s="133"/>
      <c r="Z171" s="133"/>
      <c r="AA171" s="147"/>
      <c r="AC171" s="133"/>
      <c r="AD171" s="147"/>
      <c r="AF171" s="133"/>
      <c r="AG171" s="147"/>
      <c r="AI171" s="133"/>
      <c r="AJ171" s="147"/>
      <c r="AL171" s="133"/>
      <c r="AM171" s="147"/>
      <c r="AO171" s="133"/>
      <c r="AP171" s="147"/>
    </row>
    <row r="172" spans="3:42" x14ac:dyDescent="0.2">
      <c r="C172" s="146"/>
      <c r="D172" s="146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47"/>
      <c r="P172" s="133"/>
      <c r="Q172" s="133"/>
      <c r="R172" s="133"/>
      <c r="S172" s="133"/>
      <c r="T172" s="147"/>
      <c r="U172" s="133"/>
      <c r="V172" s="133"/>
      <c r="W172" s="147"/>
      <c r="X172" s="133"/>
      <c r="Y172" s="133"/>
      <c r="Z172" s="133"/>
      <c r="AA172" s="147"/>
      <c r="AC172" s="133"/>
      <c r="AD172" s="147"/>
      <c r="AF172" s="133"/>
      <c r="AG172" s="147"/>
      <c r="AI172" s="133"/>
      <c r="AJ172" s="147"/>
      <c r="AL172" s="133"/>
      <c r="AM172" s="147"/>
      <c r="AO172" s="133"/>
      <c r="AP172" s="147"/>
    </row>
    <row r="173" spans="3:42" x14ac:dyDescent="0.2">
      <c r="C173" s="146"/>
      <c r="D173" s="146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47"/>
      <c r="P173" s="133"/>
      <c r="Q173" s="133"/>
      <c r="R173" s="133"/>
      <c r="S173" s="133"/>
      <c r="T173" s="147"/>
      <c r="U173" s="133"/>
      <c r="V173" s="133"/>
      <c r="W173" s="147"/>
      <c r="X173" s="133"/>
      <c r="Y173" s="133"/>
      <c r="Z173" s="133"/>
      <c r="AA173" s="147"/>
      <c r="AC173" s="133"/>
      <c r="AD173" s="147"/>
      <c r="AF173" s="133"/>
      <c r="AG173" s="147"/>
      <c r="AI173" s="133"/>
      <c r="AJ173" s="147"/>
      <c r="AL173" s="133"/>
      <c r="AM173" s="147"/>
      <c r="AO173" s="133"/>
      <c r="AP173" s="147"/>
    </row>
    <row r="174" spans="3:42" x14ac:dyDescent="0.2">
      <c r="C174" s="146"/>
      <c r="D174" s="146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47"/>
      <c r="P174" s="133"/>
      <c r="Q174" s="133"/>
      <c r="R174" s="133"/>
      <c r="S174" s="133"/>
      <c r="T174" s="147"/>
      <c r="U174" s="133"/>
      <c r="V174" s="133"/>
      <c r="W174" s="147"/>
      <c r="X174" s="133"/>
      <c r="Y174" s="133"/>
      <c r="Z174" s="133"/>
      <c r="AA174" s="147"/>
      <c r="AC174" s="133"/>
      <c r="AD174" s="147"/>
      <c r="AF174" s="133"/>
      <c r="AG174" s="147"/>
      <c r="AI174" s="133"/>
      <c r="AJ174" s="147"/>
      <c r="AL174" s="133"/>
      <c r="AM174" s="147"/>
      <c r="AO174" s="133"/>
      <c r="AP174" s="147"/>
    </row>
    <row r="175" spans="3:42" x14ac:dyDescent="0.2">
      <c r="C175" s="146"/>
      <c r="D175" s="146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47"/>
      <c r="P175" s="133"/>
      <c r="Q175" s="133"/>
      <c r="R175" s="133"/>
      <c r="S175" s="133"/>
      <c r="T175" s="147"/>
      <c r="U175" s="133"/>
      <c r="V175" s="133"/>
      <c r="W175" s="147"/>
      <c r="X175" s="133"/>
      <c r="Y175" s="133"/>
      <c r="Z175" s="133"/>
      <c r="AA175" s="147"/>
      <c r="AC175" s="133"/>
      <c r="AD175" s="147"/>
      <c r="AF175" s="133"/>
      <c r="AG175" s="147"/>
      <c r="AI175" s="133"/>
      <c r="AJ175" s="147"/>
      <c r="AL175" s="133"/>
      <c r="AM175" s="147"/>
      <c r="AO175" s="133"/>
      <c r="AP175" s="147"/>
    </row>
    <row r="176" spans="3:42" x14ac:dyDescent="0.2">
      <c r="C176" s="146"/>
      <c r="D176" s="146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47"/>
      <c r="P176" s="133"/>
      <c r="Q176" s="133"/>
      <c r="R176" s="133"/>
      <c r="S176" s="133"/>
      <c r="T176" s="147"/>
      <c r="U176" s="133"/>
      <c r="V176" s="133"/>
      <c r="W176" s="147"/>
      <c r="X176" s="133"/>
      <c r="Y176" s="133"/>
      <c r="Z176" s="133"/>
      <c r="AA176" s="147"/>
      <c r="AC176" s="133"/>
      <c r="AD176" s="147"/>
      <c r="AF176" s="133"/>
      <c r="AG176" s="147"/>
      <c r="AI176" s="133"/>
      <c r="AJ176" s="147"/>
      <c r="AL176" s="133"/>
      <c r="AM176" s="147"/>
      <c r="AO176" s="133"/>
      <c r="AP176" s="147"/>
    </row>
    <row r="177" spans="3:42" x14ac:dyDescent="0.2">
      <c r="C177" s="146"/>
      <c r="D177" s="146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47"/>
      <c r="P177" s="133"/>
      <c r="Q177" s="133"/>
      <c r="R177" s="133"/>
      <c r="S177" s="133"/>
      <c r="T177" s="147"/>
      <c r="U177" s="133"/>
      <c r="V177" s="133"/>
      <c r="W177" s="147"/>
      <c r="X177" s="133"/>
      <c r="Y177" s="133"/>
      <c r="Z177" s="133"/>
      <c r="AA177" s="147"/>
      <c r="AC177" s="133"/>
      <c r="AD177" s="147"/>
      <c r="AF177" s="133"/>
      <c r="AG177" s="147"/>
      <c r="AI177" s="133"/>
      <c r="AJ177" s="147"/>
      <c r="AL177" s="133"/>
      <c r="AM177" s="147"/>
      <c r="AO177" s="133"/>
      <c r="AP177" s="147"/>
    </row>
    <row r="178" spans="3:42" x14ac:dyDescent="0.2">
      <c r="C178" s="146"/>
      <c r="D178" s="146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47"/>
      <c r="P178" s="133"/>
      <c r="Q178" s="133"/>
      <c r="R178" s="133"/>
      <c r="S178" s="133"/>
      <c r="T178" s="147"/>
      <c r="U178" s="133"/>
      <c r="V178" s="133"/>
      <c r="W178" s="147"/>
      <c r="X178" s="133"/>
      <c r="Y178" s="133"/>
      <c r="Z178" s="133"/>
      <c r="AA178" s="147"/>
      <c r="AC178" s="133"/>
      <c r="AD178" s="147"/>
      <c r="AF178" s="133"/>
      <c r="AG178" s="147"/>
      <c r="AI178" s="133"/>
      <c r="AJ178" s="147"/>
      <c r="AL178" s="133"/>
      <c r="AM178" s="147"/>
      <c r="AO178" s="133"/>
      <c r="AP178" s="147"/>
    </row>
    <row r="179" spans="3:42" x14ac:dyDescent="0.2">
      <c r="C179" s="146"/>
      <c r="D179" s="146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47"/>
      <c r="P179" s="133"/>
      <c r="Q179" s="133"/>
      <c r="R179" s="133"/>
      <c r="S179" s="133"/>
      <c r="T179" s="147"/>
      <c r="U179" s="133"/>
      <c r="V179" s="133"/>
      <c r="W179" s="147"/>
      <c r="X179" s="133"/>
      <c r="Y179" s="133"/>
      <c r="Z179" s="133"/>
      <c r="AA179" s="147"/>
      <c r="AC179" s="133"/>
      <c r="AD179" s="147"/>
      <c r="AF179" s="133"/>
      <c r="AG179" s="147"/>
      <c r="AI179" s="133"/>
      <c r="AJ179" s="147"/>
      <c r="AL179" s="133"/>
      <c r="AM179" s="147"/>
      <c r="AO179" s="133"/>
      <c r="AP179" s="147"/>
    </row>
    <row r="180" spans="3:42" x14ac:dyDescent="0.2">
      <c r="C180" s="146"/>
      <c r="D180" s="146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47"/>
      <c r="P180" s="133"/>
      <c r="Q180" s="133"/>
      <c r="R180" s="133"/>
      <c r="S180" s="133"/>
      <c r="T180" s="147"/>
      <c r="U180" s="133"/>
      <c r="V180" s="133"/>
      <c r="W180" s="147"/>
      <c r="X180" s="133"/>
      <c r="Y180" s="133"/>
      <c r="Z180" s="133"/>
      <c r="AA180" s="147"/>
      <c r="AC180" s="133"/>
      <c r="AD180" s="147"/>
      <c r="AF180" s="133"/>
      <c r="AG180" s="147"/>
      <c r="AI180" s="133"/>
      <c r="AJ180" s="147"/>
      <c r="AL180" s="133"/>
      <c r="AM180" s="147"/>
      <c r="AO180" s="133"/>
      <c r="AP180" s="147"/>
    </row>
    <row r="181" spans="3:42" x14ac:dyDescent="0.2">
      <c r="C181" s="146"/>
      <c r="D181" s="146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47"/>
      <c r="P181" s="133"/>
      <c r="Q181" s="133"/>
      <c r="R181" s="133"/>
      <c r="S181" s="133"/>
      <c r="T181" s="147"/>
      <c r="U181" s="133"/>
      <c r="V181" s="133"/>
      <c r="W181" s="147"/>
      <c r="X181" s="133"/>
      <c r="Y181" s="133"/>
      <c r="Z181" s="133"/>
      <c r="AA181" s="147"/>
      <c r="AC181" s="133"/>
      <c r="AD181" s="147"/>
      <c r="AF181" s="133"/>
      <c r="AG181" s="147"/>
      <c r="AI181" s="133"/>
      <c r="AJ181" s="147"/>
      <c r="AL181" s="133"/>
      <c r="AM181" s="147"/>
      <c r="AO181" s="133"/>
      <c r="AP181" s="147"/>
    </row>
    <row r="182" spans="3:42" x14ac:dyDescent="0.2">
      <c r="C182" s="146"/>
      <c r="D182" s="146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47"/>
      <c r="P182" s="133"/>
      <c r="Q182" s="133"/>
      <c r="R182" s="133"/>
      <c r="S182" s="133"/>
      <c r="T182" s="147"/>
      <c r="U182" s="133"/>
      <c r="V182" s="133"/>
      <c r="W182" s="147"/>
      <c r="X182" s="133"/>
      <c r="Y182" s="133"/>
      <c r="Z182" s="133"/>
      <c r="AA182" s="147"/>
      <c r="AC182" s="133"/>
      <c r="AD182" s="147"/>
      <c r="AF182" s="133"/>
      <c r="AG182" s="147"/>
      <c r="AI182" s="133"/>
      <c r="AJ182" s="147"/>
      <c r="AL182" s="133"/>
      <c r="AM182" s="147"/>
      <c r="AO182" s="133"/>
      <c r="AP182" s="147"/>
    </row>
    <row r="183" spans="3:42" x14ac:dyDescent="0.2">
      <c r="C183" s="146"/>
      <c r="D183" s="146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47"/>
      <c r="P183" s="133"/>
      <c r="Q183" s="133"/>
      <c r="R183" s="133"/>
      <c r="S183" s="133"/>
      <c r="T183" s="147"/>
      <c r="U183" s="133"/>
      <c r="V183" s="133"/>
      <c r="W183" s="147"/>
      <c r="X183" s="133"/>
      <c r="Y183" s="133"/>
      <c r="Z183" s="133"/>
      <c r="AA183" s="147"/>
      <c r="AC183" s="133"/>
      <c r="AD183" s="147"/>
      <c r="AF183" s="133"/>
      <c r="AG183" s="147"/>
      <c r="AI183" s="133"/>
      <c r="AJ183" s="147"/>
      <c r="AL183" s="133"/>
      <c r="AM183" s="147"/>
      <c r="AO183" s="133"/>
      <c r="AP183" s="147"/>
    </row>
    <row r="184" spans="3:42" x14ac:dyDescent="0.2">
      <c r="C184" s="146"/>
      <c r="D184" s="146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47"/>
      <c r="P184" s="133"/>
      <c r="Q184" s="133"/>
      <c r="R184" s="133"/>
      <c r="S184" s="133"/>
      <c r="T184" s="147"/>
      <c r="U184" s="133"/>
      <c r="V184" s="133"/>
      <c r="W184" s="147"/>
      <c r="X184" s="133"/>
      <c r="Y184" s="133"/>
      <c r="Z184" s="133"/>
      <c r="AA184" s="147"/>
      <c r="AC184" s="133"/>
      <c r="AD184" s="147"/>
      <c r="AF184" s="133"/>
      <c r="AG184" s="147"/>
      <c r="AI184" s="133"/>
      <c r="AJ184" s="147"/>
      <c r="AL184" s="133"/>
      <c r="AM184" s="147"/>
      <c r="AO184" s="133"/>
      <c r="AP184" s="147"/>
    </row>
    <row r="185" spans="3:42" x14ac:dyDescent="0.2">
      <c r="C185" s="146"/>
      <c r="D185" s="146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47"/>
      <c r="P185" s="133"/>
      <c r="Q185" s="133"/>
      <c r="R185" s="133"/>
      <c r="S185" s="133"/>
      <c r="T185" s="147"/>
      <c r="U185" s="133"/>
      <c r="V185" s="133"/>
      <c r="W185" s="147"/>
      <c r="X185" s="133"/>
      <c r="Y185" s="133"/>
      <c r="Z185" s="133"/>
      <c r="AA185" s="147"/>
      <c r="AC185" s="133"/>
      <c r="AD185" s="147"/>
      <c r="AF185" s="133"/>
      <c r="AG185" s="147"/>
      <c r="AI185" s="133"/>
      <c r="AJ185" s="147"/>
      <c r="AL185" s="133"/>
      <c r="AM185" s="147"/>
      <c r="AO185" s="133"/>
      <c r="AP185" s="147"/>
    </row>
    <row r="186" spans="3:42" x14ac:dyDescent="0.2">
      <c r="C186" s="146"/>
      <c r="D186" s="146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47"/>
      <c r="P186" s="133"/>
      <c r="Q186" s="133"/>
      <c r="R186" s="133"/>
      <c r="S186" s="133"/>
      <c r="T186" s="147"/>
      <c r="U186" s="133"/>
      <c r="V186" s="133"/>
      <c r="W186" s="147"/>
      <c r="X186" s="133"/>
      <c r="Y186" s="133"/>
      <c r="Z186" s="133"/>
      <c r="AA186" s="147"/>
      <c r="AC186" s="133"/>
      <c r="AD186" s="147"/>
      <c r="AF186" s="133"/>
      <c r="AG186" s="147"/>
      <c r="AI186" s="133"/>
      <c r="AJ186" s="147"/>
      <c r="AL186" s="133"/>
      <c r="AM186" s="147"/>
      <c r="AO186" s="133"/>
      <c r="AP186" s="147"/>
    </row>
    <row r="187" spans="3:42" x14ac:dyDescent="0.2">
      <c r="C187" s="146"/>
      <c r="D187" s="146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47"/>
      <c r="P187" s="133"/>
      <c r="Q187" s="133"/>
      <c r="R187" s="133"/>
      <c r="S187" s="133"/>
      <c r="T187" s="147"/>
      <c r="U187" s="133"/>
      <c r="V187" s="133"/>
      <c r="W187" s="147"/>
      <c r="X187" s="133"/>
      <c r="Y187" s="133"/>
      <c r="Z187" s="133"/>
      <c r="AA187" s="147"/>
      <c r="AC187" s="133"/>
      <c r="AD187" s="147"/>
      <c r="AF187" s="133"/>
      <c r="AG187" s="147"/>
      <c r="AI187" s="133"/>
      <c r="AJ187" s="147"/>
      <c r="AL187" s="133"/>
      <c r="AM187" s="147"/>
      <c r="AO187" s="133"/>
      <c r="AP187" s="147"/>
    </row>
    <row r="188" spans="3:42" x14ac:dyDescent="0.2">
      <c r="C188" s="146"/>
      <c r="D188" s="146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47"/>
      <c r="P188" s="133"/>
      <c r="Q188" s="133"/>
      <c r="R188" s="133"/>
      <c r="S188" s="133"/>
      <c r="T188" s="147"/>
      <c r="U188" s="133"/>
      <c r="V188" s="133"/>
      <c r="W188" s="147"/>
      <c r="X188" s="133"/>
      <c r="Y188" s="133"/>
      <c r="Z188" s="133"/>
      <c r="AA188" s="147"/>
      <c r="AC188" s="133"/>
      <c r="AD188" s="147"/>
      <c r="AF188" s="133"/>
      <c r="AG188" s="147"/>
      <c r="AI188" s="133"/>
      <c r="AJ188" s="147"/>
      <c r="AL188" s="133"/>
      <c r="AM188" s="147"/>
      <c r="AO188" s="133"/>
      <c r="AP188" s="147"/>
    </row>
    <row r="189" spans="3:42" x14ac:dyDescent="0.2">
      <c r="C189" s="146"/>
      <c r="D189" s="146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47"/>
      <c r="P189" s="133"/>
      <c r="Q189" s="133"/>
      <c r="R189" s="133"/>
      <c r="S189" s="133"/>
      <c r="T189" s="147"/>
      <c r="U189" s="133"/>
      <c r="V189" s="133"/>
      <c r="W189" s="147"/>
      <c r="X189" s="133"/>
      <c r="Y189" s="133"/>
      <c r="Z189" s="133"/>
      <c r="AA189" s="147"/>
      <c r="AC189" s="133"/>
      <c r="AD189" s="147"/>
      <c r="AF189" s="133"/>
      <c r="AG189" s="147"/>
      <c r="AI189" s="133"/>
      <c r="AJ189" s="147"/>
      <c r="AL189" s="133"/>
      <c r="AM189" s="147"/>
      <c r="AO189" s="133"/>
      <c r="AP189" s="147"/>
    </row>
    <row r="190" spans="3:42" x14ac:dyDescent="0.2">
      <c r="C190" s="146"/>
      <c r="D190" s="146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47"/>
      <c r="P190" s="133"/>
      <c r="Q190" s="133"/>
      <c r="R190" s="133"/>
      <c r="S190" s="133"/>
      <c r="T190" s="147"/>
      <c r="U190" s="133"/>
      <c r="V190" s="133"/>
      <c r="W190" s="147"/>
      <c r="X190" s="133"/>
      <c r="Y190" s="133"/>
      <c r="Z190" s="133"/>
      <c r="AA190" s="147"/>
      <c r="AC190" s="133"/>
      <c r="AD190" s="147"/>
      <c r="AF190" s="133"/>
      <c r="AG190" s="147"/>
      <c r="AI190" s="133"/>
      <c r="AJ190" s="147"/>
      <c r="AL190" s="133"/>
      <c r="AM190" s="147"/>
      <c r="AO190" s="133"/>
      <c r="AP190" s="147"/>
    </row>
    <row r="191" spans="3:42" x14ac:dyDescent="0.2">
      <c r="C191" s="146"/>
      <c r="D191" s="146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47"/>
      <c r="P191" s="133"/>
      <c r="Q191" s="133"/>
      <c r="R191" s="133"/>
      <c r="S191" s="133"/>
      <c r="T191" s="147"/>
      <c r="U191" s="133"/>
      <c r="V191" s="133"/>
      <c r="W191" s="147"/>
      <c r="X191" s="133"/>
      <c r="Y191" s="133"/>
      <c r="Z191" s="133"/>
      <c r="AA191" s="147"/>
      <c r="AC191" s="133"/>
      <c r="AD191" s="147"/>
      <c r="AF191" s="133"/>
      <c r="AG191" s="147"/>
      <c r="AI191" s="133"/>
      <c r="AJ191" s="147"/>
      <c r="AL191" s="133"/>
      <c r="AM191" s="147"/>
      <c r="AO191" s="133"/>
      <c r="AP191" s="147"/>
    </row>
    <row r="192" spans="3:42" x14ac:dyDescent="0.2">
      <c r="C192" s="146"/>
      <c r="D192" s="146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47"/>
      <c r="P192" s="133"/>
      <c r="Q192" s="133"/>
      <c r="R192" s="133"/>
      <c r="S192" s="133"/>
      <c r="T192" s="147"/>
      <c r="U192" s="133"/>
      <c r="V192" s="133"/>
      <c r="W192" s="147"/>
      <c r="X192" s="133"/>
      <c r="Y192" s="133"/>
      <c r="Z192" s="133"/>
      <c r="AA192" s="147"/>
      <c r="AC192" s="133"/>
      <c r="AD192" s="147"/>
      <c r="AF192" s="133"/>
      <c r="AG192" s="147"/>
      <c r="AI192" s="133"/>
      <c r="AJ192" s="147"/>
      <c r="AL192" s="133"/>
      <c r="AM192" s="147"/>
      <c r="AO192" s="133"/>
      <c r="AP192" s="147"/>
    </row>
    <row r="193" spans="3:42" x14ac:dyDescent="0.2">
      <c r="C193" s="146"/>
      <c r="D193" s="146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47"/>
      <c r="P193" s="133"/>
      <c r="Q193" s="133"/>
      <c r="R193" s="133"/>
      <c r="S193" s="133"/>
      <c r="T193" s="147"/>
      <c r="U193" s="133"/>
      <c r="V193" s="133"/>
      <c r="W193" s="147"/>
      <c r="X193" s="133"/>
      <c r="Y193" s="133"/>
      <c r="Z193" s="133"/>
      <c r="AA193" s="147"/>
      <c r="AC193" s="133"/>
      <c r="AD193" s="147"/>
      <c r="AF193" s="133"/>
      <c r="AG193" s="147"/>
      <c r="AI193" s="133"/>
      <c r="AJ193" s="147"/>
      <c r="AL193" s="133"/>
      <c r="AM193" s="147"/>
      <c r="AO193" s="133"/>
      <c r="AP193" s="147"/>
    </row>
    <row r="194" spans="3:42" x14ac:dyDescent="0.2">
      <c r="C194" s="146"/>
      <c r="D194" s="146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47"/>
      <c r="P194" s="133"/>
      <c r="Q194" s="133"/>
      <c r="R194" s="133"/>
      <c r="S194" s="133"/>
      <c r="T194" s="147"/>
      <c r="U194" s="133"/>
      <c r="V194" s="133"/>
      <c r="W194" s="147"/>
      <c r="X194" s="133"/>
      <c r="Y194" s="133"/>
      <c r="Z194" s="133"/>
      <c r="AA194" s="147"/>
      <c r="AC194" s="133"/>
      <c r="AD194" s="147"/>
      <c r="AF194" s="133"/>
      <c r="AG194" s="147"/>
      <c r="AI194" s="133"/>
      <c r="AJ194" s="147"/>
      <c r="AL194" s="133"/>
      <c r="AM194" s="147"/>
      <c r="AO194" s="133"/>
      <c r="AP194" s="147"/>
    </row>
    <row r="195" spans="3:42" x14ac:dyDescent="0.2">
      <c r="C195" s="146"/>
      <c r="D195" s="146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47"/>
      <c r="P195" s="133"/>
      <c r="Q195" s="133"/>
      <c r="R195" s="133"/>
      <c r="S195" s="133"/>
      <c r="T195" s="147"/>
      <c r="U195" s="133"/>
      <c r="V195" s="133"/>
      <c r="W195" s="147"/>
      <c r="X195" s="133"/>
      <c r="Y195" s="133"/>
      <c r="Z195" s="133"/>
      <c r="AA195" s="147"/>
      <c r="AC195" s="133"/>
      <c r="AD195" s="147"/>
      <c r="AF195" s="133"/>
      <c r="AG195" s="147"/>
      <c r="AI195" s="133"/>
      <c r="AJ195" s="147"/>
      <c r="AL195" s="133"/>
      <c r="AM195" s="147"/>
      <c r="AO195" s="133"/>
      <c r="AP195" s="147"/>
    </row>
    <row r="196" spans="3:42" x14ac:dyDescent="0.2">
      <c r="C196" s="146"/>
      <c r="D196" s="146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47"/>
      <c r="P196" s="133"/>
      <c r="Q196" s="133"/>
      <c r="R196" s="133"/>
      <c r="S196" s="133"/>
      <c r="T196" s="147"/>
      <c r="U196" s="133"/>
      <c r="V196" s="133"/>
      <c r="W196" s="147"/>
      <c r="X196" s="133"/>
      <c r="Y196" s="133"/>
      <c r="Z196" s="133"/>
      <c r="AA196" s="147"/>
      <c r="AC196" s="133"/>
      <c r="AD196" s="147"/>
      <c r="AF196" s="133"/>
      <c r="AG196" s="147"/>
      <c r="AI196" s="133"/>
      <c r="AJ196" s="147"/>
      <c r="AL196" s="133"/>
      <c r="AM196" s="147"/>
      <c r="AO196" s="133"/>
      <c r="AP196" s="147"/>
    </row>
    <row r="197" spans="3:42" x14ac:dyDescent="0.2">
      <c r="C197" s="146"/>
      <c r="D197" s="146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47"/>
      <c r="P197" s="133"/>
      <c r="Q197" s="133"/>
      <c r="R197" s="133"/>
      <c r="S197" s="133"/>
      <c r="T197" s="147"/>
      <c r="U197" s="133"/>
      <c r="V197" s="133"/>
      <c r="W197" s="147"/>
      <c r="X197" s="133"/>
      <c r="Y197" s="133"/>
      <c r="Z197" s="133"/>
      <c r="AA197" s="147"/>
      <c r="AC197" s="133"/>
      <c r="AD197" s="147"/>
      <c r="AF197" s="133"/>
      <c r="AG197" s="147"/>
      <c r="AI197" s="133"/>
      <c r="AJ197" s="147"/>
      <c r="AL197" s="133"/>
      <c r="AM197" s="147"/>
      <c r="AO197" s="133"/>
      <c r="AP197" s="147"/>
    </row>
    <row r="198" spans="3:42" x14ac:dyDescent="0.2">
      <c r="C198" s="146"/>
      <c r="D198" s="146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47"/>
      <c r="P198" s="133"/>
      <c r="Q198" s="133"/>
      <c r="R198" s="133"/>
      <c r="S198" s="133"/>
      <c r="T198" s="147"/>
      <c r="U198" s="133"/>
      <c r="V198" s="133"/>
      <c r="W198" s="147"/>
      <c r="X198" s="133"/>
      <c r="Y198" s="133"/>
      <c r="Z198" s="133"/>
      <c r="AA198" s="147"/>
      <c r="AC198" s="133"/>
      <c r="AD198" s="147"/>
      <c r="AF198" s="133"/>
      <c r="AG198" s="147"/>
      <c r="AI198" s="133"/>
      <c r="AJ198" s="147"/>
      <c r="AL198" s="133"/>
      <c r="AM198" s="147"/>
      <c r="AO198" s="133"/>
      <c r="AP198" s="147"/>
    </row>
    <row r="199" spans="3:42" x14ac:dyDescent="0.2">
      <c r="C199" s="146"/>
      <c r="D199" s="146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47"/>
      <c r="P199" s="133"/>
      <c r="Q199" s="133"/>
      <c r="R199" s="133"/>
      <c r="S199" s="133"/>
      <c r="T199" s="147"/>
      <c r="U199" s="133"/>
      <c r="V199" s="133"/>
      <c r="W199" s="147"/>
      <c r="X199" s="133"/>
      <c r="Y199" s="133"/>
      <c r="Z199" s="133"/>
      <c r="AA199" s="147"/>
      <c r="AC199" s="133"/>
      <c r="AD199" s="147"/>
      <c r="AF199" s="133"/>
      <c r="AG199" s="147"/>
      <c r="AI199" s="133"/>
      <c r="AJ199" s="147"/>
      <c r="AL199" s="133"/>
      <c r="AM199" s="147"/>
      <c r="AO199" s="133"/>
      <c r="AP199" s="147"/>
    </row>
    <row r="200" spans="3:42" x14ac:dyDescent="0.2">
      <c r="C200" s="146"/>
      <c r="D200" s="146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47"/>
      <c r="P200" s="133"/>
      <c r="Q200" s="133"/>
      <c r="R200" s="133"/>
      <c r="S200" s="133"/>
      <c r="T200" s="147"/>
      <c r="U200" s="133"/>
      <c r="V200" s="133"/>
      <c r="W200" s="147"/>
      <c r="X200" s="133"/>
      <c r="Y200" s="133"/>
      <c r="Z200" s="133"/>
      <c r="AA200" s="147"/>
      <c r="AC200" s="133"/>
      <c r="AD200" s="147"/>
      <c r="AF200" s="133"/>
      <c r="AG200" s="147"/>
      <c r="AI200" s="133"/>
      <c r="AJ200" s="147"/>
      <c r="AL200" s="133"/>
      <c r="AM200" s="147"/>
      <c r="AO200" s="133"/>
      <c r="AP200" s="147"/>
    </row>
    <row r="201" spans="3:42" x14ac:dyDescent="0.2">
      <c r="C201" s="146"/>
      <c r="D201" s="146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47"/>
      <c r="P201" s="133"/>
      <c r="Q201" s="133"/>
      <c r="R201" s="133"/>
      <c r="S201" s="133"/>
      <c r="T201" s="147"/>
      <c r="U201" s="133"/>
      <c r="V201" s="133"/>
      <c r="W201" s="147"/>
      <c r="X201" s="133"/>
      <c r="Y201" s="133"/>
      <c r="Z201" s="133"/>
      <c r="AA201" s="147"/>
      <c r="AC201" s="133"/>
      <c r="AD201" s="147"/>
      <c r="AF201" s="133"/>
      <c r="AG201" s="147"/>
      <c r="AI201" s="133"/>
      <c r="AJ201" s="147"/>
      <c r="AL201" s="133"/>
      <c r="AM201" s="147"/>
      <c r="AO201" s="133"/>
      <c r="AP201" s="147"/>
    </row>
    <row r="202" spans="3:42" x14ac:dyDescent="0.2">
      <c r="C202" s="146"/>
      <c r="D202" s="146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47"/>
      <c r="P202" s="133"/>
      <c r="Q202" s="133"/>
      <c r="R202" s="133"/>
      <c r="S202" s="133"/>
      <c r="T202" s="147"/>
      <c r="U202" s="133"/>
      <c r="V202" s="133"/>
      <c r="W202" s="147"/>
      <c r="X202" s="133"/>
      <c r="Y202" s="133"/>
      <c r="Z202" s="133"/>
      <c r="AA202" s="147"/>
      <c r="AC202" s="133"/>
      <c r="AD202" s="147"/>
      <c r="AF202" s="133"/>
      <c r="AG202" s="147"/>
      <c r="AI202" s="133"/>
      <c r="AJ202" s="147"/>
      <c r="AL202" s="133"/>
      <c r="AM202" s="147"/>
      <c r="AO202" s="133"/>
      <c r="AP202" s="147"/>
    </row>
    <row r="203" spans="3:42" x14ac:dyDescent="0.2">
      <c r="C203" s="146"/>
      <c r="D203" s="146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47"/>
      <c r="P203" s="133"/>
      <c r="Q203" s="133"/>
      <c r="R203" s="133"/>
      <c r="S203" s="133"/>
      <c r="T203" s="147"/>
      <c r="U203" s="133"/>
      <c r="V203" s="133"/>
      <c r="W203" s="147"/>
      <c r="X203" s="133"/>
      <c r="Y203" s="133"/>
      <c r="Z203" s="133"/>
      <c r="AA203" s="147"/>
      <c r="AC203" s="133"/>
      <c r="AD203" s="147"/>
      <c r="AF203" s="133"/>
      <c r="AG203" s="147"/>
      <c r="AI203" s="133"/>
      <c r="AJ203" s="147"/>
      <c r="AL203" s="133"/>
      <c r="AM203" s="147"/>
      <c r="AO203" s="133"/>
      <c r="AP203" s="147"/>
    </row>
    <row r="204" spans="3:42" x14ac:dyDescent="0.2">
      <c r="C204" s="146"/>
      <c r="D204" s="146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47"/>
      <c r="P204" s="133"/>
      <c r="Q204" s="133"/>
      <c r="R204" s="133"/>
      <c r="S204" s="133"/>
      <c r="T204" s="147"/>
      <c r="U204" s="133"/>
      <c r="V204" s="133"/>
      <c r="W204" s="147"/>
      <c r="X204" s="133"/>
      <c r="Y204" s="133"/>
      <c r="Z204" s="133"/>
      <c r="AA204" s="147"/>
      <c r="AC204" s="133"/>
      <c r="AD204" s="147"/>
      <c r="AF204" s="133"/>
      <c r="AG204" s="147"/>
      <c r="AI204" s="133"/>
      <c r="AJ204" s="147"/>
      <c r="AL204" s="133"/>
      <c r="AM204" s="147"/>
      <c r="AO204" s="133"/>
      <c r="AP204" s="147"/>
    </row>
    <row r="205" spans="3:42" x14ac:dyDescent="0.2">
      <c r="C205" s="146"/>
      <c r="D205" s="146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47"/>
      <c r="P205" s="133"/>
      <c r="Q205" s="133"/>
      <c r="R205" s="133"/>
      <c r="S205" s="133"/>
      <c r="T205" s="147"/>
      <c r="U205" s="133"/>
      <c r="V205" s="133"/>
      <c r="W205" s="147"/>
      <c r="X205" s="133"/>
      <c r="Y205" s="133"/>
      <c r="Z205" s="133"/>
      <c r="AA205" s="147"/>
      <c r="AC205" s="133"/>
      <c r="AD205" s="147"/>
      <c r="AF205" s="133"/>
      <c r="AG205" s="147"/>
      <c r="AI205" s="133"/>
      <c r="AJ205" s="147"/>
      <c r="AL205" s="133"/>
      <c r="AM205" s="147"/>
      <c r="AO205" s="133"/>
      <c r="AP205" s="147"/>
    </row>
    <row r="206" spans="3:42" x14ac:dyDescent="0.2">
      <c r="C206" s="146"/>
      <c r="D206" s="146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47"/>
      <c r="P206" s="133"/>
      <c r="Q206" s="133"/>
      <c r="R206" s="133"/>
      <c r="S206" s="133"/>
      <c r="T206" s="147"/>
      <c r="U206" s="133"/>
      <c r="V206" s="133"/>
      <c r="W206" s="147"/>
      <c r="X206" s="133"/>
      <c r="Y206" s="133"/>
      <c r="Z206" s="133"/>
      <c r="AA206" s="147"/>
      <c r="AC206" s="133"/>
      <c r="AD206" s="147"/>
      <c r="AF206" s="133"/>
      <c r="AG206" s="147"/>
      <c r="AI206" s="133"/>
      <c r="AJ206" s="147"/>
      <c r="AL206" s="133"/>
      <c r="AM206" s="147"/>
      <c r="AO206" s="133"/>
      <c r="AP206" s="147"/>
    </row>
    <row r="207" spans="3:42" x14ac:dyDescent="0.2">
      <c r="C207" s="146"/>
      <c r="D207" s="146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47"/>
      <c r="P207" s="133"/>
      <c r="Q207" s="133"/>
      <c r="R207" s="133"/>
      <c r="S207" s="133"/>
      <c r="T207" s="147"/>
      <c r="U207" s="133"/>
      <c r="V207" s="133"/>
      <c r="W207" s="147"/>
      <c r="X207" s="133"/>
      <c r="Y207" s="133"/>
      <c r="Z207" s="133"/>
      <c r="AA207" s="147"/>
      <c r="AC207" s="133"/>
      <c r="AD207" s="147"/>
      <c r="AF207" s="133"/>
      <c r="AG207" s="147"/>
      <c r="AI207" s="133"/>
      <c r="AJ207" s="147"/>
      <c r="AL207" s="133"/>
      <c r="AM207" s="147"/>
      <c r="AO207" s="133"/>
      <c r="AP207" s="147"/>
    </row>
    <row r="208" spans="3:42" x14ac:dyDescent="0.2">
      <c r="C208" s="146"/>
      <c r="D208" s="146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47"/>
      <c r="P208" s="133"/>
      <c r="Q208" s="133"/>
      <c r="R208" s="133"/>
      <c r="S208" s="133"/>
      <c r="T208" s="147"/>
      <c r="U208" s="133"/>
      <c r="V208" s="133"/>
      <c r="W208" s="147"/>
      <c r="X208" s="133"/>
      <c r="Y208" s="133"/>
      <c r="Z208" s="133"/>
      <c r="AA208" s="147"/>
      <c r="AC208" s="133"/>
      <c r="AD208" s="147"/>
      <c r="AF208" s="133"/>
      <c r="AG208" s="147"/>
      <c r="AI208" s="133"/>
      <c r="AJ208" s="147"/>
      <c r="AL208" s="133"/>
      <c r="AM208" s="147"/>
      <c r="AO208" s="133"/>
      <c r="AP208" s="147"/>
    </row>
    <row r="209" spans="3:42" x14ac:dyDescent="0.2">
      <c r="C209" s="146"/>
      <c r="D209" s="146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47"/>
      <c r="P209" s="133"/>
      <c r="Q209" s="133"/>
      <c r="R209" s="133"/>
      <c r="S209" s="133"/>
      <c r="T209" s="147"/>
      <c r="U209" s="133"/>
      <c r="V209" s="133"/>
      <c r="W209" s="147"/>
      <c r="X209" s="133"/>
      <c r="Y209" s="133"/>
      <c r="Z209" s="133"/>
      <c r="AA209" s="147"/>
      <c r="AC209" s="133"/>
      <c r="AD209" s="147"/>
      <c r="AF209" s="133"/>
      <c r="AG209" s="147"/>
      <c r="AI209" s="133"/>
      <c r="AJ209" s="147"/>
      <c r="AL209" s="133"/>
      <c r="AM209" s="147"/>
      <c r="AO209" s="133"/>
      <c r="AP209" s="147"/>
    </row>
    <row r="210" spans="3:42" x14ac:dyDescent="0.2">
      <c r="C210" s="146"/>
      <c r="D210" s="146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47"/>
      <c r="P210" s="133"/>
      <c r="Q210" s="133"/>
      <c r="R210" s="133"/>
      <c r="S210" s="133"/>
      <c r="T210" s="147"/>
      <c r="U210" s="133"/>
      <c r="V210" s="133"/>
      <c r="W210" s="147"/>
      <c r="X210" s="133"/>
      <c r="Y210" s="133"/>
      <c r="Z210" s="133"/>
      <c r="AA210" s="147"/>
      <c r="AC210" s="133"/>
      <c r="AD210" s="147"/>
      <c r="AF210" s="133"/>
      <c r="AG210" s="147"/>
      <c r="AI210" s="133"/>
      <c r="AJ210" s="147"/>
      <c r="AL210" s="133"/>
      <c r="AM210" s="147"/>
      <c r="AO210" s="133"/>
      <c r="AP210" s="147"/>
    </row>
    <row r="211" spans="3:42" x14ac:dyDescent="0.2">
      <c r="C211" s="146"/>
      <c r="D211" s="146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47"/>
      <c r="P211" s="133"/>
      <c r="Q211" s="133"/>
      <c r="R211" s="133"/>
      <c r="S211" s="133"/>
      <c r="T211" s="147"/>
      <c r="U211" s="133"/>
      <c r="V211" s="133"/>
      <c r="W211" s="147"/>
      <c r="X211" s="133"/>
      <c r="Y211" s="133"/>
      <c r="Z211" s="133"/>
      <c r="AA211" s="147"/>
      <c r="AC211" s="133"/>
      <c r="AD211" s="147"/>
      <c r="AF211" s="133"/>
      <c r="AG211" s="147"/>
      <c r="AI211" s="133"/>
      <c r="AJ211" s="147"/>
      <c r="AL211" s="133"/>
      <c r="AM211" s="147"/>
      <c r="AO211" s="133"/>
      <c r="AP211" s="147"/>
    </row>
    <row r="212" spans="3:42" x14ac:dyDescent="0.2">
      <c r="C212" s="146"/>
      <c r="D212" s="146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47"/>
      <c r="P212" s="133"/>
      <c r="Q212" s="133"/>
      <c r="R212" s="133"/>
      <c r="S212" s="133"/>
      <c r="T212" s="147"/>
      <c r="U212" s="133"/>
      <c r="V212" s="133"/>
      <c r="W212" s="147"/>
      <c r="X212" s="133"/>
      <c r="Y212" s="133"/>
      <c r="Z212" s="133"/>
      <c r="AA212" s="147"/>
      <c r="AC212" s="133"/>
      <c r="AD212" s="147"/>
      <c r="AF212" s="133"/>
      <c r="AG212" s="147"/>
      <c r="AI212" s="133"/>
      <c r="AJ212" s="147"/>
      <c r="AL212" s="133"/>
      <c r="AM212" s="147"/>
      <c r="AO212" s="133"/>
      <c r="AP212" s="147"/>
    </row>
    <row r="213" spans="3:42" x14ac:dyDescent="0.2">
      <c r="C213" s="146"/>
      <c r="D213" s="146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47"/>
      <c r="P213" s="133"/>
      <c r="Q213" s="133"/>
      <c r="R213" s="133"/>
      <c r="S213" s="133"/>
      <c r="T213" s="147"/>
      <c r="U213" s="133"/>
      <c r="V213" s="133"/>
      <c r="W213" s="147"/>
      <c r="X213" s="133"/>
      <c r="Y213" s="133"/>
      <c r="Z213" s="133"/>
      <c r="AA213" s="147"/>
      <c r="AC213" s="133"/>
      <c r="AD213" s="147"/>
      <c r="AF213" s="133"/>
      <c r="AG213" s="147"/>
      <c r="AI213" s="133"/>
      <c r="AJ213" s="147"/>
      <c r="AL213" s="133"/>
      <c r="AM213" s="147"/>
      <c r="AO213" s="133"/>
      <c r="AP213" s="147"/>
    </row>
    <row r="214" spans="3:42" x14ac:dyDescent="0.2">
      <c r="C214" s="146"/>
      <c r="D214" s="146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47"/>
      <c r="P214" s="133"/>
      <c r="Q214" s="133"/>
      <c r="R214" s="133"/>
      <c r="S214" s="133"/>
      <c r="T214" s="147"/>
      <c r="U214" s="133"/>
      <c r="V214" s="133"/>
      <c r="W214" s="147"/>
      <c r="X214" s="133"/>
      <c r="Y214" s="133"/>
      <c r="Z214" s="133"/>
      <c r="AA214" s="147"/>
      <c r="AC214" s="133"/>
      <c r="AD214" s="147"/>
      <c r="AF214" s="133"/>
      <c r="AG214" s="147"/>
      <c r="AI214" s="133"/>
      <c r="AJ214" s="147"/>
      <c r="AL214" s="133"/>
      <c r="AM214" s="147"/>
      <c r="AO214" s="133"/>
      <c r="AP214" s="147"/>
    </row>
    <row r="215" spans="3:42" x14ac:dyDescent="0.2">
      <c r="C215" s="146"/>
      <c r="D215" s="146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47"/>
      <c r="P215" s="133"/>
      <c r="Q215" s="133"/>
      <c r="R215" s="133"/>
      <c r="S215" s="133"/>
      <c r="T215" s="147"/>
      <c r="U215" s="133"/>
      <c r="V215" s="133"/>
      <c r="W215" s="147"/>
      <c r="X215" s="133"/>
      <c r="Y215" s="133"/>
      <c r="Z215" s="133"/>
      <c r="AA215" s="147"/>
      <c r="AC215" s="133"/>
      <c r="AD215" s="147"/>
      <c r="AF215" s="133"/>
      <c r="AG215" s="147"/>
      <c r="AI215" s="133"/>
      <c r="AJ215" s="147"/>
      <c r="AL215" s="133"/>
      <c r="AM215" s="147"/>
      <c r="AO215" s="133"/>
      <c r="AP215" s="147"/>
    </row>
    <row r="216" spans="3:42" x14ac:dyDescent="0.2">
      <c r="C216" s="146"/>
      <c r="D216" s="146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47"/>
      <c r="P216" s="133"/>
      <c r="Q216" s="133"/>
      <c r="R216" s="133"/>
      <c r="S216" s="133"/>
      <c r="T216" s="147"/>
      <c r="U216" s="133"/>
      <c r="V216" s="133"/>
      <c r="W216" s="147"/>
      <c r="X216" s="133"/>
      <c r="Y216" s="133"/>
      <c r="Z216" s="133"/>
      <c r="AA216" s="147"/>
      <c r="AC216" s="133"/>
      <c r="AD216" s="147"/>
      <c r="AF216" s="133"/>
      <c r="AG216" s="147"/>
      <c r="AI216" s="133"/>
      <c r="AJ216" s="147"/>
      <c r="AL216" s="133"/>
      <c r="AM216" s="147"/>
      <c r="AO216" s="133"/>
      <c r="AP216" s="147"/>
    </row>
    <row r="217" spans="3:42" x14ac:dyDescent="0.2">
      <c r="C217" s="146"/>
      <c r="D217" s="146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47"/>
      <c r="P217" s="133"/>
      <c r="Q217" s="133"/>
      <c r="R217" s="133"/>
      <c r="S217" s="133"/>
      <c r="T217" s="147"/>
      <c r="U217" s="133"/>
      <c r="V217" s="133"/>
      <c r="W217" s="147"/>
      <c r="X217" s="133"/>
      <c r="Y217" s="133"/>
      <c r="Z217" s="133"/>
      <c r="AA217" s="147"/>
      <c r="AC217" s="133"/>
      <c r="AD217" s="147"/>
      <c r="AF217" s="133"/>
      <c r="AG217" s="147"/>
      <c r="AI217" s="133"/>
      <c r="AJ217" s="147"/>
      <c r="AL217" s="133"/>
      <c r="AM217" s="147"/>
      <c r="AO217" s="133"/>
      <c r="AP217" s="147"/>
    </row>
    <row r="218" spans="3:42" x14ac:dyDescent="0.2">
      <c r="C218" s="146"/>
      <c r="D218" s="146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47"/>
      <c r="P218" s="133"/>
      <c r="Q218" s="133"/>
      <c r="R218" s="133"/>
      <c r="S218" s="133"/>
      <c r="T218" s="147"/>
      <c r="U218" s="133"/>
      <c r="V218" s="133"/>
      <c r="W218" s="147"/>
      <c r="X218" s="133"/>
      <c r="Y218" s="133"/>
      <c r="Z218" s="133"/>
      <c r="AA218" s="147"/>
      <c r="AC218" s="133"/>
      <c r="AD218" s="147"/>
      <c r="AF218" s="133"/>
      <c r="AG218" s="147"/>
      <c r="AI218" s="133"/>
      <c r="AJ218" s="147"/>
      <c r="AL218" s="133"/>
      <c r="AM218" s="147"/>
      <c r="AO218" s="133"/>
      <c r="AP218" s="147"/>
    </row>
    <row r="219" spans="3:42" x14ac:dyDescent="0.2">
      <c r="C219" s="146"/>
      <c r="D219" s="146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47"/>
      <c r="P219" s="133"/>
      <c r="Q219" s="133"/>
      <c r="R219" s="133"/>
      <c r="S219" s="133"/>
      <c r="T219" s="147"/>
      <c r="U219" s="133"/>
      <c r="V219" s="133"/>
      <c r="W219" s="147"/>
      <c r="X219" s="133"/>
      <c r="Y219" s="133"/>
      <c r="Z219" s="133"/>
      <c r="AA219" s="147"/>
      <c r="AC219" s="133"/>
      <c r="AD219" s="147"/>
      <c r="AF219" s="133"/>
      <c r="AG219" s="147"/>
      <c r="AI219" s="133"/>
      <c r="AJ219" s="147"/>
      <c r="AL219" s="133"/>
      <c r="AM219" s="147"/>
      <c r="AO219" s="133"/>
      <c r="AP219" s="147"/>
    </row>
    <row r="220" spans="3:42" x14ac:dyDescent="0.2">
      <c r="C220" s="146"/>
      <c r="D220" s="146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47"/>
      <c r="P220" s="133"/>
      <c r="Q220" s="133"/>
      <c r="R220" s="133"/>
      <c r="S220" s="133"/>
      <c r="T220" s="147"/>
      <c r="U220" s="133"/>
      <c r="V220" s="133"/>
      <c r="W220" s="147"/>
      <c r="X220" s="133"/>
      <c r="Y220" s="133"/>
      <c r="Z220" s="133"/>
      <c r="AA220" s="147"/>
      <c r="AC220" s="133"/>
      <c r="AD220" s="147"/>
      <c r="AF220" s="133"/>
      <c r="AG220" s="147"/>
      <c r="AI220" s="133"/>
      <c r="AJ220" s="147"/>
      <c r="AL220" s="133"/>
      <c r="AM220" s="147"/>
      <c r="AO220" s="133"/>
      <c r="AP220" s="147"/>
    </row>
    <row r="221" spans="3:42" x14ac:dyDescent="0.2">
      <c r="C221" s="146"/>
      <c r="D221" s="146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47"/>
      <c r="P221" s="133"/>
      <c r="Q221" s="133"/>
      <c r="R221" s="133"/>
      <c r="S221" s="133"/>
      <c r="T221" s="147"/>
      <c r="U221" s="133"/>
      <c r="V221" s="133"/>
      <c r="W221" s="147"/>
      <c r="X221" s="133"/>
      <c r="Y221" s="133"/>
      <c r="Z221" s="133"/>
      <c r="AA221" s="147"/>
      <c r="AC221" s="133"/>
      <c r="AD221" s="147"/>
      <c r="AF221" s="133"/>
      <c r="AG221" s="147"/>
      <c r="AI221" s="133"/>
      <c r="AJ221" s="147"/>
      <c r="AL221" s="133"/>
      <c r="AM221" s="147"/>
      <c r="AO221" s="133"/>
      <c r="AP221" s="147"/>
    </row>
    <row r="222" spans="3:42" x14ac:dyDescent="0.2">
      <c r="C222" s="146"/>
      <c r="D222" s="146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47"/>
      <c r="P222" s="133"/>
      <c r="Q222" s="133"/>
      <c r="R222" s="133"/>
      <c r="S222" s="133"/>
      <c r="T222" s="147"/>
      <c r="U222" s="133"/>
      <c r="V222" s="133"/>
      <c r="W222" s="147"/>
      <c r="X222" s="133"/>
      <c r="Y222" s="133"/>
      <c r="Z222" s="133"/>
      <c r="AA222" s="147"/>
      <c r="AC222" s="133"/>
      <c r="AD222" s="147"/>
      <c r="AF222" s="133"/>
      <c r="AG222" s="147"/>
      <c r="AI222" s="133"/>
      <c r="AJ222" s="147"/>
      <c r="AL222" s="133"/>
      <c r="AM222" s="147"/>
      <c r="AO222" s="133"/>
      <c r="AP222" s="147"/>
    </row>
    <row r="223" spans="3:42" x14ac:dyDescent="0.2">
      <c r="C223" s="146"/>
      <c r="D223" s="146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47"/>
      <c r="P223" s="133"/>
      <c r="Q223" s="133"/>
      <c r="R223" s="133"/>
      <c r="S223" s="133"/>
      <c r="T223" s="147"/>
      <c r="U223" s="133"/>
      <c r="V223" s="133"/>
      <c r="W223" s="147"/>
      <c r="X223" s="133"/>
      <c r="Y223" s="133"/>
      <c r="Z223" s="133"/>
      <c r="AA223" s="147"/>
      <c r="AC223" s="133"/>
      <c r="AD223" s="147"/>
      <c r="AF223" s="133"/>
      <c r="AG223" s="147"/>
      <c r="AI223" s="133"/>
      <c r="AJ223" s="147"/>
      <c r="AL223" s="133"/>
      <c r="AM223" s="147"/>
      <c r="AO223" s="133"/>
      <c r="AP223" s="147"/>
    </row>
    <row r="224" spans="3:42" x14ac:dyDescent="0.2">
      <c r="C224" s="146"/>
      <c r="D224" s="146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47"/>
      <c r="P224" s="133"/>
      <c r="Q224" s="133"/>
      <c r="R224" s="133"/>
      <c r="S224" s="133"/>
      <c r="T224" s="147"/>
      <c r="U224" s="133"/>
      <c r="V224" s="133"/>
      <c r="W224" s="147"/>
      <c r="X224" s="133"/>
      <c r="Y224" s="133"/>
      <c r="Z224" s="133"/>
      <c r="AA224" s="147"/>
      <c r="AC224" s="133"/>
      <c r="AD224" s="147"/>
      <c r="AF224" s="133"/>
      <c r="AG224" s="147"/>
      <c r="AI224" s="133"/>
      <c r="AJ224" s="147"/>
      <c r="AL224" s="133"/>
      <c r="AM224" s="147"/>
      <c r="AO224" s="133"/>
      <c r="AP224" s="147"/>
    </row>
    <row r="225" spans="3:42" x14ac:dyDescent="0.2">
      <c r="C225" s="146"/>
      <c r="D225" s="146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47"/>
      <c r="P225" s="133"/>
      <c r="Q225" s="133"/>
      <c r="R225" s="133"/>
      <c r="S225" s="133"/>
      <c r="T225" s="147"/>
      <c r="U225" s="133"/>
      <c r="V225" s="133"/>
      <c r="W225" s="147"/>
      <c r="X225" s="133"/>
      <c r="Y225" s="133"/>
      <c r="Z225" s="133"/>
      <c r="AA225" s="147"/>
      <c r="AC225" s="133"/>
      <c r="AD225" s="147"/>
      <c r="AF225" s="133"/>
      <c r="AG225" s="147"/>
      <c r="AI225" s="133"/>
      <c r="AJ225" s="147"/>
      <c r="AL225" s="133"/>
      <c r="AM225" s="147"/>
      <c r="AO225" s="133"/>
      <c r="AP225" s="147"/>
    </row>
    <row r="226" spans="3:42" x14ac:dyDescent="0.2">
      <c r="C226" s="146"/>
      <c r="D226" s="146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47"/>
      <c r="P226" s="133"/>
      <c r="Q226" s="133"/>
      <c r="R226" s="133"/>
      <c r="S226" s="133"/>
      <c r="T226" s="147"/>
      <c r="U226" s="133"/>
      <c r="V226" s="133"/>
      <c r="W226" s="147"/>
      <c r="X226" s="133"/>
      <c r="Y226" s="133"/>
      <c r="Z226" s="133"/>
      <c r="AA226" s="147"/>
      <c r="AC226" s="133"/>
      <c r="AD226" s="147"/>
      <c r="AF226" s="133"/>
      <c r="AG226" s="147"/>
      <c r="AI226" s="133"/>
      <c r="AJ226" s="147"/>
      <c r="AL226" s="133"/>
      <c r="AM226" s="147"/>
      <c r="AO226" s="133"/>
      <c r="AP226" s="147"/>
    </row>
    <row r="227" spans="3:42" x14ac:dyDescent="0.2">
      <c r="C227" s="146"/>
      <c r="D227" s="146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47"/>
      <c r="P227" s="133"/>
      <c r="Q227" s="133"/>
      <c r="R227" s="133"/>
      <c r="S227" s="133"/>
      <c r="T227" s="147"/>
      <c r="U227" s="133"/>
      <c r="V227" s="133"/>
      <c r="W227" s="147"/>
      <c r="X227" s="133"/>
      <c r="Y227" s="133"/>
      <c r="Z227" s="133"/>
      <c r="AA227" s="147"/>
      <c r="AC227" s="133"/>
      <c r="AD227" s="147"/>
      <c r="AF227" s="133"/>
      <c r="AG227" s="147"/>
      <c r="AI227" s="133"/>
      <c r="AJ227" s="147"/>
      <c r="AL227" s="133"/>
      <c r="AM227" s="147"/>
      <c r="AO227" s="133"/>
      <c r="AP227" s="147"/>
    </row>
    <row r="228" spans="3:42" x14ac:dyDescent="0.2">
      <c r="C228" s="146"/>
      <c r="D228" s="146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47"/>
      <c r="P228" s="133"/>
      <c r="Q228" s="133"/>
      <c r="R228" s="133"/>
      <c r="S228" s="133"/>
      <c r="T228" s="147"/>
      <c r="U228" s="133"/>
      <c r="V228" s="133"/>
      <c r="W228" s="147"/>
      <c r="X228" s="133"/>
      <c r="Y228" s="133"/>
      <c r="Z228" s="133"/>
      <c r="AA228" s="147"/>
      <c r="AC228" s="133"/>
      <c r="AD228" s="147"/>
      <c r="AF228" s="133"/>
      <c r="AG228" s="147"/>
      <c r="AI228" s="133"/>
      <c r="AJ228" s="147"/>
      <c r="AL228" s="133"/>
      <c r="AM228" s="147"/>
      <c r="AO228" s="133"/>
      <c r="AP228" s="147"/>
    </row>
    <row r="229" spans="3:42" x14ac:dyDescent="0.2">
      <c r="C229" s="146"/>
      <c r="D229" s="146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47"/>
      <c r="P229" s="133"/>
      <c r="Q229" s="133"/>
      <c r="R229" s="133"/>
      <c r="S229" s="133"/>
      <c r="T229" s="147"/>
      <c r="U229" s="133"/>
      <c r="V229" s="133"/>
      <c r="W229" s="147"/>
      <c r="X229" s="133"/>
      <c r="Y229" s="133"/>
      <c r="Z229" s="133"/>
      <c r="AA229" s="147"/>
      <c r="AC229" s="133"/>
      <c r="AD229" s="147"/>
      <c r="AF229" s="133"/>
      <c r="AG229" s="147"/>
      <c r="AI229" s="133"/>
      <c r="AJ229" s="147"/>
      <c r="AL229" s="133"/>
      <c r="AM229" s="147"/>
      <c r="AO229" s="133"/>
      <c r="AP229" s="147"/>
    </row>
    <row r="230" spans="3:42" x14ac:dyDescent="0.2">
      <c r="C230" s="146"/>
      <c r="D230" s="146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47"/>
      <c r="P230" s="133"/>
      <c r="Q230" s="133"/>
      <c r="R230" s="133"/>
      <c r="S230" s="133"/>
      <c r="T230" s="147"/>
      <c r="U230" s="133"/>
      <c r="V230" s="133"/>
      <c r="W230" s="147"/>
      <c r="X230" s="133"/>
      <c r="Y230" s="133"/>
      <c r="Z230" s="133"/>
      <c r="AA230" s="147"/>
      <c r="AC230" s="133"/>
      <c r="AD230" s="147"/>
      <c r="AF230" s="133"/>
      <c r="AG230" s="147"/>
      <c r="AI230" s="133"/>
      <c r="AJ230" s="147"/>
      <c r="AL230" s="133"/>
      <c r="AM230" s="147"/>
      <c r="AO230" s="133"/>
      <c r="AP230" s="147"/>
    </row>
    <row r="231" spans="3:42" x14ac:dyDescent="0.2">
      <c r="C231" s="146"/>
      <c r="D231" s="146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47"/>
      <c r="P231" s="133"/>
      <c r="Q231" s="133"/>
      <c r="R231" s="133"/>
      <c r="S231" s="133"/>
      <c r="T231" s="147"/>
      <c r="U231" s="133"/>
      <c r="V231" s="133"/>
      <c r="W231" s="147"/>
      <c r="X231" s="133"/>
      <c r="Y231" s="133"/>
      <c r="Z231" s="133"/>
      <c r="AA231" s="147"/>
      <c r="AC231" s="133"/>
      <c r="AD231" s="147"/>
      <c r="AF231" s="133"/>
      <c r="AG231" s="147"/>
      <c r="AI231" s="133"/>
      <c r="AJ231" s="147"/>
      <c r="AL231" s="133"/>
      <c r="AM231" s="147"/>
      <c r="AO231" s="133"/>
      <c r="AP231" s="147"/>
    </row>
    <row r="232" spans="3:42" x14ac:dyDescent="0.2">
      <c r="C232" s="146"/>
      <c r="D232" s="146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47"/>
      <c r="P232" s="133"/>
      <c r="Q232" s="133"/>
      <c r="R232" s="133"/>
      <c r="S232" s="133"/>
      <c r="T232" s="147"/>
      <c r="U232" s="133"/>
      <c r="V232" s="133"/>
      <c r="W232" s="147"/>
      <c r="X232" s="133"/>
      <c r="Y232" s="133"/>
      <c r="Z232" s="133"/>
      <c r="AA232" s="147"/>
      <c r="AC232" s="133"/>
      <c r="AD232" s="147"/>
      <c r="AF232" s="133"/>
      <c r="AG232" s="147"/>
      <c r="AI232" s="133"/>
      <c r="AJ232" s="147"/>
      <c r="AL232" s="133"/>
      <c r="AM232" s="147"/>
      <c r="AO232" s="133"/>
      <c r="AP232" s="147"/>
    </row>
    <row r="233" spans="3:42" x14ac:dyDescent="0.2">
      <c r="C233" s="146"/>
      <c r="D233" s="146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47"/>
      <c r="P233" s="133"/>
      <c r="Q233" s="133"/>
      <c r="R233" s="133"/>
      <c r="S233" s="133"/>
      <c r="T233" s="147"/>
      <c r="U233" s="133"/>
      <c r="V233" s="133"/>
      <c r="W233" s="147"/>
      <c r="X233" s="133"/>
      <c r="Y233" s="133"/>
      <c r="Z233" s="133"/>
      <c r="AA233" s="147"/>
      <c r="AC233" s="133"/>
      <c r="AD233" s="147"/>
      <c r="AF233" s="133"/>
      <c r="AG233" s="147"/>
      <c r="AI233" s="133"/>
      <c r="AJ233" s="147"/>
      <c r="AL233" s="133"/>
      <c r="AM233" s="147"/>
      <c r="AO233" s="133"/>
      <c r="AP233" s="147"/>
    </row>
    <row r="234" spans="3:42" x14ac:dyDescent="0.2">
      <c r="C234" s="146"/>
      <c r="D234" s="146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47"/>
      <c r="P234" s="133"/>
      <c r="Q234" s="133"/>
      <c r="R234" s="133"/>
      <c r="S234" s="133"/>
      <c r="T234" s="147"/>
      <c r="U234" s="133"/>
      <c r="V234" s="133"/>
      <c r="W234" s="147"/>
      <c r="X234" s="133"/>
      <c r="Y234" s="133"/>
      <c r="Z234" s="133"/>
      <c r="AA234" s="147"/>
      <c r="AC234" s="133"/>
      <c r="AD234" s="147"/>
      <c r="AF234" s="133"/>
      <c r="AG234" s="147"/>
      <c r="AI234" s="133"/>
      <c r="AJ234" s="147"/>
      <c r="AL234" s="133"/>
      <c r="AM234" s="147"/>
      <c r="AO234" s="133"/>
      <c r="AP234" s="147"/>
    </row>
    <row r="235" spans="3:42" x14ac:dyDescent="0.2">
      <c r="C235" s="146"/>
      <c r="D235" s="146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47"/>
      <c r="P235" s="133"/>
      <c r="Q235" s="133"/>
      <c r="R235" s="133"/>
      <c r="S235" s="133"/>
      <c r="T235" s="147"/>
      <c r="U235" s="133"/>
      <c r="V235" s="133"/>
      <c r="W235" s="147"/>
      <c r="X235" s="133"/>
      <c r="Y235" s="133"/>
      <c r="Z235" s="133"/>
      <c r="AA235" s="147"/>
      <c r="AC235" s="133"/>
      <c r="AD235" s="147"/>
      <c r="AF235" s="133"/>
      <c r="AG235" s="147"/>
      <c r="AI235" s="133"/>
      <c r="AJ235" s="147"/>
      <c r="AL235" s="133"/>
      <c r="AM235" s="147"/>
      <c r="AO235" s="133"/>
      <c r="AP235" s="147"/>
    </row>
    <row r="236" spans="3:42" x14ac:dyDescent="0.2">
      <c r="C236" s="146"/>
      <c r="D236" s="146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47"/>
      <c r="P236" s="133"/>
      <c r="Q236" s="133"/>
      <c r="R236" s="133"/>
      <c r="S236" s="133"/>
      <c r="T236" s="147"/>
      <c r="U236" s="133"/>
      <c r="V236" s="133"/>
      <c r="W236" s="147"/>
      <c r="X236" s="133"/>
      <c r="Y236" s="133"/>
      <c r="Z236" s="133"/>
      <c r="AA236" s="147"/>
      <c r="AC236" s="133"/>
      <c r="AD236" s="147"/>
      <c r="AF236" s="133"/>
      <c r="AG236" s="147"/>
      <c r="AI236" s="133"/>
      <c r="AJ236" s="147"/>
      <c r="AL236" s="133"/>
      <c r="AM236" s="147"/>
      <c r="AO236" s="133"/>
      <c r="AP236" s="147"/>
    </row>
    <row r="237" spans="3:42" x14ac:dyDescent="0.2">
      <c r="C237" s="146"/>
      <c r="D237" s="146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47"/>
      <c r="P237" s="133"/>
      <c r="Q237" s="133"/>
      <c r="R237" s="133"/>
      <c r="S237" s="133"/>
      <c r="T237" s="147"/>
      <c r="U237" s="133"/>
      <c r="V237" s="133"/>
      <c r="W237" s="147"/>
      <c r="X237" s="133"/>
      <c r="Y237" s="133"/>
      <c r="Z237" s="133"/>
      <c r="AA237" s="147"/>
      <c r="AC237" s="133"/>
      <c r="AD237" s="147"/>
      <c r="AF237" s="133"/>
      <c r="AG237" s="147"/>
      <c r="AI237" s="133"/>
      <c r="AJ237" s="147"/>
      <c r="AL237" s="133"/>
      <c r="AM237" s="147"/>
      <c r="AO237" s="133"/>
      <c r="AP237" s="147"/>
    </row>
    <row r="238" spans="3:42" x14ac:dyDescent="0.2">
      <c r="C238" s="146"/>
      <c r="D238" s="146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47"/>
      <c r="P238" s="133"/>
      <c r="Q238" s="133"/>
      <c r="R238" s="133"/>
      <c r="S238" s="133"/>
      <c r="T238" s="147"/>
      <c r="U238" s="133"/>
      <c r="V238" s="133"/>
      <c r="W238" s="147"/>
      <c r="X238" s="133"/>
      <c r="Y238" s="133"/>
      <c r="Z238" s="133"/>
      <c r="AA238" s="147"/>
      <c r="AC238" s="133"/>
      <c r="AD238" s="147"/>
      <c r="AF238" s="133"/>
      <c r="AG238" s="147"/>
      <c r="AI238" s="133"/>
      <c r="AJ238" s="147"/>
      <c r="AL238" s="133"/>
      <c r="AM238" s="147"/>
      <c r="AO238" s="133"/>
      <c r="AP238" s="147"/>
    </row>
    <row r="239" spans="3:42" x14ac:dyDescent="0.2">
      <c r="C239" s="146"/>
      <c r="D239" s="146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47"/>
      <c r="P239" s="133"/>
      <c r="Q239" s="133"/>
      <c r="R239" s="133"/>
      <c r="S239" s="133"/>
      <c r="T239" s="147"/>
      <c r="U239" s="133"/>
      <c r="V239" s="133"/>
      <c r="W239" s="147"/>
      <c r="X239" s="133"/>
      <c r="Y239" s="133"/>
      <c r="Z239" s="133"/>
      <c r="AA239" s="147"/>
      <c r="AC239" s="133"/>
      <c r="AD239" s="147"/>
      <c r="AF239" s="133"/>
      <c r="AG239" s="147"/>
      <c r="AI239" s="133"/>
      <c r="AJ239" s="147"/>
      <c r="AL239" s="133"/>
      <c r="AM239" s="147"/>
      <c r="AO239" s="133"/>
      <c r="AP239" s="147"/>
    </row>
    <row r="240" spans="3:42" x14ac:dyDescent="0.2">
      <c r="C240" s="146"/>
      <c r="D240" s="146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47"/>
      <c r="P240" s="133"/>
      <c r="Q240" s="133"/>
      <c r="R240" s="133"/>
      <c r="S240" s="133"/>
      <c r="T240" s="147"/>
      <c r="U240" s="133"/>
      <c r="V240" s="133"/>
      <c r="W240" s="147"/>
      <c r="X240" s="133"/>
      <c r="Y240" s="133"/>
      <c r="Z240" s="133"/>
      <c r="AA240" s="147"/>
      <c r="AC240" s="133"/>
      <c r="AD240" s="147"/>
      <c r="AF240" s="133"/>
      <c r="AG240" s="147"/>
      <c r="AI240" s="133"/>
      <c r="AJ240" s="147"/>
      <c r="AL240" s="133"/>
      <c r="AM240" s="147"/>
      <c r="AO240" s="133"/>
      <c r="AP240" s="147"/>
    </row>
    <row r="241" spans="3:42" x14ac:dyDescent="0.2">
      <c r="C241" s="146"/>
      <c r="D241" s="146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47"/>
      <c r="P241" s="133"/>
      <c r="Q241" s="133"/>
      <c r="R241" s="133"/>
      <c r="S241" s="133"/>
      <c r="T241" s="147"/>
      <c r="U241" s="133"/>
      <c r="V241" s="133"/>
      <c r="W241" s="147"/>
      <c r="X241" s="133"/>
      <c r="Y241" s="133"/>
      <c r="Z241" s="133"/>
      <c r="AA241" s="147"/>
      <c r="AC241" s="133"/>
      <c r="AD241" s="147"/>
      <c r="AF241" s="133"/>
      <c r="AG241" s="147"/>
      <c r="AI241" s="133"/>
      <c r="AJ241" s="147"/>
      <c r="AL241" s="133"/>
      <c r="AM241" s="147"/>
      <c r="AO241" s="133"/>
      <c r="AP241" s="147"/>
    </row>
    <row r="242" spans="3:42" x14ac:dyDescent="0.2">
      <c r="C242" s="146"/>
      <c r="D242" s="146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47"/>
      <c r="P242" s="133"/>
      <c r="Q242" s="133"/>
      <c r="R242" s="133"/>
      <c r="S242" s="133"/>
      <c r="T242" s="147"/>
      <c r="U242" s="133"/>
      <c r="V242" s="133"/>
      <c r="W242" s="147"/>
      <c r="X242" s="133"/>
      <c r="Y242" s="133"/>
      <c r="Z242" s="133"/>
      <c r="AA242" s="147"/>
      <c r="AC242" s="133"/>
      <c r="AD242" s="147"/>
      <c r="AF242" s="133"/>
      <c r="AG242" s="147"/>
      <c r="AI242" s="133"/>
      <c r="AJ242" s="147"/>
      <c r="AL242" s="133"/>
      <c r="AM242" s="147"/>
      <c r="AO242" s="133"/>
      <c r="AP242" s="147"/>
    </row>
    <row r="243" spans="3:42" x14ac:dyDescent="0.2">
      <c r="C243" s="146"/>
      <c r="D243" s="146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47"/>
      <c r="P243" s="133"/>
      <c r="Q243" s="133"/>
      <c r="R243" s="133"/>
      <c r="S243" s="133"/>
      <c r="T243" s="147"/>
      <c r="U243" s="133"/>
      <c r="V243" s="133"/>
      <c r="W243" s="147"/>
      <c r="X243" s="133"/>
      <c r="Y243" s="133"/>
      <c r="Z243" s="133"/>
      <c r="AA243" s="147"/>
      <c r="AC243" s="133"/>
      <c r="AD243" s="147"/>
      <c r="AF243" s="133"/>
      <c r="AG243" s="147"/>
      <c r="AI243" s="133"/>
      <c r="AJ243" s="147"/>
      <c r="AL243" s="133"/>
      <c r="AM243" s="147"/>
      <c r="AO243" s="133"/>
      <c r="AP243" s="147"/>
    </row>
    <row r="244" spans="3:42" x14ac:dyDescent="0.2">
      <c r="C244" s="146"/>
      <c r="D244" s="146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47"/>
      <c r="P244" s="133"/>
      <c r="Q244" s="133"/>
      <c r="R244" s="133"/>
      <c r="S244" s="133"/>
      <c r="T244" s="147"/>
      <c r="U244" s="133"/>
      <c r="V244" s="133"/>
      <c r="W244" s="147"/>
      <c r="X244" s="133"/>
      <c r="Y244" s="133"/>
      <c r="Z244" s="133"/>
      <c r="AA244" s="147"/>
      <c r="AC244" s="133"/>
      <c r="AD244" s="147"/>
      <c r="AF244" s="133"/>
      <c r="AG244" s="147"/>
      <c r="AI244" s="133"/>
      <c r="AJ244" s="147"/>
      <c r="AL244" s="133"/>
      <c r="AM244" s="147"/>
      <c r="AO244" s="133"/>
      <c r="AP244" s="147"/>
    </row>
  </sheetData>
  <mergeCells count="11">
    <mergeCell ref="D38:J38"/>
    <mergeCell ref="R38:Y38"/>
    <mergeCell ref="AK38:AS38"/>
    <mergeCell ref="C2:AT2"/>
    <mergeCell ref="B4:C4"/>
    <mergeCell ref="D35:J35"/>
    <mergeCell ref="R35:Y35"/>
    <mergeCell ref="AK35:AS35"/>
    <mergeCell ref="D37:J37"/>
    <mergeCell ref="R37:Y37"/>
    <mergeCell ref="AK37:AS37"/>
  </mergeCells>
  <printOptions horizontalCentered="1" verticalCentered="1"/>
  <pageMargins left="0" right="7.874015748031496E-2" top="0.78740157480314965" bottom="0.19685039370078741" header="0.39370078740157483" footer="0"/>
  <pageSetup paperSize="256" scale="69" orientation="landscape" r:id="rId1"/>
  <headerFooter differentOddEven="1"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45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1" sqref="E1:I1048576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5" width="17.42578125" style="156" hidden="1" customWidth="1"/>
    <col min="6" max="7" width="5.7109375" style="81" hidden="1" customWidth="1"/>
    <col min="8" max="9" width="14.28515625" style="81" hidden="1" customWidth="1"/>
    <col min="10" max="10" width="37.7109375" style="81" customWidth="1"/>
    <col min="11" max="11" width="14.140625" style="81" customWidth="1"/>
    <col min="12" max="12" width="5.7109375" style="81" hidden="1" customWidth="1"/>
    <col min="13" max="13" width="7" style="81" hidden="1" customWidth="1"/>
    <col min="14" max="14" width="16" style="81" bestFit="1" customWidth="1"/>
    <col min="15" max="15" width="5.85546875" style="81" hidden="1" customWidth="1"/>
    <col min="16" max="16" width="11.28515625" style="157" hidden="1" customWidth="1"/>
    <col min="17" max="17" width="17.42578125" style="81" customWidth="1"/>
    <col min="18" max="18" width="14" style="81" bestFit="1" customWidth="1"/>
    <col min="19" max="19" width="14.140625" style="81" customWidth="1"/>
    <col min="20" max="20" width="5.7109375" style="81" hidden="1" customWidth="1"/>
    <col min="21" max="21" width="11.28515625" style="157" hidden="1" customWidth="1"/>
    <col min="22" max="22" width="13.85546875" style="81" customWidth="1"/>
    <col min="23" max="23" width="5.7109375" style="81" hidden="1" customWidth="1"/>
    <col min="24" max="24" width="11.28515625" style="157" hidden="1" customWidth="1"/>
    <col min="25" max="25" width="20.5703125" style="81" bestFit="1" customWidth="1"/>
    <col min="26" max="26" width="19.140625" style="81" customWidth="1"/>
    <col min="27" max="27" width="5.7109375" style="81" hidden="1" customWidth="1"/>
    <col min="28" max="28" width="11.28515625" style="157" hidden="1" customWidth="1"/>
    <col min="29" max="29" width="14.28515625" style="81" customWidth="1"/>
    <col min="30" max="30" width="5.7109375" style="81" hidden="1" customWidth="1"/>
    <col min="31" max="31" width="11.28515625" style="157" hidden="1" customWidth="1"/>
    <col min="32" max="32" width="18.5703125" style="139" customWidth="1"/>
    <col min="33" max="33" width="7.7109375" style="81" hidden="1" customWidth="1"/>
    <col min="34" max="34" width="11.28515625" style="157" hidden="1" customWidth="1"/>
    <col min="35" max="35" width="13.85546875" style="81" customWidth="1"/>
    <col min="36" max="36" width="5.85546875" style="81" hidden="1" customWidth="1"/>
    <col min="37" max="37" width="5.85546875" style="157" hidden="1" customWidth="1"/>
    <col min="38" max="38" width="13" style="139" customWidth="1"/>
    <col min="39" max="39" width="5.7109375" style="81" hidden="1" customWidth="1"/>
    <col min="40" max="40" width="11.28515625" style="157" hidden="1" customWidth="1"/>
    <col min="41" max="41" width="16.42578125" style="81" customWidth="1"/>
    <col min="42" max="42" width="5.7109375" style="81" hidden="1" customWidth="1"/>
    <col min="43" max="43" width="11.28515625" style="157" hidden="1" customWidth="1"/>
    <col min="44" max="44" width="19.85546875" style="81" customWidth="1"/>
    <col min="45" max="45" width="18.5703125" style="81" customWidth="1"/>
    <col min="46" max="46" width="20.5703125" style="81" customWidth="1"/>
    <col min="47" max="47" width="46.28515625" style="81" customWidth="1"/>
    <col min="48" max="48" width="14" style="81" hidden="1" customWidth="1"/>
    <col min="49" max="49" width="11.42578125" style="81" hidden="1" customWidth="1"/>
    <col min="50" max="50" width="15.28515625" style="81" hidden="1" customWidth="1"/>
    <col min="51" max="60" width="11.42578125" style="81" hidden="1" customWidth="1"/>
    <col min="61" max="61" width="10" style="81" hidden="1" customWidth="1"/>
    <col min="62" max="62" width="45.85546875" style="81" customWidth="1"/>
    <col min="63" max="65" width="11.42578125" style="81" customWidth="1"/>
    <col min="66" max="16384" width="11.42578125" style="81"/>
  </cols>
  <sheetData>
    <row r="1" spans="1:62" ht="15.75" x14ac:dyDescent="0.2">
      <c r="N1" s="138"/>
      <c r="O1" s="138"/>
      <c r="P1" s="158"/>
      <c r="Q1" s="138"/>
      <c r="R1" s="138"/>
      <c r="AQ1" s="81"/>
      <c r="AS1" s="157"/>
    </row>
    <row r="2" spans="1:62" ht="35.25" customHeight="1" x14ac:dyDescent="0.2">
      <c r="C2" s="174" t="s">
        <v>134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62" s="82" customFormat="1" ht="9" thickBot="1" x14ac:dyDescent="0.25">
      <c r="A3" s="82">
        <v>1</v>
      </c>
      <c r="B3" s="82">
        <f>+A3+1</f>
        <v>2</v>
      </c>
      <c r="C3" s="82">
        <f t="shared" ref="C3:AT3" si="0">+B3+1</f>
        <v>3</v>
      </c>
      <c r="D3" s="82">
        <f t="shared" si="0"/>
        <v>4</v>
      </c>
      <c r="E3" s="82" t="e">
        <f>+#REF!+1</f>
        <v>#REF!</v>
      </c>
      <c r="F3" s="82" t="e">
        <f>+#REF!+1</f>
        <v>#REF!</v>
      </c>
      <c r="G3" s="82" t="e">
        <f t="shared" si="0"/>
        <v>#REF!</v>
      </c>
      <c r="H3" s="82" t="e">
        <f t="shared" si="0"/>
        <v>#REF!</v>
      </c>
      <c r="I3" s="82" t="e">
        <f t="shared" si="0"/>
        <v>#REF!</v>
      </c>
      <c r="K3" s="82" t="e">
        <f>+I3+1</f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2" t="e">
        <f t="shared" si="0"/>
        <v>#REF!</v>
      </c>
      <c r="AF3" s="83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2" t="e">
        <f t="shared" si="0"/>
        <v>#REF!</v>
      </c>
      <c r="AL3" s="83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  <c r="AT3" s="82" t="e">
        <f t="shared" si="0"/>
        <v>#REF!</v>
      </c>
    </row>
    <row r="4" spans="1:62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6" t="s">
        <v>3</v>
      </c>
      <c r="F4" s="87" t="s">
        <v>5</v>
      </c>
      <c r="G4" s="87" t="s">
        <v>6</v>
      </c>
      <c r="H4" s="87" t="s">
        <v>7</v>
      </c>
      <c r="I4" s="87" t="s">
        <v>8</v>
      </c>
      <c r="J4" s="7" t="s">
        <v>145</v>
      </c>
      <c r="K4" s="87" t="s">
        <v>9</v>
      </c>
      <c r="L4" s="87" t="s">
        <v>5</v>
      </c>
      <c r="M4" s="87" t="s">
        <v>6</v>
      </c>
      <c r="N4" s="88" t="s">
        <v>10</v>
      </c>
      <c r="O4" s="88" t="s">
        <v>5</v>
      </c>
      <c r="P4" s="89" t="s">
        <v>6</v>
      </c>
      <c r="Q4" s="88" t="s">
        <v>11</v>
      </c>
      <c r="R4" s="88" t="s">
        <v>12</v>
      </c>
      <c r="S4" s="88" t="s">
        <v>13</v>
      </c>
      <c r="T4" s="87" t="s">
        <v>5</v>
      </c>
      <c r="U4" s="90" t="s">
        <v>6</v>
      </c>
      <c r="V4" s="87" t="s">
        <v>14</v>
      </c>
      <c r="W4" s="91" t="s">
        <v>5</v>
      </c>
      <c r="X4" s="92" t="s">
        <v>6</v>
      </c>
      <c r="Y4" s="88" t="s">
        <v>135</v>
      </c>
      <c r="Z4" s="7" t="s">
        <v>152</v>
      </c>
      <c r="AA4" s="87" t="s">
        <v>5</v>
      </c>
      <c r="AB4" s="90" t="s">
        <v>6</v>
      </c>
      <c r="AC4" s="87" t="s">
        <v>16</v>
      </c>
      <c r="AD4" s="87" t="s">
        <v>5</v>
      </c>
      <c r="AE4" s="90" t="s">
        <v>6</v>
      </c>
      <c r="AF4" s="88" t="s">
        <v>21</v>
      </c>
      <c r="AG4" s="87" t="s">
        <v>5</v>
      </c>
      <c r="AH4" s="90" t="s">
        <v>6</v>
      </c>
      <c r="AI4" s="87" t="s">
        <v>18</v>
      </c>
      <c r="AJ4" s="87" t="s">
        <v>5</v>
      </c>
      <c r="AK4" s="90" t="s">
        <v>6</v>
      </c>
      <c r="AL4" s="88" t="s">
        <v>19</v>
      </c>
      <c r="AM4" s="87" t="s">
        <v>5</v>
      </c>
      <c r="AN4" s="90" t="s">
        <v>6</v>
      </c>
      <c r="AO4" s="87" t="s">
        <v>20</v>
      </c>
      <c r="AP4" s="91" t="s">
        <v>5</v>
      </c>
      <c r="AQ4" s="92" t="s">
        <v>6</v>
      </c>
      <c r="AR4" s="88" t="s">
        <v>21</v>
      </c>
      <c r="AS4" s="7" t="s">
        <v>153</v>
      </c>
      <c r="AT4" s="7" t="s">
        <v>154</v>
      </c>
      <c r="AU4" s="93" t="s">
        <v>22</v>
      </c>
      <c r="AW4" s="94"/>
      <c r="AX4" s="94" t="s">
        <v>23</v>
      </c>
      <c r="AY4" s="95" t="s">
        <v>24</v>
      </c>
      <c r="AZ4" s="95" t="s">
        <v>25</v>
      </c>
      <c r="BA4" s="95" t="s">
        <v>26</v>
      </c>
      <c r="BB4" s="95" t="s">
        <v>27</v>
      </c>
      <c r="BC4" s="95" t="s">
        <v>28</v>
      </c>
      <c r="BD4" s="95" t="s">
        <v>29</v>
      </c>
      <c r="BE4" s="95" t="s">
        <v>30</v>
      </c>
      <c r="BF4" s="96"/>
      <c r="BG4" s="96"/>
      <c r="BH4" s="96"/>
      <c r="BI4" s="94"/>
      <c r="BJ4" s="93" t="s">
        <v>31</v>
      </c>
    </row>
    <row r="5" spans="1:62" s="111" customFormat="1" ht="30" customHeight="1" x14ac:dyDescent="0.2">
      <c r="A5" s="97" t="str">
        <f t="shared" ref="A5:A33" si="1">B5&amp;" "&amp;C5</f>
        <v>SEI 004</v>
      </c>
      <c r="B5" s="98" t="s">
        <v>32</v>
      </c>
      <c r="C5" s="99" t="s">
        <v>33</v>
      </c>
      <c r="D5" s="100" t="s">
        <v>34</v>
      </c>
      <c r="E5" s="100" t="s">
        <v>35</v>
      </c>
      <c r="F5" s="101" t="s">
        <v>37</v>
      </c>
      <c r="G5" s="101">
        <v>1311</v>
      </c>
      <c r="H5" s="101">
        <v>15</v>
      </c>
      <c r="I5" s="101">
        <v>421.49</v>
      </c>
      <c r="J5" s="160" t="s">
        <v>146</v>
      </c>
      <c r="K5" s="101">
        <f>6572.35+[7]TOTAL!$L$5</f>
        <v>8072.35</v>
      </c>
      <c r="L5" s="101" t="s">
        <v>37</v>
      </c>
      <c r="M5" s="102">
        <v>1311</v>
      </c>
      <c r="N5" s="103">
        <v>168.23000000000002</v>
      </c>
      <c r="O5" s="101" t="s">
        <v>37</v>
      </c>
      <c r="P5" s="102">
        <v>1713</v>
      </c>
      <c r="Q5" s="101">
        <v>351.5</v>
      </c>
      <c r="R5" s="103">
        <v>406.32</v>
      </c>
      <c r="S5" s="103">
        <f>197.1705+[7]TOTAL!$T$5</f>
        <v>242.1705</v>
      </c>
      <c r="T5" s="101" t="s">
        <v>37</v>
      </c>
      <c r="U5" s="102">
        <v>1712</v>
      </c>
      <c r="V5" s="104">
        <f>R5+S5</f>
        <v>648.4905</v>
      </c>
      <c r="W5" s="101" t="s">
        <v>37</v>
      </c>
      <c r="X5" s="102">
        <v>1322</v>
      </c>
      <c r="Y5" s="104">
        <v>10953.916666666701</v>
      </c>
      <c r="Z5" s="104">
        <f t="shared" ref="Z5:Z33" si="2">K5+N5+Q5+V5+Y5</f>
        <v>20194.487166666702</v>
      </c>
      <c r="AA5" s="101" t="s">
        <v>39</v>
      </c>
      <c r="AB5" s="102">
        <v>1431</v>
      </c>
      <c r="AC5" s="104">
        <f>624.37+[7]TOTAL!$AD$5</f>
        <v>766.87</v>
      </c>
      <c r="AD5" s="101" t="s">
        <v>39</v>
      </c>
      <c r="AE5" s="105" t="s">
        <v>40</v>
      </c>
      <c r="AF5" s="103">
        <v>306</v>
      </c>
      <c r="AG5" s="101" t="s">
        <v>39</v>
      </c>
      <c r="AH5" s="105" t="s">
        <v>41</v>
      </c>
      <c r="AI5" s="103">
        <f>1096.58+[7]TOTAL!$AJ$5:$AJ$5+'[8]AGUINALDO ABRIL'!$M$6</f>
        <v>3169.8167415999997</v>
      </c>
      <c r="AJ5" s="101" t="s">
        <v>39</v>
      </c>
      <c r="AK5" s="105" t="s">
        <v>42</v>
      </c>
      <c r="AL5" s="103">
        <v>0</v>
      </c>
      <c r="AM5" s="101" t="s">
        <v>39</v>
      </c>
      <c r="AN5" s="105" t="s">
        <v>43</v>
      </c>
      <c r="AO5" s="103">
        <v>0</v>
      </c>
      <c r="AP5" s="101" t="s">
        <v>39</v>
      </c>
      <c r="AQ5" s="105">
        <v>3921</v>
      </c>
      <c r="AR5" s="103">
        <f>-'[8]AGUINALDO ABRIL'!$N$6</f>
        <v>-1985.3767416000001</v>
      </c>
      <c r="AS5" s="104">
        <f t="shared" ref="AS5:AS33" si="3">(AC5+AF5+AI5+AL5+AO5+AR5)</f>
        <v>2257.3099999999995</v>
      </c>
      <c r="AT5" s="106">
        <f t="shared" ref="AT5:AT33" si="4">(Z5-AS5)</f>
        <v>17937.177166666705</v>
      </c>
      <c r="AU5" s="107"/>
      <c r="AV5" s="108"/>
      <c r="AW5" s="109">
        <f>+H5</f>
        <v>15</v>
      </c>
      <c r="AX5" s="109">
        <f>+K5+S5+N5+Q5+R5+Y5</f>
        <v>20194.487166666702</v>
      </c>
      <c r="AY5" s="110">
        <f>IFERROR(+AX5/AW5,0)*AW5</f>
        <v>20194.487166666702</v>
      </c>
      <c r="AZ5" s="110">
        <f>IFERROR(+LOOKUP(AY5,[9]TARIFAS!$A$4:$B$14,[9]TARIFAS!$A$4:$A$14),0)</f>
        <v>16153.06</v>
      </c>
      <c r="BA5" s="110">
        <f>+AY5-AZ5</f>
        <v>4041.4271666667028</v>
      </c>
      <c r="BB5" s="110">
        <f>IFERROR(+LOOKUP(AY5,[9]TARIFAS!$A$4:$B$14,[9]TARIFAS!$D$4:$D$14),0)</f>
        <v>30</v>
      </c>
      <c r="BC5" s="110">
        <f>(+BA5*BB5)/100</f>
        <v>1212.4281500000109</v>
      </c>
      <c r="BD5" s="110">
        <f>IFERROR(+LOOKUP(AY5,[9]TARIFAS!$A$4:$B$14,[9]TARIFAS!$C$4:$C$14),0)</f>
        <v>3030.6</v>
      </c>
      <c r="BE5" s="110">
        <f>ROUND(+BC5+BD5,2)</f>
        <v>4243.03</v>
      </c>
      <c r="BF5" s="110"/>
      <c r="BG5" s="110"/>
      <c r="BH5" s="110"/>
      <c r="BI5" s="109"/>
    </row>
    <row r="6" spans="1:62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0" t="s">
        <v>35</v>
      </c>
      <c r="F6" s="101" t="s">
        <v>37</v>
      </c>
      <c r="G6" s="101" t="s">
        <v>38</v>
      </c>
      <c r="H6" s="101">
        <v>15</v>
      </c>
      <c r="I6" s="101">
        <v>421.49</v>
      </c>
      <c r="J6" s="160" t="s">
        <v>147</v>
      </c>
      <c r="K6" s="101">
        <f>6572.35+[7]TOTAL!$L$6</f>
        <v>8072.35</v>
      </c>
      <c r="L6" s="101" t="s">
        <v>37</v>
      </c>
      <c r="M6" s="102">
        <v>1311</v>
      </c>
      <c r="N6" s="103">
        <v>168.22500000000002</v>
      </c>
      <c r="O6" s="101" t="s">
        <v>37</v>
      </c>
      <c r="P6" s="102">
        <v>1713</v>
      </c>
      <c r="Q6" s="101">
        <v>351.5</v>
      </c>
      <c r="R6" s="103">
        <v>406.32</v>
      </c>
      <c r="S6" s="103">
        <f>197.1705+[7]TOTAL!$W$6</f>
        <v>242.1705</v>
      </c>
      <c r="T6" s="101" t="s">
        <v>37</v>
      </c>
      <c r="U6" s="102">
        <v>1712</v>
      </c>
      <c r="V6" s="104">
        <f t="shared" ref="V6:V33" si="5">R6+S6</f>
        <v>648.4905</v>
      </c>
      <c r="W6" s="101" t="s">
        <v>37</v>
      </c>
      <c r="X6" s="102">
        <v>1322</v>
      </c>
      <c r="Y6" s="104">
        <v>10953.916666666701</v>
      </c>
      <c r="Z6" s="104">
        <f t="shared" si="2"/>
        <v>20194.482166666701</v>
      </c>
      <c r="AA6" s="101" t="s">
        <v>39</v>
      </c>
      <c r="AB6" s="102">
        <v>1431</v>
      </c>
      <c r="AC6" s="104">
        <f>624.37325+[7]TOTAL!$AD$6</f>
        <v>766.87324999999998</v>
      </c>
      <c r="AD6" s="101" t="s">
        <v>39</v>
      </c>
      <c r="AE6" s="105" t="s">
        <v>40</v>
      </c>
      <c r="AF6" s="103">
        <v>2529</v>
      </c>
      <c r="AG6" s="101" t="s">
        <v>39</v>
      </c>
      <c r="AH6" s="105" t="s">
        <v>41</v>
      </c>
      <c r="AI6" s="103">
        <f>1096.58+[7]TOTAL!$AJ$6+'[8]AGUINALDO ABRIL'!$M$7</f>
        <v>3169.8165256000002</v>
      </c>
      <c r="AJ6" s="101" t="s">
        <v>39</v>
      </c>
      <c r="AK6" s="105" t="s">
        <v>42</v>
      </c>
      <c r="AL6" s="103">
        <f>65.7235+[7]TOTAL!$AM$6</f>
        <v>80.723500000000001</v>
      </c>
      <c r="AM6" s="101" t="s">
        <v>39</v>
      </c>
      <c r="AN6" s="105" t="s">
        <v>43</v>
      </c>
      <c r="AO6" s="103">
        <v>0</v>
      </c>
      <c r="AP6" s="101" t="s">
        <v>39</v>
      </c>
      <c r="AQ6" s="105">
        <v>3921</v>
      </c>
      <c r="AR6" s="103">
        <f>-'[8]AGUINALDO ABRIL'!$N$7</f>
        <v>-1985.3765256000006</v>
      </c>
      <c r="AS6" s="104">
        <f t="shared" si="3"/>
        <v>4561.0367499999993</v>
      </c>
      <c r="AT6" s="106">
        <f t="shared" si="4"/>
        <v>15633.445416666702</v>
      </c>
      <c r="AU6" s="113"/>
      <c r="AV6" s="108"/>
      <c r="AW6" s="109">
        <f t="shared" ref="AW6:AW33" si="6">+H6</f>
        <v>15</v>
      </c>
      <c r="AX6" s="109">
        <f t="shared" ref="AX6:AX33" si="7">+K6+S6+N6+Q6+R6+Y6</f>
        <v>20194.482166666701</v>
      </c>
      <c r="AY6" s="110">
        <f t="shared" ref="AY6:AY33" si="8">IFERROR(+AX6/AW6,0)*AW6</f>
        <v>20194.482166666701</v>
      </c>
      <c r="AZ6" s="110">
        <f>IFERROR(+LOOKUP(AY6,[9]TARIFAS!$A$4:$B$14,[9]TARIFAS!$A$4:$A$14),0)</f>
        <v>16153.06</v>
      </c>
      <c r="BA6" s="110">
        <f t="shared" ref="BA6:BA33" si="9">+AY6-AZ6</f>
        <v>4041.4221666667017</v>
      </c>
      <c r="BB6" s="110">
        <f>IFERROR(+LOOKUP(AY6,[9]TARIFAS!$A$4:$B$14,[9]TARIFAS!$D$4:$D$14),0)</f>
        <v>30</v>
      </c>
      <c r="BC6" s="110">
        <f t="shared" ref="BC6:BC33" si="10">(+BA6*BB6)/100</f>
        <v>1212.4266500000106</v>
      </c>
      <c r="BD6" s="110">
        <f>IFERROR(+LOOKUP(AY6,[9]TARIFAS!$A$4:$B$14,[9]TARIFAS!$C$4:$C$14),0)</f>
        <v>3030.6</v>
      </c>
      <c r="BE6" s="110">
        <f t="shared" ref="BE6:BE33" si="11">ROUND(+BC6+BD6,2)</f>
        <v>4243.03</v>
      </c>
      <c r="BF6" s="110"/>
      <c r="BG6" s="110"/>
      <c r="BH6" s="110"/>
      <c r="BI6" s="109"/>
    </row>
    <row r="7" spans="1:62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0" t="s">
        <v>50</v>
      </c>
      <c r="F7" s="101" t="s">
        <v>37</v>
      </c>
      <c r="G7" s="101" t="s">
        <v>38</v>
      </c>
      <c r="H7" s="101">
        <v>15</v>
      </c>
      <c r="I7" s="101">
        <v>504.21533333333332</v>
      </c>
      <c r="J7" s="160" t="s">
        <v>147</v>
      </c>
      <c r="K7" s="101">
        <v>7713.23</v>
      </c>
      <c r="L7" s="101" t="s">
        <v>37</v>
      </c>
      <c r="M7" s="102">
        <v>1311</v>
      </c>
      <c r="N7" s="103">
        <v>168.22500000000002</v>
      </c>
      <c r="O7" s="101" t="s">
        <v>37</v>
      </c>
      <c r="P7" s="102">
        <v>1713</v>
      </c>
      <c r="Q7" s="101">
        <v>282.08999999999997</v>
      </c>
      <c r="R7" s="103">
        <v>418.44</v>
      </c>
      <c r="S7" s="103">
        <v>231.39689999999999</v>
      </c>
      <c r="T7" s="101" t="s">
        <v>37</v>
      </c>
      <c r="U7" s="102">
        <v>1712</v>
      </c>
      <c r="V7" s="104">
        <f t="shared" si="5"/>
        <v>649.83690000000001</v>
      </c>
      <c r="W7" s="101" t="s">
        <v>37</v>
      </c>
      <c r="X7" s="102">
        <v>1322</v>
      </c>
      <c r="Y7" s="104">
        <v>12855.383333333333</v>
      </c>
      <c r="Z7" s="104">
        <f t="shared" si="2"/>
        <v>21668.765233333332</v>
      </c>
      <c r="AA7" s="101" t="s">
        <v>39</v>
      </c>
      <c r="AB7" s="102">
        <v>1431</v>
      </c>
      <c r="AC7" s="104">
        <v>732.75684999999999</v>
      </c>
      <c r="AD7" s="101" t="s">
        <v>39</v>
      </c>
      <c r="AE7" s="105" t="s">
        <v>40</v>
      </c>
      <c r="AF7" s="103">
        <v>1158.5</v>
      </c>
      <c r="AG7" s="101" t="s">
        <v>39</v>
      </c>
      <c r="AH7" s="105" t="s">
        <v>41</v>
      </c>
      <c r="AI7" s="103">
        <f>1335.35+'[8]AGUINALDO ABRIL'!$M$8</f>
        <v>3816.2411540799999</v>
      </c>
      <c r="AJ7" s="101" t="s">
        <v>39</v>
      </c>
      <c r="AK7" s="105" t="s">
        <v>42</v>
      </c>
      <c r="AL7" s="103">
        <v>77.132300000000001</v>
      </c>
      <c r="AM7" s="101" t="s">
        <v>39</v>
      </c>
      <c r="AN7" s="105" t="s">
        <v>43</v>
      </c>
      <c r="AO7" s="103">
        <v>0</v>
      </c>
      <c r="AP7" s="101" t="s">
        <v>39</v>
      </c>
      <c r="AQ7" s="105">
        <v>3921</v>
      </c>
      <c r="AR7" s="103">
        <f>-'[8]AGUINALDO ABRIL'!$N$8</f>
        <v>-2480.89115408</v>
      </c>
      <c r="AS7" s="104">
        <f t="shared" si="3"/>
        <v>3303.7391500000003</v>
      </c>
      <c r="AT7" s="106">
        <f t="shared" si="4"/>
        <v>18365.02608333333</v>
      </c>
      <c r="AU7" s="113"/>
      <c r="AV7" s="108"/>
      <c r="AW7" s="109">
        <f t="shared" si="6"/>
        <v>15</v>
      </c>
      <c r="AX7" s="109">
        <f t="shared" si="7"/>
        <v>21668.765233333332</v>
      </c>
      <c r="AY7" s="110">
        <f t="shared" si="8"/>
        <v>21668.765233333332</v>
      </c>
      <c r="AZ7" s="110">
        <f>IFERROR(+LOOKUP(AY7,[9]TARIFAS!$A$4:$B$14,[9]TARIFAS!$A$4:$A$14),0)</f>
        <v>16153.06</v>
      </c>
      <c r="BA7" s="110">
        <f t="shared" si="9"/>
        <v>5515.7052333333322</v>
      </c>
      <c r="BB7" s="110">
        <f>IFERROR(+LOOKUP(AY7,[9]TARIFAS!$A$4:$B$14,[9]TARIFAS!$D$4:$D$14),0)</f>
        <v>30</v>
      </c>
      <c r="BC7" s="110">
        <f t="shared" si="10"/>
        <v>1654.7115699999997</v>
      </c>
      <c r="BD7" s="110">
        <f>IFERROR(+LOOKUP(AY7,[9]TARIFAS!$A$4:$B$14,[9]TARIFAS!$C$4:$C$14),0)</f>
        <v>3030.6</v>
      </c>
      <c r="BE7" s="110">
        <f t="shared" si="11"/>
        <v>4685.3100000000004</v>
      </c>
      <c r="BF7" s="110"/>
      <c r="BG7" s="110"/>
      <c r="BH7" s="110"/>
      <c r="BI7" s="109"/>
    </row>
    <row r="8" spans="1:62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0" t="s">
        <v>35</v>
      </c>
      <c r="F8" s="101" t="s">
        <v>37</v>
      </c>
      <c r="G8" s="101" t="s">
        <v>38</v>
      </c>
      <c r="H8" s="101">
        <v>15</v>
      </c>
      <c r="I8" s="101">
        <v>421.49</v>
      </c>
      <c r="J8" s="160" t="s">
        <v>148</v>
      </c>
      <c r="K8" s="101">
        <f>6572.35+[7]TOTAL!$L$8</f>
        <v>8072.35</v>
      </c>
      <c r="L8" s="101" t="s">
        <v>37</v>
      </c>
      <c r="M8" s="102">
        <v>1311</v>
      </c>
      <c r="N8" s="103">
        <v>201.87</v>
      </c>
      <c r="O8" s="101" t="s">
        <v>37</v>
      </c>
      <c r="P8" s="102">
        <v>1713</v>
      </c>
      <c r="Q8" s="101">
        <v>351.5</v>
      </c>
      <c r="R8" s="103">
        <v>406.32</v>
      </c>
      <c r="S8" s="103">
        <f>197.1705+[7]TOTAL!$T$8</f>
        <v>242.1705</v>
      </c>
      <c r="T8" s="101" t="s">
        <v>37</v>
      </c>
      <c r="U8" s="102">
        <v>1712</v>
      </c>
      <c r="V8" s="104">
        <f t="shared" si="5"/>
        <v>648.4905</v>
      </c>
      <c r="W8" s="101" t="s">
        <v>37</v>
      </c>
      <c r="X8" s="102">
        <v>1322</v>
      </c>
      <c r="Y8" s="104">
        <v>10953.916666666668</v>
      </c>
      <c r="Z8" s="104">
        <f t="shared" si="2"/>
        <v>20228.127166666669</v>
      </c>
      <c r="AA8" s="101" t="s">
        <v>39</v>
      </c>
      <c r="AB8" s="102">
        <v>1431</v>
      </c>
      <c r="AC8" s="104">
        <f>624.37325+[7]TOTAL!$AD$8</f>
        <v>766.87324999999998</v>
      </c>
      <c r="AD8" s="101" t="s">
        <v>39</v>
      </c>
      <c r="AE8" s="105" t="s">
        <v>40</v>
      </c>
      <c r="AF8" s="103">
        <v>1542</v>
      </c>
      <c r="AG8" s="101" t="s">
        <v>39</v>
      </c>
      <c r="AH8" s="105" t="s">
        <v>41</v>
      </c>
      <c r="AI8" s="103">
        <f>1103.77+[7]TOTAL!$AJ$8+'[8]AGUINALDO ABRIL'!$M$9</f>
        <v>3178.4599896</v>
      </c>
      <c r="AJ8" s="101" t="s">
        <v>39</v>
      </c>
      <c r="AK8" s="105" t="s">
        <v>42</v>
      </c>
      <c r="AL8" s="103">
        <f>65.7235+[7]TOTAL!$AM$8</f>
        <v>80.723500000000001</v>
      </c>
      <c r="AM8" s="101" t="s">
        <v>39</v>
      </c>
      <c r="AN8" s="105" t="s">
        <v>43</v>
      </c>
      <c r="AO8" s="103">
        <v>0</v>
      </c>
      <c r="AP8" s="101" t="s">
        <v>39</v>
      </c>
      <c r="AQ8" s="105">
        <v>3921</v>
      </c>
      <c r="AR8" s="103">
        <f>-'[8]AGUINALDO ABRIL'!$N$9</f>
        <v>-1986.8299895999999</v>
      </c>
      <c r="AS8" s="104">
        <f t="shared" si="3"/>
        <v>3581.2267500000007</v>
      </c>
      <c r="AT8" s="106">
        <f t="shared" si="4"/>
        <v>16646.900416666667</v>
      </c>
      <c r="AU8" s="113"/>
      <c r="AV8" s="108"/>
      <c r="AW8" s="109">
        <f t="shared" si="6"/>
        <v>15</v>
      </c>
      <c r="AX8" s="109">
        <f t="shared" si="7"/>
        <v>20228.127166666669</v>
      </c>
      <c r="AY8" s="110">
        <f>IFERROR(+AX8/AW8,0)*AW8</f>
        <v>20228.127166666669</v>
      </c>
      <c r="AZ8" s="110">
        <f>IFERROR(+LOOKUP(AY8,[9]TARIFAS!$A$4:$B$14,[9]TARIFAS!$A$4:$A$14),0)</f>
        <v>16153.06</v>
      </c>
      <c r="BA8" s="110">
        <f t="shared" si="9"/>
        <v>4075.0671666666694</v>
      </c>
      <c r="BB8" s="110">
        <f>IFERROR(+LOOKUP(AY8,[9]TARIFAS!$A$4:$B$14,[9]TARIFAS!$D$4:$D$14),0)</f>
        <v>30</v>
      </c>
      <c r="BC8" s="110">
        <f t="shared" si="10"/>
        <v>1222.520150000001</v>
      </c>
      <c r="BD8" s="110">
        <f>IFERROR(+LOOKUP(AY8,[9]TARIFAS!$A$4:$B$14,[9]TARIFAS!$C$4:$C$14),0)</f>
        <v>3030.6</v>
      </c>
      <c r="BE8" s="110">
        <f t="shared" si="11"/>
        <v>4253.12</v>
      </c>
      <c r="BF8" s="110"/>
      <c r="BG8" s="110"/>
      <c r="BH8" s="110"/>
      <c r="BI8" s="109"/>
    </row>
    <row r="9" spans="1:62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0" t="s">
        <v>50</v>
      </c>
      <c r="F9" s="101" t="s">
        <v>37</v>
      </c>
      <c r="G9" s="101" t="s">
        <v>38</v>
      </c>
      <c r="H9" s="101">
        <v>15</v>
      </c>
      <c r="I9" s="101">
        <v>504.21533333333332</v>
      </c>
      <c r="J9" s="160" t="s">
        <v>147</v>
      </c>
      <c r="K9" s="101">
        <v>7713.23</v>
      </c>
      <c r="L9" s="101" t="s">
        <v>37</v>
      </c>
      <c r="M9" s="102">
        <v>1311</v>
      </c>
      <c r="N9" s="103">
        <v>168.22500000000002</v>
      </c>
      <c r="O9" s="101" t="s">
        <v>37</v>
      </c>
      <c r="P9" s="102">
        <v>1713</v>
      </c>
      <c r="Q9" s="101">
        <v>282.08999999999997</v>
      </c>
      <c r="R9" s="103">
        <v>418.44</v>
      </c>
      <c r="S9" s="103">
        <v>231.39689999999999</v>
      </c>
      <c r="T9" s="101" t="s">
        <v>37</v>
      </c>
      <c r="U9" s="102">
        <v>1712</v>
      </c>
      <c r="V9" s="104">
        <f t="shared" si="5"/>
        <v>649.83690000000001</v>
      </c>
      <c r="W9" s="101" t="s">
        <v>37</v>
      </c>
      <c r="X9" s="102">
        <v>1322</v>
      </c>
      <c r="Y9" s="104">
        <v>12855.383333333333</v>
      </c>
      <c r="Z9" s="104">
        <f t="shared" si="2"/>
        <v>21668.765233333332</v>
      </c>
      <c r="AA9" s="101" t="s">
        <v>39</v>
      </c>
      <c r="AB9" s="102">
        <v>1431</v>
      </c>
      <c r="AC9" s="104">
        <v>732.75684999999999</v>
      </c>
      <c r="AD9" s="101" t="s">
        <v>39</v>
      </c>
      <c r="AE9" s="105" t="s">
        <v>40</v>
      </c>
      <c r="AF9" s="103">
        <v>0</v>
      </c>
      <c r="AG9" s="101" t="s">
        <v>39</v>
      </c>
      <c r="AH9" s="105" t="s">
        <v>41</v>
      </c>
      <c r="AI9" s="103">
        <f>1335.35+'[8]AGUINALDO ABRIL'!$M$10</f>
        <v>3816.2411540799999</v>
      </c>
      <c r="AJ9" s="101" t="s">
        <v>39</v>
      </c>
      <c r="AK9" s="105" t="s">
        <v>42</v>
      </c>
      <c r="AL9" s="103">
        <v>77.132300000000001</v>
      </c>
      <c r="AM9" s="101" t="s">
        <v>39</v>
      </c>
      <c r="AN9" s="105" t="s">
        <v>43</v>
      </c>
      <c r="AO9" s="103">
        <v>0</v>
      </c>
      <c r="AP9" s="101" t="s">
        <v>39</v>
      </c>
      <c r="AQ9" s="105">
        <v>3921</v>
      </c>
      <c r="AR9" s="103">
        <f>-'[8]AGUINALDO ABRIL'!$N$10</f>
        <v>-2480.89115408</v>
      </c>
      <c r="AS9" s="104">
        <f t="shared" si="3"/>
        <v>2145.2391500000003</v>
      </c>
      <c r="AT9" s="106">
        <f t="shared" si="4"/>
        <v>19523.52608333333</v>
      </c>
      <c r="AU9" s="113"/>
      <c r="AV9" s="108"/>
      <c r="AW9" s="109">
        <f t="shared" si="6"/>
        <v>15</v>
      </c>
      <c r="AX9" s="109">
        <f t="shared" si="7"/>
        <v>21668.765233333332</v>
      </c>
      <c r="AY9" s="110">
        <f>IFERROR(+AX9/AW9,0)*AW9</f>
        <v>21668.765233333332</v>
      </c>
      <c r="AZ9" s="110">
        <f>IFERROR(+LOOKUP(AY9,[9]TARIFAS!$A$4:$B$14,[9]TARIFAS!$A$4:$A$14),0)</f>
        <v>16153.06</v>
      </c>
      <c r="BA9" s="110">
        <f t="shared" si="9"/>
        <v>5515.7052333333322</v>
      </c>
      <c r="BB9" s="110">
        <f>IFERROR(+LOOKUP(AY9,[9]TARIFAS!$A$4:$B$14,[9]TARIFAS!$D$4:$D$14),0)</f>
        <v>30</v>
      </c>
      <c r="BC9" s="110">
        <f t="shared" si="10"/>
        <v>1654.7115699999997</v>
      </c>
      <c r="BD9" s="110">
        <f>IFERROR(+LOOKUP(AY9,[9]TARIFAS!$A$4:$B$14,[9]TARIFAS!$C$4:$C$14),0)</f>
        <v>3030.6</v>
      </c>
      <c r="BE9" s="110">
        <f t="shared" si="11"/>
        <v>4685.3100000000004</v>
      </c>
      <c r="BF9" s="110"/>
      <c r="BG9" s="110"/>
      <c r="BH9" s="110"/>
      <c r="BI9" s="109"/>
    </row>
    <row r="10" spans="1:62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0" t="s">
        <v>35</v>
      </c>
      <c r="F10" s="101" t="s">
        <v>37</v>
      </c>
      <c r="G10" s="101" t="s">
        <v>38</v>
      </c>
      <c r="H10" s="101">
        <v>15</v>
      </c>
      <c r="I10" s="101">
        <v>421.49</v>
      </c>
      <c r="J10" s="160" t="s">
        <v>147</v>
      </c>
      <c r="K10" s="101">
        <f>6572.35+[7]TOTAL!$L$10</f>
        <v>8072.35</v>
      </c>
      <c r="L10" s="101" t="s">
        <v>37</v>
      </c>
      <c r="M10" s="102">
        <v>1311</v>
      </c>
      <c r="N10" s="103">
        <v>201.87</v>
      </c>
      <c r="O10" s="101" t="s">
        <v>37</v>
      </c>
      <c r="P10" s="102">
        <v>1713</v>
      </c>
      <c r="Q10" s="101">
        <v>351.5</v>
      </c>
      <c r="R10" s="103">
        <v>406.32</v>
      </c>
      <c r="S10" s="103">
        <f>197.1705+[7]TOTAL!$T$10</f>
        <v>242.1705</v>
      </c>
      <c r="T10" s="101" t="s">
        <v>37</v>
      </c>
      <c r="U10" s="102">
        <v>1712</v>
      </c>
      <c r="V10" s="104">
        <f t="shared" si="5"/>
        <v>648.4905</v>
      </c>
      <c r="W10" s="101" t="s">
        <v>37</v>
      </c>
      <c r="X10" s="102">
        <v>1322</v>
      </c>
      <c r="Y10" s="104">
        <v>10953.916666666668</v>
      </c>
      <c r="Z10" s="104">
        <f t="shared" si="2"/>
        <v>20228.127166666669</v>
      </c>
      <c r="AA10" s="101" t="s">
        <v>39</v>
      </c>
      <c r="AB10" s="102">
        <v>1431</v>
      </c>
      <c r="AC10" s="104">
        <f>624.37325+[7]TOTAL!$AD$10</f>
        <v>766.87324999999998</v>
      </c>
      <c r="AD10" s="101" t="s">
        <v>39</v>
      </c>
      <c r="AE10" s="105" t="s">
        <v>40</v>
      </c>
      <c r="AF10" s="103">
        <v>2108</v>
      </c>
      <c r="AG10" s="101" t="s">
        <v>39</v>
      </c>
      <c r="AH10" s="105" t="s">
        <v>41</v>
      </c>
      <c r="AI10" s="103">
        <f>1103.77+[7]TOTAL!$AJ$10+'[8]AGUINALDO ABRIL'!$M$11</f>
        <v>3178.4599896</v>
      </c>
      <c r="AJ10" s="101" t="s">
        <v>39</v>
      </c>
      <c r="AK10" s="105" t="s">
        <v>42</v>
      </c>
      <c r="AL10" s="103">
        <f>65.7235+[7]TOTAL!$AM$10</f>
        <v>80.723500000000001</v>
      </c>
      <c r="AM10" s="101" t="s">
        <v>39</v>
      </c>
      <c r="AN10" s="105" t="s">
        <v>43</v>
      </c>
      <c r="AO10" s="103">
        <v>0</v>
      </c>
      <c r="AP10" s="101" t="s">
        <v>39</v>
      </c>
      <c r="AQ10" s="105">
        <v>3921</v>
      </c>
      <c r="AR10" s="103">
        <f>-'[8]AGUINALDO ABRIL'!$N$11</f>
        <v>-1986.8299895999999</v>
      </c>
      <c r="AS10" s="104">
        <f t="shared" si="3"/>
        <v>4147.2267500000007</v>
      </c>
      <c r="AT10" s="106">
        <f t="shared" si="4"/>
        <v>16080.900416666667</v>
      </c>
      <c r="AU10" s="113"/>
      <c r="AV10" s="108"/>
      <c r="AW10" s="109">
        <f t="shared" si="6"/>
        <v>15</v>
      </c>
      <c r="AX10" s="109">
        <f t="shared" si="7"/>
        <v>20228.127166666669</v>
      </c>
      <c r="AY10" s="110">
        <f>IFERROR(+AX10/AW10,0)*AW10</f>
        <v>20228.127166666669</v>
      </c>
      <c r="AZ10" s="110">
        <f>IFERROR(+LOOKUP(AY10,[9]TARIFAS!$A$4:$B$14,[9]TARIFAS!$A$4:$A$14),0)</f>
        <v>16153.06</v>
      </c>
      <c r="BA10" s="110">
        <f t="shared" si="9"/>
        <v>4075.0671666666694</v>
      </c>
      <c r="BB10" s="110">
        <f>IFERROR(+LOOKUP(AY10,[9]TARIFAS!$A$4:$B$14,[9]TARIFAS!$D$4:$D$14),0)</f>
        <v>30</v>
      </c>
      <c r="BC10" s="110">
        <f t="shared" si="10"/>
        <v>1222.520150000001</v>
      </c>
      <c r="BD10" s="110">
        <f>IFERROR(+LOOKUP(AY10,[9]TARIFAS!$A$4:$B$14,[9]TARIFAS!$C$4:$C$14),0)</f>
        <v>3030.6</v>
      </c>
      <c r="BE10" s="110">
        <f t="shared" si="11"/>
        <v>4253.12</v>
      </c>
      <c r="BF10" s="110"/>
      <c r="BG10" s="110"/>
      <c r="BH10" s="110"/>
      <c r="BI10" s="109"/>
    </row>
    <row r="11" spans="1:62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0" t="s">
        <v>35</v>
      </c>
      <c r="F11" s="101" t="s">
        <v>37</v>
      </c>
      <c r="G11" s="101" t="s">
        <v>38</v>
      </c>
      <c r="H11" s="101">
        <v>15</v>
      </c>
      <c r="I11" s="101">
        <v>325.036</v>
      </c>
      <c r="J11" s="160" t="s">
        <v>149</v>
      </c>
      <c r="K11" s="101">
        <f>5063.04+[7]TOTAL!$L$11</f>
        <v>6188.04</v>
      </c>
      <c r="L11" s="101" t="s">
        <v>37</v>
      </c>
      <c r="M11" s="102">
        <v>1311</v>
      </c>
      <c r="N11" s="103">
        <v>235.51499999999999</v>
      </c>
      <c r="O11" s="101" t="s">
        <v>37</v>
      </c>
      <c r="P11" s="102">
        <v>1713</v>
      </c>
      <c r="Q11" s="101">
        <v>207.91</v>
      </c>
      <c r="R11" s="103">
        <v>371.02</v>
      </c>
      <c r="S11" s="103">
        <f>151.8912+[7]TOTAL!$T$11</f>
        <v>185.6412</v>
      </c>
      <c r="T11" s="101" t="s">
        <v>37</v>
      </c>
      <c r="U11" s="102">
        <v>1712</v>
      </c>
      <c r="V11" s="104">
        <f t="shared" si="5"/>
        <v>556.66120000000001</v>
      </c>
      <c r="W11" s="101" t="s">
        <v>37</v>
      </c>
      <c r="X11" s="102">
        <v>1322</v>
      </c>
      <c r="Y11" s="104">
        <v>8438.4</v>
      </c>
      <c r="Z11" s="104">
        <f t="shared" si="2"/>
        <v>15626.5262</v>
      </c>
      <c r="AA11" s="101" t="s">
        <v>39</v>
      </c>
      <c r="AB11" s="102">
        <v>1431</v>
      </c>
      <c r="AC11" s="104">
        <f>480.9888+[7]TOTAL!$AD$11</f>
        <v>587.86380000000008</v>
      </c>
      <c r="AD11" s="101" t="s">
        <v>39</v>
      </c>
      <c r="AE11" s="105" t="s">
        <v>40</v>
      </c>
      <c r="AF11" s="103">
        <v>0</v>
      </c>
      <c r="AG11" s="101" t="s">
        <v>39</v>
      </c>
      <c r="AH11" s="105" t="s">
        <v>41</v>
      </c>
      <c r="AI11" s="103">
        <f>740.69+[7]TOTAL!$AJ$11+'[8]AGUINALDO ABRIL'!$M$12</f>
        <v>2175.0779199999993</v>
      </c>
      <c r="AJ11" s="101" t="s">
        <v>39</v>
      </c>
      <c r="AK11" s="105" t="s">
        <v>42</v>
      </c>
      <c r="AL11" s="103">
        <v>0</v>
      </c>
      <c r="AM11" s="101" t="s">
        <v>39</v>
      </c>
      <c r="AN11" s="105" t="s">
        <v>43</v>
      </c>
      <c r="AO11" s="103">
        <v>0</v>
      </c>
      <c r="AP11" s="101" t="s">
        <v>39</v>
      </c>
      <c r="AQ11" s="105">
        <v>3921</v>
      </c>
      <c r="AR11" s="103">
        <f>-'[8]AGUINALDO ABRIL'!$N$12</f>
        <v>-1371.2479199999991</v>
      </c>
      <c r="AS11" s="104">
        <f t="shared" si="3"/>
        <v>1391.6938000000002</v>
      </c>
      <c r="AT11" s="106">
        <f t="shared" si="4"/>
        <v>14234.832399999999</v>
      </c>
      <c r="AU11" s="113"/>
      <c r="AV11" s="108"/>
      <c r="AW11" s="109">
        <f t="shared" si="6"/>
        <v>15</v>
      </c>
      <c r="AX11" s="109">
        <f t="shared" si="7"/>
        <v>15626.5262</v>
      </c>
      <c r="AY11" s="110">
        <f t="shared" si="8"/>
        <v>15626.526200000002</v>
      </c>
      <c r="AZ11" s="110">
        <f>IFERROR(+LOOKUP(AY11,[9]TARIFAS!$A$4:$B$14,[9]TARIFAS!$A$4:$A$14),0)</f>
        <v>10248.459999999999</v>
      </c>
      <c r="BA11" s="110">
        <f t="shared" si="9"/>
        <v>5378.0662000000029</v>
      </c>
      <c r="BB11" s="110">
        <f>IFERROR(+LOOKUP(AY11,[9]TARIFAS!$A$4:$B$14,[9]TARIFAS!$D$4:$D$14),0)</f>
        <v>23.52</v>
      </c>
      <c r="BC11" s="110">
        <f t="shared" si="10"/>
        <v>1264.9211702400007</v>
      </c>
      <c r="BD11" s="110">
        <f>IFERROR(+LOOKUP(AY11,[9]TARIFAS!$A$4:$B$14,[9]TARIFAS!$C$4:$C$14),0)</f>
        <v>1641.75</v>
      </c>
      <c r="BE11" s="110">
        <f t="shared" si="11"/>
        <v>2906.67</v>
      </c>
      <c r="BF11" s="110"/>
      <c r="BG11" s="110"/>
      <c r="BH11" s="110"/>
      <c r="BI11" s="109"/>
    </row>
    <row r="12" spans="1:62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0" t="s">
        <v>35</v>
      </c>
      <c r="F12" s="101" t="s">
        <v>37</v>
      </c>
      <c r="G12" s="101" t="s">
        <v>38</v>
      </c>
      <c r="H12" s="101">
        <v>15</v>
      </c>
      <c r="I12" s="101">
        <v>325.036</v>
      </c>
      <c r="J12" s="160" t="s">
        <v>149</v>
      </c>
      <c r="K12" s="101">
        <f>5063.04+[7]TOTAL!$L$12</f>
        <v>6188.04</v>
      </c>
      <c r="L12" s="101" t="s">
        <v>37</v>
      </c>
      <c r="M12" s="102">
        <v>1311</v>
      </c>
      <c r="N12" s="103">
        <v>201.87</v>
      </c>
      <c r="O12" s="101" t="s">
        <v>37</v>
      </c>
      <c r="P12" s="102">
        <v>1713</v>
      </c>
      <c r="Q12" s="101">
        <v>207.91</v>
      </c>
      <c r="R12" s="103">
        <v>371.02</v>
      </c>
      <c r="S12" s="103">
        <f>151.8912+[7]TOTAL!$T$12</f>
        <v>185.6412</v>
      </c>
      <c r="T12" s="101" t="s">
        <v>37</v>
      </c>
      <c r="U12" s="102">
        <v>1712</v>
      </c>
      <c r="V12" s="104">
        <f t="shared" si="5"/>
        <v>556.66120000000001</v>
      </c>
      <c r="W12" s="101" t="s">
        <v>37</v>
      </c>
      <c r="X12" s="102">
        <v>1322</v>
      </c>
      <c r="Y12" s="104">
        <v>8438.4</v>
      </c>
      <c r="Z12" s="104">
        <f t="shared" si="2"/>
        <v>15592.8812</v>
      </c>
      <c r="AA12" s="101" t="s">
        <v>39</v>
      </c>
      <c r="AB12" s="102">
        <v>1431</v>
      </c>
      <c r="AC12" s="104">
        <f>480.9888+[7]TOTAL!$AD$12</f>
        <v>587.86380000000008</v>
      </c>
      <c r="AD12" s="101" t="s">
        <v>39</v>
      </c>
      <c r="AE12" s="105" t="s">
        <v>40</v>
      </c>
      <c r="AF12" s="103">
        <v>0</v>
      </c>
      <c r="AG12" s="101" t="s">
        <v>39</v>
      </c>
      <c r="AH12" s="105" t="s">
        <v>41</v>
      </c>
      <c r="AI12" s="103">
        <f>733.5+[7]TOTAL!$AJ$12+'[8]AGUINALDO ABRIL'!$M$13</f>
        <v>2167.8879199999992</v>
      </c>
      <c r="AJ12" s="101" t="s">
        <v>39</v>
      </c>
      <c r="AK12" s="105" t="s">
        <v>42</v>
      </c>
      <c r="AL12" s="103">
        <v>0</v>
      </c>
      <c r="AM12" s="101" t="s">
        <v>39</v>
      </c>
      <c r="AN12" s="105" t="s">
        <v>43</v>
      </c>
      <c r="AO12" s="103">
        <v>0</v>
      </c>
      <c r="AP12" s="101" t="s">
        <v>39</v>
      </c>
      <c r="AQ12" s="105">
        <v>3921</v>
      </c>
      <c r="AR12" s="103">
        <f>-'[8]AGUINALDO ABRIL'!$N$13</f>
        <v>-1371.2479199999991</v>
      </c>
      <c r="AS12" s="104">
        <f t="shared" si="3"/>
        <v>1384.5038000000002</v>
      </c>
      <c r="AT12" s="106">
        <f t="shared" si="4"/>
        <v>14208.377399999999</v>
      </c>
      <c r="AU12" s="113"/>
      <c r="AV12" s="108"/>
      <c r="AW12" s="109">
        <f t="shared" si="6"/>
        <v>15</v>
      </c>
      <c r="AX12" s="109">
        <f t="shared" si="7"/>
        <v>15592.8812</v>
      </c>
      <c r="AY12" s="110">
        <f t="shared" si="8"/>
        <v>15592.8812</v>
      </c>
      <c r="AZ12" s="110">
        <f>IFERROR(+LOOKUP(AY12,[9]TARIFAS!$A$4:$B$14,[9]TARIFAS!$A$4:$A$14),0)</f>
        <v>10248.459999999999</v>
      </c>
      <c r="BA12" s="110">
        <f t="shared" si="9"/>
        <v>5344.4212000000007</v>
      </c>
      <c r="BB12" s="110">
        <f>IFERROR(+LOOKUP(AY12,[9]TARIFAS!$A$4:$B$14,[9]TARIFAS!$D$4:$D$14),0)</f>
        <v>23.52</v>
      </c>
      <c r="BC12" s="110">
        <f t="shared" si="10"/>
        <v>1257.0078662400001</v>
      </c>
      <c r="BD12" s="110">
        <f>IFERROR(+LOOKUP(AY12,[9]TARIFAS!$A$4:$B$14,[9]TARIFAS!$C$4:$C$14),0)</f>
        <v>1641.75</v>
      </c>
      <c r="BE12" s="110">
        <f t="shared" si="11"/>
        <v>2898.76</v>
      </c>
      <c r="BF12" s="110"/>
      <c r="BG12" s="110"/>
      <c r="BH12" s="110"/>
      <c r="BI12" s="109"/>
    </row>
    <row r="13" spans="1:62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0" t="s">
        <v>35</v>
      </c>
      <c r="F13" s="101" t="s">
        <v>37</v>
      </c>
      <c r="G13" s="101" t="s">
        <v>38</v>
      </c>
      <c r="H13" s="101">
        <v>15</v>
      </c>
      <c r="I13" s="101">
        <v>421.49</v>
      </c>
      <c r="J13" s="160" t="s">
        <v>149</v>
      </c>
      <c r="K13" s="101">
        <f>6572.35+[7]TOTAL!$L$13</f>
        <v>8072.35</v>
      </c>
      <c r="L13" s="101" t="s">
        <v>37</v>
      </c>
      <c r="M13" s="102">
        <v>1311</v>
      </c>
      <c r="N13" s="103">
        <v>235.51499999999999</v>
      </c>
      <c r="O13" s="101" t="s">
        <v>37</v>
      </c>
      <c r="P13" s="102">
        <v>1713</v>
      </c>
      <c r="Q13" s="101">
        <v>351.5</v>
      </c>
      <c r="R13" s="103">
        <v>406.32</v>
      </c>
      <c r="S13" s="103">
        <f>197.1705+[7]TOTAL!$T$13</f>
        <v>242.1705</v>
      </c>
      <c r="T13" s="101" t="s">
        <v>37</v>
      </c>
      <c r="U13" s="102">
        <v>1712</v>
      </c>
      <c r="V13" s="104">
        <f t="shared" si="5"/>
        <v>648.4905</v>
      </c>
      <c r="W13" s="101" t="s">
        <v>37</v>
      </c>
      <c r="X13" s="102">
        <v>1322</v>
      </c>
      <c r="Y13" s="104">
        <v>10953.916666666668</v>
      </c>
      <c r="Z13" s="104">
        <f t="shared" si="2"/>
        <v>20261.772166666669</v>
      </c>
      <c r="AA13" s="101" t="s">
        <v>39</v>
      </c>
      <c r="AB13" s="102">
        <v>1431</v>
      </c>
      <c r="AC13" s="104">
        <f>624.37325+[7]TOTAL!$AD$13</f>
        <v>766.87324999999998</v>
      </c>
      <c r="AD13" s="101" t="s">
        <v>39</v>
      </c>
      <c r="AE13" s="105" t="s">
        <v>40</v>
      </c>
      <c r="AF13" s="103">
        <v>0</v>
      </c>
      <c r="AG13" s="101" t="s">
        <v>39</v>
      </c>
      <c r="AH13" s="105" t="s">
        <v>41</v>
      </c>
      <c r="AI13" s="103">
        <f>1110.96+[7]TOTAL!$AJ$13+'[8]AGUINALDO ABRIL'!$M$14</f>
        <v>3187.1034535999997</v>
      </c>
      <c r="AJ13" s="101" t="s">
        <v>39</v>
      </c>
      <c r="AK13" s="105" t="s">
        <v>42</v>
      </c>
      <c r="AL13" s="103">
        <v>0</v>
      </c>
      <c r="AM13" s="101" t="s">
        <v>39</v>
      </c>
      <c r="AN13" s="105" t="s">
        <v>43</v>
      </c>
      <c r="AO13" s="103">
        <v>0</v>
      </c>
      <c r="AP13" s="101" t="s">
        <v>39</v>
      </c>
      <c r="AQ13" s="105">
        <v>3921</v>
      </c>
      <c r="AR13" s="103">
        <f>-'[8]AGUINALDO ABRIL'!$N$14</f>
        <v>-1988.2834536</v>
      </c>
      <c r="AS13" s="104">
        <f t="shared" si="3"/>
        <v>1965.6932499999998</v>
      </c>
      <c r="AT13" s="106">
        <f t="shared" si="4"/>
        <v>18296.078916666669</v>
      </c>
      <c r="AU13" s="113"/>
      <c r="AV13" s="108"/>
      <c r="AW13" s="109">
        <f t="shared" si="6"/>
        <v>15</v>
      </c>
      <c r="AX13" s="109">
        <f t="shared" si="7"/>
        <v>20261.772166666669</v>
      </c>
      <c r="AY13" s="110">
        <f t="shared" si="8"/>
        <v>20261.772166666669</v>
      </c>
      <c r="AZ13" s="110">
        <f>IFERROR(+LOOKUP(AY13,[9]TARIFAS!$A$4:$B$14,[9]TARIFAS!$A$4:$A$14),0)</f>
        <v>16153.06</v>
      </c>
      <c r="BA13" s="110">
        <f t="shared" si="9"/>
        <v>4108.7121666666699</v>
      </c>
      <c r="BB13" s="110">
        <f>IFERROR(+LOOKUP(AY13,[9]TARIFAS!$A$4:$B$14,[9]TARIFAS!$D$4:$D$14),0)</f>
        <v>30</v>
      </c>
      <c r="BC13" s="110">
        <f t="shared" si="10"/>
        <v>1232.6136500000009</v>
      </c>
      <c r="BD13" s="110">
        <f>IFERROR(+LOOKUP(AY13,[9]TARIFAS!$A$4:$B$14,[9]TARIFAS!$C$4:$C$14),0)</f>
        <v>3030.6</v>
      </c>
      <c r="BE13" s="110">
        <f t="shared" si="11"/>
        <v>4263.21</v>
      </c>
      <c r="BF13" s="110"/>
      <c r="BG13" s="110"/>
      <c r="BH13" s="110"/>
      <c r="BI13" s="109"/>
    </row>
    <row r="14" spans="1:62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0" t="s">
        <v>67</v>
      </c>
      <c r="F14" s="101" t="s">
        <v>37</v>
      </c>
      <c r="G14" s="101" t="s">
        <v>38</v>
      </c>
      <c r="H14" s="101">
        <v>15</v>
      </c>
      <c r="I14" s="101">
        <v>1029.4333333333334</v>
      </c>
      <c r="J14" s="160" t="s">
        <v>147</v>
      </c>
      <c r="K14" s="101">
        <v>15441.5</v>
      </c>
      <c r="L14" s="101" t="s">
        <v>37</v>
      </c>
      <c r="M14" s="102">
        <v>1311</v>
      </c>
      <c r="N14" s="103">
        <v>0</v>
      </c>
      <c r="O14" s="101" t="s">
        <v>37</v>
      </c>
      <c r="P14" s="102">
        <v>1713</v>
      </c>
      <c r="Q14" s="103">
        <v>566.5</v>
      </c>
      <c r="R14" s="103">
        <v>835.5</v>
      </c>
      <c r="S14" s="103">
        <v>463.245</v>
      </c>
      <c r="T14" s="101" t="s">
        <v>37</v>
      </c>
      <c r="U14" s="102">
        <v>1712</v>
      </c>
      <c r="V14" s="104">
        <f t="shared" si="5"/>
        <v>1298.7449999999999</v>
      </c>
      <c r="W14" s="101" t="s">
        <v>37</v>
      </c>
      <c r="X14" s="102">
        <v>1322</v>
      </c>
      <c r="Y14" s="104">
        <v>25735.833333333336</v>
      </c>
      <c r="Z14" s="104">
        <f t="shared" si="2"/>
        <v>43042.578333333338</v>
      </c>
      <c r="AA14" s="101" t="s">
        <v>39</v>
      </c>
      <c r="AB14" s="102">
        <v>1431</v>
      </c>
      <c r="AC14" s="104">
        <v>1466.9425000000001</v>
      </c>
      <c r="AD14" s="101" t="s">
        <v>39</v>
      </c>
      <c r="AE14" s="105" t="s">
        <v>40</v>
      </c>
      <c r="AF14" s="103">
        <v>0</v>
      </c>
      <c r="AG14" s="101" t="s">
        <v>39</v>
      </c>
      <c r="AH14" s="105" t="s">
        <v>41</v>
      </c>
      <c r="AI14" s="103">
        <f>3376.71+'[8]AGUINALDO ABRIL'!$M$15</f>
        <v>10491.85</v>
      </c>
      <c r="AJ14" s="101" t="s">
        <v>39</v>
      </c>
      <c r="AK14" s="105" t="s">
        <v>42</v>
      </c>
      <c r="AL14" s="103">
        <v>0</v>
      </c>
      <c r="AM14" s="101" t="s">
        <v>39</v>
      </c>
      <c r="AN14" s="105" t="s">
        <v>43</v>
      </c>
      <c r="AO14" s="103">
        <v>0</v>
      </c>
      <c r="AP14" s="101" t="s">
        <v>39</v>
      </c>
      <c r="AQ14" s="105">
        <v>3921</v>
      </c>
      <c r="AR14" s="103">
        <f>-'[8]AGUINALDO ABRIL'!$N$15</f>
        <v>-7115.14</v>
      </c>
      <c r="AS14" s="104">
        <f t="shared" si="3"/>
        <v>4843.6524999999992</v>
      </c>
      <c r="AT14" s="106">
        <f t="shared" si="4"/>
        <v>38198.925833333342</v>
      </c>
      <c r="AU14" s="113"/>
      <c r="AV14" s="108"/>
      <c r="AW14" s="109">
        <f t="shared" si="6"/>
        <v>15</v>
      </c>
      <c r="AX14" s="109">
        <f t="shared" si="7"/>
        <v>43042.578333333338</v>
      </c>
      <c r="AY14" s="110">
        <f t="shared" si="8"/>
        <v>43042.578333333338</v>
      </c>
      <c r="AZ14" s="110">
        <f>IFERROR(+LOOKUP(AY14,[9]TARIFAS!$A$4:$B$14,[9]TARIFAS!$A$4:$A$14),0)</f>
        <v>41118.46</v>
      </c>
      <c r="BA14" s="110">
        <f t="shared" si="9"/>
        <v>1924.1183333333393</v>
      </c>
      <c r="BB14" s="110">
        <f>IFERROR(+LOOKUP(AY14,[9]TARIFAS!$A$4:$B$14,[9]TARIFAS!$D$4:$D$14),0)</f>
        <v>34</v>
      </c>
      <c r="BC14" s="110">
        <f t="shared" si="10"/>
        <v>654.20023333333529</v>
      </c>
      <c r="BD14" s="110">
        <f>IFERROR(+LOOKUP(AY14,[9]TARIFAS!$A$4:$B$14,[9]TARIFAS!$C$4:$C$14),0)</f>
        <v>10725.75</v>
      </c>
      <c r="BE14" s="110">
        <f t="shared" si="11"/>
        <v>11379.95</v>
      </c>
      <c r="BF14" s="110"/>
      <c r="BG14" s="110"/>
      <c r="BH14" s="110"/>
      <c r="BI14" s="109"/>
    </row>
    <row r="15" spans="1:62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0" t="s">
        <v>35</v>
      </c>
      <c r="F15" s="101" t="s">
        <v>37</v>
      </c>
      <c r="G15" s="101" t="s">
        <v>38</v>
      </c>
      <c r="H15" s="101">
        <v>15</v>
      </c>
      <c r="I15" s="101">
        <v>325.036</v>
      </c>
      <c r="J15" s="160" t="s">
        <v>147</v>
      </c>
      <c r="K15" s="101">
        <f>5063.04+[7]TOTAL!$L$15</f>
        <v>6188.04</v>
      </c>
      <c r="L15" s="101" t="s">
        <v>37</v>
      </c>
      <c r="M15" s="102">
        <v>1311</v>
      </c>
      <c r="N15" s="115">
        <v>100.935</v>
      </c>
      <c r="O15" s="101" t="s">
        <v>37</v>
      </c>
      <c r="P15" s="102">
        <v>1713</v>
      </c>
      <c r="Q15" s="116">
        <v>207.91</v>
      </c>
      <c r="R15" s="115">
        <v>371.02</v>
      </c>
      <c r="S15" s="103">
        <f>151.8912+[7]TOTAL!$W$15</f>
        <v>185.6412</v>
      </c>
      <c r="T15" s="101" t="s">
        <v>37</v>
      </c>
      <c r="U15" s="102">
        <v>1712</v>
      </c>
      <c r="V15" s="104">
        <f t="shared" si="5"/>
        <v>556.66120000000001</v>
      </c>
      <c r="W15" s="101" t="s">
        <v>37</v>
      </c>
      <c r="X15" s="102">
        <v>1322</v>
      </c>
      <c r="Y15" s="104">
        <v>8438.4</v>
      </c>
      <c r="Z15" s="104">
        <f t="shared" si="2"/>
        <v>15491.9462</v>
      </c>
      <c r="AA15" s="101" t="s">
        <v>39</v>
      </c>
      <c r="AB15" s="102">
        <v>1431</v>
      </c>
      <c r="AC15" s="104">
        <f>480.9888+[7]TOTAL!$AD$15</f>
        <v>587.86380000000008</v>
      </c>
      <c r="AD15" s="101" t="s">
        <v>39</v>
      </c>
      <c r="AE15" s="105" t="s">
        <v>40</v>
      </c>
      <c r="AF15" s="115">
        <v>0</v>
      </c>
      <c r="AG15" s="101" t="s">
        <v>39</v>
      </c>
      <c r="AH15" s="105" t="s">
        <v>41</v>
      </c>
      <c r="AI15" s="103">
        <f>711.94+[7]TOTAL!$AJ$15+'[8]AGUINALDO ABRIL'!$M$16</f>
        <v>2146.3279200000002</v>
      </c>
      <c r="AJ15" s="101" t="s">
        <v>39</v>
      </c>
      <c r="AK15" s="105" t="s">
        <v>42</v>
      </c>
      <c r="AL15" s="103">
        <f>50.6304+[7]TOTAL!$AM$15</f>
        <v>61.880400000000002</v>
      </c>
      <c r="AM15" s="101" t="s">
        <v>39</v>
      </c>
      <c r="AN15" s="105" t="s">
        <v>43</v>
      </c>
      <c r="AO15" s="115">
        <v>0</v>
      </c>
      <c r="AP15" s="101" t="s">
        <v>39</v>
      </c>
      <c r="AQ15" s="105">
        <v>3921</v>
      </c>
      <c r="AR15" s="103">
        <f>-'[8]AGUINALDO ABRIL'!$N$16</f>
        <v>-1371.2479200000002</v>
      </c>
      <c r="AS15" s="104">
        <f t="shared" si="3"/>
        <v>1424.8242</v>
      </c>
      <c r="AT15" s="106">
        <f t="shared" si="4"/>
        <v>14067.121999999999</v>
      </c>
      <c r="AU15" s="117"/>
      <c r="AV15" s="108"/>
      <c r="AW15" s="109">
        <f t="shared" si="6"/>
        <v>15</v>
      </c>
      <c r="AX15" s="109">
        <f t="shared" si="7"/>
        <v>15491.9462</v>
      </c>
      <c r="AY15" s="110">
        <f t="shared" si="8"/>
        <v>15491.946199999998</v>
      </c>
      <c r="AZ15" s="110">
        <f>IFERROR(+LOOKUP(AY15,[9]TARIFAS!$A$4:$B$14,[9]TARIFAS!$A$4:$A$14),0)</f>
        <v>10248.459999999999</v>
      </c>
      <c r="BA15" s="110">
        <f t="shared" si="9"/>
        <v>5243.4861999999994</v>
      </c>
      <c r="BB15" s="110">
        <f>IFERROR(+LOOKUP(AY15,[9]TARIFAS!$A$4:$B$14,[9]TARIFAS!$D$4:$D$14),0)</f>
        <v>23.52</v>
      </c>
      <c r="BC15" s="110">
        <f t="shared" si="10"/>
        <v>1233.2679542399999</v>
      </c>
      <c r="BD15" s="110">
        <f>IFERROR(+LOOKUP(AY15,[9]TARIFAS!$A$4:$B$14,[9]TARIFAS!$C$4:$C$14),0)</f>
        <v>1641.75</v>
      </c>
      <c r="BE15" s="110">
        <f t="shared" si="11"/>
        <v>2875.02</v>
      </c>
      <c r="BF15" s="110"/>
      <c r="BG15" s="110"/>
      <c r="BH15" s="110"/>
      <c r="BI15" s="109"/>
    </row>
    <row r="16" spans="1:62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0" t="s">
        <v>35</v>
      </c>
      <c r="F16" s="101" t="s">
        <v>37</v>
      </c>
      <c r="G16" s="101" t="s">
        <v>38</v>
      </c>
      <c r="H16" s="101">
        <v>15</v>
      </c>
      <c r="I16" s="101">
        <v>421.49</v>
      </c>
      <c r="J16" s="160" t="s">
        <v>147</v>
      </c>
      <c r="K16" s="101">
        <f>6572.35+[7]TOTAL!$L$16</f>
        <v>8072.35</v>
      </c>
      <c r="L16" s="101" t="s">
        <v>37</v>
      </c>
      <c r="M16" s="102">
        <v>1311</v>
      </c>
      <c r="N16" s="103">
        <v>100.935</v>
      </c>
      <c r="O16" s="101" t="s">
        <v>37</v>
      </c>
      <c r="P16" s="102">
        <v>1713</v>
      </c>
      <c r="Q16" s="101">
        <v>351.5</v>
      </c>
      <c r="R16" s="103">
        <v>406.32</v>
      </c>
      <c r="S16" s="103">
        <f>197.1705+[7]TOTAL!$T$16</f>
        <v>242.1705</v>
      </c>
      <c r="T16" s="101" t="s">
        <v>37</v>
      </c>
      <c r="U16" s="102">
        <v>1712</v>
      </c>
      <c r="V16" s="104">
        <f t="shared" si="5"/>
        <v>648.4905</v>
      </c>
      <c r="W16" s="101" t="s">
        <v>37</v>
      </c>
      <c r="X16" s="102">
        <v>1322</v>
      </c>
      <c r="Y16" s="104">
        <v>10953.916666666668</v>
      </c>
      <c r="Z16" s="104">
        <f t="shared" si="2"/>
        <v>20127.192166666668</v>
      </c>
      <c r="AA16" s="101" t="s">
        <v>39</v>
      </c>
      <c r="AB16" s="102">
        <v>1431</v>
      </c>
      <c r="AC16" s="104">
        <f>624.37325+[7]TOTAL!$AD$16</f>
        <v>766.87324999999998</v>
      </c>
      <c r="AD16" s="101" t="s">
        <v>39</v>
      </c>
      <c r="AE16" s="105" t="s">
        <v>40</v>
      </c>
      <c r="AF16" s="103">
        <v>411</v>
      </c>
      <c r="AG16" s="101" t="s">
        <v>39</v>
      </c>
      <c r="AH16" s="105" t="s">
        <v>41</v>
      </c>
      <c r="AI16" s="103">
        <f>1082.21+[7]TOTAL!$AJ$16+'[8]AGUINALDO ABRIL'!$M$17</f>
        <v>3152.5395976000009</v>
      </c>
      <c r="AJ16" s="101" t="s">
        <v>39</v>
      </c>
      <c r="AK16" s="105" t="s">
        <v>42</v>
      </c>
      <c r="AL16" s="103">
        <f>65.7235+[7]TOTAL!$AM$16</f>
        <v>80.723500000000001</v>
      </c>
      <c r="AM16" s="101" t="s">
        <v>39</v>
      </c>
      <c r="AN16" s="105" t="s">
        <v>43</v>
      </c>
      <c r="AO16" s="103">
        <v>0</v>
      </c>
      <c r="AP16" s="101" t="s">
        <v>39</v>
      </c>
      <c r="AQ16" s="105">
        <v>3921</v>
      </c>
      <c r="AR16" s="103">
        <f>-'[8]AGUINALDO ABRIL'!$N$17</f>
        <v>-1982.4695976000012</v>
      </c>
      <c r="AS16" s="104">
        <f t="shared" si="3"/>
        <v>2428.6667499999994</v>
      </c>
      <c r="AT16" s="106">
        <f t="shared" si="4"/>
        <v>17698.525416666667</v>
      </c>
      <c r="AU16" s="113"/>
      <c r="AV16" s="108"/>
      <c r="AW16" s="109">
        <f t="shared" si="6"/>
        <v>15</v>
      </c>
      <c r="AX16" s="109">
        <f t="shared" si="7"/>
        <v>20127.192166666668</v>
      </c>
      <c r="AY16" s="110">
        <f t="shared" si="8"/>
        <v>20127.192166666668</v>
      </c>
      <c r="AZ16" s="110">
        <f>IFERROR(+LOOKUP(AY16,[9]TARIFAS!$A$4:$B$14,[9]TARIFAS!$A$4:$A$14),0)</f>
        <v>16153.06</v>
      </c>
      <c r="BA16" s="110">
        <f t="shared" si="9"/>
        <v>3974.1321666666681</v>
      </c>
      <c r="BB16" s="110">
        <f>IFERROR(+LOOKUP(AY16,[9]TARIFAS!$A$4:$B$14,[9]TARIFAS!$D$4:$D$14),0)</f>
        <v>30</v>
      </c>
      <c r="BC16" s="110">
        <f t="shared" si="10"/>
        <v>1192.2396500000004</v>
      </c>
      <c r="BD16" s="110">
        <f>IFERROR(+LOOKUP(AY16,[9]TARIFAS!$A$4:$B$14,[9]TARIFAS!$C$4:$C$14),0)</f>
        <v>3030.6</v>
      </c>
      <c r="BE16" s="110">
        <f t="shared" si="11"/>
        <v>4222.84</v>
      </c>
      <c r="BF16" s="110"/>
      <c r="BG16" s="110"/>
      <c r="BH16" s="110"/>
      <c r="BI16" s="109"/>
    </row>
    <row r="17" spans="1:62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0" t="s">
        <v>35</v>
      </c>
      <c r="F17" s="101" t="s">
        <v>37</v>
      </c>
      <c r="G17" s="101" t="s">
        <v>38</v>
      </c>
      <c r="H17" s="101">
        <v>15</v>
      </c>
      <c r="I17" s="101">
        <v>421.49</v>
      </c>
      <c r="J17" s="160" t="s">
        <v>149</v>
      </c>
      <c r="K17" s="101">
        <f>6572.35+[7]TOTAL!$L$17</f>
        <v>8072.35</v>
      </c>
      <c r="L17" s="101" t="s">
        <v>37</v>
      </c>
      <c r="M17" s="102">
        <v>1311</v>
      </c>
      <c r="N17" s="103">
        <v>100.935</v>
      </c>
      <c r="O17" s="101" t="s">
        <v>37</v>
      </c>
      <c r="P17" s="102">
        <v>1713</v>
      </c>
      <c r="Q17" s="101">
        <v>351.5</v>
      </c>
      <c r="R17" s="103">
        <v>406.32</v>
      </c>
      <c r="S17" s="103">
        <f>197.1705+[7]TOTAL!$T$17</f>
        <v>242.1705</v>
      </c>
      <c r="T17" s="101" t="s">
        <v>37</v>
      </c>
      <c r="U17" s="102">
        <v>1712</v>
      </c>
      <c r="V17" s="104">
        <f t="shared" si="5"/>
        <v>648.4905</v>
      </c>
      <c r="W17" s="101" t="s">
        <v>37</v>
      </c>
      <c r="X17" s="102">
        <v>1322</v>
      </c>
      <c r="Y17" s="104">
        <v>10953.916666666668</v>
      </c>
      <c r="Z17" s="104">
        <f t="shared" si="2"/>
        <v>20127.192166666668</v>
      </c>
      <c r="AA17" s="101" t="s">
        <v>39</v>
      </c>
      <c r="AB17" s="102">
        <v>1431</v>
      </c>
      <c r="AC17" s="104">
        <f>624.37325+[7]TOTAL!$AD$17</f>
        <v>766.87324999999998</v>
      </c>
      <c r="AD17" s="101" t="s">
        <v>39</v>
      </c>
      <c r="AE17" s="105" t="s">
        <v>40</v>
      </c>
      <c r="AF17" s="103">
        <v>0</v>
      </c>
      <c r="AG17" s="101" t="s">
        <v>39</v>
      </c>
      <c r="AH17" s="105" t="s">
        <v>41</v>
      </c>
      <c r="AI17" s="103">
        <f>1082.21+[7]TOTAL!$AJ$17+'[8]AGUINALDO ABRIL'!$M$18</f>
        <v>3152.5395976000009</v>
      </c>
      <c r="AJ17" s="101" t="s">
        <v>39</v>
      </c>
      <c r="AK17" s="105" t="s">
        <v>42</v>
      </c>
      <c r="AL17" s="103">
        <f>65.7235+[7]TOTAL!$AM$17</f>
        <v>80.723500000000001</v>
      </c>
      <c r="AM17" s="101" t="s">
        <v>39</v>
      </c>
      <c r="AN17" s="105" t="s">
        <v>43</v>
      </c>
      <c r="AO17" s="103">
        <v>0</v>
      </c>
      <c r="AP17" s="101" t="s">
        <v>39</v>
      </c>
      <c r="AQ17" s="105">
        <v>3921</v>
      </c>
      <c r="AR17" s="103">
        <f>-'[8]AGUINALDO ABRIL'!$N$18</f>
        <v>-1982.4695976000012</v>
      </c>
      <c r="AS17" s="104">
        <f t="shared" si="3"/>
        <v>2017.6667499999999</v>
      </c>
      <c r="AT17" s="106">
        <f t="shared" si="4"/>
        <v>18109.525416666667</v>
      </c>
      <c r="AU17" s="113"/>
      <c r="AV17" s="108"/>
      <c r="AW17" s="109">
        <f t="shared" si="6"/>
        <v>15</v>
      </c>
      <c r="AX17" s="109">
        <f t="shared" si="7"/>
        <v>20127.192166666668</v>
      </c>
      <c r="AY17" s="110">
        <f t="shared" si="8"/>
        <v>20127.192166666668</v>
      </c>
      <c r="AZ17" s="110">
        <f>IFERROR(+LOOKUP(AY17,[9]TARIFAS!$A$4:$B$14,[9]TARIFAS!$A$4:$A$14),0)</f>
        <v>16153.06</v>
      </c>
      <c r="BA17" s="110">
        <f t="shared" si="9"/>
        <v>3974.1321666666681</v>
      </c>
      <c r="BB17" s="110">
        <f>IFERROR(+LOOKUP(AY17,[9]TARIFAS!$A$4:$B$14,[9]TARIFAS!$D$4:$D$14),0)</f>
        <v>30</v>
      </c>
      <c r="BC17" s="110">
        <f t="shared" si="10"/>
        <v>1192.2396500000004</v>
      </c>
      <c r="BD17" s="110">
        <f>IFERROR(+LOOKUP(AY17,[9]TARIFAS!$A$4:$B$14,[9]TARIFAS!$C$4:$C$14),0)</f>
        <v>3030.6</v>
      </c>
      <c r="BE17" s="110">
        <f t="shared" si="11"/>
        <v>4222.84</v>
      </c>
      <c r="BF17" s="110"/>
      <c r="BG17" s="110"/>
      <c r="BH17" s="110"/>
      <c r="BI17" s="109"/>
    </row>
    <row r="18" spans="1:62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0" t="s">
        <v>50</v>
      </c>
      <c r="F18" s="101" t="s">
        <v>37</v>
      </c>
      <c r="G18" s="101" t="s">
        <v>38</v>
      </c>
      <c r="H18" s="101">
        <v>15</v>
      </c>
      <c r="I18" s="101">
        <v>504.21533333333332</v>
      </c>
      <c r="J18" s="160" t="s">
        <v>150</v>
      </c>
      <c r="K18" s="101">
        <v>7713.23</v>
      </c>
      <c r="L18" s="101" t="s">
        <v>37</v>
      </c>
      <c r="M18" s="102">
        <v>1311</v>
      </c>
      <c r="N18" s="103">
        <v>100.935</v>
      </c>
      <c r="O18" s="101" t="s">
        <v>37</v>
      </c>
      <c r="P18" s="102">
        <v>1713</v>
      </c>
      <c r="Q18" s="103">
        <v>282.08999999999997</v>
      </c>
      <c r="R18" s="103">
        <v>418.44</v>
      </c>
      <c r="S18" s="103">
        <v>231.39689999999999</v>
      </c>
      <c r="T18" s="101" t="s">
        <v>37</v>
      </c>
      <c r="U18" s="102">
        <v>1712</v>
      </c>
      <c r="V18" s="104">
        <f t="shared" si="5"/>
        <v>649.83690000000001</v>
      </c>
      <c r="W18" s="101" t="s">
        <v>37</v>
      </c>
      <c r="X18" s="102">
        <v>1322</v>
      </c>
      <c r="Y18" s="104">
        <v>12855.383333333333</v>
      </c>
      <c r="Z18" s="104">
        <f t="shared" si="2"/>
        <v>21601.475233333331</v>
      </c>
      <c r="AA18" s="101" t="s">
        <v>39</v>
      </c>
      <c r="AB18" s="102">
        <v>1431</v>
      </c>
      <c r="AC18" s="104">
        <v>732.75684999999999</v>
      </c>
      <c r="AD18" s="101" t="s">
        <v>39</v>
      </c>
      <c r="AE18" s="105" t="s">
        <v>40</v>
      </c>
      <c r="AF18" s="104">
        <v>4351.6799999999994</v>
      </c>
      <c r="AG18" s="101" t="s">
        <v>39</v>
      </c>
      <c r="AH18" s="105" t="s">
        <v>41</v>
      </c>
      <c r="AI18" s="103">
        <f>1320.98+'[8]AGUINALDO ABRIL'!$M$19</f>
        <v>3798.9642260799997</v>
      </c>
      <c r="AJ18" s="101" t="s">
        <v>39</v>
      </c>
      <c r="AK18" s="105" t="s">
        <v>42</v>
      </c>
      <c r="AL18" s="103">
        <v>77.132300000000001</v>
      </c>
      <c r="AM18" s="101" t="s">
        <v>39</v>
      </c>
      <c r="AN18" s="105" t="s">
        <v>43</v>
      </c>
      <c r="AO18" s="103">
        <v>0</v>
      </c>
      <c r="AP18" s="101" t="s">
        <v>39</v>
      </c>
      <c r="AQ18" s="105">
        <v>3921</v>
      </c>
      <c r="AR18" s="103">
        <f>-'[8]AGUINALDO ABRIL'!$N$19</f>
        <v>-2477.9842260799996</v>
      </c>
      <c r="AS18" s="104">
        <f t="shared" si="3"/>
        <v>6482.5491499999989</v>
      </c>
      <c r="AT18" s="106">
        <f t="shared" si="4"/>
        <v>15118.926083333332</v>
      </c>
      <c r="AU18" s="113"/>
      <c r="AV18" s="108"/>
      <c r="AW18" s="109">
        <f t="shared" si="6"/>
        <v>15</v>
      </c>
      <c r="AX18" s="109">
        <f t="shared" si="7"/>
        <v>21601.475233333331</v>
      </c>
      <c r="AY18" s="110">
        <f t="shared" si="8"/>
        <v>21601.475233333331</v>
      </c>
      <c r="AZ18" s="110">
        <f>IFERROR(+LOOKUP(AY18,[9]TARIFAS!$A$4:$B$14,[9]TARIFAS!$A$4:$A$14),0)</f>
        <v>16153.06</v>
      </c>
      <c r="BA18" s="110">
        <f t="shared" si="9"/>
        <v>5448.4152333333313</v>
      </c>
      <c r="BB18" s="110">
        <f>IFERROR(+LOOKUP(AY18,[9]TARIFAS!$A$4:$B$14,[9]TARIFAS!$D$4:$D$14),0)</f>
        <v>30</v>
      </c>
      <c r="BC18" s="110">
        <f t="shared" si="10"/>
        <v>1634.5245699999994</v>
      </c>
      <c r="BD18" s="110">
        <f>IFERROR(+LOOKUP(AY18,[9]TARIFAS!$A$4:$B$14,[9]TARIFAS!$C$4:$C$14),0)</f>
        <v>3030.6</v>
      </c>
      <c r="BE18" s="110">
        <f t="shared" si="11"/>
        <v>4665.12</v>
      </c>
      <c r="BF18" s="110"/>
      <c r="BG18" s="110"/>
      <c r="BH18" s="110"/>
      <c r="BI18" s="109"/>
    </row>
    <row r="19" spans="1:62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0" t="s">
        <v>35</v>
      </c>
      <c r="F19" s="101" t="s">
        <v>37</v>
      </c>
      <c r="G19" s="101" t="s">
        <v>38</v>
      </c>
      <c r="H19" s="101">
        <v>15</v>
      </c>
      <c r="I19" s="101">
        <v>421.49</v>
      </c>
      <c r="J19" s="160" t="s">
        <v>146</v>
      </c>
      <c r="K19" s="101">
        <f>6572.35+[7]TOTAL!$L$19</f>
        <v>8072.35</v>
      </c>
      <c r="L19" s="101" t="s">
        <v>37</v>
      </c>
      <c r="M19" s="102">
        <v>1311</v>
      </c>
      <c r="N19" s="103">
        <v>67.290000000000006</v>
      </c>
      <c r="O19" s="101" t="s">
        <v>37</v>
      </c>
      <c r="P19" s="102">
        <v>1713</v>
      </c>
      <c r="Q19" s="103">
        <v>351.5</v>
      </c>
      <c r="R19" s="103">
        <v>406.32</v>
      </c>
      <c r="S19" s="103">
        <f>197.1705+[7]TOTAL!$T$19</f>
        <v>242.1705</v>
      </c>
      <c r="T19" s="101" t="s">
        <v>37</v>
      </c>
      <c r="U19" s="102">
        <v>1712</v>
      </c>
      <c r="V19" s="104">
        <f t="shared" si="5"/>
        <v>648.4905</v>
      </c>
      <c r="W19" s="101" t="s">
        <v>37</v>
      </c>
      <c r="X19" s="102">
        <v>1322</v>
      </c>
      <c r="Y19" s="104">
        <v>10953.916666666668</v>
      </c>
      <c r="Z19" s="104">
        <f t="shared" si="2"/>
        <v>20093.547166666667</v>
      </c>
      <c r="AA19" s="101" t="s">
        <v>39</v>
      </c>
      <c r="AB19" s="102">
        <v>1431</v>
      </c>
      <c r="AC19" s="104">
        <f>624.37325+[7]TOTAL!$AD$19</f>
        <v>766.87324999999998</v>
      </c>
      <c r="AD19" s="101" t="s">
        <v>39</v>
      </c>
      <c r="AE19" s="105" t="s">
        <v>40</v>
      </c>
      <c r="AF19" s="103">
        <v>402</v>
      </c>
      <c r="AG19" s="101" t="s">
        <v>39</v>
      </c>
      <c r="AH19" s="105" t="s">
        <v>41</v>
      </c>
      <c r="AI19" s="103">
        <f>1075.02+[7]TOTAL!$AJ$19+'[8]AGUINALDO ABRIL'!$M$20</f>
        <v>3143.8961336000011</v>
      </c>
      <c r="AJ19" s="101" t="s">
        <v>39</v>
      </c>
      <c r="AK19" s="105" t="s">
        <v>42</v>
      </c>
      <c r="AL19" s="103">
        <f>65.7235+[7]TOTAL!$AM$19</f>
        <v>80.723500000000001</v>
      </c>
      <c r="AM19" s="101" t="s">
        <v>39</v>
      </c>
      <c r="AN19" s="105" t="s">
        <v>43</v>
      </c>
      <c r="AO19" s="103">
        <v>0</v>
      </c>
      <c r="AP19" s="101" t="s">
        <v>39</v>
      </c>
      <c r="AQ19" s="105">
        <v>3921</v>
      </c>
      <c r="AR19" s="103">
        <f>-'[8]AGUINALDO ABRIL'!$N$20</f>
        <v>-1981.0161336000015</v>
      </c>
      <c r="AS19" s="104">
        <f t="shared" si="3"/>
        <v>2412.4767500000003</v>
      </c>
      <c r="AT19" s="106">
        <f t="shared" si="4"/>
        <v>17681.070416666666</v>
      </c>
      <c r="AU19" s="113"/>
      <c r="AV19" s="108"/>
      <c r="AW19" s="109">
        <f t="shared" si="6"/>
        <v>15</v>
      </c>
      <c r="AX19" s="109">
        <f t="shared" si="7"/>
        <v>20093.547166666671</v>
      </c>
      <c r="AY19" s="110">
        <f t="shared" si="8"/>
        <v>20093.547166666671</v>
      </c>
      <c r="AZ19" s="110">
        <f>IFERROR(+LOOKUP(AY19,[9]TARIFAS!$A$4:$B$14,[9]TARIFAS!$A$4:$A$14),0)</f>
        <v>16153.06</v>
      </c>
      <c r="BA19" s="110">
        <f t="shared" si="9"/>
        <v>3940.4871666666713</v>
      </c>
      <c r="BB19" s="110">
        <f>IFERROR(+LOOKUP(AY19,[9]TARIFAS!$A$4:$B$14,[9]TARIFAS!$D$4:$D$14),0)</f>
        <v>30</v>
      </c>
      <c r="BC19" s="110">
        <f t="shared" si="10"/>
        <v>1182.1461500000014</v>
      </c>
      <c r="BD19" s="110">
        <f>IFERROR(+LOOKUP(AY19,[9]TARIFAS!$A$4:$B$14,[9]TARIFAS!$C$4:$C$14),0)</f>
        <v>3030.6</v>
      </c>
      <c r="BE19" s="110">
        <f t="shared" si="11"/>
        <v>4212.75</v>
      </c>
      <c r="BF19" s="110"/>
      <c r="BG19" s="110"/>
      <c r="BH19" s="110"/>
      <c r="BI19" s="109"/>
    </row>
    <row r="20" spans="1:62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0" t="s">
        <v>35</v>
      </c>
      <c r="F20" s="101" t="s">
        <v>37</v>
      </c>
      <c r="G20" s="101" t="s">
        <v>38</v>
      </c>
      <c r="H20" s="101">
        <v>15</v>
      </c>
      <c r="I20" s="101">
        <v>353.488</v>
      </c>
      <c r="J20" s="160" t="s">
        <v>150</v>
      </c>
      <c r="K20" s="101">
        <v>5414.82</v>
      </c>
      <c r="L20" s="101" t="s">
        <v>37</v>
      </c>
      <c r="M20" s="102">
        <v>1311</v>
      </c>
      <c r="N20" s="103">
        <v>67.290000000000006</v>
      </c>
      <c r="O20" s="101" t="s">
        <v>37</v>
      </c>
      <c r="P20" s="102">
        <v>1713</v>
      </c>
      <c r="Q20" s="103">
        <v>211.44</v>
      </c>
      <c r="R20" s="103">
        <v>378.6</v>
      </c>
      <c r="S20" s="103">
        <v>162.44459999999998</v>
      </c>
      <c r="T20" s="101" t="s">
        <v>37</v>
      </c>
      <c r="U20" s="102">
        <v>1712</v>
      </c>
      <c r="V20" s="104">
        <f t="shared" si="5"/>
        <v>541.04459999999995</v>
      </c>
      <c r="W20" s="101" t="s">
        <v>37</v>
      </c>
      <c r="X20" s="102">
        <v>1322</v>
      </c>
      <c r="Y20" s="104">
        <v>9024.7000000000007</v>
      </c>
      <c r="Z20" s="104">
        <f t="shared" si="2"/>
        <v>15259.294600000001</v>
      </c>
      <c r="AA20" s="101" t="s">
        <v>39</v>
      </c>
      <c r="AB20" s="102">
        <v>1431</v>
      </c>
      <c r="AC20" s="104">
        <v>514.40789999999993</v>
      </c>
      <c r="AD20" s="101" t="s">
        <v>39</v>
      </c>
      <c r="AE20" s="105" t="s">
        <v>40</v>
      </c>
      <c r="AF20" s="103">
        <v>0</v>
      </c>
      <c r="AG20" s="101" t="s">
        <v>39</v>
      </c>
      <c r="AH20" s="105" t="s">
        <v>41</v>
      </c>
      <c r="AI20" s="103">
        <f>784.52+'[8]AGUINALDO ABRIL'!$M$21</f>
        <v>2281.0015999999996</v>
      </c>
      <c r="AJ20" s="101" t="s">
        <v>39</v>
      </c>
      <c r="AK20" s="105" t="s">
        <v>42</v>
      </c>
      <c r="AL20" s="103">
        <v>54.148199999999996</v>
      </c>
      <c r="AM20" s="101" t="s">
        <v>39</v>
      </c>
      <c r="AN20" s="105" t="s">
        <v>43</v>
      </c>
      <c r="AO20" s="103">
        <v>0</v>
      </c>
      <c r="AP20" s="101" t="s">
        <v>39</v>
      </c>
      <c r="AQ20" s="105">
        <v>3921</v>
      </c>
      <c r="AR20" s="103">
        <f>-'[8]AGUINALDO ABRIL'!$N$21</f>
        <v>-1496.4815999999998</v>
      </c>
      <c r="AS20" s="104">
        <f t="shared" si="3"/>
        <v>1353.0761</v>
      </c>
      <c r="AT20" s="106">
        <f t="shared" si="4"/>
        <v>13906.218500000001</v>
      </c>
      <c r="AU20" s="113"/>
      <c r="AV20" s="108"/>
      <c r="AW20" s="109">
        <f t="shared" si="6"/>
        <v>15</v>
      </c>
      <c r="AX20" s="109">
        <f t="shared" si="7"/>
        <v>15259.294600000001</v>
      </c>
      <c r="AY20" s="110">
        <f t="shared" si="8"/>
        <v>15259.294600000001</v>
      </c>
      <c r="AZ20" s="110">
        <f>IFERROR(+LOOKUP(AY20,[9]TARIFAS!$A$4:$B$14,[9]TARIFAS!$A$4:$A$14),0)</f>
        <v>10248.459999999999</v>
      </c>
      <c r="BA20" s="110">
        <f t="shared" si="9"/>
        <v>5010.834600000002</v>
      </c>
      <c r="BB20" s="110">
        <f>IFERROR(+LOOKUP(AY20,[9]TARIFAS!$A$4:$B$14,[9]TARIFAS!$D$4:$D$14),0)</f>
        <v>23.52</v>
      </c>
      <c r="BC20" s="110">
        <f t="shared" si="10"/>
        <v>1178.5482979200006</v>
      </c>
      <c r="BD20" s="110">
        <f>IFERROR(+LOOKUP(AY20,[9]TARIFAS!$A$4:$B$14,[9]TARIFAS!$C$4:$C$14),0)</f>
        <v>1641.75</v>
      </c>
      <c r="BE20" s="110">
        <f t="shared" si="11"/>
        <v>2820.3</v>
      </c>
      <c r="BF20" s="110"/>
      <c r="BG20" s="110"/>
      <c r="BH20" s="110"/>
      <c r="BI20" s="109"/>
    </row>
    <row r="21" spans="1:62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0" t="s">
        <v>35</v>
      </c>
      <c r="F21" s="101" t="s">
        <v>37</v>
      </c>
      <c r="G21" s="101" t="s">
        <v>38</v>
      </c>
      <c r="H21" s="101">
        <v>15</v>
      </c>
      <c r="I21" s="101">
        <v>421.49</v>
      </c>
      <c r="J21" s="160" t="s">
        <v>149</v>
      </c>
      <c r="K21" s="101">
        <f>6572.35+[7]TOTAL!$L$21</f>
        <v>8072.35</v>
      </c>
      <c r="L21" s="101" t="s">
        <v>37</v>
      </c>
      <c r="M21" s="102">
        <v>1311</v>
      </c>
      <c r="N21" s="115">
        <v>100.935</v>
      </c>
      <c r="O21" s="101" t="s">
        <v>37</v>
      </c>
      <c r="P21" s="102">
        <v>1713</v>
      </c>
      <c r="Q21" s="115">
        <v>351.5</v>
      </c>
      <c r="R21" s="115">
        <v>406.32</v>
      </c>
      <c r="S21" s="103">
        <f>197.1705+[7]TOTAL!$T$21</f>
        <v>242.1705</v>
      </c>
      <c r="T21" s="101" t="s">
        <v>37</v>
      </c>
      <c r="U21" s="102">
        <v>1712</v>
      </c>
      <c r="V21" s="104">
        <f t="shared" si="5"/>
        <v>648.4905</v>
      </c>
      <c r="W21" s="101" t="s">
        <v>37</v>
      </c>
      <c r="X21" s="102">
        <v>1322</v>
      </c>
      <c r="Y21" s="104">
        <v>10953.916666666668</v>
      </c>
      <c r="Z21" s="104">
        <f t="shared" si="2"/>
        <v>20127.192166666668</v>
      </c>
      <c r="AA21" s="101" t="s">
        <v>39</v>
      </c>
      <c r="AB21" s="102">
        <v>1431</v>
      </c>
      <c r="AC21" s="104">
        <f>624.37325+[7]TOTAL!$AD$21</f>
        <v>766.87324999999998</v>
      </c>
      <c r="AD21" s="101" t="s">
        <v>39</v>
      </c>
      <c r="AE21" s="105" t="s">
        <v>40</v>
      </c>
      <c r="AF21" s="115">
        <v>1405</v>
      </c>
      <c r="AG21" s="101" t="s">
        <v>39</v>
      </c>
      <c r="AH21" s="105" t="s">
        <v>41</v>
      </c>
      <c r="AI21" s="103">
        <f>1082.21+[7]TOTAL!$AJ$21+'[8]AGUINALDO ABRIL'!$M$22</f>
        <v>3152.5395976000009</v>
      </c>
      <c r="AJ21" s="101" t="s">
        <v>39</v>
      </c>
      <c r="AK21" s="105" t="s">
        <v>42</v>
      </c>
      <c r="AL21" s="103">
        <v>0</v>
      </c>
      <c r="AM21" s="101" t="s">
        <v>39</v>
      </c>
      <c r="AN21" s="105" t="s">
        <v>43</v>
      </c>
      <c r="AO21" s="115">
        <v>0</v>
      </c>
      <c r="AP21" s="101" t="s">
        <v>39</v>
      </c>
      <c r="AQ21" s="105">
        <v>3921</v>
      </c>
      <c r="AR21" s="103">
        <f>-'[8]AGUINALDO ABRIL'!$N$22</f>
        <v>-1982.4695976000012</v>
      </c>
      <c r="AS21" s="104">
        <f t="shared" si="3"/>
        <v>3341.9432499999994</v>
      </c>
      <c r="AT21" s="106">
        <f t="shared" si="4"/>
        <v>16785.248916666667</v>
      </c>
      <c r="AU21" s="113"/>
      <c r="AV21" s="108"/>
      <c r="AW21" s="109">
        <f t="shared" si="6"/>
        <v>15</v>
      </c>
      <c r="AX21" s="109">
        <f t="shared" si="7"/>
        <v>20127.192166666668</v>
      </c>
      <c r="AY21" s="110">
        <f t="shared" si="8"/>
        <v>20127.192166666668</v>
      </c>
      <c r="AZ21" s="110">
        <f>IFERROR(+LOOKUP(AY21,[9]TARIFAS!$A$4:$B$14,[9]TARIFAS!$A$4:$A$14),0)</f>
        <v>16153.06</v>
      </c>
      <c r="BA21" s="110">
        <f t="shared" si="9"/>
        <v>3974.1321666666681</v>
      </c>
      <c r="BB21" s="110">
        <f>IFERROR(+LOOKUP(AY21,[9]TARIFAS!$A$4:$B$14,[9]TARIFAS!$D$4:$D$14),0)</f>
        <v>30</v>
      </c>
      <c r="BC21" s="110">
        <f t="shared" si="10"/>
        <v>1192.2396500000004</v>
      </c>
      <c r="BD21" s="110">
        <f>IFERROR(+LOOKUP(AY21,[9]TARIFAS!$A$4:$B$14,[9]TARIFAS!$C$4:$C$14),0)</f>
        <v>3030.6</v>
      </c>
      <c r="BE21" s="110">
        <f t="shared" si="11"/>
        <v>4222.84</v>
      </c>
      <c r="BF21" s="110"/>
      <c r="BG21" s="110"/>
      <c r="BH21" s="110"/>
      <c r="BI21" s="109"/>
    </row>
    <row r="22" spans="1:62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0" t="s">
        <v>35</v>
      </c>
      <c r="F22" s="101" t="s">
        <v>37</v>
      </c>
      <c r="G22" s="101" t="s">
        <v>38</v>
      </c>
      <c r="H22" s="101">
        <v>15</v>
      </c>
      <c r="I22" s="101">
        <v>421.49</v>
      </c>
      <c r="J22" s="160" t="s">
        <v>151</v>
      </c>
      <c r="K22" s="101">
        <f>6572.35+[7]TOTAL!$L$22</f>
        <v>8072.35</v>
      </c>
      <c r="L22" s="101" t="s">
        <v>37</v>
      </c>
      <c r="M22" s="102">
        <v>1311</v>
      </c>
      <c r="N22" s="115">
        <v>67.290000000000006</v>
      </c>
      <c r="O22" s="101" t="s">
        <v>37</v>
      </c>
      <c r="P22" s="102">
        <v>1713</v>
      </c>
      <c r="Q22" s="115">
        <v>351.5</v>
      </c>
      <c r="R22" s="115">
        <v>406.32</v>
      </c>
      <c r="S22" s="103">
        <f>197.1705+[7]TOTAL!$T$22</f>
        <v>242.1705</v>
      </c>
      <c r="T22" s="101" t="s">
        <v>37</v>
      </c>
      <c r="U22" s="102">
        <v>1712</v>
      </c>
      <c r="V22" s="104">
        <f t="shared" si="5"/>
        <v>648.4905</v>
      </c>
      <c r="W22" s="101" t="s">
        <v>37</v>
      </c>
      <c r="X22" s="102">
        <v>1322</v>
      </c>
      <c r="Y22" s="104">
        <v>10953.916666666668</v>
      </c>
      <c r="Z22" s="104">
        <f t="shared" si="2"/>
        <v>20093.547166666667</v>
      </c>
      <c r="AA22" s="101" t="s">
        <v>39</v>
      </c>
      <c r="AB22" s="102">
        <v>1431</v>
      </c>
      <c r="AC22" s="104">
        <f>624.37325+[7]TOTAL!$AD$22</f>
        <v>766.87324999999998</v>
      </c>
      <c r="AD22" s="101" t="s">
        <v>39</v>
      </c>
      <c r="AE22" s="105" t="s">
        <v>40</v>
      </c>
      <c r="AF22" s="115">
        <v>2108</v>
      </c>
      <c r="AG22" s="101" t="s">
        <v>39</v>
      </c>
      <c r="AH22" s="105" t="s">
        <v>41</v>
      </c>
      <c r="AI22" s="103">
        <f>1075.02+[7]TOTAL!$AJ$22+'[8]AGUINALDO ABRIL'!$M$23</f>
        <v>3143.8961336000011</v>
      </c>
      <c r="AJ22" s="101" t="s">
        <v>39</v>
      </c>
      <c r="AK22" s="105" t="s">
        <v>42</v>
      </c>
      <c r="AL22" s="103">
        <f>65.7235+[7]TOTAL!$AM$22</f>
        <v>80.723500000000001</v>
      </c>
      <c r="AM22" s="101" t="s">
        <v>39</v>
      </c>
      <c r="AN22" s="105" t="s">
        <v>43</v>
      </c>
      <c r="AO22" s="115">
        <v>0</v>
      </c>
      <c r="AP22" s="101" t="s">
        <v>39</v>
      </c>
      <c r="AQ22" s="105">
        <v>3921</v>
      </c>
      <c r="AR22" s="103">
        <f>-'[8]AGUINALDO ABRIL'!$N$23</f>
        <v>-1981.0161336000015</v>
      </c>
      <c r="AS22" s="104">
        <f t="shared" si="3"/>
        <v>4118.4767499999998</v>
      </c>
      <c r="AT22" s="106">
        <f t="shared" si="4"/>
        <v>15975.070416666667</v>
      </c>
      <c r="AU22" s="113"/>
      <c r="AV22" s="108"/>
      <c r="AW22" s="109">
        <f t="shared" si="6"/>
        <v>15</v>
      </c>
      <c r="AX22" s="109">
        <f t="shared" si="7"/>
        <v>20093.547166666671</v>
      </c>
      <c r="AY22" s="110">
        <f t="shared" si="8"/>
        <v>20093.547166666671</v>
      </c>
      <c r="AZ22" s="110">
        <f>IFERROR(+LOOKUP(AY22,[9]TARIFAS!$A$4:$B$14,[9]TARIFAS!$A$4:$A$14),0)</f>
        <v>16153.06</v>
      </c>
      <c r="BA22" s="110">
        <f t="shared" si="9"/>
        <v>3940.4871666666713</v>
      </c>
      <c r="BB22" s="110">
        <f>IFERROR(+LOOKUP(AY22,[9]TARIFAS!$A$4:$B$14,[9]TARIFAS!$D$4:$D$14),0)</f>
        <v>30</v>
      </c>
      <c r="BC22" s="110">
        <f t="shared" si="10"/>
        <v>1182.1461500000014</v>
      </c>
      <c r="BD22" s="110">
        <f>IFERROR(+LOOKUP(AY22,[9]TARIFAS!$A$4:$B$14,[9]TARIFAS!$C$4:$C$14),0)</f>
        <v>3030.6</v>
      </c>
      <c r="BE22" s="110">
        <f t="shared" si="11"/>
        <v>4212.75</v>
      </c>
      <c r="BF22" s="110"/>
      <c r="BG22" s="110"/>
      <c r="BH22" s="110"/>
      <c r="BI22" s="109"/>
    </row>
    <row r="23" spans="1:62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0" t="s">
        <v>35</v>
      </c>
      <c r="F23" s="101" t="s">
        <v>37</v>
      </c>
      <c r="G23" s="101" t="s">
        <v>38</v>
      </c>
      <c r="H23" s="101">
        <v>15</v>
      </c>
      <c r="I23" s="101">
        <v>421.49</v>
      </c>
      <c r="J23" s="160" t="s">
        <v>149</v>
      </c>
      <c r="K23" s="101">
        <f>6572.35+[7]TOTAL!$L$23</f>
        <v>8072.35</v>
      </c>
      <c r="L23" s="101" t="s">
        <v>37</v>
      </c>
      <c r="M23" s="102">
        <v>1311</v>
      </c>
      <c r="N23" s="115">
        <v>0</v>
      </c>
      <c r="O23" s="101" t="s">
        <v>37</v>
      </c>
      <c r="P23" s="102">
        <v>1713</v>
      </c>
      <c r="Q23" s="115">
        <v>351.5</v>
      </c>
      <c r="R23" s="115">
        <v>406.32</v>
      </c>
      <c r="S23" s="103">
        <f>197.1705+[7]TOTAL!$T$23</f>
        <v>242.1705</v>
      </c>
      <c r="T23" s="101" t="s">
        <v>37</v>
      </c>
      <c r="U23" s="102">
        <v>1712</v>
      </c>
      <c r="V23" s="104">
        <f t="shared" si="5"/>
        <v>648.4905</v>
      </c>
      <c r="W23" s="101" t="s">
        <v>37</v>
      </c>
      <c r="X23" s="102">
        <v>1322</v>
      </c>
      <c r="Y23" s="104">
        <v>10953.916666666668</v>
      </c>
      <c r="Z23" s="104">
        <f t="shared" si="2"/>
        <v>20026.25716666667</v>
      </c>
      <c r="AA23" s="101" t="s">
        <v>39</v>
      </c>
      <c r="AB23" s="102">
        <v>1431</v>
      </c>
      <c r="AC23" s="104">
        <f>624.37325+[7]TOTAL!$AD$23</f>
        <v>766.87324999999998</v>
      </c>
      <c r="AD23" s="101" t="s">
        <v>39</v>
      </c>
      <c r="AE23" s="105" t="s">
        <v>40</v>
      </c>
      <c r="AF23" s="115">
        <v>0</v>
      </c>
      <c r="AG23" s="101" t="s">
        <v>39</v>
      </c>
      <c r="AH23" s="105" t="s">
        <v>41</v>
      </c>
      <c r="AI23" s="103">
        <f>1060.65+[7]TOTAL!$AJ$23+'[8]AGUINALDO ABRIL'!$M$24</f>
        <v>3126.6192056000009</v>
      </c>
      <c r="AJ23" s="101" t="s">
        <v>39</v>
      </c>
      <c r="AK23" s="105" t="s">
        <v>42</v>
      </c>
      <c r="AL23" s="103">
        <f>65.7235+[7]TOTAL!$AM$23</f>
        <v>80.723500000000001</v>
      </c>
      <c r="AM23" s="101" t="s">
        <v>39</v>
      </c>
      <c r="AN23" s="105" t="s">
        <v>43</v>
      </c>
      <c r="AO23" s="115">
        <v>0</v>
      </c>
      <c r="AP23" s="101" t="s">
        <v>39</v>
      </c>
      <c r="AQ23" s="105">
        <v>3921</v>
      </c>
      <c r="AR23" s="103">
        <f>-'[8]AGUINALDO ABRIL'!$N$24</f>
        <v>-1978.1092056000007</v>
      </c>
      <c r="AS23" s="104">
        <f t="shared" si="3"/>
        <v>1996.1067500000004</v>
      </c>
      <c r="AT23" s="106">
        <f t="shared" si="4"/>
        <v>18030.150416666671</v>
      </c>
      <c r="AU23" s="113"/>
      <c r="AV23" s="108"/>
      <c r="AW23" s="109">
        <f t="shared" si="6"/>
        <v>15</v>
      </c>
      <c r="AX23" s="109">
        <f t="shared" si="7"/>
        <v>20026.25716666667</v>
      </c>
      <c r="AY23" s="110">
        <f t="shared" si="8"/>
        <v>20026.25716666667</v>
      </c>
      <c r="AZ23" s="110">
        <f>IFERROR(+LOOKUP(AY23,[9]TARIFAS!$A$4:$B$14,[9]TARIFAS!$A$4:$A$14),0)</f>
        <v>16153.06</v>
      </c>
      <c r="BA23" s="110">
        <f t="shared" si="9"/>
        <v>3873.1971666666705</v>
      </c>
      <c r="BB23" s="110">
        <f>IFERROR(+LOOKUP(AY23,[9]TARIFAS!$A$4:$B$14,[9]TARIFAS!$D$4:$D$14),0)</f>
        <v>30</v>
      </c>
      <c r="BC23" s="110">
        <f t="shared" si="10"/>
        <v>1161.959150000001</v>
      </c>
      <c r="BD23" s="110">
        <f>IFERROR(+LOOKUP(AY23,[9]TARIFAS!$A$4:$B$14,[9]TARIFAS!$C$4:$C$14),0)</f>
        <v>3030.6</v>
      </c>
      <c r="BE23" s="110">
        <f t="shared" si="11"/>
        <v>4192.5600000000004</v>
      </c>
      <c r="BF23" s="110"/>
      <c r="BG23" s="110"/>
      <c r="BH23" s="110"/>
      <c r="BI23" s="109"/>
    </row>
    <row r="24" spans="1:62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0" t="s">
        <v>35</v>
      </c>
      <c r="F24" s="101" t="s">
        <v>37</v>
      </c>
      <c r="G24" s="101" t="s">
        <v>38</v>
      </c>
      <c r="H24" s="101">
        <v>15</v>
      </c>
      <c r="I24" s="101">
        <v>325.036</v>
      </c>
      <c r="J24" s="160" t="s">
        <v>150</v>
      </c>
      <c r="K24" s="101">
        <f>5063.04+[7]TOTAL!$L$24</f>
        <v>6188.04</v>
      </c>
      <c r="L24" s="101" t="s">
        <v>37</v>
      </c>
      <c r="M24" s="102">
        <v>1311</v>
      </c>
      <c r="N24" s="115">
        <v>0</v>
      </c>
      <c r="O24" s="101" t="s">
        <v>37</v>
      </c>
      <c r="P24" s="102">
        <v>1713</v>
      </c>
      <c r="Q24" s="115">
        <v>207.91</v>
      </c>
      <c r="R24" s="115">
        <v>371.02</v>
      </c>
      <c r="S24" s="103">
        <f>151.8912+[7]TOTAL!$T$24</f>
        <v>185.6412</v>
      </c>
      <c r="T24" s="101" t="s">
        <v>37</v>
      </c>
      <c r="U24" s="102">
        <v>1712</v>
      </c>
      <c r="V24" s="104">
        <f t="shared" si="5"/>
        <v>556.66120000000001</v>
      </c>
      <c r="W24" s="101" t="s">
        <v>37</v>
      </c>
      <c r="X24" s="102">
        <v>1322</v>
      </c>
      <c r="Y24" s="104">
        <v>8438.4</v>
      </c>
      <c r="Z24" s="104">
        <f t="shared" si="2"/>
        <v>15391.011199999999</v>
      </c>
      <c r="AA24" s="101" t="s">
        <v>39</v>
      </c>
      <c r="AB24" s="102">
        <v>1431</v>
      </c>
      <c r="AC24" s="104">
        <f>480.9888+[7]TOTAL!$AD$24</f>
        <v>587.86380000000008</v>
      </c>
      <c r="AD24" s="101" t="s">
        <v>39</v>
      </c>
      <c r="AE24" s="105" t="s">
        <v>40</v>
      </c>
      <c r="AF24" s="115">
        <v>0</v>
      </c>
      <c r="AG24" s="101" t="s">
        <v>39</v>
      </c>
      <c r="AH24" s="105" t="s">
        <v>41</v>
      </c>
      <c r="AI24" s="103">
        <f>690.38+[7]TOTAL!$AJ$24+'[8]AGUINALDO ABRIL'!$M$25</f>
        <v>2124.7679200000002</v>
      </c>
      <c r="AJ24" s="101" t="s">
        <v>39</v>
      </c>
      <c r="AK24" s="105" t="s">
        <v>42</v>
      </c>
      <c r="AL24" s="103">
        <f>50.6304+[7]TOTAL!$AM$24</f>
        <v>61.880400000000002</v>
      </c>
      <c r="AM24" s="101" t="s">
        <v>39</v>
      </c>
      <c r="AN24" s="105" t="s">
        <v>43</v>
      </c>
      <c r="AO24" s="115">
        <v>0</v>
      </c>
      <c r="AP24" s="101" t="s">
        <v>39</v>
      </c>
      <c r="AQ24" s="105">
        <v>3921</v>
      </c>
      <c r="AR24" s="103">
        <f>-'[8]AGUINALDO ABRIL'!$N$25</f>
        <v>-1371.24792</v>
      </c>
      <c r="AS24" s="104">
        <f t="shared" si="3"/>
        <v>1403.2642000000003</v>
      </c>
      <c r="AT24" s="106">
        <f t="shared" si="4"/>
        <v>13987.746999999999</v>
      </c>
      <c r="AU24" s="113"/>
      <c r="AV24" s="108"/>
      <c r="AW24" s="109">
        <f t="shared" si="6"/>
        <v>15</v>
      </c>
      <c r="AX24" s="109">
        <f t="shared" si="7"/>
        <v>15391.011199999999</v>
      </c>
      <c r="AY24" s="110">
        <f t="shared" si="8"/>
        <v>15391.011199999997</v>
      </c>
      <c r="AZ24" s="110">
        <f>IFERROR(+LOOKUP(AY24,[9]TARIFAS!$A$4:$B$14,[9]TARIFAS!$A$4:$A$14),0)</f>
        <v>10248.459999999999</v>
      </c>
      <c r="BA24" s="110">
        <f t="shared" si="9"/>
        <v>5142.5511999999981</v>
      </c>
      <c r="BB24" s="110">
        <f>IFERROR(+LOOKUP(AY24,[9]TARIFAS!$A$4:$B$14,[9]TARIFAS!$D$4:$D$14),0)</f>
        <v>23.52</v>
      </c>
      <c r="BC24" s="110">
        <f t="shared" si="10"/>
        <v>1209.5280422399994</v>
      </c>
      <c r="BD24" s="110">
        <f>IFERROR(+LOOKUP(AY24,[9]TARIFAS!$A$4:$B$14,[9]TARIFAS!$C$4:$C$14),0)</f>
        <v>1641.75</v>
      </c>
      <c r="BE24" s="110">
        <f t="shared" si="11"/>
        <v>2851.28</v>
      </c>
      <c r="BF24" s="110"/>
      <c r="BG24" s="110"/>
      <c r="BH24" s="110"/>
      <c r="BI24" s="109"/>
    </row>
    <row r="25" spans="1:62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0" t="s">
        <v>35</v>
      </c>
      <c r="F25" s="101" t="s">
        <v>37</v>
      </c>
      <c r="G25" s="101" t="s">
        <v>38</v>
      </c>
      <c r="H25" s="101">
        <v>15</v>
      </c>
      <c r="I25" s="101">
        <v>421.49</v>
      </c>
      <c r="J25" s="160" t="s">
        <v>151</v>
      </c>
      <c r="K25" s="101">
        <f>6572.35+[7]TOTAL!$L$25</f>
        <v>8072.35</v>
      </c>
      <c r="L25" s="101" t="s">
        <v>37</v>
      </c>
      <c r="M25" s="102">
        <v>1311</v>
      </c>
      <c r="N25" s="115">
        <v>0</v>
      </c>
      <c r="O25" s="101" t="s">
        <v>37</v>
      </c>
      <c r="P25" s="102">
        <v>1713</v>
      </c>
      <c r="Q25" s="115">
        <v>351.5</v>
      </c>
      <c r="R25" s="115">
        <v>406.32</v>
      </c>
      <c r="S25" s="103">
        <f>197.1705+[7]TOTAL!$T$25</f>
        <v>242.1705</v>
      </c>
      <c r="T25" s="101" t="s">
        <v>37</v>
      </c>
      <c r="U25" s="102">
        <v>1712</v>
      </c>
      <c r="V25" s="104">
        <f t="shared" si="5"/>
        <v>648.4905</v>
      </c>
      <c r="W25" s="101" t="s">
        <v>37</v>
      </c>
      <c r="X25" s="102">
        <v>1322</v>
      </c>
      <c r="Y25" s="104">
        <v>10953.916666666668</v>
      </c>
      <c r="Z25" s="104">
        <f t="shared" si="2"/>
        <v>20026.25716666667</v>
      </c>
      <c r="AA25" s="101" t="s">
        <v>39</v>
      </c>
      <c r="AB25" s="102">
        <v>1431</v>
      </c>
      <c r="AC25" s="104">
        <f>624.37325+[7]TOTAL!$AD$25</f>
        <v>766.87324999999998</v>
      </c>
      <c r="AD25" s="101" t="s">
        <v>39</v>
      </c>
      <c r="AE25" s="105" t="s">
        <v>40</v>
      </c>
      <c r="AF25" s="115">
        <v>1687</v>
      </c>
      <c r="AG25" s="101" t="s">
        <v>39</v>
      </c>
      <c r="AH25" s="105" t="s">
        <v>41</v>
      </c>
      <c r="AI25" s="103">
        <f>1060.65+[7]TOTAL!$AJ$25+'[8]AGUINALDO ABRIL'!$M$26</f>
        <v>3126.6192056000009</v>
      </c>
      <c r="AJ25" s="101" t="s">
        <v>39</v>
      </c>
      <c r="AK25" s="105" t="s">
        <v>42</v>
      </c>
      <c r="AL25" s="103">
        <f>65.7235+[7]TOTAL!$AM$25</f>
        <v>80.723500000000001</v>
      </c>
      <c r="AM25" s="101" t="s">
        <v>39</v>
      </c>
      <c r="AN25" s="105" t="s">
        <v>43</v>
      </c>
      <c r="AO25" s="115">
        <v>0</v>
      </c>
      <c r="AP25" s="101" t="s">
        <v>39</v>
      </c>
      <c r="AQ25" s="105">
        <v>3921</v>
      </c>
      <c r="AR25" s="103">
        <f>-'[8]AGUINALDO ABRIL'!$N$26</f>
        <v>-1978.1092056000007</v>
      </c>
      <c r="AS25" s="104">
        <f t="shared" si="3"/>
        <v>3683.1067499999999</v>
      </c>
      <c r="AT25" s="106">
        <f t="shared" si="4"/>
        <v>16343.150416666671</v>
      </c>
      <c r="AU25" s="113"/>
      <c r="AV25" s="108"/>
      <c r="AW25" s="109">
        <f t="shared" si="6"/>
        <v>15</v>
      </c>
      <c r="AX25" s="109">
        <f t="shared" si="7"/>
        <v>20026.25716666667</v>
      </c>
      <c r="AY25" s="110">
        <f t="shared" si="8"/>
        <v>20026.25716666667</v>
      </c>
      <c r="AZ25" s="110">
        <f>IFERROR(+LOOKUP(AY25,[9]TARIFAS!$A$4:$B$14,[9]TARIFAS!$A$4:$A$14),0)</f>
        <v>16153.06</v>
      </c>
      <c r="BA25" s="110">
        <f t="shared" si="9"/>
        <v>3873.1971666666705</v>
      </c>
      <c r="BB25" s="110">
        <f>IFERROR(+LOOKUP(AY25,[9]TARIFAS!$A$4:$B$14,[9]TARIFAS!$D$4:$D$14),0)</f>
        <v>30</v>
      </c>
      <c r="BC25" s="110">
        <f t="shared" si="10"/>
        <v>1161.959150000001</v>
      </c>
      <c r="BD25" s="110">
        <f>IFERROR(+LOOKUP(AY25,[9]TARIFAS!$A$4:$B$14,[9]TARIFAS!$C$4:$C$14),0)</f>
        <v>3030.6</v>
      </c>
      <c r="BE25" s="110">
        <f t="shared" si="11"/>
        <v>4192.5600000000004</v>
      </c>
      <c r="BF25" s="110"/>
      <c r="BG25" s="110"/>
      <c r="BH25" s="110"/>
      <c r="BI25" s="109"/>
    </row>
    <row r="26" spans="1:62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0" t="s">
        <v>35</v>
      </c>
      <c r="F26" s="101" t="s">
        <v>37</v>
      </c>
      <c r="G26" s="101" t="s">
        <v>38</v>
      </c>
      <c r="H26" s="101">
        <v>15</v>
      </c>
      <c r="I26" s="101">
        <v>325.036</v>
      </c>
      <c r="J26" s="160" t="s">
        <v>149</v>
      </c>
      <c r="K26" s="101">
        <f>5063.04+[7]TOTAL!$L$26</f>
        <v>6188.04</v>
      </c>
      <c r="L26" s="101" t="s">
        <v>37</v>
      </c>
      <c r="M26" s="102">
        <v>1311</v>
      </c>
      <c r="N26" s="115">
        <v>0</v>
      </c>
      <c r="O26" s="101" t="s">
        <v>37</v>
      </c>
      <c r="P26" s="102">
        <v>1713</v>
      </c>
      <c r="Q26" s="115">
        <v>207.91</v>
      </c>
      <c r="R26" s="115">
        <v>371.02</v>
      </c>
      <c r="S26" s="103">
        <f>151.8912+[7]TOTAL!$T$26</f>
        <v>185.6412</v>
      </c>
      <c r="T26" s="101" t="s">
        <v>37</v>
      </c>
      <c r="U26" s="102">
        <v>1712</v>
      </c>
      <c r="V26" s="104">
        <f t="shared" si="5"/>
        <v>556.66120000000001</v>
      </c>
      <c r="W26" s="101" t="s">
        <v>37</v>
      </c>
      <c r="X26" s="102">
        <v>1322</v>
      </c>
      <c r="Y26" s="104">
        <v>8438.4</v>
      </c>
      <c r="Z26" s="104">
        <f t="shared" si="2"/>
        <v>15391.011199999999</v>
      </c>
      <c r="AA26" s="101" t="s">
        <v>39</v>
      </c>
      <c r="AB26" s="102">
        <v>1431</v>
      </c>
      <c r="AC26" s="104">
        <f>480.9888+[7]TOTAL!$AD$26</f>
        <v>587.86380000000008</v>
      </c>
      <c r="AD26" s="101" t="s">
        <v>39</v>
      </c>
      <c r="AE26" s="105" t="s">
        <v>40</v>
      </c>
      <c r="AF26" s="115">
        <v>0</v>
      </c>
      <c r="AG26" s="101" t="s">
        <v>39</v>
      </c>
      <c r="AH26" s="105" t="s">
        <v>41</v>
      </c>
      <c r="AI26" s="103">
        <f>690.38+[7]TOTAL!$AJ$26+'[8]AGUINALDO ABRIL'!$M$27</f>
        <v>2124.7679200000002</v>
      </c>
      <c r="AJ26" s="101" t="s">
        <v>39</v>
      </c>
      <c r="AK26" s="105" t="s">
        <v>42</v>
      </c>
      <c r="AL26" s="103">
        <f>50.6304+[7]TOTAL!$AM$26</f>
        <v>61.880400000000002</v>
      </c>
      <c r="AM26" s="101" t="s">
        <v>39</v>
      </c>
      <c r="AN26" s="105" t="s">
        <v>43</v>
      </c>
      <c r="AO26" s="115">
        <v>0</v>
      </c>
      <c r="AP26" s="101" t="s">
        <v>39</v>
      </c>
      <c r="AQ26" s="105">
        <v>3921</v>
      </c>
      <c r="AR26" s="103">
        <f>-'[8]AGUINALDO ABRIL'!$N$27</f>
        <v>-1371.24792</v>
      </c>
      <c r="AS26" s="104">
        <f t="shared" si="3"/>
        <v>1403.2642000000003</v>
      </c>
      <c r="AT26" s="106">
        <f t="shared" si="4"/>
        <v>13987.746999999999</v>
      </c>
      <c r="AU26" s="113"/>
      <c r="AV26" s="108"/>
      <c r="AW26" s="109">
        <f t="shared" si="6"/>
        <v>15</v>
      </c>
      <c r="AX26" s="109">
        <f t="shared" si="7"/>
        <v>15391.011199999999</v>
      </c>
      <c r="AY26" s="110">
        <f t="shared" si="8"/>
        <v>15391.011199999997</v>
      </c>
      <c r="AZ26" s="110">
        <f>IFERROR(+LOOKUP(AY26,[9]TARIFAS!$A$4:$B$14,[9]TARIFAS!$A$4:$A$14),0)</f>
        <v>10248.459999999999</v>
      </c>
      <c r="BA26" s="110">
        <f t="shared" si="9"/>
        <v>5142.5511999999981</v>
      </c>
      <c r="BB26" s="110">
        <f>IFERROR(+LOOKUP(AY26,[9]TARIFAS!$A$4:$B$14,[9]TARIFAS!$D$4:$D$14),0)</f>
        <v>23.52</v>
      </c>
      <c r="BC26" s="110">
        <f t="shared" si="10"/>
        <v>1209.5280422399994</v>
      </c>
      <c r="BD26" s="110">
        <f>IFERROR(+LOOKUP(AY26,[9]TARIFAS!$A$4:$B$14,[9]TARIFAS!$C$4:$C$14),0)</f>
        <v>1641.75</v>
      </c>
      <c r="BE26" s="110">
        <f t="shared" si="11"/>
        <v>2851.28</v>
      </c>
      <c r="BF26" s="110"/>
      <c r="BG26" s="110"/>
      <c r="BH26" s="110"/>
      <c r="BI26" s="109"/>
    </row>
    <row r="27" spans="1:62" s="111" customFormat="1" ht="30" customHeight="1" x14ac:dyDescent="0.2">
      <c r="A27" s="97" t="s">
        <v>136</v>
      </c>
      <c r="B27" s="97"/>
      <c r="C27" s="112"/>
      <c r="D27" s="114" t="s">
        <v>137</v>
      </c>
      <c r="E27" s="100"/>
      <c r="F27" s="101"/>
      <c r="G27" s="101"/>
      <c r="H27" s="101"/>
      <c r="I27" s="101"/>
      <c r="J27" s="160" t="s">
        <v>147</v>
      </c>
      <c r="K27" s="101">
        <v>0</v>
      </c>
      <c r="L27" s="101"/>
      <c r="M27" s="102"/>
      <c r="N27" s="115">
        <v>0</v>
      </c>
      <c r="O27" s="101"/>
      <c r="P27" s="102"/>
      <c r="Q27" s="115">
        <v>0</v>
      </c>
      <c r="R27" s="115">
        <v>0</v>
      </c>
      <c r="S27" s="103">
        <v>0</v>
      </c>
      <c r="T27" s="101"/>
      <c r="U27" s="102"/>
      <c r="V27" s="104">
        <f t="shared" si="5"/>
        <v>0</v>
      </c>
      <c r="W27" s="101" t="s">
        <v>37</v>
      </c>
      <c r="X27" s="102">
        <v>1322</v>
      </c>
      <c r="Y27" s="104">
        <f>'[8]AGUINALDO ABRIL'!$K$28</f>
        <v>2973.5253424657553</v>
      </c>
      <c r="Z27" s="104">
        <f t="shared" si="2"/>
        <v>2973.5253424657553</v>
      </c>
      <c r="AA27" s="101"/>
      <c r="AB27" s="102"/>
      <c r="AC27" s="104">
        <v>0</v>
      </c>
      <c r="AD27" s="101"/>
      <c r="AE27" s="105"/>
      <c r="AF27" s="115">
        <v>0</v>
      </c>
      <c r="AG27" s="101"/>
      <c r="AH27" s="105"/>
      <c r="AI27" s="103">
        <f>'[8]AGUINALDO ABRIL'!$M$28:$M$28</f>
        <v>203.95</v>
      </c>
      <c r="AJ27" s="101"/>
      <c r="AK27" s="105"/>
      <c r="AL27" s="103">
        <v>0</v>
      </c>
      <c r="AM27" s="101"/>
      <c r="AN27" s="105"/>
      <c r="AO27" s="115"/>
      <c r="AP27" s="101"/>
      <c r="AQ27" s="105">
        <v>3921</v>
      </c>
      <c r="AR27" s="103">
        <f>-'[8]AGUINALDO ABRIL'!$N$28</f>
        <v>-203.95</v>
      </c>
      <c r="AS27" s="104">
        <f t="shared" si="3"/>
        <v>0</v>
      </c>
      <c r="AT27" s="106">
        <f t="shared" si="4"/>
        <v>2973.5253424657553</v>
      </c>
      <c r="AU27" s="113"/>
      <c r="AV27" s="108"/>
      <c r="AW27" s="109"/>
      <c r="AX27" s="109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09"/>
    </row>
    <row r="28" spans="1:62" s="111" customFormat="1" ht="30" customHeight="1" x14ac:dyDescent="0.2">
      <c r="A28" s="97" t="str">
        <f t="shared" si="1"/>
        <v>SEI 073</v>
      </c>
      <c r="B28" s="97" t="s">
        <v>32</v>
      </c>
      <c r="C28" s="112" t="s">
        <v>101</v>
      </c>
      <c r="D28" s="114" t="s">
        <v>102</v>
      </c>
      <c r="E28" s="100" t="s">
        <v>67</v>
      </c>
      <c r="F28" s="101" t="s">
        <v>37</v>
      </c>
      <c r="G28" s="101" t="s">
        <v>38</v>
      </c>
      <c r="H28" s="101">
        <v>15</v>
      </c>
      <c r="I28" s="101">
        <v>1029.4333333333334</v>
      </c>
      <c r="J28" s="160" t="s">
        <v>146</v>
      </c>
      <c r="K28" s="101">
        <v>15441.5</v>
      </c>
      <c r="L28" s="101" t="s">
        <v>37</v>
      </c>
      <c r="M28" s="102">
        <v>1311</v>
      </c>
      <c r="N28" s="115">
        <v>0</v>
      </c>
      <c r="O28" s="101" t="s">
        <v>37</v>
      </c>
      <c r="P28" s="102">
        <v>1713</v>
      </c>
      <c r="Q28" s="115">
        <v>566.5</v>
      </c>
      <c r="R28" s="115">
        <v>835.5</v>
      </c>
      <c r="S28" s="103">
        <v>463.245</v>
      </c>
      <c r="T28" s="101" t="s">
        <v>37</v>
      </c>
      <c r="U28" s="102">
        <v>1712</v>
      </c>
      <c r="V28" s="104">
        <f t="shared" si="5"/>
        <v>1298.7449999999999</v>
      </c>
      <c r="W28" s="101" t="s">
        <v>37</v>
      </c>
      <c r="X28" s="102">
        <v>1322</v>
      </c>
      <c r="Y28" s="104">
        <v>25735.833333333336</v>
      </c>
      <c r="Z28" s="104">
        <f t="shared" si="2"/>
        <v>43042.578333333338</v>
      </c>
      <c r="AA28" s="101" t="s">
        <v>39</v>
      </c>
      <c r="AB28" s="102">
        <v>1431</v>
      </c>
      <c r="AC28" s="104">
        <v>1466.9425000000001</v>
      </c>
      <c r="AD28" s="101" t="s">
        <v>39</v>
      </c>
      <c r="AE28" s="105" t="s">
        <v>40</v>
      </c>
      <c r="AF28" s="115">
        <v>0</v>
      </c>
      <c r="AG28" s="101" t="s">
        <v>39</v>
      </c>
      <c r="AH28" s="105" t="s">
        <v>41</v>
      </c>
      <c r="AI28" s="103">
        <f>3376.71+'[8]AGUINALDO ABRIL'!$M$29</f>
        <v>10491.85</v>
      </c>
      <c r="AJ28" s="101" t="s">
        <v>39</v>
      </c>
      <c r="AK28" s="105" t="s">
        <v>42</v>
      </c>
      <c r="AL28" s="103">
        <v>0</v>
      </c>
      <c r="AM28" s="101" t="s">
        <v>39</v>
      </c>
      <c r="AN28" s="105" t="s">
        <v>43</v>
      </c>
      <c r="AO28" s="115">
        <v>0</v>
      </c>
      <c r="AP28" s="101" t="s">
        <v>39</v>
      </c>
      <c r="AQ28" s="105">
        <v>3921</v>
      </c>
      <c r="AR28" s="103">
        <f>-'[8]AGUINALDO ABRIL'!$N$29</f>
        <v>-7115.14</v>
      </c>
      <c r="AS28" s="104">
        <f t="shared" si="3"/>
        <v>4843.6524999999992</v>
      </c>
      <c r="AT28" s="106">
        <f t="shared" si="4"/>
        <v>38198.925833333342</v>
      </c>
      <c r="AU28" s="113"/>
      <c r="AV28" s="108"/>
      <c r="AW28" s="111">
        <f t="shared" si="6"/>
        <v>15</v>
      </c>
      <c r="AX28" s="109">
        <f t="shared" si="7"/>
        <v>43042.578333333338</v>
      </c>
      <c r="AY28" s="119">
        <f>IFERROR(+AX28/AW28,0)*AW28</f>
        <v>43042.578333333338</v>
      </c>
      <c r="AZ28" s="119">
        <f>IFERROR(+LOOKUP(AY28,[9]TARIFAS!$A$4:$B$14,[9]TARIFAS!$A$4:$A$14),0)</f>
        <v>41118.46</v>
      </c>
      <c r="BA28" s="119">
        <f>+AY28-AZ28</f>
        <v>1924.1183333333393</v>
      </c>
      <c r="BB28" s="119">
        <f>IFERROR(+LOOKUP(AY28,[9]TARIFAS!$A$4:$B$14,[9]TARIFAS!$D$4:$D$14),0)</f>
        <v>34</v>
      </c>
      <c r="BC28" s="119">
        <f>(+BA28*BB28)/100</f>
        <v>654.20023333333529</v>
      </c>
      <c r="BD28" s="119">
        <f>IFERROR(+LOOKUP(AY28,[9]TARIFAS!$A$4:$B$14,[9]TARIFAS!$C$4:$C$14),0)</f>
        <v>10725.75</v>
      </c>
      <c r="BE28" s="119">
        <f>ROUND(+BC28+BD28,2)</f>
        <v>11379.95</v>
      </c>
      <c r="BF28" s="119"/>
      <c r="BG28" s="119"/>
      <c r="BH28" s="119"/>
      <c r="BJ28" s="120"/>
    </row>
    <row r="29" spans="1:62" s="111" customFormat="1" ht="30" customHeight="1" x14ac:dyDescent="0.2">
      <c r="A29" s="97" t="str">
        <f t="shared" si="1"/>
        <v>SEI 074</v>
      </c>
      <c r="B29" s="97" t="s">
        <v>32</v>
      </c>
      <c r="C29" s="112" t="s">
        <v>103</v>
      </c>
      <c r="D29" s="114" t="s">
        <v>104</v>
      </c>
      <c r="E29" s="100" t="s">
        <v>105</v>
      </c>
      <c r="F29" s="101" t="s">
        <v>37</v>
      </c>
      <c r="G29" s="101" t="s">
        <v>38</v>
      </c>
      <c r="H29" s="101">
        <v>15</v>
      </c>
      <c r="I29" s="101">
        <v>1958.6333333333334</v>
      </c>
      <c r="J29" s="160" t="s">
        <v>148</v>
      </c>
      <c r="K29" s="101">
        <v>29379.5</v>
      </c>
      <c r="L29" s="101" t="s">
        <v>37</v>
      </c>
      <c r="M29" s="102">
        <v>1311</v>
      </c>
      <c r="N29" s="115">
        <v>0</v>
      </c>
      <c r="O29" s="101" t="s">
        <v>37</v>
      </c>
      <c r="P29" s="102">
        <v>1713</v>
      </c>
      <c r="Q29" s="116">
        <v>808.5</v>
      </c>
      <c r="R29" s="115">
        <v>1144</v>
      </c>
      <c r="S29" s="103">
        <v>881.38499999999999</v>
      </c>
      <c r="T29" s="101" t="s">
        <v>37</v>
      </c>
      <c r="U29" s="102">
        <v>1712</v>
      </c>
      <c r="V29" s="104">
        <f t="shared" si="5"/>
        <v>2025.385</v>
      </c>
      <c r="W29" s="101" t="s">
        <v>37</v>
      </c>
      <c r="X29" s="102">
        <v>1322</v>
      </c>
      <c r="Y29" s="104">
        <v>48965.833333333336</v>
      </c>
      <c r="Z29" s="104">
        <f t="shared" si="2"/>
        <v>81179.218333333338</v>
      </c>
      <c r="AA29" s="101" t="s">
        <v>39</v>
      </c>
      <c r="AB29" s="102">
        <v>1431</v>
      </c>
      <c r="AC29" s="104">
        <v>2791.0525000000002</v>
      </c>
      <c r="AD29" s="101" t="s">
        <v>39</v>
      </c>
      <c r="AE29" s="105" t="s">
        <v>40</v>
      </c>
      <c r="AF29" s="115">
        <v>4897</v>
      </c>
      <c r="AG29" s="101" t="s">
        <v>39</v>
      </c>
      <c r="AH29" s="105" t="s">
        <v>41</v>
      </c>
      <c r="AI29" s="103">
        <f>7876.11+'[8]AGUINALDO ABRIL'!$M$30</f>
        <v>23460.008333333339</v>
      </c>
      <c r="AJ29" s="101" t="s">
        <v>39</v>
      </c>
      <c r="AK29" s="105" t="s">
        <v>42</v>
      </c>
      <c r="AL29" s="103">
        <v>0</v>
      </c>
      <c r="AM29" s="101" t="s">
        <v>39</v>
      </c>
      <c r="AN29" s="105" t="s">
        <v>43</v>
      </c>
      <c r="AO29" s="115">
        <v>0</v>
      </c>
      <c r="AP29" s="101" t="s">
        <v>39</v>
      </c>
      <c r="AQ29" s="105">
        <v>3921</v>
      </c>
      <c r="AR29" s="103">
        <f>-'[8]AGUINALDO ABRIL'!$N$30</f>
        <v>-15583.898333333338</v>
      </c>
      <c r="AS29" s="104">
        <f t="shared" si="3"/>
        <v>15564.162499999999</v>
      </c>
      <c r="AT29" s="106">
        <f t="shared" si="4"/>
        <v>65615.055833333347</v>
      </c>
      <c r="AU29" s="113"/>
      <c r="AV29" s="108"/>
      <c r="AW29" s="109">
        <f t="shared" si="6"/>
        <v>15</v>
      </c>
      <c r="AX29" s="109">
        <f t="shared" si="7"/>
        <v>81179.218333333338</v>
      </c>
      <c r="AY29" s="110">
        <f t="shared" si="8"/>
        <v>81179.218333333338</v>
      </c>
      <c r="AZ29" s="110">
        <f>IFERROR(+LOOKUP(AY29,[9]TARIFAS!$A$4:$B$14,[9]TARIFAS!$A$4:$A$14),0)</f>
        <v>41118.46</v>
      </c>
      <c r="BA29" s="110">
        <f t="shared" si="9"/>
        <v>40060.758333333339</v>
      </c>
      <c r="BB29" s="110">
        <f>IFERROR(+LOOKUP(AY29,[9]TARIFAS!$A$4:$B$14,[9]TARIFAS!$D$4:$D$14),0)</f>
        <v>34</v>
      </c>
      <c r="BC29" s="110">
        <f t="shared" si="10"/>
        <v>13620.657833333335</v>
      </c>
      <c r="BD29" s="110">
        <f>IFERROR(+LOOKUP(AY29,[9]TARIFAS!$A$4:$B$14,[9]TARIFAS!$C$4:$C$14),0)</f>
        <v>10725.75</v>
      </c>
      <c r="BE29" s="110">
        <f t="shared" si="11"/>
        <v>24346.41</v>
      </c>
      <c r="BF29" s="110"/>
      <c r="BG29" s="110"/>
      <c r="BH29" s="110"/>
      <c r="BI29" s="109"/>
    </row>
    <row r="30" spans="1:62" s="111" customFormat="1" ht="30" customHeight="1" x14ac:dyDescent="0.2">
      <c r="A30" s="97" t="str">
        <f t="shared" si="1"/>
        <v>SEI 077</v>
      </c>
      <c r="B30" s="97" t="s">
        <v>32</v>
      </c>
      <c r="C30" s="112" t="s">
        <v>108</v>
      </c>
      <c r="D30" s="114" t="s">
        <v>109</v>
      </c>
      <c r="E30" s="100" t="s">
        <v>35</v>
      </c>
      <c r="F30" s="101" t="s">
        <v>37</v>
      </c>
      <c r="G30" s="101" t="s">
        <v>38</v>
      </c>
      <c r="H30" s="101">
        <v>15</v>
      </c>
      <c r="I30" s="101">
        <v>421.49</v>
      </c>
      <c r="J30" s="160" t="s">
        <v>151</v>
      </c>
      <c r="K30" s="101">
        <f>6572.35+[7]TOTAL!$L$29</f>
        <v>8072.35</v>
      </c>
      <c r="L30" s="101" t="s">
        <v>37</v>
      </c>
      <c r="M30" s="102">
        <v>1311</v>
      </c>
      <c r="N30" s="115">
        <v>0</v>
      </c>
      <c r="O30" s="101" t="s">
        <v>37</v>
      </c>
      <c r="P30" s="102">
        <v>1713</v>
      </c>
      <c r="Q30" s="116">
        <v>351.5</v>
      </c>
      <c r="R30" s="115">
        <v>406.32</v>
      </c>
      <c r="S30" s="103">
        <f>197.1705+[7]TOTAL!$T$29</f>
        <v>242.1705</v>
      </c>
      <c r="T30" s="101" t="s">
        <v>37</v>
      </c>
      <c r="U30" s="102">
        <v>1712</v>
      </c>
      <c r="V30" s="104">
        <f t="shared" si="5"/>
        <v>648.4905</v>
      </c>
      <c r="W30" s="101" t="s">
        <v>37</v>
      </c>
      <c r="X30" s="102">
        <v>1322</v>
      </c>
      <c r="Y30" s="104">
        <v>10953.92</v>
      </c>
      <c r="Z30" s="104">
        <f t="shared" si="2"/>
        <v>20026.2605</v>
      </c>
      <c r="AA30" s="101" t="s">
        <v>39</v>
      </c>
      <c r="AB30" s="102">
        <v>1431</v>
      </c>
      <c r="AC30" s="104">
        <f>624.37325+[7]TOTAL!$AD$29</f>
        <v>766.87324999999998</v>
      </c>
      <c r="AD30" s="101" t="s">
        <v>39</v>
      </c>
      <c r="AE30" s="105" t="s">
        <v>40</v>
      </c>
      <c r="AF30" s="115">
        <v>0</v>
      </c>
      <c r="AG30" s="101" t="s">
        <v>39</v>
      </c>
      <c r="AH30" s="105" t="s">
        <v>41</v>
      </c>
      <c r="AI30" s="103">
        <f>1060.65+[7]TOTAL!$AJ$29+'[8]AGUINALDO ABRIL'!$M$31</f>
        <v>3126.6192056000009</v>
      </c>
      <c r="AJ30" s="101" t="s">
        <v>39</v>
      </c>
      <c r="AK30" s="105" t="s">
        <v>42</v>
      </c>
      <c r="AL30" s="103">
        <v>0</v>
      </c>
      <c r="AM30" s="101" t="s">
        <v>39</v>
      </c>
      <c r="AN30" s="105" t="s">
        <v>43</v>
      </c>
      <c r="AO30" s="115">
        <v>0</v>
      </c>
      <c r="AP30" s="101" t="s">
        <v>39</v>
      </c>
      <c r="AQ30" s="105">
        <v>3921</v>
      </c>
      <c r="AR30" s="103">
        <f>-'[8]AGUINALDO ABRIL'!$N$31</f>
        <v>-1978.1092056000007</v>
      </c>
      <c r="AS30" s="104">
        <f t="shared" si="3"/>
        <v>1915.3832500000003</v>
      </c>
      <c r="AT30" s="106">
        <f t="shared" si="4"/>
        <v>18110.877250000001</v>
      </c>
      <c r="AU30" s="113"/>
      <c r="AV30" s="108"/>
      <c r="AW30" s="109">
        <f t="shared" si="6"/>
        <v>15</v>
      </c>
      <c r="AX30" s="109">
        <f t="shared" si="7"/>
        <v>20026.2605</v>
      </c>
      <c r="AY30" s="110">
        <f t="shared" si="8"/>
        <v>20026.2605</v>
      </c>
      <c r="AZ30" s="110">
        <f>IFERROR(+LOOKUP(AY30,[9]TARIFAS!$A$4:$B$14,[9]TARIFAS!$A$4:$A$14),0)</f>
        <v>16153.06</v>
      </c>
      <c r="BA30" s="110">
        <f t="shared" si="9"/>
        <v>3873.2005000000008</v>
      </c>
      <c r="BB30" s="110">
        <f>IFERROR(+LOOKUP(AY30,[9]TARIFAS!$A$4:$B$14,[9]TARIFAS!$D$4:$D$14),0)</f>
        <v>30</v>
      </c>
      <c r="BC30" s="110">
        <f t="shared" si="10"/>
        <v>1161.9601500000003</v>
      </c>
      <c r="BD30" s="110">
        <f>IFERROR(+LOOKUP(AY30,[9]TARIFAS!$A$4:$B$14,[9]TARIFAS!$C$4:$C$14),0)</f>
        <v>3030.6</v>
      </c>
      <c r="BE30" s="110">
        <f>ROUND(+BC30+BD30,2)</f>
        <v>4192.5600000000004</v>
      </c>
      <c r="BF30" s="110"/>
      <c r="BG30" s="110"/>
      <c r="BH30" s="110"/>
      <c r="BI30" s="109"/>
    </row>
    <row r="31" spans="1:62" s="111" customFormat="1" ht="30" customHeight="1" x14ac:dyDescent="0.2">
      <c r="A31" s="97" t="str">
        <f t="shared" si="1"/>
        <v>SEI 078</v>
      </c>
      <c r="B31" s="97" t="s">
        <v>32</v>
      </c>
      <c r="C31" s="112" t="s">
        <v>106</v>
      </c>
      <c r="D31" s="114" t="s">
        <v>107</v>
      </c>
      <c r="E31" s="100" t="s">
        <v>67</v>
      </c>
      <c r="F31" s="101" t="s">
        <v>37</v>
      </c>
      <c r="G31" s="101" t="s">
        <v>38</v>
      </c>
      <c r="H31" s="101">
        <v>15</v>
      </c>
      <c r="I31" s="101">
        <v>1029.4333333333334</v>
      </c>
      <c r="J31" s="160" t="s">
        <v>151</v>
      </c>
      <c r="K31" s="101">
        <v>15441.5</v>
      </c>
      <c r="L31" s="101" t="s">
        <v>37</v>
      </c>
      <c r="M31" s="102">
        <v>1311</v>
      </c>
      <c r="N31" s="103">
        <v>67.290000000000006</v>
      </c>
      <c r="O31" s="101" t="s">
        <v>37</v>
      </c>
      <c r="P31" s="102">
        <v>1713</v>
      </c>
      <c r="Q31" s="103">
        <v>566.5</v>
      </c>
      <c r="R31" s="103">
        <v>835.5</v>
      </c>
      <c r="S31" s="103">
        <v>463.245</v>
      </c>
      <c r="T31" s="101" t="s">
        <v>37</v>
      </c>
      <c r="U31" s="102">
        <v>1712</v>
      </c>
      <c r="V31" s="104">
        <f t="shared" si="5"/>
        <v>1298.7449999999999</v>
      </c>
      <c r="W31" s="101" t="s">
        <v>37</v>
      </c>
      <c r="X31" s="102">
        <v>1322</v>
      </c>
      <c r="Y31" s="104">
        <v>25735.83</v>
      </c>
      <c r="Z31" s="104">
        <f t="shared" si="2"/>
        <v>43109.865000000005</v>
      </c>
      <c r="AA31" s="101" t="s">
        <v>39</v>
      </c>
      <c r="AB31" s="102">
        <v>1431</v>
      </c>
      <c r="AC31" s="104">
        <v>1466.9425000000001</v>
      </c>
      <c r="AD31" s="101" t="s">
        <v>39</v>
      </c>
      <c r="AE31" s="105" t="s">
        <v>40</v>
      </c>
      <c r="AF31" s="115">
        <v>0</v>
      </c>
      <c r="AG31" s="101" t="s">
        <v>39</v>
      </c>
      <c r="AH31" s="105" t="s">
        <v>41</v>
      </c>
      <c r="AI31" s="103">
        <f>3396.89+7115.14</f>
        <v>10512.03</v>
      </c>
      <c r="AJ31" s="101" t="s">
        <v>39</v>
      </c>
      <c r="AK31" s="105" t="s">
        <v>42</v>
      </c>
      <c r="AL31" s="103">
        <v>0</v>
      </c>
      <c r="AM31" s="101" t="s">
        <v>39</v>
      </c>
      <c r="AN31" s="105" t="s">
        <v>43</v>
      </c>
      <c r="AO31" s="115">
        <v>0</v>
      </c>
      <c r="AP31" s="101" t="s">
        <v>39</v>
      </c>
      <c r="AQ31" s="105">
        <v>3921</v>
      </c>
      <c r="AR31" s="103">
        <f>-'[8]AGUINALDO ABRIL'!$N$32</f>
        <v>-7115.1400000000012</v>
      </c>
      <c r="AS31" s="104">
        <f t="shared" si="3"/>
        <v>4863.8324999999986</v>
      </c>
      <c r="AT31" s="106">
        <f t="shared" si="4"/>
        <v>38246.032500000008</v>
      </c>
      <c r="AU31" s="113"/>
      <c r="AV31" s="108"/>
      <c r="AW31" s="109">
        <f t="shared" si="6"/>
        <v>15</v>
      </c>
      <c r="AX31" s="109">
        <f t="shared" si="7"/>
        <v>43109.865000000005</v>
      </c>
      <c r="AY31" s="110">
        <f t="shared" si="8"/>
        <v>43109.865000000005</v>
      </c>
      <c r="AZ31" s="110">
        <f>IFERROR(+LOOKUP(AY31,[9]TARIFAS!$A$4:$B$14,[9]TARIFAS!$A$4:$A$14),0)</f>
        <v>41118.46</v>
      </c>
      <c r="BA31" s="110">
        <f t="shared" si="9"/>
        <v>1991.4050000000061</v>
      </c>
      <c r="BB31" s="110">
        <f>IFERROR(+LOOKUP(AY31,[9]TARIFAS!$A$4:$B$14,[9]TARIFAS!$D$4:$D$14),0)</f>
        <v>34</v>
      </c>
      <c r="BC31" s="110">
        <f t="shared" si="10"/>
        <v>677.0777000000021</v>
      </c>
      <c r="BD31" s="110">
        <f>IFERROR(+LOOKUP(AY31,[9]TARIFAS!$A$4:$B$14,[9]TARIFAS!$C$4:$C$14),0)</f>
        <v>10725.75</v>
      </c>
      <c r="BE31" s="110">
        <f t="shared" si="11"/>
        <v>11402.83</v>
      </c>
      <c r="BF31" s="110"/>
      <c r="BG31" s="110"/>
      <c r="BH31" s="110"/>
      <c r="BI31" s="109"/>
    </row>
    <row r="32" spans="1:62" s="111" customFormat="1" ht="30" customHeight="1" x14ac:dyDescent="0.2">
      <c r="A32" s="97" t="str">
        <f t="shared" si="1"/>
        <v>SEI 079</v>
      </c>
      <c r="B32" s="97" t="s">
        <v>32</v>
      </c>
      <c r="C32" s="112" t="s">
        <v>124</v>
      </c>
      <c r="D32" s="114" t="s">
        <v>125</v>
      </c>
      <c r="E32" s="100" t="s">
        <v>35</v>
      </c>
      <c r="F32" s="101" t="s">
        <v>37</v>
      </c>
      <c r="G32" s="101" t="s">
        <v>38</v>
      </c>
      <c r="H32" s="101">
        <v>15</v>
      </c>
      <c r="I32" s="101">
        <v>325.036</v>
      </c>
      <c r="J32" s="163" t="s">
        <v>150</v>
      </c>
      <c r="K32" s="101">
        <f>5063.04+[7]TOTAL!$L$31</f>
        <v>5750.54</v>
      </c>
      <c r="L32" s="101" t="s">
        <v>37</v>
      </c>
      <c r="M32" s="102">
        <v>1311</v>
      </c>
      <c r="N32" s="115">
        <v>0</v>
      </c>
      <c r="O32" s="101" t="s">
        <v>37</v>
      </c>
      <c r="P32" s="102">
        <v>1713</v>
      </c>
      <c r="Q32" s="115">
        <v>207.91</v>
      </c>
      <c r="R32" s="115">
        <v>371.02</v>
      </c>
      <c r="S32" s="103">
        <f>151.8912+[7]TOTAL!$T$31</f>
        <v>172.5162</v>
      </c>
      <c r="T32" s="101" t="s">
        <v>37</v>
      </c>
      <c r="U32" s="102">
        <v>1712</v>
      </c>
      <c r="V32" s="104">
        <f t="shared" si="5"/>
        <v>543.53620000000001</v>
      </c>
      <c r="W32" s="101" t="s">
        <v>37</v>
      </c>
      <c r="X32" s="102">
        <v>1322</v>
      </c>
      <c r="Y32" s="104">
        <v>0</v>
      </c>
      <c r="Z32" s="104">
        <f t="shared" si="2"/>
        <v>6501.9861999999994</v>
      </c>
      <c r="AA32" s="101" t="s">
        <v>39</v>
      </c>
      <c r="AB32" s="102">
        <v>1431</v>
      </c>
      <c r="AC32" s="104">
        <f>480.9888+[7]TOTAL!$AD$31</f>
        <v>546.30130000000008</v>
      </c>
      <c r="AD32" s="101" t="s">
        <v>39</v>
      </c>
      <c r="AE32" s="105" t="s">
        <v>40</v>
      </c>
      <c r="AF32" s="115">
        <v>0</v>
      </c>
      <c r="AG32" s="101" t="s">
        <v>39</v>
      </c>
      <c r="AH32" s="105" t="s">
        <v>41</v>
      </c>
      <c r="AI32" s="103">
        <f>690.38+[7]TOTAL!$AJ$31</f>
        <v>724.68</v>
      </c>
      <c r="AJ32" s="101" t="s">
        <v>39</v>
      </c>
      <c r="AK32" s="105" t="s">
        <v>42</v>
      </c>
      <c r="AL32" s="103">
        <v>0</v>
      </c>
      <c r="AM32" s="101" t="s">
        <v>39</v>
      </c>
      <c r="AN32" s="105" t="s">
        <v>43</v>
      </c>
      <c r="AO32" s="115">
        <v>0</v>
      </c>
      <c r="AP32" s="101" t="s">
        <v>39</v>
      </c>
      <c r="AQ32" s="105">
        <v>3921</v>
      </c>
      <c r="AR32" s="103">
        <v>0</v>
      </c>
      <c r="AS32" s="104">
        <f t="shared" si="3"/>
        <v>1270.9812999999999</v>
      </c>
      <c r="AT32" s="106">
        <f t="shared" si="4"/>
        <v>5231.0048999999999</v>
      </c>
      <c r="AU32" s="113"/>
      <c r="AV32" s="108"/>
      <c r="AW32" s="109">
        <f>+H32</f>
        <v>15</v>
      </c>
      <c r="AX32" s="109">
        <f>+K32+S32+N32+Q32+R32+Y32</f>
        <v>6501.9861999999994</v>
      </c>
      <c r="AY32" s="110">
        <f>IFERROR(+AX32/AW32,0)*AW32</f>
        <v>6501.9861999999994</v>
      </c>
      <c r="AZ32" s="110">
        <f>IFERROR(+LOOKUP(AY32,[9]TARIFAS!$A$4:$B$14,[9]TARIFAS!$A$4:$A$14),0)</f>
        <v>5081.41</v>
      </c>
      <c r="BA32" s="110">
        <f>+AY32-AZ32</f>
        <v>1420.5761999999995</v>
      </c>
      <c r="BB32" s="110">
        <f>IFERROR(+LOOKUP(AY32,[9]TARIFAS!$A$4:$B$14,[9]TARIFAS!$D$4:$D$14),0)</f>
        <v>21.36</v>
      </c>
      <c r="BC32" s="110">
        <f>(+BA32*BB32)/100</f>
        <v>303.43507631999989</v>
      </c>
      <c r="BD32" s="110">
        <f>IFERROR(+LOOKUP(AY32,[9]TARIFAS!$A$4:$B$14,[9]TARIFAS!$C$4:$C$14),0)</f>
        <v>538.20000000000005</v>
      </c>
      <c r="BE32" s="110">
        <f>ROUND(+BC32+BD32,2)</f>
        <v>841.64</v>
      </c>
      <c r="BF32" s="110"/>
      <c r="BG32" s="110"/>
      <c r="BH32" s="110"/>
      <c r="BI32" s="109"/>
    </row>
    <row r="33" spans="1:61" s="111" customFormat="1" ht="30" customHeight="1" thickBot="1" x14ac:dyDescent="0.25">
      <c r="A33" s="97" t="str">
        <f t="shared" si="1"/>
        <v>SEI 080</v>
      </c>
      <c r="B33" s="97" t="s">
        <v>32</v>
      </c>
      <c r="C33" s="112" t="s">
        <v>128</v>
      </c>
      <c r="D33" s="114" t="s">
        <v>129</v>
      </c>
      <c r="E33" s="100" t="s">
        <v>35</v>
      </c>
      <c r="F33" s="101" t="s">
        <v>37</v>
      </c>
      <c r="G33" s="101" t="s">
        <v>38</v>
      </c>
      <c r="H33" s="101">
        <v>11</v>
      </c>
      <c r="I33" s="101">
        <v>421.49</v>
      </c>
      <c r="J33" s="160" t="s">
        <v>147</v>
      </c>
      <c r="K33" s="101">
        <f>6572.35+[7]TOTAL!$L$32</f>
        <v>7238.9500000000007</v>
      </c>
      <c r="L33" s="101" t="s">
        <v>37</v>
      </c>
      <c r="M33" s="102">
        <v>1311</v>
      </c>
      <c r="N33" s="115">
        <v>0</v>
      </c>
      <c r="O33" s="101" t="s">
        <v>37</v>
      </c>
      <c r="P33" s="102">
        <v>1713</v>
      </c>
      <c r="Q33" s="116">
        <v>351.45</v>
      </c>
      <c r="R33" s="115">
        <v>406.35</v>
      </c>
      <c r="S33" s="103">
        <f>197.1705+[7]TOTAL!$T$32</f>
        <v>217.16849999999999</v>
      </c>
      <c r="T33" s="101" t="s">
        <v>37</v>
      </c>
      <c r="U33" s="102">
        <v>1712</v>
      </c>
      <c r="V33" s="104">
        <f t="shared" si="5"/>
        <v>623.51850000000002</v>
      </c>
      <c r="W33" s="101" t="s">
        <v>37</v>
      </c>
      <c r="X33" s="102">
        <v>1322</v>
      </c>
      <c r="Y33" s="104">
        <v>0</v>
      </c>
      <c r="Z33" s="104">
        <f t="shared" si="2"/>
        <v>8213.9184999999998</v>
      </c>
      <c r="AA33" s="101" t="s">
        <v>39</v>
      </c>
      <c r="AB33" s="102">
        <v>1431</v>
      </c>
      <c r="AC33" s="104">
        <f>624.37325+[7]TOTAL!$AD$32</f>
        <v>687.70024999999998</v>
      </c>
      <c r="AD33" s="101" t="s">
        <v>39</v>
      </c>
      <c r="AE33" s="105" t="s">
        <v>40</v>
      </c>
      <c r="AF33" s="115">
        <v>0</v>
      </c>
      <c r="AG33" s="101" t="s">
        <v>39</v>
      </c>
      <c r="AH33" s="105" t="s">
        <v>41</v>
      </c>
      <c r="AI33" s="103">
        <f>1060.65+[7]TOTAL!$AJ$32</f>
        <v>1093.5700000000002</v>
      </c>
      <c r="AJ33" s="101" t="s">
        <v>39</v>
      </c>
      <c r="AK33" s="105" t="s">
        <v>42</v>
      </c>
      <c r="AL33" s="103">
        <v>0</v>
      </c>
      <c r="AM33" s="101" t="s">
        <v>39</v>
      </c>
      <c r="AN33" s="105" t="s">
        <v>43</v>
      </c>
      <c r="AO33" s="115">
        <v>0</v>
      </c>
      <c r="AP33" s="101" t="s">
        <v>39</v>
      </c>
      <c r="AQ33" s="105">
        <v>3921</v>
      </c>
      <c r="AR33" s="103">
        <v>0</v>
      </c>
      <c r="AS33" s="104">
        <f t="shared" si="3"/>
        <v>1781.27025</v>
      </c>
      <c r="AT33" s="106">
        <f t="shared" si="4"/>
        <v>6432.6482500000002</v>
      </c>
      <c r="AU33" s="113"/>
      <c r="AV33" s="108"/>
      <c r="AW33" s="109">
        <f t="shared" si="6"/>
        <v>11</v>
      </c>
      <c r="AX33" s="109">
        <f t="shared" si="7"/>
        <v>8213.9184999999998</v>
      </c>
      <c r="AY33" s="110">
        <f t="shared" si="8"/>
        <v>8213.9184999999998</v>
      </c>
      <c r="AZ33" s="110">
        <f>IFERROR(+LOOKUP(AY33,[9]TARIFAS!$A$4:$B$14,[9]TARIFAS!$A$4:$A$14),0)</f>
        <v>5081.41</v>
      </c>
      <c r="BA33" s="110">
        <f t="shared" si="9"/>
        <v>3132.5084999999999</v>
      </c>
      <c r="BB33" s="110">
        <f>IFERROR(+LOOKUP(AY33,[9]TARIFAS!$A$4:$B$14,[9]TARIFAS!$D$4:$D$14),0)</f>
        <v>21.36</v>
      </c>
      <c r="BC33" s="110">
        <f t="shared" si="10"/>
        <v>669.10381559999996</v>
      </c>
      <c r="BD33" s="110">
        <f>IFERROR(+LOOKUP(AY33,[9]TARIFAS!$A$4:$B$14,[9]TARIFAS!$C$4:$C$14),0)</f>
        <v>538.20000000000005</v>
      </c>
      <c r="BE33" s="110">
        <f t="shared" si="11"/>
        <v>1207.3</v>
      </c>
      <c r="BF33" s="110"/>
      <c r="BG33" s="110"/>
      <c r="BH33" s="110"/>
      <c r="BI33" s="109"/>
    </row>
    <row r="34" spans="1:61" s="128" customFormat="1" ht="21" customHeight="1" thickBot="1" x14ac:dyDescent="0.25">
      <c r="A34" s="121"/>
      <c r="B34" s="122"/>
      <c r="C34" s="123"/>
      <c r="D34" s="123" t="s">
        <v>110</v>
      </c>
      <c r="E34" s="123"/>
      <c r="F34" s="124"/>
      <c r="G34" s="124"/>
      <c r="H34" s="124"/>
      <c r="I34" s="124"/>
      <c r="J34" s="124"/>
      <c r="K34" s="124">
        <f>SUM(K5:K33)</f>
        <v>253128.75000000006</v>
      </c>
      <c r="L34" s="124"/>
      <c r="M34" s="124"/>
      <c r="N34" s="124">
        <f>SUM(N5:N33)</f>
        <v>2523.3799999999992</v>
      </c>
      <c r="O34" s="124"/>
      <c r="P34" s="124"/>
      <c r="Q34" s="124">
        <f>SUM(Q5:Q33)</f>
        <v>9734.119999999999</v>
      </c>
      <c r="R34" s="124">
        <f>SUM(R5:R33)</f>
        <v>13199.05</v>
      </c>
      <c r="S34" s="124">
        <f>SUM(S5:S33)</f>
        <v>7593.8625000000011</v>
      </c>
      <c r="T34" s="124"/>
      <c r="U34" s="124"/>
      <c r="V34" s="124">
        <f>SUM(V5:V33)</f>
        <v>20792.912499999995</v>
      </c>
      <c r="W34" s="124"/>
      <c r="X34" s="125"/>
      <c r="Y34" s="124">
        <f>SUM(Y5:Y33)</f>
        <v>361330.6253424657</v>
      </c>
      <c r="Z34" s="124">
        <f>SUM(Z5:Z33)</f>
        <v>647509.78784246591</v>
      </c>
      <c r="AA34" s="124"/>
      <c r="AB34" s="125"/>
      <c r="AC34" s="124">
        <f>SUM(AC5:AC33)</f>
        <v>24047.228000000006</v>
      </c>
      <c r="AD34" s="124"/>
      <c r="AE34" s="125"/>
      <c r="AF34" s="126">
        <f>SUM(AF5:AF33)</f>
        <v>22905.18</v>
      </c>
      <c r="AG34" s="124"/>
      <c r="AH34" s="125"/>
      <c r="AI34" s="124">
        <f>SUM(AI5:AI33)</f>
        <v>122438.14144437335</v>
      </c>
      <c r="AJ34" s="124"/>
      <c r="AK34" s="125"/>
      <c r="AL34" s="126">
        <f>SUM(AL5:AL33)</f>
        <v>1197.6978000000001</v>
      </c>
      <c r="AM34" s="124"/>
      <c r="AN34" s="125"/>
      <c r="AO34" s="124">
        <f>SUM(AO5:AO33)</f>
        <v>0</v>
      </c>
      <c r="AP34" s="124"/>
      <c r="AQ34" s="125"/>
      <c r="AR34" s="124">
        <f>SUM(AR5:AR33)</f>
        <v>-78702.221444373339</v>
      </c>
      <c r="AS34" s="124">
        <f>SUM(AS5:AS33)</f>
        <v>91886.025799999989</v>
      </c>
      <c r="AT34" s="124">
        <f>SUM(AT5:AT33)</f>
        <v>555623.76204246574</v>
      </c>
      <c r="AU34" s="127"/>
    </row>
    <row r="35" spans="1:61" s="128" customFormat="1" ht="21" customHeight="1" x14ac:dyDescent="0.2">
      <c r="A35" s="129"/>
      <c r="B35" s="129"/>
      <c r="C35" s="130"/>
      <c r="D35" s="130"/>
      <c r="E35" s="130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1"/>
      <c r="Y35" s="129"/>
      <c r="Z35" s="129"/>
      <c r="AA35" s="129"/>
      <c r="AB35" s="131"/>
      <c r="AC35" s="129"/>
      <c r="AD35" s="129"/>
      <c r="AE35" s="131"/>
      <c r="AF35" s="132"/>
      <c r="AG35" s="129"/>
      <c r="AH35" s="131"/>
      <c r="AI35" s="129"/>
      <c r="AJ35" s="129"/>
      <c r="AK35" s="131"/>
      <c r="AL35" s="132"/>
      <c r="AM35" s="129"/>
      <c r="AN35" s="131"/>
      <c r="AO35" s="129"/>
      <c r="AP35" s="129"/>
      <c r="AQ35" s="131"/>
      <c r="AR35" s="129"/>
      <c r="AS35" s="129"/>
      <c r="AT35" s="129"/>
      <c r="AU35" s="129"/>
    </row>
    <row r="36" spans="1:61" ht="15.75" x14ac:dyDescent="0.2">
      <c r="A36" s="133"/>
      <c r="B36" s="133"/>
      <c r="C36" s="134"/>
      <c r="D36" s="173" t="s">
        <v>111</v>
      </c>
      <c r="E36" s="173"/>
      <c r="F36" s="173"/>
      <c r="G36" s="173"/>
      <c r="H36" s="173"/>
      <c r="I36" s="173"/>
      <c r="J36" s="173"/>
      <c r="K36" s="173"/>
      <c r="L36" s="135"/>
      <c r="M36" s="135"/>
      <c r="O36" s="135"/>
      <c r="P36" s="136"/>
      <c r="Q36" s="137"/>
      <c r="R36" s="138"/>
      <c r="S36" s="173"/>
      <c r="T36" s="173"/>
      <c r="U36" s="173"/>
      <c r="V36" s="173"/>
      <c r="W36" s="173"/>
      <c r="X36" s="173"/>
      <c r="Y36" s="173"/>
      <c r="Z36" s="173"/>
      <c r="AA36" s="133"/>
      <c r="AB36" s="133"/>
      <c r="AC36" s="133"/>
      <c r="AD36" s="133"/>
      <c r="AE36" s="133"/>
      <c r="AG36" s="133"/>
      <c r="AH36" s="133"/>
      <c r="AI36" s="133"/>
      <c r="AJ36" s="133"/>
      <c r="AK36" s="133"/>
      <c r="AL36" s="173" t="s">
        <v>113</v>
      </c>
      <c r="AM36" s="173"/>
      <c r="AN36" s="173"/>
      <c r="AO36" s="173"/>
      <c r="AP36" s="173"/>
      <c r="AQ36" s="173"/>
      <c r="AR36" s="173"/>
      <c r="AS36" s="173"/>
      <c r="AT36" s="173"/>
    </row>
    <row r="37" spans="1:61" ht="22.5" customHeight="1" x14ac:dyDescent="0.2">
      <c r="A37" s="133"/>
      <c r="B37" s="133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O37" s="141"/>
      <c r="P37" s="142"/>
      <c r="Q37" s="141"/>
      <c r="R37" s="138"/>
      <c r="S37" s="138"/>
      <c r="T37" s="141"/>
      <c r="U37" s="142"/>
      <c r="W37" s="141"/>
      <c r="X37" s="142"/>
      <c r="Z37" s="138"/>
      <c r="AA37" s="141"/>
      <c r="AB37" s="142"/>
      <c r="AC37" s="143"/>
      <c r="AD37" s="141"/>
      <c r="AE37" s="142"/>
      <c r="AF37" s="144"/>
      <c r="AG37" s="141"/>
      <c r="AH37" s="142"/>
      <c r="AI37" s="133"/>
      <c r="AJ37" s="141"/>
      <c r="AK37" s="142"/>
      <c r="AL37" s="145"/>
      <c r="AM37" s="141"/>
      <c r="AN37" s="142"/>
      <c r="AO37" s="133"/>
      <c r="AP37" s="141"/>
      <c r="AQ37" s="142"/>
      <c r="AR37" s="133"/>
      <c r="AT37" s="133"/>
    </row>
    <row r="38" spans="1:61" ht="15.75" x14ac:dyDescent="0.2">
      <c r="A38" s="133"/>
      <c r="B38" s="133"/>
      <c r="C38" s="146"/>
      <c r="D38" s="173" t="s">
        <v>114</v>
      </c>
      <c r="E38" s="173"/>
      <c r="F38" s="173"/>
      <c r="G38" s="173"/>
      <c r="H38" s="173"/>
      <c r="I38" s="173"/>
      <c r="J38" s="173"/>
      <c r="K38" s="173"/>
      <c r="L38" s="135"/>
      <c r="M38" s="135"/>
      <c r="O38" s="135"/>
      <c r="P38" s="136"/>
      <c r="Q38" s="138"/>
      <c r="R38" s="138"/>
      <c r="S38" s="173"/>
      <c r="T38" s="173"/>
      <c r="U38" s="173"/>
      <c r="V38" s="173"/>
      <c r="W38" s="173"/>
      <c r="X38" s="173"/>
      <c r="Y38" s="173"/>
      <c r="Z38" s="173"/>
      <c r="AA38" s="133"/>
      <c r="AB38" s="133"/>
      <c r="AC38" s="133"/>
      <c r="AD38" s="133"/>
      <c r="AE38" s="133"/>
      <c r="AG38" s="133"/>
      <c r="AH38" s="133"/>
      <c r="AJ38" s="133"/>
      <c r="AK38" s="133"/>
      <c r="AL38" s="173" t="s">
        <v>115</v>
      </c>
      <c r="AM38" s="173"/>
      <c r="AN38" s="173"/>
      <c r="AO38" s="173"/>
      <c r="AP38" s="173"/>
      <c r="AQ38" s="173"/>
      <c r="AR38" s="173"/>
      <c r="AS38" s="173"/>
      <c r="AT38" s="173"/>
      <c r="AU38" s="133"/>
    </row>
    <row r="39" spans="1:61" ht="15.75" x14ac:dyDescent="0.2">
      <c r="A39" s="133"/>
      <c r="B39" s="133"/>
      <c r="C39" s="146"/>
      <c r="D39" s="173" t="s">
        <v>117</v>
      </c>
      <c r="E39" s="173"/>
      <c r="F39" s="173"/>
      <c r="G39" s="173"/>
      <c r="H39" s="173"/>
      <c r="I39" s="173"/>
      <c r="J39" s="173"/>
      <c r="K39" s="173"/>
      <c r="L39" s="135"/>
      <c r="M39" s="135"/>
      <c r="O39" s="135"/>
      <c r="P39" s="136"/>
      <c r="Q39" s="138"/>
      <c r="R39" s="138"/>
      <c r="S39" s="173"/>
      <c r="T39" s="173"/>
      <c r="U39" s="173"/>
      <c r="V39" s="173"/>
      <c r="W39" s="173"/>
      <c r="X39" s="173"/>
      <c r="Y39" s="173"/>
      <c r="Z39" s="173"/>
      <c r="AA39" s="133"/>
      <c r="AB39" s="133"/>
      <c r="AC39" s="133"/>
      <c r="AD39" s="133"/>
      <c r="AE39" s="133"/>
      <c r="AG39" s="133"/>
      <c r="AH39" s="133"/>
      <c r="AJ39" s="133"/>
      <c r="AK39" s="133"/>
      <c r="AL39" s="173" t="s">
        <v>133</v>
      </c>
      <c r="AM39" s="173"/>
      <c r="AN39" s="173"/>
      <c r="AO39" s="173"/>
      <c r="AP39" s="173"/>
      <c r="AQ39" s="173"/>
      <c r="AR39" s="173"/>
      <c r="AS39" s="173"/>
      <c r="AT39" s="173"/>
      <c r="AU39" s="133"/>
    </row>
    <row r="40" spans="1:61" x14ac:dyDescent="0.2">
      <c r="A40" s="133"/>
      <c r="B40" s="133"/>
      <c r="C40" s="146"/>
      <c r="D40" s="146"/>
      <c r="E40" s="146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47"/>
      <c r="Q40" s="133"/>
      <c r="T40" s="133"/>
      <c r="U40" s="147"/>
      <c r="W40" s="133"/>
      <c r="X40" s="147"/>
      <c r="Z40" s="133"/>
      <c r="AA40" s="133"/>
      <c r="AB40" s="147"/>
      <c r="AC40" s="133"/>
      <c r="AD40" s="133"/>
      <c r="AE40" s="147"/>
      <c r="AF40" s="148"/>
      <c r="AG40" s="133"/>
      <c r="AH40" s="147"/>
      <c r="AJ40" s="133"/>
      <c r="AK40" s="147"/>
      <c r="AM40" s="133"/>
      <c r="AN40" s="147"/>
      <c r="AP40" s="133"/>
      <c r="AQ40" s="147"/>
      <c r="AS40" s="133"/>
      <c r="AT40" s="133"/>
      <c r="AU40" s="133"/>
    </row>
    <row r="41" spans="1:61" x14ac:dyDescent="0.2">
      <c r="C41" s="146"/>
      <c r="D41" s="146"/>
      <c r="E41" s="146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47"/>
      <c r="Q41" s="133"/>
      <c r="R41" s="133"/>
      <c r="S41" s="133"/>
      <c r="T41" s="133"/>
      <c r="U41" s="147"/>
      <c r="V41" s="149"/>
      <c r="W41" s="133"/>
      <c r="X41" s="147"/>
      <c r="Y41" s="149"/>
      <c r="Z41" s="133"/>
      <c r="AA41" s="133"/>
      <c r="AB41" s="147"/>
      <c r="AC41" s="133"/>
      <c r="AD41" s="133"/>
      <c r="AE41" s="147"/>
      <c r="AF41" s="150"/>
      <c r="AG41" s="133"/>
      <c r="AH41" s="147"/>
      <c r="AI41" s="133"/>
      <c r="AJ41" s="133"/>
      <c r="AK41" s="147"/>
      <c r="AL41" s="150"/>
      <c r="AM41" s="133"/>
      <c r="AN41" s="147"/>
      <c r="AO41" s="133"/>
      <c r="AP41" s="133"/>
      <c r="AQ41" s="147"/>
      <c r="AR41" s="133"/>
      <c r="AS41" s="133"/>
    </row>
    <row r="42" spans="1:61" x14ac:dyDescent="0.2">
      <c r="C42" s="146"/>
      <c r="D42" s="146"/>
      <c r="E42" s="146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47"/>
      <c r="Q42" s="133"/>
      <c r="R42" s="133"/>
      <c r="S42" s="133"/>
      <c r="T42" s="133"/>
      <c r="U42" s="147"/>
      <c r="V42" s="149"/>
      <c r="W42" s="133"/>
      <c r="X42" s="147"/>
      <c r="Y42" s="149"/>
      <c r="Z42" s="133"/>
      <c r="AA42" s="133"/>
      <c r="AB42" s="147"/>
      <c r="AC42" s="133"/>
      <c r="AD42" s="133"/>
      <c r="AE42" s="147"/>
      <c r="AF42" s="150"/>
      <c r="AG42" s="133"/>
      <c r="AH42" s="147"/>
      <c r="AI42" s="133"/>
      <c r="AJ42" s="133"/>
      <c r="AK42" s="147"/>
      <c r="AL42" s="150"/>
      <c r="AM42" s="133"/>
      <c r="AN42" s="147"/>
      <c r="AO42" s="133"/>
      <c r="AP42" s="133"/>
      <c r="AQ42" s="147"/>
      <c r="AR42" s="133"/>
      <c r="AS42" s="133"/>
    </row>
    <row r="43" spans="1:61" x14ac:dyDescent="0.2">
      <c r="C43" s="146"/>
      <c r="D43" s="146"/>
      <c r="E43" s="146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7"/>
      <c r="Q43" s="133"/>
      <c r="R43" s="133"/>
      <c r="S43" s="133"/>
      <c r="T43" s="133"/>
      <c r="U43" s="147"/>
      <c r="V43" s="149"/>
      <c r="W43" s="133"/>
      <c r="X43" s="147"/>
      <c r="Y43" s="149"/>
      <c r="Z43" s="133"/>
      <c r="AA43" s="133"/>
      <c r="AB43" s="147"/>
      <c r="AC43" s="133"/>
      <c r="AD43" s="133"/>
      <c r="AE43" s="147"/>
      <c r="AF43" s="150"/>
      <c r="AG43" s="133"/>
      <c r="AH43" s="147"/>
      <c r="AI43" s="133"/>
      <c r="AJ43" s="133"/>
      <c r="AK43" s="147"/>
      <c r="AL43" s="150"/>
      <c r="AM43" s="133"/>
      <c r="AN43" s="147"/>
      <c r="AO43" s="133"/>
      <c r="AP43" s="133"/>
      <c r="AQ43" s="147"/>
      <c r="AR43" s="133"/>
      <c r="AS43" s="133"/>
      <c r="AT43" s="133"/>
    </row>
    <row r="44" spans="1:61" x14ac:dyDescent="0.2">
      <c r="C44" s="146"/>
      <c r="D44" s="146"/>
      <c r="E44" s="146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47"/>
      <c r="Q44" s="133"/>
      <c r="R44" s="133"/>
      <c r="S44" s="133"/>
      <c r="T44" s="133"/>
      <c r="U44" s="147"/>
      <c r="V44" s="149"/>
      <c r="W44" s="133"/>
      <c r="X44" s="147"/>
      <c r="Y44" s="149"/>
      <c r="Z44" s="133"/>
      <c r="AA44" s="133"/>
      <c r="AB44" s="147"/>
      <c r="AC44" s="133"/>
      <c r="AD44" s="133"/>
      <c r="AE44" s="147"/>
      <c r="AF44" s="150"/>
      <c r="AG44" s="133"/>
      <c r="AH44" s="147"/>
      <c r="AI44" s="133"/>
      <c r="AJ44" s="133"/>
      <c r="AK44" s="147"/>
      <c r="AL44" s="150"/>
      <c r="AM44" s="133"/>
      <c r="AN44" s="147"/>
      <c r="AO44" s="133"/>
      <c r="AP44" s="133"/>
      <c r="AQ44" s="147"/>
      <c r="AR44" s="133"/>
      <c r="AS44" s="133"/>
      <c r="AT44" s="133"/>
    </row>
    <row r="45" spans="1:61" x14ac:dyDescent="0.2">
      <c r="C45" s="146"/>
      <c r="D45" s="146"/>
      <c r="E45" s="146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47"/>
      <c r="Q45" s="133"/>
      <c r="R45" s="133"/>
      <c r="S45" s="133"/>
      <c r="T45" s="133"/>
      <c r="U45" s="147"/>
      <c r="V45" s="149"/>
      <c r="W45" s="133"/>
      <c r="X45" s="147"/>
      <c r="Y45" s="149"/>
      <c r="Z45" s="133"/>
      <c r="AA45" s="133"/>
      <c r="AB45" s="147"/>
      <c r="AC45" s="133"/>
      <c r="AD45" s="133"/>
      <c r="AE45" s="147"/>
      <c r="AF45" s="150"/>
      <c r="AG45" s="133"/>
      <c r="AH45" s="147"/>
      <c r="AI45" s="133"/>
      <c r="AJ45" s="133"/>
      <c r="AK45" s="147"/>
      <c r="AL45" s="150"/>
      <c r="AM45" s="133"/>
      <c r="AN45" s="147"/>
      <c r="AO45" s="133"/>
      <c r="AP45" s="133"/>
      <c r="AQ45" s="147"/>
      <c r="AR45" s="133"/>
      <c r="AS45" s="133"/>
      <c r="AT45" s="133"/>
    </row>
    <row r="46" spans="1:61" x14ac:dyDescent="0.2">
      <c r="C46" s="146"/>
      <c r="D46" s="146"/>
      <c r="E46" s="146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47"/>
      <c r="Q46" s="133"/>
      <c r="R46" s="133"/>
      <c r="S46" s="133"/>
      <c r="T46" s="133"/>
      <c r="U46" s="147"/>
      <c r="V46" s="149"/>
      <c r="W46" s="133"/>
      <c r="X46" s="147"/>
      <c r="Y46" s="149"/>
      <c r="Z46" s="133"/>
      <c r="AA46" s="133"/>
      <c r="AB46" s="147"/>
      <c r="AC46" s="133"/>
      <c r="AD46" s="133"/>
      <c r="AE46" s="147"/>
      <c r="AF46" s="150"/>
      <c r="AG46" s="133"/>
      <c r="AH46" s="147"/>
      <c r="AI46" s="133"/>
      <c r="AJ46" s="133"/>
      <c r="AK46" s="147"/>
      <c r="AL46" s="150"/>
      <c r="AM46" s="133"/>
      <c r="AN46" s="147"/>
      <c r="AO46" s="133"/>
      <c r="AP46" s="133"/>
      <c r="AQ46" s="147"/>
      <c r="AR46" s="133"/>
      <c r="AS46" s="133"/>
      <c r="AT46" s="133"/>
    </row>
    <row r="47" spans="1:61" x14ac:dyDescent="0.2">
      <c r="C47" s="146"/>
      <c r="D47" s="146"/>
      <c r="E47" s="146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47"/>
      <c r="Q47" s="133"/>
      <c r="R47" s="133"/>
      <c r="S47" s="133"/>
      <c r="T47" s="133"/>
      <c r="U47" s="147"/>
      <c r="V47" s="149"/>
      <c r="W47" s="133"/>
      <c r="X47" s="147"/>
      <c r="Y47" s="149"/>
      <c r="Z47" s="133"/>
      <c r="AA47" s="133"/>
      <c r="AB47" s="147"/>
      <c r="AC47" s="133"/>
      <c r="AD47" s="133"/>
      <c r="AE47" s="147"/>
      <c r="AF47" s="150"/>
      <c r="AG47" s="133"/>
      <c r="AH47" s="147"/>
      <c r="AI47" s="133"/>
      <c r="AJ47" s="133"/>
      <c r="AK47" s="147"/>
      <c r="AL47" s="150"/>
      <c r="AM47" s="133"/>
      <c r="AN47" s="147"/>
      <c r="AO47" s="133"/>
      <c r="AP47" s="133"/>
      <c r="AQ47" s="147"/>
      <c r="AR47" s="133"/>
      <c r="AS47" s="133"/>
    </row>
    <row r="48" spans="1:61" x14ac:dyDescent="0.2">
      <c r="C48" s="146"/>
      <c r="D48" s="146"/>
      <c r="E48" s="146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7"/>
      <c r="Q48" s="133"/>
      <c r="R48" s="133"/>
      <c r="S48" s="133"/>
      <c r="T48" s="133"/>
      <c r="U48" s="147"/>
      <c r="V48" s="149"/>
      <c r="W48" s="133"/>
      <c r="X48" s="147"/>
      <c r="Y48" s="149"/>
      <c r="Z48" s="133"/>
      <c r="AA48" s="133"/>
      <c r="AB48" s="147"/>
      <c r="AC48" s="133"/>
      <c r="AD48" s="133"/>
      <c r="AE48" s="147"/>
      <c r="AF48" s="150"/>
      <c r="AG48" s="133"/>
      <c r="AH48" s="147"/>
      <c r="AI48" s="133"/>
      <c r="AJ48" s="133"/>
      <c r="AK48" s="147"/>
      <c r="AL48" s="150"/>
      <c r="AM48" s="133"/>
      <c r="AN48" s="147"/>
      <c r="AO48" s="133"/>
      <c r="AP48" s="133"/>
      <c r="AQ48" s="147"/>
      <c r="AR48" s="133"/>
      <c r="AS48" s="133"/>
    </row>
    <row r="49" spans="3:45" x14ac:dyDescent="0.2">
      <c r="C49" s="146"/>
      <c r="D49" s="146"/>
      <c r="E49" s="146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47"/>
      <c r="Q49" s="133"/>
      <c r="R49" s="133"/>
      <c r="S49" s="133"/>
      <c r="T49" s="133"/>
      <c r="U49" s="147"/>
      <c r="V49" s="149"/>
      <c r="W49" s="133"/>
      <c r="X49" s="147"/>
      <c r="Y49" s="149"/>
      <c r="Z49" s="133"/>
      <c r="AA49" s="133"/>
      <c r="AB49" s="147"/>
      <c r="AC49" s="133"/>
      <c r="AD49" s="133"/>
      <c r="AE49" s="147"/>
      <c r="AF49" s="150"/>
      <c r="AG49" s="133"/>
      <c r="AH49" s="147"/>
      <c r="AI49" s="133"/>
      <c r="AJ49" s="133"/>
      <c r="AK49" s="147"/>
      <c r="AL49" s="150"/>
      <c r="AM49" s="133"/>
      <c r="AN49" s="147"/>
      <c r="AO49" s="133"/>
      <c r="AP49" s="133"/>
      <c r="AQ49" s="147"/>
      <c r="AR49" s="133"/>
      <c r="AS49" s="133"/>
    </row>
    <row r="50" spans="3:45" x14ac:dyDescent="0.2">
      <c r="C50" s="146"/>
      <c r="D50" s="146"/>
      <c r="E50" s="14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7"/>
      <c r="Q50" s="133"/>
      <c r="R50" s="133"/>
      <c r="S50" s="133"/>
      <c r="T50" s="133"/>
      <c r="U50" s="147"/>
      <c r="V50" s="149"/>
      <c r="W50" s="133"/>
      <c r="X50" s="147"/>
      <c r="Y50" s="149"/>
      <c r="Z50" s="133"/>
      <c r="AA50" s="133"/>
      <c r="AB50" s="147"/>
      <c r="AC50" s="133"/>
      <c r="AD50" s="133"/>
      <c r="AE50" s="147"/>
      <c r="AF50" s="150"/>
      <c r="AG50" s="133"/>
      <c r="AH50" s="147"/>
      <c r="AI50" s="133"/>
      <c r="AJ50" s="133"/>
      <c r="AK50" s="147"/>
      <c r="AL50" s="150"/>
      <c r="AM50" s="133"/>
      <c r="AN50" s="147"/>
      <c r="AO50" s="133"/>
      <c r="AP50" s="133"/>
      <c r="AQ50" s="147"/>
      <c r="AR50" s="133"/>
      <c r="AS50" s="133"/>
    </row>
    <row r="51" spans="3:45" x14ac:dyDescent="0.2">
      <c r="C51" s="146"/>
      <c r="D51" s="146"/>
      <c r="E51" s="14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47"/>
      <c r="Q51" s="133"/>
      <c r="R51" s="133"/>
      <c r="S51" s="133"/>
      <c r="T51" s="133"/>
      <c r="U51" s="147"/>
      <c r="V51" s="149"/>
      <c r="W51" s="133"/>
      <c r="X51" s="147"/>
      <c r="Y51" s="149"/>
      <c r="Z51" s="133"/>
      <c r="AA51" s="133"/>
      <c r="AB51" s="147"/>
      <c r="AC51" s="133"/>
      <c r="AD51" s="133"/>
      <c r="AE51" s="147"/>
      <c r="AF51" s="150"/>
      <c r="AG51" s="133"/>
      <c r="AH51" s="147"/>
      <c r="AI51" s="133"/>
      <c r="AJ51" s="133"/>
      <c r="AK51" s="147"/>
      <c r="AL51" s="150"/>
      <c r="AM51" s="133"/>
      <c r="AN51" s="147"/>
      <c r="AO51" s="133"/>
      <c r="AP51" s="133"/>
      <c r="AQ51" s="147"/>
      <c r="AR51" s="133"/>
      <c r="AS51" s="133"/>
    </row>
    <row r="52" spans="3:45" x14ac:dyDescent="0.2">
      <c r="C52" s="146"/>
      <c r="D52" s="146"/>
      <c r="E52" s="14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47"/>
      <c r="Q52" s="133"/>
      <c r="R52" s="133"/>
      <c r="S52" s="133"/>
      <c r="T52" s="133"/>
      <c r="U52" s="147"/>
      <c r="V52" s="149"/>
      <c r="W52" s="133"/>
      <c r="X52" s="147"/>
      <c r="Y52" s="149"/>
      <c r="Z52" s="133"/>
      <c r="AA52" s="133"/>
      <c r="AB52" s="147"/>
      <c r="AC52" s="133"/>
      <c r="AD52" s="133"/>
      <c r="AE52" s="147"/>
      <c r="AF52" s="150"/>
      <c r="AG52" s="133"/>
      <c r="AH52" s="147"/>
      <c r="AI52" s="133"/>
      <c r="AJ52" s="133"/>
      <c r="AK52" s="147"/>
      <c r="AL52" s="150"/>
      <c r="AM52" s="133"/>
      <c r="AN52" s="147"/>
      <c r="AO52" s="133"/>
      <c r="AP52" s="133"/>
      <c r="AQ52" s="147"/>
      <c r="AR52" s="133"/>
      <c r="AS52" s="133"/>
    </row>
    <row r="53" spans="3:45" x14ac:dyDescent="0.2">
      <c r="C53" s="146"/>
      <c r="D53" s="146"/>
      <c r="E53" s="146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47"/>
      <c r="Q53" s="133"/>
      <c r="R53" s="133"/>
      <c r="S53" s="133"/>
      <c r="T53" s="133"/>
      <c r="U53" s="147"/>
      <c r="V53" s="149"/>
      <c r="W53" s="133"/>
      <c r="X53" s="147"/>
      <c r="Y53" s="149"/>
      <c r="Z53" s="133"/>
      <c r="AA53" s="133"/>
      <c r="AB53" s="147"/>
      <c r="AC53" s="133"/>
      <c r="AD53" s="133"/>
      <c r="AE53" s="147"/>
      <c r="AF53" s="150"/>
      <c r="AG53" s="133"/>
      <c r="AH53" s="147"/>
      <c r="AI53" s="133"/>
      <c r="AJ53" s="133"/>
      <c r="AK53" s="147"/>
      <c r="AL53" s="150"/>
      <c r="AM53" s="133"/>
      <c r="AN53" s="147"/>
      <c r="AO53" s="133"/>
      <c r="AP53" s="133"/>
      <c r="AQ53" s="147"/>
      <c r="AR53" s="133"/>
      <c r="AS53" s="133"/>
    </row>
    <row r="54" spans="3:45" x14ac:dyDescent="0.2">
      <c r="C54" s="146"/>
      <c r="D54" s="146"/>
      <c r="E54" s="146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47"/>
      <c r="Q54" s="133"/>
      <c r="R54" s="133"/>
      <c r="S54" s="133"/>
      <c r="T54" s="133"/>
      <c r="U54" s="147"/>
      <c r="V54" s="149"/>
      <c r="W54" s="133"/>
      <c r="X54" s="147"/>
      <c r="Y54" s="149"/>
      <c r="Z54" s="133"/>
      <c r="AA54" s="133"/>
      <c r="AB54" s="147"/>
      <c r="AC54" s="133"/>
      <c r="AD54" s="133"/>
      <c r="AE54" s="147"/>
      <c r="AF54" s="150"/>
      <c r="AG54" s="133"/>
      <c r="AH54" s="147"/>
      <c r="AI54" s="133"/>
      <c r="AJ54" s="133"/>
      <c r="AK54" s="147"/>
      <c r="AL54" s="150"/>
      <c r="AM54" s="133"/>
      <c r="AN54" s="147"/>
      <c r="AO54" s="133"/>
      <c r="AP54" s="133"/>
      <c r="AQ54" s="147"/>
      <c r="AR54" s="133"/>
      <c r="AS54" s="133"/>
    </row>
    <row r="55" spans="3:45" x14ac:dyDescent="0.2">
      <c r="C55" s="146"/>
      <c r="D55" s="146"/>
      <c r="E55" s="146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47"/>
      <c r="Q55" s="133"/>
      <c r="R55" s="133"/>
      <c r="S55" s="133"/>
      <c r="T55" s="133"/>
      <c r="U55" s="147"/>
      <c r="V55" s="149"/>
      <c r="W55" s="133"/>
      <c r="X55" s="147"/>
      <c r="Y55" s="149"/>
      <c r="Z55" s="133"/>
      <c r="AA55" s="133"/>
      <c r="AB55" s="147"/>
      <c r="AC55" s="133"/>
      <c r="AD55" s="133"/>
      <c r="AE55" s="147"/>
      <c r="AF55" s="150"/>
      <c r="AG55" s="133"/>
      <c r="AH55" s="147"/>
      <c r="AI55" s="133"/>
      <c r="AJ55" s="133"/>
      <c r="AK55" s="147"/>
      <c r="AL55" s="150"/>
      <c r="AM55" s="133"/>
      <c r="AN55" s="147"/>
      <c r="AO55" s="133"/>
      <c r="AP55" s="133"/>
      <c r="AQ55" s="147"/>
      <c r="AR55" s="133"/>
      <c r="AS55" s="133"/>
    </row>
    <row r="56" spans="3:45" x14ac:dyDescent="0.2">
      <c r="C56" s="134"/>
      <c r="D56" s="151"/>
      <c r="E56" s="151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47"/>
      <c r="Q56" s="133"/>
      <c r="R56" s="133"/>
      <c r="S56" s="133"/>
      <c r="T56" s="133"/>
      <c r="U56" s="147"/>
      <c r="V56" s="149"/>
      <c r="W56" s="133"/>
      <c r="X56" s="147"/>
      <c r="Y56" s="149"/>
      <c r="Z56" s="133"/>
      <c r="AA56" s="133"/>
      <c r="AB56" s="147"/>
      <c r="AC56" s="133"/>
      <c r="AD56" s="133"/>
      <c r="AE56" s="147"/>
      <c r="AF56" s="150"/>
      <c r="AG56" s="133"/>
      <c r="AH56" s="147"/>
      <c r="AI56" s="133"/>
      <c r="AJ56" s="133"/>
      <c r="AK56" s="147"/>
      <c r="AL56" s="150"/>
      <c r="AM56" s="133"/>
      <c r="AN56" s="147"/>
      <c r="AO56" s="133"/>
      <c r="AP56" s="133"/>
      <c r="AQ56" s="147"/>
      <c r="AR56" s="133"/>
      <c r="AS56" s="133"/>
    </row>
    <row r="57" spans="3:45" x14ac:dyDescent="0.2">
      <c r="C57" s="134"/>
      <c r="D57" s="151"/>
      <c r="E57" s="151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7"/>
      <c r="Q57" s="133"/>
      <c r="R57" s="133"/>
      <c r="S57" s="133"/>
      <c r="T57" s="133"/>
      <c r="U57" s="147"/>
      <c r="V57" s="149"/>
      <c r="W57" s="133"/>
      <c r="X57" s="147"/>
      <c r="Y57" s="149"/>
      <c r="Z57" s="133"/>
      <c r="AA57" s="133"/>
      <c r="AB57" s="147"/>
      <c r="AC57" s="133"/>
      <c r="AD57" s="133"/>
      <c r="AE57" s="147"/>
      <c r="AF57" s="150"/>
      <c r="AG57" s="133"/>
      <c r="AH57" s="147"/>
      <c r="AI57" s="133"/>
      <c r="AJ57" s="133"/>
      <c r="AK57" s="147"/>
      <c r="AL57" s="150"/>
      <c r="AM57" s="133"/>
      <c r="AN57" s="147"/>
      <c r="AO57" s="133"/>
      <c r="AP57" s="133"/>
      <c r="AQ57" s="147"/>
      <c r="AR57" s="133"/>
      <c r="AS57" s="133"/>
    </row>
    <row r="58" spans="3:45" x14ac:dyDescent="0.2">
      <c r="C58" s="134"/>
      <c r="D58" s="151"/>
      <c r="E58" s="151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7"/>
      <c r="Q58" s="133"/>
      <c r="R58" s="133"/>
      <c r="S58" s="133"/>
      <c r="T58" s="133"/>
      <c r="U58" s="147"/>
      <c r="V58" s="149"/>
      <c r="W58" s="133"/>
      <c r="X58" s="147"/>
      <c r="Y58" s="149"/>
      <c r="Z58" s="133"/>
      <c r="AA58" s="133"/>
      <c r="AB58" s="147"/>
      <c r="AC58" s="133"/>
      <c r="AD58" s="133"/>
      <c r="AE58" s="147"/>
      <c r="AF58" s="150"/>
      <c r="AG58" s="133"/>
      <c r="AH58" s="147"/>
      <c r="AI58" s="133"/>
      <c r="AJ58" s="133"/>
      <c r="AK58" s="147"/>
      <c r="AL58" s="150"/>
      <c r="AM58" s="133"/>
      <c r="AN58" s="147"/>
      <c r="AO58" s="133"/>
      <c r="AP58" s="133"/>
      <c r="AQ58" s="147"/>
      <c r="AR58" s="133"/>
      <c r="AS58" s="133"/>
    </row>
    <row r="59" spans="3:45" x14ac:dyDescent="0.2">
      <c r="C59" s="134"/>
      <c r="D59" s="151"/>
      <c r="E59" s="151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47"/>
      <c r="Q59" s="133"/>
      <c r="R59" s="133"/>
      <c r="S59" s="133"/>
      <c r="T59" s="133"/>
      <c r="U59" s="147"/>
      <c r="V59" s="149"/>
      <c r="W59" s="133"/>
      <c r="X59" s="147"/>
      <c r="Y59" s="149"/>
      <c r="Z59" s="133"/>
      <c r="AA59" s="133"/>
      <c r="AB59" s="147"/>
      <c r="AC59" s="133"/>
      <c r="AD59" s="133"/>
      <c r="AE59" s="147"/>
      <c r="AF59" s="150"/>
      <c r="AG59" s="133"/>
      <c r="AH59" s="147"/>
      <c r="AI59" s="133"/>
      <c r="AJ59" s="133"/>
      <c r="AK59" s="147"/>
      <c r="AL59" s="150"/>
      <c r="AM59" s="133"/>
      <c r="AN59" s="147"/>
      <c r="AO59" s="133"/>
      <c r="AP59" s="133"/>
      <c r="AQ59" s="147"/>
      <c r="AR59" s="133"/>
      <c r="AS59" s="133"/>
    </row>
    <row r="60" spans="3:45" x14ac:dyDescent="0.2">
      <c r="C60" s="146"/>
      <c r="D60" s="146"/>
      <c r="E60" s="146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47"/>
      <c r="Q60" s="133"/>
      <c r="R60" s="133"/>
      <c r="S60" s="133"/>
      <c r="T60" s="133"/>
      <c r="U60" s="147"/>
      <c r="V60" s="149"/>
      <c r="W60" s="133"/>
      <c r="X60" s="147"/>
      <c r="Y60" s="149"/>
      <c r="Z60" s="133"/>
      <c r="AA60" s="133"/>
      <c r="AB60" s="147"/>
      <c r="AD60" s="133"/>
      <c r="AE60" s="147"/>
      <c r="AG60" s="133"/>
      <c r="AH60" s="147"/>
      <c r="AJ60" s="133"/>
      <c r="AK60" s="147"/>
      <c r="AM60" s="133"/>
      <c r="AN60" s="147"/>
      <c r="AP60" s="133"/>
      <c r="AQ60" s="147"/>
    </row>
    <row r="61" spans="3:45" x14ac:dyDescent="0.2">
      <c r="C61" s="146"/>
      <c r="D61" s="146"/>
      <c r="E61" s="146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47"/>
      <c r="Q61" s="133"/>
      <c r="R61" s="133"/>
      <c r="S61" s="133"/>
      <c r="T61" s="133"/>
      <c r="U61" s="147"/>
      <c r="V61" s="149"/>
      <c r="W61" s="133"/>
      <c r="X61" s="147"/>
      <c r="Y61" s="149"/>
      <c r="Z61" s="133"/>
      <c r="AA61" s="133"/>
      <c r="AB61" s="147"/>
      <c r="AD61" s="133"/>
      <c r="AE61" s="147"/>
      <c r="AG61" s="133"/>
      <c r="AH61" s="147"/>
      <c r="AJ61" s="133"/>
      <c r="AK61" s="147"/>
      <c r="AM61" s="133"/>
      <c r="AN61" s="147"/>
      <c r="AP61" s="133"/>
      <c r="AQ61" s="147"/>
    </row>
    <row r="62" spans="3:45" x14ac:dyDescent="0.2">
      <c r="C62" s="146"/>
      <c r="D62" s="146"/>
      <c r="E62" s="146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47"/>
      <c r="Q62" s="133"/>
      <c r="R62" s="133"/>
      <c r="S62" s="133"/>
      <c r="T62" s="133"/>
      <c r="U62" s="147"/>
      <c r="V62" s="149"/>
      <c r="W62" s="133"/>
      <c r="X62" s="147"/>
      <c r="Y62" s="149"/>
      <c r="Z62" s="133"/>
      <c r="AA62" s="133"/>
      <c r="AB62" s="147"/>
      <c r="AD62" s="133"/>
      <c r="AE62" s="147"/>
      <c r="AG62" s="133"/>
      <c r="AH62" s="147"/>
      <c r="AJ62" s="133"/>
      <c r="AK62" s="147"/>
      <c r="AM62" s="133"/>
      <c r="AN62" s="147"/>
      <c r="AP62" s="133"/>
      <c r="AQ62" s="147"/>
    </row>
    <row r="63" spans="3:45" x14ac:dyDescent="0.2">
      <c r="C63" s="146"/>
      <c r="D63" s="146"/>
      <c r="E63" s="146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47"/>
      <c r="Q63" s="133"/>
      <c r="R63" s="133"/>
      <c r="S63" s="133"/>
      <c r="T63" s="133"/>
      <c r="U63" s="147"/>
      <c r="V63" s="149"/>
      <c r="W63" s="133"/>
      <c r="X63" s="147"/>
      <c r="Y63" s="149"/>
      <c r="Z63" s="133"/>
      <c r="AA63" s="133"/>
      <c r="AB63" s="147"/>
      <c r="AD63" s="133"/>
      <c r="AE63" s="147"/>
      <c r="AG63" s="133"/>
      <c r="AH63" s="147"/>
      <c r="AJ63" s="133"/>
      <c r="AK63" s="147"/>
      <c r="AM63" s="133"/>
      <c r="AN63" s="147"/>
      <c r="AP63" s="133"/>
      <c r="AQ63" s="147"/>
    </row>
    <row r="64" spans="3:45" x14ac:dyDescent="0.2">
      <c r="C64" s="146"/>
      <c r="D64" s="146"/>
      <c r="E64" s="146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47"/>
      <c r="Q64" s="133"/>
      <c r="R64" s="133"/>
      <c r="S64" s="133"/>
      <c r="T64" s="133"/>
      <c r="U64" s="147"/>
      <c r="V64" s="149"/>
      <c r="W64" s="133"/>
      <c r="X64" s="147"/>
      <c r="Y64" s="149"/>
      <c r="Z64" s="133"/>
      <c r="AA64" s="133"/>
      <c r="AB64" s="147"/>
      <c r="AD64" s="133"/>
      <c r="AE64" s="147"/>
      <c r="AG64" s="133"/>
      <c r="AH64" s="147"/>
      <c r="AJ64" s="133"/>
      <c r="AK64" s="147"/>
      <c r="AM64" s="133"/>
      <c r="AN64" s="147"/>
      <c r="AP64" s="133"/>
      <c r="AQ64" s="147"/>
    </row>
    <row r="65" spans="3:46" x14ac:dyDescent="0.2">
      <c r="C65" s="146"/>
      <c r="D65" s="146"/>
      <c r="E65" s="146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47"/>
      <c r="Q65" s="133"/>
      <c r="R65" s="133"/>
      <c r="S65" s="133"/>
      <c r="T65" s="133"/>
      <c r="U65" s="147"/>
      <c r="V65" s="149"/>
      <c r="W65" s="133"/>
      <c r="X65" s="147"/>
      <c r="Y65" s="149"/>
      <c r="Z65" s="133"/>
      <c r="AA65" s="133"/>
      <c r="AB65" s="147"/>
      <c r="AD65" s="133"/>
      <c r="AE65" s="147"/>
      <c r="AG65" s="133"/>
      <c r="AH65" s="147"/>
      <c r="AJ65" s="133"/>
      <c r="AK65" s="147"/>
      <c r="AM65" s="133"/>
      <c r="AN65" s="147"/>
      <c r="AP65" s="133"/>
      <c r="AQ65" s="147"/>
    </row>
    <row r="66" spans="3:46" x14ac:dyDescent="0.2">
      <c r="C66" s="140"/>
      <c r="D66" s="140"/>
      <c r="E66" s="140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47"/>
      <c r="Q66" s="149"/>
      <c r="R66" s="133"/>
      <c r="S66" s="149"/>
      <c r="T66" s="133"/>
      <c r="U66" s="147"/>
      <c r="V66" s="149"/>
      <c r="W66" s="133"/>
      <c r="X66" s="147"/>
      <c r="Y66" s="149"/>
      <c r="Z66" s="133"/>
      <c r="AA66" s="133"/>
      <c r="AB66" s="147"/>
      <c r="AC66" s="133"/>
      <c r="AD66" s="133"/>
      <c r="AE66" s="147"/>
      <c r="AF66" s="150"/>
      <c r="AG66" s="133"/>
      <c r="AH66" s="147"/>
      <c r="AI66" s="133"/>
      <c r="AJ66" s="133"/>
      <c r="AK66" s="147"/>
      <c r="AL66" s="150"/>
      <c r="AM66" s="133"/>
      <c r="AN66" s="147"/>
      <c r="AO66" s="133"/>
      <c r="AP66" s="133"/>
      <c r="AQ66" s="147"/>
      <c r="AR66" s="133"/>
      <c r="AS66" s="133"/>
    </row>
    <row r="67" spans="3:46" x14ac:dyDescent="0.2">
      <c r="C67" s="146"/>
      <c r="D67" s="146"/>
      <c r="E67" s="146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47"/>
      <c r="Q67" s="133"/>
      <c r="R67" s="133"/>
      <c r="S67" s="133"/>
      <c r="T67" s="133"/>
      <c r="U67" s="147"/>
      <c r="V67" s="133"/>
      <c r="W67" s="133"/>
      <c r="X67" s="147"/>
      <c r="Y67" s="133"/>
      <c r="Z67" s="133"/>
      <c r="AA67" s="133"/>
      <c r="AB67" s="147"/>
      <c r="AC67" s="133"/>
      <c r="AD67" s="133"/>
      <c r="AE67" s="147"/>
      <c r="AF67" s="150"/>
      <c r="AG67" s="133"/>
      <c r="AH67" s="147"/>
      <c r="AI67" s="133"/>
      <c r="AJ67" s="133"/>
      <c r="AK67" s="147"/>
      <c r="AL67" s="150"/>
      <c r="AM67" s="133"/>
      <c r="AN67" s="147"/>
      <c r="AO67" s="133"/>
      <c r="AP67" s="133"/>
      <c r="AQ67" s="147"/>
      <c r="AR67" s="133"/>
      <c r="AS67" s="133"/>
    </row>
    <row r="68" spans="3:46" x14ac:dyDescent="0.2">
      <c r="C68" s="134"/>
      <c r="D68" s="146"/>
      <c r="E68" s="146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47"/>
      <c r="Q68" s="133"/>
      <c r="R68" s="133"/>
      <c r="S68" s="133"/>
      <c r="T68" s="133"/>
      <c r="U68" s="147"/>
      <c r="V68" s="133"/>
      <c r="W68" s="133"/>
      <c r="X68" s="147"/>
      <c r="Y68" s="133"/>
      <c r="Z68" s="133"/>
      <c r="AA68" s="133"/>
      <c r="AB68" s="147"/>
      <c r="AC68" s="133"/>
      <c r="AD68" s="133"/>
      <c r="AE68" s="147"/>
      <c r="AF68" s="150"/>
      <c r="AG68" s="133"/>
      <c r="AH68" s="147"/>
      <c r="AI68" s="133"/>
      <c r="AJ68" s="133"/>
      <c r="AK68" s="147"/>
      <c r="AL68" s="150"/>
      <c r="AM68" s="133"/>
      <c r="AN68" s="147"/>
      <c r="AO68" s="133"/>
      <c r="AP68" s="133"/>
      <c r="AQ68" s="147"/>
      <c r="AR68" s="133"/>
      <c r="AS68" s="133"/>
    </row>
    <row r="69" spans="3:46" x14ac:dyDescent="0.2">
      <c r="C69" s="146"/>
      <c r="D69" s="146"/>
      <c r="E69" s="146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47"/>
      <c r="Q69" s="133"/>
      <c r="R69" s="133"/>
      <c r="S69" s="133"/>
      <c r="T69" s="133"/>
      <c r="U69" s="147"/>
      <c r="V69" s="133"/>
      <c r="W69" s="133"/>
      <c r="X69" s="147"/>
      <c r="Y69" s="133"/>
      <c r="Z69" s="133"/>
      <c r="AA69" s="133"/>
      <c r="AB69" s="147"/>
      <c r="AC69" s="133"/>
      <c r="AD69" s="133"/>
      <c r="AE69" s="147"/>
      <c r="AF69" s="150"/>
      <c r="AG69" s="133"/>
      <c r="AH69" s="147"/>
      <c r="AI69" s="133"/>
      <c r="AJ69" s="133"/>
      <c r="AK69" s="147"/>
      <c r="AL69" s="150"/>
      <c r="AM69" s="133"/>
      <c r="AN69" s="147"/>
      <c r="AO69" s="133"/>
      <c r="AP69" s="133"/>
      <c r="AQ69" s="147"/>
      <c r="AR69" s="133"/>
      <c r="AS69" s="133"/>
    </row>
    <row r="70" spans="3:46" x14ac:dyDescent="0.2">
      <c r="C70" s="146"/>
      <c r="D70" s="146"/>
      <c r="E70" s="146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47"/>
      <c r="Q70" s="133"/>
      <c r="R70" s="133"/>
      <c r="S70" s="133"/>
      <c r="T70" s="133"/>
      <c r="U70" s="147"/>
      <c r="V70" s="133"/>
      <c r="W70" s="133"/>
      <c r="X70" s="147"/>
      <c r="Y70" s="133"/>
      <c r="Z70" s="133"/>
      <c r="AA70" s="133"/>
      <c r="AB70" s="147"/>
      <c r="AC70" s="133"/>
      <c r="AD70" s="133"/>
      <c r="AE70" s="147"/>
      <c r="AF70" s="150"/>
      <c r="AG70" s="133"/>
      <c r="AH70" s="147"/>
      <c r="AI70" s="133"/>
      <c r="AJ70" s="133"/>
      <c r="AK70" s="147"/>
      <c r="AL70" s="150"/>
      <c r="AM70" s="133"/>
      <c r="AN70" s="147"/>
      <c r="AO70" s="133"/>
      <c r="AP70" s="133"/>
      <c r="AQ70" s="147"/>
      <c r="AR70" s="133"/>
      <c r="AS70" s="133"/>
    </row>
    <row r="71" spans="3:46" x14ac:dyDescent="0.2">
      <c r="C71" s="146"/>
      <c r="D71" s="146"/>
      <c r="E71" s="146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47"/>
      <c r="Q71" s="133"/>
      <c r="R71" s="133"/>
      <c r="S71" s="133"/>
      <c r="T71" s="133"/>
      <c r="U71" s="147"/>
      <c r="V71" s="133"/>
      <c r="W71" s="133"/>
      <c r="X71" s="147"/>
      <c r="Y71" s="133"/>
      <c r="Z71" s="133"/>
      <c r="AA71" s="133"/>
      <c r="AB71" s="147"/>
      <c r="AC71" s="133"/>
      <c r="AD71" s="133"/>
      <c r="AE71" s="147"/>
      <c r="AF71" s="150"/>
      <c r="AG71" s="133"/>
      <c r="AH71" s="147"/>
      <c r="AI71" s="133"/>
      <c r="AJ71" s="133"/>
      <c r="AK71" s="147"/>
      <c r="AL71" s="150"/>
      <c r="AM71" s="133"/>
      <c r="AN71" s="147"/>
      <c r="AO71" s="133"/>
      <c r="AP71" s="133"/>
      <c r="AQ71" s="147"/>
      <c r="AR71" s="133"/>
      <c r="AS71" s="133"/>
    </row>
    <row r="72" spans="3:46" x14ac:dyDescent="0.2">
      <c r="C72" s="146"/>
      <c r="D72" s="146"/>
      <c r="E72" s="146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47"/>
      <c r="Q72" s="133"/>
      <c r="R72" s="152"/>
      <c r="S72" s="133"/>
      <c r="T72" s="133"/>
      <c r="U72" s="147"/>
      <c r="V72" s="133"/>
      <c r="W72" s="133"/>
      <c r="X72" s="147"/>
      <c r="Y72" s="133"/>
      <c r="Z72" s="133"/>
      <c r="AA72" s="133"/>
      <c r="AB72" s="147"/>
      <c r="AC72" s="133"/>
      <c r="AD72" s="133"/>
      <c r="AE72" s="147"/>
      <c r="AF72" s="150"/>
      <c r="AG72" s="133"/>
      <c r="AH72" s="147"/>
      <c r="AI72" s="133"/>
      <c r="AJ72" s="133"/>
      <c r="AK72" s="147"/>
      <c r="AL72" s="150"/>
      <c r="AM72" s="133"/>
      <c r="AN72" s="147"/>
      <c r="AO72" s="133"/>
      <c r="AP72" s="133"/>
      <c r="AQ72" s="147"/>
      <c r="AR72" s="133"/>
      <c r="AS72" s="133"/>
    </row>
    <row r="73" spans="3:46" x14ac:dyDescent="0.2">
      <c r="C73" s="146"/>
      <c r="D73" s="146"/>
      <c r="E73" s="146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47"/>
      <c r="Q73" s="133"/>
      <c r="R73" s="152"/>
      <c r="S73" s="133"/>
      <c r="T73" s="133"/>
      <c r="U73" s="147"/>
      <c r="V73" s="133"/>
      <c r="W73" s="133"/>
      <c r="X73" s="147"/>
      <c r="Y73" s="133"/>
      <c r="Z73" s="133"/>
      <c r="AA73" s="133"/>
      <c r="AB73" s="147"/>
      <c r="AC73" s="133"/>
      <c r="AD73" s="133"/>
      <c r="AE73" s="147"/>
      <c r="AF73" s="150"/>
      <c r="AG73" s="133"/>
      <c r="AH73" s="147"/>
      <c r="AI73" s="133"/>
      <c r="AJ73" s="133"/>
      <c r="AK73" s="147"/>
      <c r="AL73" s="150"/>
      <c r="AM73" s="133"/>
      <c r="AN73" s="147"/>
      <c r="AO73" s="133"/>
      <c r="AP73" s="133"/>
      <c r="AQ73" s="147"/>
      <c r="AR73" s="133"/>
      <c r="AS73" s="133"/>
    </row>
    <row r="74" spans="3:46" x14ac:dyDescent="0.2">
      <c r="C74" s="146"/>
      <c r="D74" s="146"/>
      <c r="E74" s="146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47"/>
      <c r="Q74" s="133"/>
      <c r="R74" s="152"/>
      <c r="S74" s="133"/>
      <c r="T74" s="133"/>
      <c r="U74" s="147"/>
      <c r="V74" s="133"/>
      <c r="W74" s="133"/>
      <c r="X74" s="147"/>
      <c r="Y74" s="133"/>
      <c r="Z74" s="133"/>
      <c r="AA74" s="133"/>
      <c r="AB74" s="147"/>
      <c r="AC74" s="133"/>
      <c r="AD74" s="133"/>
      <c r="AE74" s="147"/>
      <c r="AF74" s="150"/>
      <c r="AG74" s="133"/>
      <c r="AH74" s="147"/>
      <c r="AI74" s="133"/>
      <c r="AJ74" s="133"/>
      <c r="AK74" s="147"/>
      <c r="AL74" s="150"/>
      <c r="AM74" s="133"/>
      <c r="AN74" s="147"/>
      <c r="AO74" s="133"/>
      <c r="AP74" s="133"/>
      <c r="AQ74" s="147"/>
      <c r="AR74" s="133"/>
      <c r="AS74" s="133"/>
    </row>
    <row r="75" spans="3:46" x14ac:dyDescent="0.2">
      <c r="C75" s="146"/>
      <c r="D75" s="146"/>
      <c r="E75" s="146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47"/>
      <c r="Q75" s="133"/>
      <c r="R75" s="152"/>
      <c r="S75" s="133"/>
      <c r="T75" s="133"/>
      <c r="U75" s="147"/>
      <c r="V75" s="133"/>
      <c r="W75" s="133"/>
      <c r="X75" s="147"/>
      <c r="Y75" s="133"/>
      <c r="Z75" s="133"/>
      <c r="AA75" s="133"/>
      <c r="AB75" s="147"/>
      <c r="AC75" s="133"/>
      <c r="AD75" s="133"/>
      <c r="AE75" s="147"/>
      <c r="AF75" s="150"/>
      <c r="AG75" s="133"/>
      <c r="AH75" s="147"/>
      <c r="AI75" s="133"/>
      <c r="AJ75" s="133"/>
      <c r="AK75" s="147"/>
      <c r="AL75" s="150"/>
      <c r="AM75" s="133"/>
      <c r="AN75" s="147"/>
      <c r="AO75" s="133"/>
      <c r="AP75" s="133"/>
      <c r="AQ75" s="147"/>
      <c r="AR75" s="133"/>
      <c r="AS75" s="133"/>
      <c r="AT75" s="133"/>
    </row>
    <row r="76" spans="3:46" x14ac:dyDescent="0.2">
      <c r="C76" s="146"/>
      <c r="D76" s="146"/>
      <c r="E76" s="146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47"/>
      <c r="Q76" s="133"/>
      <c r="R76" s="152"/>
      <c r="S76" s="133"/>
      <c r="T76" s="133"/>
      <c r="U76" s="147"/>
      <c r="V76" s="133"/>
      <c r="W76" s="133"/>
      <c r="X76" s="147"/>
      <c r="Y76" s="133"/>
      <c r="Z76" s="133"/>
      <c r="AA76" s="133"/>
      <c r="AB76" s="147"/>
      <c r="AC76" s="133"/>
      <c r="AD76" s="133"/>
      <c r="AE76" s="147"/>
      <c r="AF76" s="150"/>
      <c r="AG76" s="133"/>
      <c r="AH76" s="147"/>
      <c r="AI76" s="133"/>
      <c r="AJ76" s="133"/>
      <c r="AK76" s="147"/>
      <c r="AL76" s="150"/>
      <c r="AM76" s="133"/>
      <c r="AN76" s="147"/>
      <c r="AO76" s="133"/>
      <c r="AP76" s="133"/>
      <c r="AQ76" s="147"/>
      <c r="AR76" s="133"/>
      <c r="AS76" s="133"/>
      <c r="AT76" s="133"/>
    </row>
    <row r="77" spans="3:46" x14ac:dyDescent="0.2">
      <c r="C77" s="146"/>
      <c r="D77" s="146"/>
      <c r="E77" s="146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7"/>
      <c r="Q77" s="133"/>
      <c r="R77" s="152"/>
      <c r="S77" s="133"/>
      <c r="T77" s="133"/>
      <c r="U77" s="147"/>
      <c r="V77" s="133"/>
      <c r="W77" s="133"/>
      <c r="X77" s="147"/>
      <c r="Y77" s="133"/>
      <c r="Z77" s="133"/>
      <c r="AA77" s="133"/>
      <c r="AB77" s="147"/>
      <c r="AD77" s="133"/>
      <c r="AE77" s="147"/>
      <c r="AG77" s="133"/>
      <c r="AH77" s="147"/>
      <c r="AJ77" s="133"/>
      <c r="AK77" s="147"/>
      <c r="AM77" s="133"/>
      <c r="AN77" s="147"/>
      <c r="AP77" s="133"/>
      <c r="AQ77" s="147"/>
      <c r="AT77" s="133"/>
    </row>
    <row r="78" spans="3:46" x14ac:dyDescent="0.2">
      <c r="C78" s="146"/>
      <c r="D78" s="146"/>
      <c r="E78" s="146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47"/>
      <c r="Q78" s="133"/>
      <c r="R78" s="152"/>
      <c r="S78" s="133"/>
      <c r="T78" s="133"/>
      <c r="U78" s="147"/>
      <c r="V78" s="133"/>
      <c r="W78" s="133"/>
      <c r="X78" s="147"/>
      <c r="Y78" s="133"/>
      <c r="Z78" s="133"/>
      <c r="AA78" s="133"/>
      <c r="AB78" s="147"/>
      <c r="AD78" s="133"/>
      <c r="AE78" s="147"/>
      <c r="AG78" s="133"/>
      <c r="AH78" s="147"/>
      <c r="AJ78" s="133"/>
      <c r="AK78" s="147"/>
      <c r="AM78" s="133"/>
      <c r="AN78" s="147"/>
      <c r="AP78" s="133"/>
      <c r="AQ78" s="147"/>
      <c r="AT78" s="133"/>
    </row>
    <row r="79" spans="3:46" x14ac:dyDescent="0.2">
      <c r="C79" s="146"/>
      <c r="D79" s="146"/>
      <c r="E79" s="146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47"/>
      <c r="Q79" s="133"/>
      <c r="R79" s="152"/>
      <c r="S79" s="133"/>
      <c r="T79" s="133"/>
      <c r="U79" s="147"/>
      <c r="V79" s="133"/>
      <c r="W79" s="133"/>
      <c r="X79" s="147"/>
      <c r="Y79" s="133"/>
      <c r="Z79" s="133"/>
      <c r="AA79" s="133"/>
      <c r="AB79" s="147"/>
      <c r="AD79" s="133"/>
      <c r="AE79" s="147"/>
      <c r="AG79" s="133"/>
      <c r="AH79" s="147"/>
      <c r="AJ79" s="133"/>
      <c r="AK79" s="147"/>
      <c r="AM79" s="133"/>
      <c r="AN79" s="147"/>
      <c r="AP79" s="133"/>
      <c r="AQ79" s="147"/>
    </row>
    <row r="80" spans="3:46" x14ac:dyDescent="0.2">
      <c r="C80" s="146"/>
      <c r="D80" s="146"/>
      <c r="E80" s="146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47"/>
      <c r="Q80" s="133"/>
      <c r="R80" s="152"/>
      <c r="S80" s="133"/>
      <c r="T80" s="133"/>
      <c r="U80" s="147"/>
      <c r="V80" s="133"/>
      <c r="W80" s="133"/>
      <c r="X80" s="147"/>
      <c r="Y80" s="133"/>
      <c r="Z80" s="153"/>
      <c r="AA80" s="133"/>
      <c r="AB80" s="147"/>
      <c r="AC80" s="153"/>
      <c r="AD80" s="133"/>
      <c r="AE80" s="147"/>
      <c r="AF80" s="154"/>
      <c r="AG80" s="133"/>
      <c r="AH80" s="147"/>
      <c r="AI80" s="153"/>
      <c r="AJ80" s="133"/>
      <c r="AK80" s="147"/>
      <c r="AL80" s="154"/>
      <c r="AM80" s="133"/>
      <c r="AN80" s="147"/>
      <c r="AO80" s="153"/>
      <c r="AP80" s="133"/>
      <c r="AQ80" s="147"/>
      <c r="AR80" s="153"/>
      <c r="AS80" s="153"/>
      <c r="AT80" s="153"/>
    </row>
    <row r="81" spans="3:46" x14ac:dyDescent="0.2">
      <c r="C81" s="146"/>
      <c r="D81" s="146"/>
      <c r="E81" s="146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47"/>
      <c r="Q81" s="133"/>
      <c r="R81" s="152"/>
      <c r="S81" s="133"/>
      <c r="T81" s="133"/>
      <c r="U81" s="147"/>
      <c r="V81" s="133"/>
      <c r="W81" s="133"/>
      <c r="X81" s="147"/>
      <c r="Y81" s="133"/>
      <c r="Z81" s="133"/>
      <c r="AA81" s="133"/>
      <c r="AB81" s="147"/>
      <c r="AC81" s="133"/>
      <c r="AD81" s="133"/>
      <c r="AE81" s="147"/>
      <c r="AF81" s="150"/>
      <c r="AG81" s="133"/>
      <c r="AH81" s="147"/>
      <c r="AI81" s="133"/>
      <c r="AJ81" s="133"/>
      <c r="AK81" s="147"/>
      <c r="AL81" s="150"/>
      <c r="AM81" s="133"/>
      <c r="AN81" s="147"/>
      <c r="AO81" s="133"/>
      <c r="AP81" s="133"/>
      <c r="AQ81" s="147"/>
      <c r="AR81" s="133"/>
      <c r="AS81" s="133"/>
      <c r="AT81" s="133"/>
    </row>
    <row r="82" spans="3:46" x14ac:dyDescent="0.2">
      <c r="C82" s="140"/>
      <c r="D82" s="140"/>
      <c r="E82" s="140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47"/>
      <c r="Q82" s="133"/>
      <c r="R82" s="152"/>
      <c r="S82" s="133"/>
      <c r="T82" s="133"/>
      <c r="U82" s="147"/>
      <c r="V82" s="133"/>
      <c r="W82" s="133"/>
      <c r="X82" s="147"/>
      <c r="Y82" s="133"/>
      <c r="Z82" s="133"/>
      <c r="AA82" s="133"/>
      <c r="AB82" s="147"/>
      <c r="AC82" s="133"/>
      <c r="AD82" s="133"/>
      <c r="AE82" s="147"/>
      <c r="AF82" s="150"/>
      <c r="AG82" s="133"/>
      <c r="AH82" s="147"/>
      <c r="AI82" s="133"/>
      <c r="AJ82" s="133"/>
      <c r="AK82" s="147"/>
      <c r="AL82" s="150"/>
      <c r="AM82" s="133"/>
      <c r="AN82" s="147"/>
      <c r="AO82" s="133"/>
      <c r="AP82" s="133"/>
      <c r="AQ82" s="147"/>
      <c r="AR82" s="133"/>
      <c r="AS82" s="133"/>
      <c r="AT82" s="133"/>
    </row>
    <row r="83" spans="3:46" x14ac:dyDescent="0.2">
      <c r="C83" s="146"/>
      <c r="D83" s="146"/>
      <c r="E83" s="146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47"/>
      <c r="Q83" s="133"/>
      <c r="R83" s="152"/>
      <c r="S83" s="133"/>
      <c r="T83" s="133"/>
      <c r="U83" s="147"/>
      <c r="V83" s="133"/>
      <c r="W83" s="133"/>
      <c r="X83" s="147"/>
      <c r="Y83" s="133"/>
      <c r="Z83" s="133"/>
      <c r="AA83" s="133"/>
      <c r="AB83" s="147"/>
      <c r="AC83" s="133"/>
      <c r="AD83" s="133"/>
      <c r="AE83" s="147"/>
      <c r="AF83" s="150"/>
      <c r="AG83" s="133"/>
      <c r="AH83" s="147"/>
      <c r="AI83" s="133"/>
      <c r="AJ83" s="133"/>
      <c r="AK83" s="147"/>
      <c r="AL83" s="150"/>
      <c r="AM83" s="133"/>
      <c r="AN83" s="147"/>
      <c r="AO83" s="133"/>
      <c r="AP83" s="133"/>
      <c r="AQ83" s="147"/>
      <c r="AR83" s="133"/>
      <c r="AS83" s="133"/>
      <c r="AT83" s="133"/>
    </row>
    <row r="84" spans="3:46" x14ac:dyDescent="0.2">
      <c r="C84" s="146"/>
      <c r="D84" s="146"/>
      <c r="E84" s="146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47"/>
      <c r="Q84" s="133"/>
      <c r="R84" s="152"/>
      <c r="S84" s="133"/>
      <c r="T84" s="133"/>
      <c r="U84" s="147"/>
      <c r="V84" s="133"/>
      <c r="W84" s="133"/>
      <c r="X84" s="147"/>
      <c r="Y84" s="133"/>
      <c r="Z84" s="133"/>
      <c r="AA84" s="133"/>
      <c r="AB84" s="147"/>
      <c r="AC84" s="133"/>
      <c r="AD84" s="133"/>
      <c r="AE84" s="147"/>
      <c r="AF84" s="150"/>
      <c r="AG84" s="133"/>
      <c r="AH84" s="147"/>
      <c r="AI84" s="133"/>
      <c r="AJ84" s="133"/>
      <c r="AK84" s="147"/>
      <c r="AL84" s="150"/>
      <c r="AM84" s="133"/>
      <c r="AN84" s="147"/>
      <c r="AO84" s="133"/>
      <c r="AP84" s="133"/>
      <c r="AQ84" s="147"/>
      <c r="AR84" s="133"/>
      <c r="AS84" s="133"/>
      <c r="AT84" s="133"/>
    </row>
    <row r="85" spans="3:46" x14ac:dyDescent="0.2">
      <c r="C85" s="146"/>
      <c r="D85" s="146"/>
      <c r="E85" s="146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47"/>
      <c r="Q85" s="133"/>
      <c r="R85" s="152"/>
      <c r="S85" s="133"/>
      <c r="T85" s="133"/>
      <c r="U85" s="147"/>
      <c r="V85" s="133"/>
      <c r="W85" s="133"/>
      <c r="X85" s="147"/>
      <c r="Y85" s="133"/>
      <c r="Z85" s="133"/>
      <c r="AA85" s="133"/>
      <c r="AB85" s="147"/>
      <c r="AC85" s="133"/>
      <c r="AD85" s="133"/>
      <c r="AE85" s="147"/>
      <c r="AF85" s="150"/>
      <c r="AG85" s="133"/>
      <c r="AH85" s="147"/>
      <c r="AI85" s="133"/>
      <c r="AJ85" s="133"/>
      <c r="AK85" s="147"/>
      <c r="AL85" s="150"/>
      <c r="AM85" s="133"/>
      <c r="AN85" s="147"/>
      <c r="AO85" s="133"/>
      <c r="AP85" s="133"/>
      <c r="AQ85" s="147"/>
      <c r="AR85" s="133"/>
      <c r="AS85" s="133"/>
      <c r="AT85" s="133"/>
    </row>
    <row r="86" spans="3:46" x14ac:dyDescent="0.2">
      <c r="C86" s="146"/>
      <c r="D86" s="146"/>
      <c r="E86" s="14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7"/>
      <c r="Q86" s="133"/>
      <c r="R86" s="152"/>
      <c r="S86" s="133"/>
      <c r="T86" s="133"/>
      <c r="U86" s="147"/>
      <c r="V86" s="133"/>
      <c r="W86" s="133"/>
      <c r="X86" s="147"/>
      <c r="Y86" s="133"/>
      <c r="Z86" s="133"/>
      <c r="AA86" s="133"/>
      <c r="AB86" s="147"/>
      <c r="AC86" s="133"/>
      <c r="AD86" s="133"/>
      <c r="AE86" s="147"/>
      <c r="AF86" s="150"/>
      <c r="AG86" s="133"/>
      <c r="AH86" s="147"/>
      <c r="AI86" s="133"/>
      <c r="AJ86" s="133"/>
      <c r="AK86" s="147"/>
      <c r="AL86" s="150"/>
      <c r="AM86" s="133"/>
      <c r="AN86" s="147"/>
      <c r="AO86" s="133"/>
      <c r="AP86" s="133"/>
      <c r="AQ86" s="147"/>
      <c r="AR86" s="133"/>
      <c r="AS86" s="133"/>
      <c r="AT86" s="133"/>
    </row>
    <row r="87" spans="3:46" x14ac:dyDescent="0.2">
      <c r="C87" s="146"/>
      <c r="D87" s="146"/>
      <c r="E87" s="14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7"/>
      <c r="Q87" s="133"/>
      <c r="R87" s="152"/>
      <c r="S87" s="133"/>
      <c r="T87" s="133"/>
      <c r="U87" s="147"/>
      <c r="V87" s="133"/>
      <c r="W87" s="133"/>
      <c r="X87" s="147"/>
      <c r="Y87" s="133"/>
      <c r="Z87" s="133"/>
      <c r="AA87" s="133"/>
      <c r="AB87" s="147"/>
      <c r="AC87" s="133"/>
      <c r="AD87" s="133"/>
      <c r="AE87" s="147"/>
      <c r="AF87" s="150"/>
      <c r="AG87" s="133"/>
      <c r="AH87" s="147"/>
      <c r="AI87" s="133"/>
      <c r="AJ87" s="133"/>
      <c r="AK87" s="147"/>
      <c r="AL87" s="150"/>
      <c r="AM87" s="133"/>
      <c r="AN87" s="147"/>
      <c r="AO87" s="133"/>
      <c r="AP87" s="133"/>
      <c r="AQ87" s="147"/>
      <c r="AR87" s="133"/>
      <c r="AS87" s="133"/>
      <c r="AT87" s="133"/>
    </row>
    <row r="88" spans="3:46" x14ac:dyDescent="0.2">
      <c r="C88" s="146"/>
      <c r="D88" s="146"/>
      <c r="E88" s="14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7"/>
      <c r="Q88" s="133"/>
      <c r="R88" s="152"/>
      <c r="S88" s="133"/>
      <c r="T88" s="133"/>
      <c r="U88" s="147"/>
      <c r="V88" s="133"/>
      <c r="W88" s="133"/>
      <c r="X88" s="147"/>
      <c r="Y88" s="133"/>
      <c r="Z88" s="133"/>
      <c r="AA88" s="133"/>
      <c r="AB88" s="147"/>
      <c r="AC88" s="133"/>
      <c r="AD88" s="133"/>
      <c r="AE88" s="147"/>
      <c r="AF88" s="150"/>
      <c r="AG88" s="133"/>
      <c r="AH88" s="147"/>
      <c r="AI88" s="133"/>
      <c r="AJ88" s="133"/>
      <c r="AK88" s="147"/>
      <c r="AL88" s="150"/>
      <c r="AM88" s="133"/>
      <c r="AN88" s="147"/>
      <c r="AO88" s="133"/>
      <c r="AP88" s="133"/>
      <c r="AQ88" s="147"/>
      <c r="AR88" s="133"/>
      <c r="AS88" s="133"/>
      <c r="AT88" s="133"/>
    </row>
    <row r="89" spans="3:46" x14ac:dyDescent="0.2">
      <c r="C89" s="146"/>
      <c r="D89" s="146"/>
      <c r="E89" s="14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7"/>
      <c r="Q89" s="133"/>
      <c r="R89" s="152"/>
      <c r="S89" s="133"/>
      <c r="T89" s="133"/>
      <c r="U89" s="147"/>
      <c r="V89" s="133"/>
      <c r="W89" s="133"/>
      <c r="X89" s="147"/>
      <c r="Y89" s="133"/>
      <c r="Z89" s="133"/>
      <c r="AA89" s="133"/>
      <c r="AB89" s="147"/>
      <c r="AC89" s="133"/>
      <c r="AD89" s="133"/>
      <c r="AE89" s="147"/>
      <c r="AF89" s="150"/>
      <c r="AG89" s="133"/>
      <c r="AH89" s="147"/>
      <c r="AI89" s="133"/>
      <c r="AJ89" s="133"/>
      <c r="AK89" s="147"/>
      <c r="AL89" s="150"/>
      <c r="AM89" s="133"/>
      <c r="AN89" s="147"/>
      <c r="AO89" s="133"/>
      <c r="AP89" s="133"/>
      <c r="AQ89" s="147"/>
      <c r="AR89" s="133"/>
      <c r="AS89" s="133"/>
      <c r="AT89" s="133"/>
    </row>
    <row r="90" spans="3:46" x14ac:dyDescent="0.2">
      <c r="C90" s="146"/>
      <c r="D90" s="146"/>
      <c r="E90" s="14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7"/>
      <c r="Q90" s="133"/>
      <c r="R90" s="152"/>
      <c r="S90" s="133"/>
      <c r="T90" s="133"/>
      <c r="U90" s="147"/>
      <c r="V90" s="133"/>
      <c r="W90" s="133"/>
      <c r="X90" s="147"/>
      <c r="Y90" s="133"/>
      <c r="Z90" s="133"/>
      <c r="AA90" s="133"/>
      <c r="AB90" s="147"/>
      <c r="AC90" s="133"/>
      <c r="AD90" s="133"/>
      <c r="AE90" s="147"/>
      <c r="AF90" s="150"/>
      <c r="AG90" s="133"/>
      <c r="AH90" s="147"/>
      <c r="AI90" s="133"/>
      <c r="AJ90" s="133"/>
      <c r="AK90" s="147"/>
      <c r="AL90" s="150"/>
      <c r="AM90" s="133"/>
      <c r="AN90" s="147"/>
      <c r="AO90" s="133"/>
      <c r="AP90" s="133"/>
      <c r="AQ90" s="147"/>
      <c r="AR90" s="133"/>
      <c r="AS90" s="133"/>
      <c r="AT90" s="133"/>
    </row>
    <row r="91" spans="3:46" x14ac:dyDescent="0.2">
      <c r="C91" s="146"/>
      <c r="D91" s="146"/>
      <c r="E91" s="146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7"/>
      <c r="Q91" s="133"/>
      <c r="R91" s="152"/>
      <c r="S91" s="133"/>
      <c r="T91" s="133"/>
      <c r="U91" s="147"/>
      <c r="V91" s="133"/>
      <c r="W91" s="133"/>
      <c r="X91" s="147"/>
      <c r="Y91" s="133"/>
      <c r="Z91" s="133"/>
      <c r="AA91" s="133"/>
      <c r="AB91" s="147"/>
      <c r="AC91" s="133"/>
      <c r="AD91" s="133"/>
      <c r="AE91" s="147"/>
      <c r="AF91" s="150"/>
      <c r="AG91" s="133"/>
      <c r="AH91" s="147"/>
      <c r="AI91" s="133"/>
      <c r="AJ91" s="133"/>
      <c r="AK91" s="147"/>
      <c r="AL91" s="150"/>
      <c r="AM91" s="133"/>
      <c r="AN91" s="147"/>
      <c r="AO91" s="133"/>
      <c r="AP91" s="133"/>
      <c r="AQ91" s="147"/>
      <c r="AR91" s="133"/>
      <c r="AS91" s="133"/>
      <c r="AT91" s="133"/>
    </row>
    <row r="92" spans="3:46" x14ac:dyDescent="0.2">
      <c r="C92" s="146"/>
      <c r="D92" s="146"/>
      <c r="E92" s="146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7"/>
      <c r="Q92" s="133"/>
      <c r="R92" s="152"/>
      <c r="S92" s="133"/>
      <c r="T92" s="133"/>
      <c r="U92" s="147"/>
      <c r="V92" s="133"/>
      <c r="W92" s="133"/>
      <c r="X92" s="147"/>
      <c r="Y92" s="133"/>
      <c r="Z92" s="133"/>
      <c r="AA92" s="133"/>
      <c r="AB92" s="147"/>
      <c r="AC92" s="133"/>
      <c r="AD92" s="133"/>
      <c r="AE92" s="147"/>
      <c r="AF92" s="150"/>
      <c r="AG92" s="133"/>
      <c r="AH92" s="147"/>
      <c r="AI92" s="133"/>
      <c r="AJ92" s="133"/>
      <c r="AK92" s="147"/>
      <c r="AL92" s="150"/>
      <c r="AM92" s="133"/>
      <c r="AN92" s="147"/>
      <c r="AO92" s="133"/>
      <c r="AP92" s="133"/>
      <c r="AQ92" s="147"/>
      <c r="AR92" s="133"/>
      <c r="AS92" s="133"/>
      <c r="AT92" s="133"/>
    </row>
    <row r="93" spans="3:46" x14ac:dyDescent="0.2">
      <c r="C93" s="146"/>
      <c r="D93" s="146"/>
      <c r="E93" s="146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7"/>
      <c r="Q93" s="133"/>
      <c r="R93" s="152"/>
      <c r="S93" s="133"/>
      <c r="T93" s="133"/>
      <c r="U93" s="147"/>
      <c r="V93" s="133"/>
      <c r="W93" s="133"/>
      <c r="X93" s="147"/>
      <c r="Y93" s="133"/>
      <c r="Z93" s="133"/>
      <c r="AA93" s="133"/>
      <c r="AB93" s="147"/>
      <c r="AC93" s="133"/>
      <c r="AD93" s="133"/>
      <c r="AE93" s="147"/>
      <c r="AF93" s="150"/>
      <c r="AG93" s="133"/>
      <c r="AH93" s="147"/>
      <c r="AI93" s="133"/>
      <c r="AJ93" s="133"/>
      <c r="AK93" s="147"/>
      <c r="AL93" s="150"/>
      <c r="AM93" s="133"/>
      <c r="AN93" s="147"/>
      <c r="AO93" s="133"/>
      <c r="AP93" s="133"/>
      <c r="AQ93" s="147"/>
      <c r="AR93" s="133"/>
      <c r="AS93" s="133"/>
      <c r="AT93" s="133"/>
    </row>
    <row r="94" spans="3:46" x14ac:dyDescent="0.2">
      <c r="C94" s="146"/>
      <c r="D94" s="146"/>
      <c r="E94" s="146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7"/>
      <c r="Q94" s="133"/>
      <c r="R94" s="133"/>
      <c r="S94" s="133"/>
      <c r="T94" s="133"/>
      <c r="U94" s="147"/>
      <c r="V94" s="133"/>
      <c r="W94" s="133"/>
      <c r="X94" s="147"/>
      <c r="Y94" s="133"/>
      <c r="Z94" s="133"/>
      <c r="AA94" s="133"/>
      <c r="AB94" s="147"/>
      <c r="AC94" s="133"/>
      <c r="AD94" s="133"/>
      <c r="AE94" s="147"/>
      <c r="AF94" s="150"/>
      <c r="AG94" s="133"/>
      <c r="AH94" s="147"/>
      <c r="AI94" s="133"/>
      <c r="AJ94" s="133"/>
      <c r="AK94" s="147"/>
      <c r="AL94" s="150"/>
      <c r="AM94" s="133"/>
      <c r="AN94" s="147"/>
      <c r="AO94" s="133"/>
      <c r="AP94" s="133"/>
      <c r="AQ94" s="147"/>
      <c r="AR94" s="133"/>
      <c r="AS94" s="133"/>
      <c r="AT94" s="133"/>
    </row>
    <row r="95" spans="3:46" x14ac:dyDescent="0.2">
      <c r="C95" s="146"/>
      <c r="D95" s="146"/>
      <c r="E95" s="146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7"/>
      <c r="Q95" s="133"/>
      <c r="R95" s="133"/>
      <c r="S95" s="133"/>
      <c r="T95" s="133"/>
      <c r="U95" s="147"/>
      <c r="V95" s="133"/>
      <c r="W95" s="133"/>
      <c r="X95" s="147"/>
      <c r="Y95" s="133"/>
      <c r="Z95" s="133"/>
      <c r="AA95" s="133"/>
      <c r="AB95" s="147"/>
      <c r="AC95" s="133"/>
      <c r="AD95" s="133"/>
      <c r="AE95" s="147"/>
      <c r="AF95" s="150"/>
      <c r="AG95" s="133"/>
      <c r="AH95" s="147"/>
      <c r="AI95" s="133"/>
      <c r="AJ95" s="133"/>
      <c r="AK95" s="147"/>
      <c r="AL95" s="150"/>
      <c r="AM95" s="133"/>
      <c r="AN95" s="147"/>
      <c r="AO95" s="133"/>
      <c r="AP95" s="133"/>
      <c r="AQ95" s="147"/>
      <c r="AR95" s="133"/>
      <c r="AS95" s="133"/>
      <c r="AT95" s="133"/>
    </row>
    <row r="96" spans="3:46" x14ac:dyDescent="0.2">
      <c r="C96" s="146"/>
      <c r="D96" s="146"/>
      <c r="E96" s="146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7"/>
      <c r="Q96" s="133"/>
      <c r="R96" s="133"/>
      <c r="S96" s="133"/>
      <c r="T96" s="133"/>
      <c r="U96" s="147"/>
      <c r="V96" s="133"/>
      <c r="W96" s="133"/>
      <c r="X96" s="147"/>
      <c r="Y96" s="133"/>
      <c r="Z96" s="133"/>
      <c r="AA96" s="133"/>
      <c r="AB96" s="147"/>
      <c r="AC96" s="133"/>
      <c r="AD96" s="133"/>
      <c r="AE96" s="147"/>
      <c r="AF96" s="150"/>
      <c r="AG96" s="133"/>
      <c r="AH96" s="147"/>
      <c r="AI96" s="133"/>
      <c r="AJ96" s="133"/>
      <c r="AK96" s="147"/>
      <c r="AL96" s="150"/>
      <c r="AM96" s="133"/>
      <c r="AN96" s="147"/>
      <c r="AO96" s="133"/>
      <c r="AP96" s="133"/>
      <c r="AQ96" s="147"/>
      <c r="AR96" s="133"/>
      <c r="AS96" s="133"/>
      <c r="AT96" s="133"/>
    </row>
    <row r="97" spans="1:47" x14ac:dyDescent="0.2">
      <c r="C97" s="146"/>
      <c r="D97" s="146"/>
      <c r="E97" s="146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7"/>
      <c r="Q97" s="133"/>
      <c r="R97" s="133"/>
      <c r="S97" s="133"/>
      <c r="T97" s="133"/>
      <c r="U97" s="147"/>
      <c r="V97" s="133"/>
      <c r="W97" s="133"/>
      <c r="X97" s="147"/>
      <c r="Y97" s="133"/>
      <c r="Z97" s="133"/>
      <c r="AA97" s="133"/>
      <c r="AB97" s="147"/>
      <c r="AC97" s="133"/>
      <c r="AD97" s="133"/>
      <c r="AE97" s="147"/>
      <c r="AF97" s="150"/>
      <c r="AG97" s="133"/>
      <c r="AH97" s="147"/>
      <c r="AI97" s="133"/>
      <c r="AJ97" s="133"/>
      <c r="AK97" s="147"/>
      <c r="AL97" s="150"/>
      <c r="AM97" s="133"/>
      <c r="AN97" s="147"/>
      <c r="AO97" s="133"/>
      <c r="AP97" s="133"/>
      <c r="AQ97" s="147"/>
      <c r="AR97" s="133"/>
      <c r="AS97" s="133"/>
      <c r="AT97" s="133"/>
      <c r="AU97" s="155"/>
    </row>
    <row r="98" spans="1:47" x14ac:dyDescent="0.2">
      <c r="C98" s="146"/>
      <c r="D98" s="146"/>
      <c r="E98" s="146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7"/>
      <c r="Q98" s="133"/>
      <c r="R98" s="133"/>
      <c r="S98" s="133"/>
      <c r="T98" s="133"/>
      <c r="U98" s="147"/>
      <c r="V98" s="133"/>
      <c r="W98" s="133"/>
      <c r="X98" s="147"/>
      <c r="Y98" s="133"/>
      <c r="Z98" s="133"/>
      <c r="AA98" s="133"/>
      <c r="AB98" s="147"/>
      <c r="AC98" s="133"/>
      <c r="AD98" s="133"/>
      <c r="AE98" s="147"/>
      <c r="AF98" s="150"/>
      <c r="AG98" s="133"/>
      <c r="AH98" s="147"/>
      <c r="AI98" s="133"/>
      <c r="AJ98" s="133"/>
      <c r="AK98" s="147"/>
      <c r="AL98" s="150"/>
      <c r="AM98" s="133"/>
      <c r="AN98" s="147"/>
      <c r="AO98" s="133"/>
      <c r="AP98" s="133"/>
      <c r="AQ98" s="147"/>
      <c r="AR98" s="133"/>
      <c r="AS98" s="133"/>
      <c r="AT98" s="133"/>
    </row>
    <row r="99" spans="1:47" x14ac:dyDescent="0.2">
      <c r="C99" s="146"/>
      <c r="D99" s="146"/>
      <c r="E99" s="146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47"/>
      <c r="Q99" s="133"/>
      <c r="R99" s="133"/>
      <c r="S99" s="133"/>
      <c r="T99" s="133"/>
      <c r="U99" s="147"/>
      <c r="V99" s="133"/>
      <c r="W99" s="133"/>
      <c r="X99" s="147"/>
      <c r="Y99" s="133"/>
      <c r="Z99" s="133"/>
      <c r="AA99" s="133"/>
      <c r="AB99" s="147"/>
      <c r="AC99" s="133"/>
      <c r="AD99" s="133"/>
      <c r="AE99" s="147"/>
      <c r="AF99" s="150"/>
      <c r="AG99" s="133"/>
      <c r="AH99" s="147"/>
      <c r="AI99" s="133"/>
      <c r="AJ99" s="133"/>
      <c r="AK99" s="147"/>
      <c r="AL99" s="150"/>
      <c r="AM99" s="133"/>
      <c r="AN99" s="147"/>
      <c r="AO99" s="133"/>
      <c r="AP99" s="133"/>
      <c r="AQ99" s="147"/>
      <c r="AR99" s="133"/>
      <c r="AS99" s="133"/>
      <c r="AT99" s="133"/>
    </row>
    <row r="100" spans="1:47" x14ac:dyDescent="0.2">
      <c r="C100" s="146"/>
      <c r="D100" s="146"/>
      <c r="E100" s="146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47"/>
      <c r="Q100" s="133"/>
      <c r="R100" s="133"/>
      <c r="S100" s="133"/>
      <c r="T100" s="133"/>
      <c r="U100" s="147"/>
      <c r="V100" s="133"/>
      <c r="W100" s="133"/>
      <c r="X100" s="147"/>
      <c r="Y100" s="133"/>
      <c r="Z100" s="133"/>
      <c r="AA100" s="133"/>
      <c r="AB100" s="147"/>
      <c r="AC100" s="133"/>
      <c r="AD100" s="133"/>
      <c r="AE100" s="147"/>
      <c r="AF100" s="150"/>
      <c r="AG100" s="133"/>
      <c r="AH100" s="147"/>
      <c r="AI100" s="133"/>
      <c r="AJ100" s="133"/>
      <c r="AK100" s="147"/>
      <c r="AL100" s="150"/>
      <c r="AM100" s="133"/>
      <c r="AN100" s="147"/>
      <c r="AO100" s="133"/>
      <c r="AP100" s="133"/>
      <c r="AQ100" s="147"/>
      <c r="AR100" s="133"/>
      <c r="AS100" s="133"/>
      <c r="AT100" s="133"/>
    </row>
    <row r="101" spans="1:47" x14ac:dyDescent="0.2">
      <c r="C101" s="146"/>
      <c r="D101" s="146"/>
      <c r="E101" s="146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47"/>
      <c r="Q101" s="133"/>
      <c r="R101" s="133"/>
      <c r="S101" s="133"/>
      <c r="T101" s="133"/>
      <c r="U101" s="147"/>
      <c r="V101" s="133"/>
      <c r="W101" s="133"/>
      <c r="X101" s="147"/>
      <c r="Y101" s="133"/>
      <c r="Z101" s="133"/>
      <c r="AA101" s="133"/>
      <c r="AB101" s="147"/>
      <c r="AC101" s="133"/>
      <c r="AD101" s="133"/>
      <c r="AE101" s="147"/>
      <c r="AF101" s="150"/>
      <c r="AG101" s="133"/>
      <c r="AH101" s="147"/>
      <c r="AI101" s="133"/>
      <c r="AJ101" s="133"/>
      <c r="AK101" s="147"/>
      <c r="AL101" s="150"/>
      <c r="AM101" s="133"/>
      <c r="AN101" s="147"/>
      <c r="AO101" s="133"/>
      <c r="AP101" s="133"/>
      <c r="AQ101" s="147"/>
      <c r="AR101" s="133"/>
      <c r="AS101" s="133"/>
      <c r="AT101" s="133"/>
    </row>
    <row r="102" spans="1:47" x14ac:dyDescent="0.2">
      <c r="C102" s="146"/>
      <c r="D102" s="146"/>
      <c r="E102" s="146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47"/>
      <c r="Q102" s="133"/>
      <c r="R102" s="133"/>
      <c r="S102" s="133"/>
      <c r="T102" s="133"/>
      <c r="U102" s="147"/>
      <c r="V102" s="133"/>
      <c r="W102" s="133"/>
      <c r="X102" s="147"/>
      <c r="Y102" s="133"/>
      <c r="Z102" s="133"/>
      <c r="AA102" s="133"/>
      <c r="AB102" s="147"/>
      <c r="AD102" s="133"/>
      <c r="AE102" s="147"/>
      <c r="AG102" s="133"/>
      <c r="AH102" s="147"/>
      <c r="AJ102" s="133"/>
      <c r="AK102" s="147"/>
      <c r="AM102" s="133"/>
      <c r="AN102" s="147"/>
      <c r="AP102" s="133"/>
      <c r="AQ102" s="147"/>
      <c r="AT102" s="133"/>
    </row>
    <row r="103" spans="1:47" x14ac:dyDescent="0.2">
      <c r="C103" s="146"/>
      <c r="D103" s="146"/>
      <c r="E103" s="146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47"/>
      <c r="Q103" s="133"/>
      <c r="R103" s="133"/>
      <c r="S103" s="133"/>
      <c r="T103" s="133"/>
      <c r="U103" s="147"/>
      <c r="V103" s="133"/>
      <c r="W103" s="133"/>
      <c r="X103" s="147"/>
      <c r="Y103" s="133"/>
      <c r="Z103" s="133"/>
      <c r="AA103" s="133"/>
      <c r="AB103" s="147"/>
      <c r="AD103" s="133"/>
      <c r="AE103" s="147"/>
      <c r="AG103" s="133"/>
      <c r="AH103" s="147"/>
      <c r="AJ103" s="133"/>
      <c r="AK103" s="147"/>
      <c r="AM103" s="133"/>
      <c r="AN103" s="147"/>
      <c r="AP103" s="133"/>
      <c r="AQ103" s="147"/>
      <c r="AT103" s="133"/>
    </row>
    <row r="104" spans="1:47" x14ac:dyDescent="0.2">
      <c r="C104" s="146"/>
      <c r="D104" s="146"/>
      <c r="E104" s="146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47"/>
      <c r="Q104" s="133"/>
      <c r="R104" s="133"/>
      <c r="S104" s="133"/>
      <c r="T104" s="133"/>
      <c r="U104" s="147"/>
      <c r="V104" s="133"/>
      <c r="W104" s="133"/>
      <c r="X104" s="147"/>
      <c r="Y104" s="133"/>
      <c r="Z104" s="133"/>
      <c r="AA104" s="133"/>
      <c r="AB104" s="147"/>
      <c r="AD104" s="133"/>
      <c r="AE104" s="147"/>
      <c r="AG104" s="133"/>
      <c r="AH104" s="147"/>
      <c r="AJ104" s="133"/>
      <c r="AK104" s="147"/>
      <c r="AM104" s="133"/>
      <c r="AN104" s="147"/>
      <c r="AP104" s="133"/>
      <c r="AQ104" s="147"/>
      <c r="AT104" s="133"/>
    </row>
    <row r="105" spans="1:47" x14ac:dyDescent="0.2">
      <c r="C105" s="146"/>
      <c r="D105" s="146"/>
      <c r="E105" s="146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47"/>
      <c r="Q105" s="133"/>
      <c r="R105" s="133"/>
      <c r="S105" s="133"/>
      <c r="T105" s="133"/>
      <c r="U105" s="147"/>
      <c r="V105" s="133"/>
      <c r="W105" s="133"/>
      <c r="X105" s="147"/>
      <c r="Y105" s="133"/>
      <c r="Z105" s="133"/>
      <c r="AA105" s="133"/>
      <c r="AB105" s="147"/>
      <c r="AD105" s="133"/>
      <c r="AE105" s="147"/>
      <c r="AG105" s="133"/>
      <c r="AH105" s="147"/>
      <c r="AJ105" s="133"/>
      <c r="AK105" s="147"/>
      <c r="AM105" s="133"/>
      <c r="AN105" s="147"/>
      <c r="AP105" s="133"/>
      <c r="AQ105" s="147"/>
    </row>
    <row r="106" spans="1:47" x14ac:dyDescent="0.2">
      <c r="C106" s="146"/>
      <c r="D106" s="146"/>
      <c r="E106" s="146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7"/>
      <c r="Q106" s="133"/>
      <c r="R106" s="133"/>
      <c r="S106" s="133"/>
      <c r="T106" s="133"/>
      <c r="U106" s="147"/>
      <c r="V106" s="133"/>
      <c r="W106" s="133"/>
      <c r="X106" s="147"/>
      <c r="Y106" s="133"/>
      <c r="Z106" s="133"/>
      <c r="AA106" s="133"/>
      <c r="AB106" s="147"/>
      <c r="AD106" s="133"/>
      <c r="AE106" s="147"/>
      <c r="AG106" s="133"/>
      <c r="AH106" s="147"/>
      <c r="AJ106" s="133"/>
      <c r="AK106" s="147"/>
      <c r="AM106" s="133"/>
      <c r="AN106" s="147"/>
      <c r="AP106" s="133"/>
      <c r="AQ106" s="147"/>
    </row>
    <row r="107" spans="1:47" x14ac:dyDescent="0.2">
      <c r="C107" s="146"/>
      <c r="D107" s="146"/>
      <c r="E107" s="146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47"/>
      <c r="Q107" s="133"/>
      <c r="R107" s="133"/>
      <c r="S107" s="133"/>
      <c r="T107" s="133"/>
      <c r="U107" s="147"/>
      <c r="V107" s="133"/>
      <c r="W107" s="133"/>
      <c r="X107" s="147"/>
      <c r="Y107" s="133"/>
      <c r="Z107" s="133"/>
      <c r="AA107" s="133"/>
      <c r="AB107" s="147"/>
      <c r="AD107" s="133"/>
      <c r="AE107" s="147"/>
      <c r="AG107" s="133"/>
      <c r="AH107" s="147"/>
      <c r="AJ107" s="133"/>
      <c r="AK107" s="147"/>
      <c r="AM107" s="133"/>
      <c r="AN107" s="147"/>
      <c r="AP107" s="133"/>
      <c r="AQ107" s="147"/>
    </row>
    <row r="108" spans="1:47" x14ac:dyDescent="0.2">
      <c r="C108" s="146"/>
      <c r="D108" s="146"/>
      <c r="E108" s="146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47"/>
      <c r="Q108" s="133"/>
      <c r="R108" s="133"/>
      <c r="S108" s="133"/>
      <c r="T108" s="133"/>
      <c r="U108" s="147"/>
      <c r="V108" s="133"/>
      <c r="W108" s="133"/>
      <c r="X108" s="147"/>
      <c r="Y108" s="133"/>
      <c r="Z108" s="133"/>
      <c r="AA108" s="133"/>
      <c r="AB108" s="147"/>
      <c r="AD108" s="133"/>
      <c r="AE108" s="147"/>
      <c r="AG108" s="133"/>
      <c r="AH108" s="147"/>
      <c r="AJ108" s="133"/>
      <c r="AK108" s="147"/>
      <c r="AM108" s="133"/>
      <c r="AN108" s="147"/>
      <c r="AP108" s="133"/>
      <c r="AQ108" s="147"/>
    </row>
    <row r="109" spans="1:47" x14ac:dyDescent="0.2">
      <c r="C109" s="146"/>
      <c r="D109" s="146"/>
      <c r="E109" s="146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47"/>
      <c r="Q109" s="133"/>
      <c r="R109" s="133"/>
      <c r="S109" s="133"/>
      <c r="T109" s="133"/>
      <c r="U109" s="147"/>
      <c r="V109" s="133"/>
      <c r="W109" s="133"/>
      <c r="X109" s="147"/>
      <c r="Y109" s="133"/>
      <c r="Z109" s="133"/>
      <c r="AA109" s="133"/>
      <c r="AB109" s="147"/>
      <c r="AD109" s="133"/>
      <c r="AE109" s="147"/>
      <c r="AG109" s="133"/>
      <c r="AH109" s="147"/>
      <c r="AJ109" s="133"/>
      <c r="AK109" s="147"/>
      <c r="AM109" s="133"/>
      <c r="AN109" s="147"/>
      <c r="AP109" s="133"/>
      <c r="AQ109" s="147"/>
    </row>
    <row r="110" spans="1:47" x14ac:dyDescent="0.2">
      <c r="A110" s="155"/>
      <c r="B110" s="155"/>
      <c r="C110" s="146"/>
      <c r="D110" s="146"/>
      <c r="E110" s="146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47"/>
      <c r="Q110" s="133"/>
      <c r="R110" s="133"/>
      <c r="S110" s="133"/>
      <c r="T110" s="133"/>
      <c r="U110" s="147"/>
      <c r="V110" s="133"/>
      <c r="W110" s="133"/>
      <c r="X110" s="147"/>
      <c r="Y110" s="133"/>
      <c r="Z110" s="133"/>
      <c r="AA110" s="133"/>
      <c r="AB110" s="147"/>
      <c r="AD110" s="133"/>
      <c r="AE110" s="147"/>
      <c r="AG110" s="133"/>
      <c r="AH110" s="147"/>
      <c r="AJ110" s="133"/>
      <c r="AK110" s="147"/>
      <c r="AM110" s="133"/>
      <c r="AN110" s="147"/>
      <c r="AP110" s="133"/>
      <c r="AQ110" s="147"/>
    </row>
    <row r="111" spans="1:47" x14ac:dyDescent="0.2">
      <c r="C111" s="146"/>
      <c r="D111" s="146"/>
      <c r="E111" s="14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47"/>
      <c r="Q111" s="133"/>
      <c r="R111" s="133"/>
      <c r="S111" s="133"/>
      <c r="T111" s="133"/>
      <c r="U111" s="147"/>
      <c r="V111" s="133"/>
      <c r="W111" s="133"/>
      <c r="X111" s="147"/>
      <c r="Y111" s="133"/>
      <c r="Z111" s="133"/>
      <c r="AA111" s="133"/>
      <c r="AB111" s="147"/>
      <c r="AD111" s="133"/>
      <c r="AE111" s="147"/>
      <c r="AG111" s="133"/>
      <c r="AH111" s="147"/>
      <c r="AJ111" s="133"/>
      <c r="AK111" s="147"/>
      <c r="AM111" s="133"/>
      <c r="AN111" s="147"/>
      <c r="AP111" s="133"/>
      <c r="AQ111" s="147"/>
    </row>
    <row r="112" spans="1:47" x14ac:dyDescent="0.2">
      <c r="C112" s="146"/>
      <c r="D112" s="146"/>
      <c r="E112" s="146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47"/>
      <c r="Q112" s="133"/>
      <c r="R112" s="133"/>
      <c r="S112" s="133"/>
      <c r="T112" s="133"/>
      <c r="U112" s="147"/>
      <c r="V112" s="133"/>
      <c r="W112" s="133"/>
      <c r="X112" s="147"/>
      <c r="Y112" s="133"/>
      <c r="Z112" s="133"/>
      <c r="AA112" s="133"/>
      <c r="AB112" s="147"/>
      <c r="AD112" s="133"/>
      <c r="AE112" s="147"/>
      <c r="AG112" s="133"/>
      <c r="AH112" s="147"/>
      <c r="AJ112" s="133"/>
      <c r="AK112" s="147"/>
      <c r="AM112" s="133"/>
      <c r="AN112" s="147"/>
      <c r="AP112" s="133"/>
      <c r="AQ112" s="147"/>
    </row>
    <row r="113" spans="1:48" s="155" customFormat="1" x14ac:dyDescent="0.2">
      <c r="A113" s="81"/>
      <c r="B113" s="81"/>
      <c r="C113" s="146"/>
      <c r="D113" s="146"/>
      <c r="E113" s="146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47"/>
      <c r="Q113" s="133"/>
      <c r="R113" s="133"/>
      <c r="S113" s="133"/>
      <c r="T113" s="133"/>
      <c r="U113" s="147"/>
      <c r="V113" s="133"/>
      <c r="W113" s="133"/>
      <c r="X113" s="147"/>
      <c r="Y113" s="133"/>
      <c r="Z113" s="133"/>
      <c r="AA113" s="133"/>
      <c r="AB113" s="147"/>
      <c r="AC113" s="81"/>
      <c r="AD113" s="133"/>
      <c r="AE113" s="147"/>
      <c r="AF113" s="139"/>
      <c r="AG113" s="133"/>
      <c r="AH113" s="147"/>
      <c r="AI113" s="81"/>
      <c r="AJ113" s="133"/>
      <c r="AK113" s="147"/>
      <c r="AL113" s="139"/>
      <c r="AM113" s="133"/>
      <c r="AN113" s="147"/>
      <c r="AO113" s="81"/>
      <c r="AP113" s="133"/>
      <c r="AQ113" s="147"/>
      <c r="AR113" s="81"/>
      <c r="AS113" s="81"/>
      <c r="AT113" s="81"/>
      <c r="AU113" s="81"/>
      <c r="AV113" s="81"/>
    </row>
    <row r="114" spans="1:48" x14ac:dyDescent="0.2">
      <c r="C114" s="146"/>
      <c r="D114" s="146"/>
      <c r="E114" s="146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47"/>
      <c r="Q114" s="133"/>
      <c r="R114" s="133"/>
      <c r="S114" s="133"/>
      <c r="T114" s="133"/>
      <c r="U114" s="147"/>
      <c r="V114" s="133"/>
      <c r="W114" s="133"/>
      <c r="X114" s="147"/>
      <c r="Y114" s="133"/>
      <c r="Z114" s="133"/>
      <c r="AA114" s="133"/>
      <c r="AB114" s="147"/>
      <c r="AD114" s="133"/>
      <c r="AE114" s="147"/>
      <c r="AG114" s="133"/>
      <c r="AH114" s="147"/>
      <c r="AJ114" s="133"/>
      <c r="AK114" s="147"/>
      <c r="AM114" s="133"/>
      <c r="AN114" s="147"/>
      <c r="AP114" s="133"/>
      <c r="AQ114" s="147"/>
    </row>
    <row r="115" spans="1:48" x14ac:dyDescent="0.2">
      <c r="C115" s="146"/>
      <c r="D115" s="146"/>
      <c r="E115" s="146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47"/>
      <c r="Q115" s="133"/>
      <c r="R115" s="133"/>
      <c r="S115" s="133"/>
      <c r="T115" s="133"/>
      <c r="U115" s="147"/>
      <c r="V115" s="133"/>
      <c r="W115" s="133"/>
      <c r="X115" s="147"/>
      <c r="Y115" s="133"/>
      <c r="Z115" s="133"/>
      <c r="AA115" s="133"/>
      <c r="AB115" s="147"/>
      <c r="AD115" s="133"/>
      <c r="AE115" s="147"/>
      <c r="AG115" s="133"/>
      <c r="AH115" s="147"/>
      <c r="AJ115" s="133"/>
      <c r="AK115" s="147"/>
      <c r="AM115" s="133"/>
      <c r="AN115" s="147"/>
      <c r="AP115" s="133"/>
      <c r="AQ115" s="147"/>
    </row>
    <row r="116" spans="1:48" x14ac:dyDescent="0.2">
      <c r="C116" s="146"/>
      <c r="D116" s="146"/>
      <c r="E116" s="146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7"/>
      <c r="Q116" s="133"/>
      <c r="R116" s="133"/>
      <c r="S116" s="133"/>
      <c r="T116" s="133"/>
      <c r="U116" s="147"/>
      <c r="V116" s="133"/>
      <c r="W116" s="133"/>
      <c r="X116" s="147"/>
      <c r="Y116" s="133"/>
      <c r="Z116" s="133"/>
      <c r="AA116" s="133"/>
      <c r="AB116" s="147"/>
      <c r="AD116" s="133"/>
      <c r="AE116" s="147"/>
      <c r="AG116" s="133"/>
      <c r="AH116" s="147"/>
      <c r="AJ116" s="133"/>
      <c r="AK116" s="147"/>
      <c r="AM116" s="133"/>
      <c r="AN116" s="147"/>
      <c r="AP116" s="133"/>
      <c r="AQ116" s="147"/>
    </row>
    <row r="117" spans="1:48" x14ac:dyDescent="0.2">
      <c r="C117" s="146"/>
      <c r="D117" s="146"/>
      <c r="E117" s="146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47"/>
      <c r="Q117" s="133"/>
      <c r="R117" s="133"/>
      <c r="S117" s="133"/>
      <c r="T117" s="133"/>
      <c r="U117" s="147"/>
      <c r="V117" s="133"/>
      <c r="W117" s="133"/>
      <c r="X117" s="147"/>
      <c r="Y117" s="133"/>
      <c r="Z117" s="133"/>
      <c r="AA117" s="133"/>
      <c r="AB117" s="147"/>
      <c r="AD117" s="133"/>
      <c r="AE117" s="147"/>
      <c r="AG117" s="133"/>
      <c r="AH117" s="147"/>
      <c r="AJ117" s="133"/>
      <c r="AK117" s="147"/>
      <c r="AM117" s="133"/>
      <c r="AN117" s="147"/>
      <c r="AP117" s="133"/>
      <c r="AQ117" s="147"/>
    </row>
    <row r="118" spans="1:48" x14ac:dyDescent="0.2">
      <c r="C118" s="146"/>
      <c r="D118" s="146"/>
      <c r="E118" s="14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47"/>
      <c r="Q118" s="133"/>
      <c r="R118" s="133"/>
      <c r="S118" s="133"/>
      <c r="T118" s="133"/>
      <c r="U118" s="147"/>
      <c r="V118" s="133"/>
      <c r="W118" s="133"/>
      <c r="X118" s="147"/>
      <c r="Y118" s="133"/>
      <c r="Z118" s="133"/>
      <c r="AA118" s="133"/>
      <c r="AB118" s="147"/>
      <c r="AD118" s="133"/>
      <c r="AE118" s="147"/>
      <c r="AG118" s="133"/>
      <c r="AH118" s="147"/>
      <c r="AJ118" s="133"/>
      <c r="AK118" s="147"/>
      <c r="AM118" s="133"/>
      <c r="AN118" s="147"/>
      <c r="AP118" s="133"/>
      <c r="AQ118" s="147"/>
    </row>
    <row r="119" spans="1:48" x14ac:dyDescent="0.2">
      <c r="C119" s="146"/>
      <c r="D119" s="146"/>
      <c r="E119" s="146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47"/>
      <c r="Q119" s="133"/>
      <c r="R119" s="133"/>
      <c r="S119" s="133"/>
      <c r="T119" s="133"/>
      <c r="U119" s="147"/>
      <c r="V119" s="133"/>
      <c r="W119" s="133"/>
      <c r="X119" s="147"/>
      <c r="Y119" s="133"/>
      <c r="Z119" s="133"/>
      <c r="AA119" s="133"/>
      <c r="AB119" s="147"/>
      <c r="AD119" s="133"/>
      <c r="AE119" s="147"/>
      <c r="AG119" s="133"/>
      <c r="AH119" s="147"/>
      <c r="AJ119" s="133"/>
      <c r="AK119" s="147"/>
      <c r="AM119" s="133"/>
      <c r="AN119" s="147"/>
      <c r="AP119" s="133"/>
      <c r="AQ119" s="147"/>
    </row>
    <row r="120" spans="1:48" x14ac:dyDescent="0.2">
      <c r="C120" s="146"/>
      <c r="D120" s="146"/>
      <c r="E120" s="146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47"/>
      <c r="Q120" s="133"/>
      <c r="R120" s="133"/>
      <c r="S120" s="133"/>
      <c r="T120" s="133"/>
      <c r="U120" s="147"/>
      <c r="V120" s="133"/>
      <c r="W120" s="133"/>
      <c r="X120" s="147"/>
      <c r="Y120" s="133"/>
      <c r="Z120" s="133"/>
      <c r="AA120" s="133"/>
      <c r="AB120" s="147"/>
      <c r="AD120" s="133"/>
      <c r="AE120" s="147"/>
      <c r="AG120" s="133"/>
      <c r="AH120" s="147"/>
      <c r="AJ120" s="133"/>
      <c r="AK120" s="147"/>
      <c r="AM120" s="133"/>
      <c r="AN120" s="147"/>
      <c r="AP120" s="133"/>
      <c r="AQ120" s="147"/>
    </row>
    <row r="121" spans="1:48" x14ac:dyDescent="0.2">
      <c r="C121" s="146"/>
      <c r="D121" s="146"/>
      <c r="E121" s="146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47"/>
      <c r="Q121" s="133"/>
      <c r="R121" s="133"/>
      <c r="S121" s="133"/>
      <c r="T121" s="133"/>
      <c r="U121" s="147"/>
      <c r="V121" s="133"/>
      <c r="W121" s="133"/>
      <c r="X121" s="147"/>
      <c r="Y121" s="133"/>
      <c r="Z121" s="133"/>
      <c r="AA121" s="133"/>
      <c r="AB121" s="147"/>
      <c r="AD121" s="133"/>
      <c r="AE121" s="147"/>
      <c r="AG121" s="133"/>
      <c r="AH121" s="147"/>
      <c r="AJ121" s="133"/>
      <c r="AK121" s="147"/>
      <c r="AM121" s="133"/>
      <c r="AN121" s="147"/>
      <c r="AP121" s="133"/>
      <c r="AQ121" s="147"/>
    </row>
    <row r="122" spans="1:48" x14ac:dyDescent="0.2">
      <c r="C122" s="146"/>
      <c r="D122" s="146"/>
      <c r="E122" s="146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47"/>
      <c r="Q122" s="133"/>
      <c r="R122" s="133"/>
      <c r="S122" s="133"/>
      <c r="T122" s="133"/>
      <c r="U122" s="147"/>
      <c r="V122" s="133"/>
      <c r="W122" s="133"/>
      <c r="X122" s="147"/>
      <c r="Y122" s="133"/>
      <c r="Z122" s="133"/>
      <c r="AA122" s="133"/>
      <c r="AB122" s="147"/>
      <c r="AD122" s="133"/>
      <c r="AE122" s="147"/>
      <c r="AG122" s="133"/>
      <c r="AH122" s="147"/>
      <c r="AJ122" s="133"/>
      <c r="AK122" s="147"/>
      <c r="AM122" s="133"/>
      <c r="AN122" s="147"/>
      <c r="AP122" s="133"/>
      <c r="AQ122" s="147"/>
    </row>
    <row r="123" spans="1:48" x14ac:dyDescent="0.2">
      <c r="C123" s="146"/>
      <c r="D123" s="146"/>
      <c r="E123" s="146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47"/>
      <c r="Q123" s="133"/>
      <c r="R123" s="133"/>
      <c r="S123" s="133"/>
      <c r="T123" s="133"/>
      <c r="U123" s="147"/>
      <c r="V123" s="133"/>
      <c r="W123" s="133"/>
      <c r="X123" s="147"/>
      <c r="Y123" s="133"/>
      <c r="Z123" s="133"/>
      <c r="AA123" s="133"/>
      <c r="AB123" s="147"/>
      <c r="AD123" s="133"/>
      <c r="AE123" s="147"/>
      <c r="AG123" s="133"/>
      <c r="AH123" s="147"/>
      <c r="AJ123" s="133"/>
      <c r="AK123" s="147"/>
      <c r="AM123" s="133"/>
      <c r="AN123" s="147"/>
      <c r="AP123" s="133"/>
      <c r="AQ123" s="147"/>
    </row>
    <row r="124" spans="1:48" x14ac:dyDescent="0.2">
      <c r="C124" s="146"/>
      <c r="D124" s="146"/>
      <c r="E124" s="146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47"/>
      <c r="Q124" s="133"/>
      <c r="R124" s="133"/>
      <c r="S124" s="133"/>
      <c r="T124" s="133"/>
      <c r="U124" s="147"/>
      <c r="V124" s="133"/>
      <c r="W124" s="133"/>
      <c r="X124" s="147"/>
      <c r="Y124" s="133"/>
      <c r="Z124" s="133"/>
      <c r="AA124" s="133"/>
      <c r="AB124" s="147"/>
      <c r="AD124" s="133"/>
      <c r="AE124" s="147"/>
      <c r="AG124" s="133"/>
      <c r="AH124" s="147"/>
      <c r="AJ124" s="133"/>
      <c r="AK124" s="147"/>
      <c r="AM124" s="133"/>
      <c r="AN124" s="147"/>
      <c r="AP124" s="133"/>
      <c r="AQ124" s="147"/>
    </row>
    <row r="125" spans="1:48" x14ac:dyDescent="0.2">
      <c r="C125" s="146"/>
      <c r="D125" s="146"/>
      <c r="E125" s="146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47"/>
      <c r="Q125" s="133"/>
      <c r="R125" s="133"/>
      <c r="S125" s="133"/>
      <c r="T125" s="133"/>
      <c r="U125" s="147"/>
      <c r="V125" s="133"/>
      <c r="W125" s="133"/>
      <c r="X125" s="147"/>
      <c r="Y125" s="133"/>
      <c r="Z125" s="133"/>
      <c r="AA125" s="133"/>
      <c r="AB125" s="147"/>
      <c r="AD125" s="133"/>
      <c r="AE125" s="147"/>
      <c r="AG125" s="133"/>
      <c r="AH125" s="147"/>
      <c r="AJ125" s="133"/>
      <c r="AK125" s="147"/>
      <c r="AM125" s="133"/>
      <c r="AN125" s="147"/>
      <c r="AP125" s="133"/>
      <c r="AQ125" s="147"/>
    </row>
    <row r="126" spans="1:48" x14ac:dyDescent="0.2">
      <c r="C126" s="146"/>
      <c r="D126" s="146"/>
      <c r="E126" s="146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47"/>
      <c r="Q126" s="133"/>
      <c r="R126" s="133"/>
      <c r="S126" s="133"/>
      <c r="T126" s="133"/>
      <c r="U126" s="147"/>
      <c r="V126" s="133"/>
      <c r="W126" s="133"/>
      <c r="X126" s="147"/>
      <c r="Y126" s="133"/>
      <c r="Z126" s="133"/>
      <c r="AA126" s="133"/>
      <c r="AB126" s="147"/>
      <c r="AD126" s="133"/>
      <c r="AE126" s="147"/>
      <c r="AG126" s="133"/>
      <c r="AH126" s="147"/>
      <c r="AJ126" s="133"/>
      <c r="AK126" s="147"/>
      <c r="AM126" s="133"/>
      <c r="AN126" s="147"/>
      <c r="AP126" s="133"/>
      <c r="AQ126" s="147"/>
    </row>
    <row r="127" spans="1:48" x14ac:dyDescent="0.2">
      <c r="C127" s="146"/>
      <c r="D127" s="146"/>
      <c r="E127" s="146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47"/>
      <c r="Q127" s="133"/>
      <c r="R127" s="133"/>
      <c r="S127" s="133"/>
      <c r="T127" s="133"/>
      <c r="U127" s="147"/>
      <c r="V127" s="133"/>
      <c r="W127" s="133"/>
      <c r="X127" s="147"/>
      <c r="Y127" s="133"/>
      <c r="Z127" s="133"/>
      <c r="AA127" s="133"/>
      <c r="AB127" s="147"/>
      <c r="AD127" s="133"/>
      <c r="AE127" s="147"/>
      <c r="AG127" s="133"/>
      <c r="AH127" s="147"/>
      <c r="AJ127" s="133"/>
      <c r="AK127" s="147"/>
      <c r="AM127" s="133"/>
      <c r="AN127" s="147"/>
      <c r="AP127" s="133"/>
      <c r="AQ127" s="147"/>
    </row>
    <row r="128" spans="1:48" x14ac:dyDescent="0.2">
      <c r="C128" s="146"/>
      <c r="D128" s="146"/>
      <c r="E128" s="146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47"/>
      <c r="Q128" s="133"/>
      <c r="R128" s="133"/>
      <c r="S128" s="133"/>
      <c r="T128" s="133"/>
      <c r="U128" s="147"/>
      <c r="V128" s="133"/>
      <c r="W128" s="133"/>
      <c r="X128" s="147"/>
      <c r="Y128" s="133"/>
      <c r="Z128" s="133"/>
      <c r="AA128" s="133"/>
      <c r="AB128" s="147"/>
      <c r="AD128" s="133"/>
      <c r="AE128" s="147"/>
      <c r="AG128" s="133"/>
      <c r="AH128" s="147"/>
      <c r="AJ128" s="133"/>
      <c r="AK128" s="147"/>
      <c r="AM128" s="133"/>
      <c r="AN128" s="147"/>
      <c r="AP128" s="133"/>
      <c r="AQ128" s="147"/>
    </row>
    <row r="129" spans="3:43" x14ac:dyDescent="0.2">
      <c r="C129" s="146"/>
      <c r="D129" s="146"/>
      <c r="E129" s="146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47"/>
      <c r="Q129" s="133"/>
      <c r="R129" s="133"/>
      <c r="S129" s="133"/>
      <c r="T129" s="133"/>
      <c r="U129" s="147"/>
      <c r="V129" s="133"/>
      <c r="W129" s="133"/>
      <c r="X129" s="147"/>
      <c r="Y129" s="133"/>
      <c r="Z129" s="133"/>
      <c r="AA129" s="133"/>
      <c r="AB129" s="147"/>
      <c r="AD129" s="133"/>
      <c r="AE129" s="147"/>
      <c r="AG129" s="133"/>
      <c r="AH129" s="147"/>
      <c r="AJ129" s="133"/>
      <c r="AK129" s="147"/>
      <c r="AM129" s="133"/>
      <c r="AN129" s="147"/>
      <c r="AP129" s="133"/>
      <c r="AQ129" s="147"/>
    </row>
    <row r="130" spans="3:43" x14ac:dyDescent="0.2">
      <c r="C130" s="146"/>
      <c r="D130" s="146"/>
      <c r="E130" s="146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47"/>
      <c r="Q130" s="133"/>
      <c r="R130" s="133"/>
      <c r="S130" s="133"/>
      <c r="T130" s="133"/>
      <c r="U130" s="147"/>
      <c r="V130" s="133"/>
      <c r="W130" s="133"/>
      <c r="X130" s="147"/>
      <c r="Y130" s="133"/>
      <c r="Z130" s="133"/>
      <c r="AA130" s="133"/>
      <c r="AB130" s="147"/>
      <c r="AD130" s="133"/>
      <c r="AE130" s="147"/>
      <c r="AG130" s="133"/>
      <c r="AH130" s="147"/>
      <c r="AJ130" s="133"/>
      <c r="AK130" s="147"/>
      <c r="AM130" s="133"/>
      <c r="AN130" s="147"/>
      <c r="AP130" s="133"/>
      <c r="AQ130" s="147"/>
    </row>
    <row r="131" spans="3:43" x14ac:dyDescent="0.2">
      <c r="C131" s="146"/>
      <c r="D131" s="146"/>
      <c r="E131" s="146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47"/>
      <c r="Q131" s="133"/>
      <c r="R131" s="133"/>
      <c r="S131" s="133"/>
      <c r="T131" s="133"/>
      <c r="U131" s="147"/>
      <c r="V131" s="133"/>
      <c r="W131" s="133"/>
      <c r="X131" s="147"/>
      <c r="Y131" s="133"/>
      <c r="Z131" s="133"/>
      <c r="AA131" s="133"/>
      <c r="AB131" s="147"/>
      <c r="AD131" s="133"/>
      <c r="AE131" s="147"/>
      <c r="AG131" s="133"/>
      <c r="AH131" s="147"/>
      <c r="AJ131" s="133"/>
      <c r="AK131" s="147"/>
      <c r="AM131" s="133"/>
      <c r="AN131" s="147"/>
      <c r="AP131" s="133"/>
      <c r="AQ131" s="147"/>
    </row>
    <row r="132" spans="3:43" x14ac:dyDescent="0.2">
      <c r="C132" s="146"/>
      <c r="D132" s="146"/>
      <c r="E132" s="146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47"/>
      <c r="Q132" s="133"/>
      <c r="R132" s="133"/>
      <c r="S132" s="133"/>
      <c r="T132" s="133"/>
      <c r="U132" s="147"/>
      <c r="V132" s="133"/>
      <c r="W132" s="133"/>
      <c r="X132" s="147"/>
      <c r="Y132" s="133"/>
      <c r="Z132" s="133"/>
      <c r="AA132" s="133"/>
      <c r="AB132" s="147"/>
      <c r="AD132" s="133"/>
      <c r="AE132" s="147"/>
      <c r="AG132" s="133"/>
      <c r="AH132" s="147"/>
      <c r="AJ132" s="133"/>
      <c r="AK132" s="147"/>
      <c r="AM132" s="133"/>
      <c r="AN132" s="147"/>
      <c r="AP132" s="133"/>
      <c r="AQ132" s="147"/>
    </row>
    <row r="133" spans="3:43" x14ac:dyDescent="0.2">
      <c r="C133" s="146"/>
      <c r="D133" s="146"/>
      <c r="E133" s="146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47"/>
      <c r="Q133" s="133"/>
      <c r="R133" s="133"/>
      <c r="S133" s="133"/>
      <c r="T133" s="133"/>
      <c r="U133" s="147"/>
      <c r="V133" s="133"/>
      <c r="W133" s="133"/>
      <c r="X133" s="147"/>
      <c r="Y133" s="133"/>
      <c r="Z133" s="133"/>
      <c r="AA133" s="133"/>
      <c r="AB133" s="147"/>
      <c r="AD133" s="133"/>
      <c r="AE133" s="147"/>
      <c r="AG133" s="133"/>
      <c r="AH133" s="147"/>
      <c r="AJ133" s="133"/>
      <c r="AK133" s="147"/>
      <c r="AM133" s="133"/>
      <c r="AN133" s="147"/>
      <c r="AP133" s="133"/>
      <c r="AQ133" s="147"/>
    </row>
    <row r="134" spans="3:43" x14ac:dyDescent="0.2">
      <c r="C134" s="146"/>
      <c r="D134" s="146"/>
      <c r="E134" s="146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47"/>
      <c r="Q134" s="133"/>
      <c r="R134" s="133"/>
      <c r="S134" s="133"/>
      <c r="T134" s="133"/>
      <c r="U134" s="147"/>
      <c r="V134" s="133"/>
      <c r="W134" s="133"/>
      <c r="X134" s="147"/>
      <c r="Y134" s="133"/>
      <c r="Z134" s="133"/>
      <c r="AA134" s="133"/>
      <c r="AB134" s="147"/>
      <c r="AD134" s="133"/>
      <c r="AE134" s="147"/>
      <c r="AG134" s="133"/>
      <c r="AH134" s="147"/>
      <c r="AJ134" s="133"/>
      <c r="AK134" s="147"/>
      <c r="AM134" s="133"/>
      <c r="AN134" s="147"/>
      <c r="AP134" s="133"/>
      <c r="AQ134" s="147"/>
    </row>
    <row r="135" spans="3:43" x14ac:dyDescent="0.2">
      <c r="C135" s="146"/>
      <c r="D135" s="146"/>
      <c r="E135" s="146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7"/>
      <c r="Q135" s="133"/>
      <c r="R135" s="133"/>
      <c r="S135" s="133"/>
      <c r="T135" s="133"/>
      <c r="U135" s="147"/>
      <c r="V135" s="133"/>
      <c r="W135" s="133"/>
      <c r="X135" s="147"/>
      <c r="Y135" s="133"/>
      <c r="Z135" s="133"/>
      <c r="AA135" s="133"/>
      <c r="AB135" s="147"/>
      <c r="AD135" s="133"/>
      <c r="AE135" s="147"/>
      <c r="AG135" s="133"/>
      <c r="AH135" s="147"/>
      <c r="AJ135" s="133"/>
      <c r="AK135" s="147"/>
      <c r="AM135" s="133"/>
      <c r="AN135" s="147"/>
      <c r="AP135" s="133"/>
      <c r="AQ135" s="147"/>
    </row>
    <row r="136" spans="3:43" x14ac:dyDescent="0.2">
      <c r="C136" s="146"/>
      <c r="D136" s="146"/>
      <c r="E136" s="146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47"/>
      <c r="Q136" s="133"/>
      <c r="R136" s="133"/>
      <c r="S136" s="133"/>
      <c r="T136" s="133"/>
      <c r="U136" s="147"/>
      <c r="V136" s="133"/>
      <c r="W136" s="133"/>
      <c r="X136" s="147"/>
      <c r="Y136" s="133"/>
      <c r="Z136" s="133"/>
      <c r="AA136" s="133"/>
      <c r="AB136" s="147"/>
      <c r="AD136" s="133"/>
      <c r="AE136" s="147"/>
      <c r="AG136" s="133"/>
      <c r="AH136" s="147"/>
      <c r="AJ136" s="133"/>
      <c r="AK136" s="147"/>
      <c r="AM136" s="133"/>
      <c r="AN136" s="147"/>
      <c r="AP136" s="133"/>
      <c r="AQ136" s="147"/>
    </row>
    <row r="137" spans="3:43" x14ac:dyDescent="0.2">
      <c r="C137" s="146"/>
      <c r="D137" s="146"/>
      <c r="E137" s="146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47"/>
      <c r="Q137" s="133"/>
      <c r="R137" s="133"/>
      <c r="S137" s="133"/>
      <c r="T137" s="133"/>
      <c r="U137" s="147"/>
      <c r="V137" s="133"/>
      <c r="W137" s="133"/>
      <c r="X137" s="147"/>
      <c r="Y137" s="133"/>
      <c r="Z137" s="133"/>
      <c r="AA137" s="133"/>
      <c r="AB137" s="147"/>
      <c r="AD137" s="133"/>
      <c r="AE137" s="147"/>
      <c r="AG137" s="133"/>
      <c r="AH137" s="147"/>
      <c r="AJ137" s="133"/>
      <c r="AK137" s="147"/>
      <c r="AM137" s="133"/>
      <c r="AN137" s="147"/>
      <c r="AP137" s="133"/>
      <c r="AQ137" s="147"/>
    </row>
    <row r="138" spans="3:43" x14ac:dyDescent="0.2">
      <c r="C138" s="146"/>
      <c r="D138" s="146"/>
      <c r="E138" s="146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47"/>
      <c r="Q138" s="133"/>
      <c r="R138" s="133"/>
      <c r="S138" s="133"/>
      <c r="T138" s="133"/>
      <c r="U138" s="147"/>
      <c r="V138" s="133"/>
      <c r="W138" s="133"/>
      <c r="X138" s="147"/>
      <c r="Y138" s="133"/>
      <c r="Z138" s="133"/>
      <c r="AA138" s="133"/>
      <c r="AB138" s="147"/>
      <c r="AD138" s="133"/>
      <c r="AE138" s="147"/>
      <c r="AG138" s="133"/>
      <c r="AH138" s="147"/>
      <c r="AJ138" s="133"/>
      <c r="AK138" s="147"/>
      <c r="AM138" s="133"/>
      <c r="AN138" s="147"/>
      <c r="AP138" s="133"/>
      <c r="AQ138" s="147"/>
    </row>
    <row r="139" spans="3:43" x14ac:dyDescent="0.2">
      <c r="C139" s="146"/>
      <c r="D139" s="146"/>
      <c r="E139" s="146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47"/>
      <c r="Q139" s="133"/>
      <c r="R139" s="133"/>
      <c r="S139" s="133"/>
      <c r="T139" s="133"/>
      <c r="U139" s="147"/>
      <c r="V139" s="133"/>
      <c r="W139" s="133"/>
      <c r="X139" s="147"/>
      <c r="Y139" s="133"/>
      <c r="Z139" s="133"/>
      <c r="AA139" s="133"/>
      <c r="AB139" s="147"/>
      <c r="AD139" s="133"/>
      <c r="AE139" s="147"/>
      <c r="AG139" s="133"/>
      <c r="AH139" s="147"/>
      <c r="AJ139" s="133"/>
      <c r="AK139" s="147"/>
      <c r="AM139" s="133"/>
      <c r="AN139" s="147"/>
      <c r="AP139" s="133"/>
      <c r="AQ139" s="147"/>
    </row>
    <row r="140" spans="3:43" x14ac:dyDescent="0.2">
      <c r="C140" s="146"/>
      <c r="D140" s="146"/>
      <c r="E140" s="146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47"/>
      <c r="Q140" s="133"/>
      <c r="R140" s="133"/>
      <c r="S140" s="133"/>
      <c r="T140" s="133"/>
      <c r="U140" s="147"/>
      <c r="V140" s="133"/>
      <c r="W140" s="133"/>
      <c r="X140" s="147"/>
      <c r="Y140" s="133"/>
      <c r="Z140" s="133"/>
      <c r="AA140" s="133"/>
      <c r="AB140" s="147"/>
      <c r="AD140" s="133"/>
      <c r="AE140" s="147"/>
      <c r="AG140" s="133"/>
      <c r="AH140" s="147"/>
      <c r="AJ140" s="133"/>
      <c r="AK140" s="147"/>
      <c r="AM140" s="133"/>
      <c r="AN140" s="147"/>
      <c r="AP140" s="133"/>
      <c r="AQ140" s="147"/>
    </row>
    <row r="141" spans="3:43" x14ac:dyDescent="0.2">
      <c r="C141" s="146"/>
      <c r="D141" s="146"/>
      <c r="E141" s="146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47"/>
      <c r="Q141" s="133"/>
      <c r="R141" s="133"/>
      <c r="S141" s="133"/>
      <c r="T141" s="133"/>
      <c r="U141" s="147"/>
      <c r="V141" s="133"/>
      <c r="W141" s="133"/>
      <c r="X141" s="147"/>
      <c r="Y141" s="133"/>
      <c r="Z141" s="133"/>
      <c r="AA141" s="133"/>
      <c r="AB141" s="147"/>
      <c r="AD141" s="133"/>
      <c r="AE141" s="147"/>
      <c r="AG141" s="133"/>
      <c r="AH141" s="147"/>
      <c r="AJ141" s="133"/>
      <c r="AK141" s="147"/>
      <c r="AM141" s="133"/>
      <c r="AN141" s="147"/>
      <c r="AP141" s="133"/>
      <c r="AQ141" s="147"/>
    </row>
    <row r="142" spans="3:43" x14ac:dyDescent="0.2">
      <c r="C142" s="146"/>
      <c r="D142" s="146"/>
      <c r="E142" s="146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47"/>
      <c r="Q142" s="133"/>
      <c r="R142" s="133"/>
      <c r="S142" s="133"/>
      <c r="T142" s="133"/>
      <c r="U142" s="147"/>
      <c r="V142" s="133"/>
      <c r="W142" s="133"/>
      <c r="X142" s="147"/>
      <c r="Y142" s="133"/>
      <c r="Z142" s="133"/>
      <c r="AA142" s="133"/>
      <c r="AB142" s="147"/>
      <c r="AD142" s="133"/>
      <c r="AE142" s="147"/>
      <c r="AG142" s="133"/>
      <c r="AH142" s="147"/>
      <c r="AJ142" s="133"/>
      <c r="AK142" s="147"/>
      <c r="AM142" s="133"/>
      <c r="AN142" s="147"/>
      <c r="AP142" s="133"/>
      <c r="AQ142" s="147"/>
    </row>
    <row r="143" spans="3:43" x14ac:dyDescent="0.2">
      <c r="C143" s="146"/>
      <c r="D143" s="146"/>
      <c r="E143" s="146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47"/>
      <c r="Q143" s="133"/>
      <c r="R143" s="133"/>
      <c r="S143" s="133"/>
      <c r="T143" s="133"/>
      <c r="U143" s="147"/>
      <c r="V143" s="133"/>
      <c r="W143" s="133"/>
      <c r="X143" s="147"/>
      <c r="Y143" s="133"/>
      <c r="Z143" s="133"/>
      <c r="AA143" s="133"/>
      <c r="AB143" s="147"/>
      <c r="AD143" s="133"/>
      <c r="AE143" s="147"/>
      <c r="AG143" s="133"/>
      <c r="AH143" s="147"/>
      <c r="AJ143" s="133"/>
      <c r="AK143" s="147"/>
      <c r="AM143" s="133"/>
      <c r="AN143" s="147"/>
      <c r="AP143" s="133"/>
      <c r="AQ143" s="147"/>
    </row>
    <row r="144" spans="3:43" x14ac:dyDescent="0.2">
      <c r="C144" s="146"/>
      <c r="D144" s="146"/>
      <c r="E144" s="146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47"/>
      <c r="Q144" s="133"/>
      <c r="R144" s="133"/>
      <c r="S144" s="133"/>
      <c r="T144" s="133"/>
      <c r="U144" s="147"/>
      <c r="V144" s="133"/>
      <c r="W144" s="133"/>
      <c r="X144" s="147"/>
      <c r="Y144" s="133"/>
      <c r="Z144" s="133"/>
      <c r="AA144" s="133"/>
      <c r="AB144" s="147"/>
      <c r="AD144" s="133"/>
      <c r="AE144" s="147"/>
      <c r="AG144" s="133"/>
      <c r="AH144" s="147"/>
      <c r="AJ144" s="133"/>
      <c r="AK144" s="147"/>
      <c r="AM144" s="133"/>
      <c r="AN144" s="147"/>
      <c r="AP144" s="133"/>
      <c r="AQ144" s="147"/>
    </row>
    <row r="145" spans="3:43" x14ac:dyDescent="0.2">
      <c r="C145" s="146"/>
      <c r="D145" s="146"/>
      <c r="E145" s="146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7"/>
      <c r="Q145" s="133"/>
      <c r="R145" s="133"/>
      <c r="S145" s="133"/>
      <c r="T145" s="133"/>
      <c r="U145" s="147"/>
      <c r="V145" s="133"/>
      <c r="W145" s="133"/>
      <c r="X145" s="147"/>
      <c r="Y145" s="133"/>
      <c r="Z145" s="133"/>
      <c r="AA145" s="133"/>
      <c r="AB145" s="147"/>
      <c r="AD145" s="133"/>
      <c r="AE145" s="147"/>
      <c r="AG145" s="133"/>
      <c r="AH145" s="147"/>
      <c r="AJ145" s="133"/>
      <c r="AK145" s="147"/>
      <c r="AM145" s="133"/>
      <c r="AN145" s="147"/>
      <c r="AP145" s="133"/>
      <c r="AQ145" s="147"/>
    </row>
    <row r="146" spans="3:43" x14ac:dyDescent="0.2">
      <c r="C146" s="146"/>
      <c r="D146" s="146"/>
      <c r="E146" s="146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47"/>
      <c r="Q146" s="133"/>
      <c r="R146" s="133"/>
      <c r="S146" s="133"/>
      <c r="T146" s="133"/>
      <c r="U146" s="147"/>
      <c r="V146" s="133"/>
      <c r="W146" s="133"/>
      <c r="X146" s="147"/>
      <c r="Y146" s="133"/>
      <c r="Z146" s="133"/>
      <c r="AA146" s="133"/>
      <c r="AB146" s="147"/>
      <c r="AD146" s="133"/>
      <c r="AE146" s="147"/>
      <c r="AG146" s="133"/>
      <c r="AH146" s="147"/>
      <c r="AJ146" s="133"/>
      <c r="AK146" s="147"/>
      <c r="AM146" s="133"/>
      <c r="AN146" s="147"/>
      <c r="AP146" s="133"/>
      <c r="AQ146" s="147"/>
    </row>
    <row r="147" spans="3:43" x14ac:dyDescent="0.2">
      <c r="C147" s="146"/>
      <c r="D147" s="146"/>
      <c r="E147" s="146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47"/>
      <c r="Q147" s="133"/>
      <c r="R147" s="133"/>
      <c r="S147" s="133"/>
      <c r="T147" s="133"/>
      <c r="U147" s="147"/>
      <c r="V147" s="133"/>
      <c r="W147" s="133"/>
      <c r="X147" s="147"/>
      <c r="Y147" s="133"/>
      <c r="Z147" s="133"/>
      <c r="AA147" s="133"/>
      <c r="AB147" s="147"/>
      <c r="AD147" s="133"/>
      <c r="AE147" s="147"/>
      <c r="AG147" s="133"/>
      <c r="AH147" s="147"/>
      <c r="AJ147" s="133"/>
      <c r="AK147" s="147"/>
      <c r="AM147" s="133"/>
      <c r="AN147" s="147"/>
      <c r="AP147" s="133"/>
      <c r="AQ147" s="147"/>
    </row>
    <row r="148" spans="3:43" x14ac:dyDescent="0.2">
      <c r="C148" s="146"/>
      <c r="D148" s="146"/>
      <c r="E148" s="146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47"/>
      <c r="Q148" s="133"/>
      <c r="R148" s="133"/>
      <c r="S148" s="133"/>
      <c r="T148" s="133"/>
      <c r="U148" s="147"/>
      <c r="V148" s="133"/>
      <c r="W148" s="133"/>
      <c r="X148" s="147"/>
      <c r="Y148" s="133"/>
      <c r="Z148" s="133"/>
      <c r="AA148" s="133"/>
      <c r="AB148" s="147"/>
      <c r="AD148" s="133"/>
      <c r="AE148" s="147"/>
      <c r="AG148" s="133"/>
      <c r="AH148" s="147"/>
      <c r="AJ148" s="133"/>
      <c r="AK148" s="147"/>
      <c r="AM148" s="133"/>
      <c r="AN148" s="147"/>
      <c r="AP148" s="133"/>
      <c r="AQ148" s="147"/>
    </row>
    <row r="149" spans="3:43" x14ac:dyDescent="0.2">
      <c r="C149" s="146"/>
      <c r="D149" s="146"/>
      <c r="E149" s="146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47"/>
      <c r="Q149" s="133"/>
      <c r="R149" s="133"/>
      <c r="S149" s="133"/>
      <c r="T149" s="133"/>
      <c r="U149" s="147"/>
      <c r="V149" s="133"/>
      <c r="W149" s="133"/>
      <c r="X149" s="147"/>
      <c r="Y149" s="133"/>
      <c r="Z149" s="133"/>
      <c r="AA149" s="133"/>
      <c r="AB149" s="147"/>
      <c r="AD149" s="133"/>
      <c r="AE149" s="147"/>
      <c r="AG149" s="133"/>
      <c r="AH149" s="147"/>
      <c r="AJ149" s="133"/>
      <c r="AK149" s="147"/>
      <c r="AM149" s="133"/>
      <c r="AN149" s="147"/>
      <c r="AP149" s="133"/>
      <c r="AQ149" s="147"/>
    </row>
    <row r="150" spans="3:43" x14ac:dyDescent="0.2">
      <c r="C150" s="146"/>
      <c r="D150" s="146"/>
      <c r="E150" s="146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47"/>
      <c r="Q150" s="133"/>
      <c r="R150" s="133"/>
      <c r="S150" s="133"/>
      <c r="T150" s="133"/>
      <c r="U150" s="147"/>
      <c r="V150" s="133"/>
      <c r="W150" s="133"/>
      <c r="X150" s="147"/>
      <c r="Y150" s="133"/>
      <c r="Z150" s="133"/>
      <c r="AA150" s="133"/>
      <c r="AB150" s="147"/>
      <c r="AD150" s="133"/>
      <c r="AE150" s="147"/>
      <c r="AG150" s="133"/>
      <c r="AH150" s="147"/>
      <c r="AJ150" s="133"/>
      <c r="AK150" s="147"/>
      <c r="AM150" s="133"/>
      <c r="AN150" s="147"/>
      <c r="AP150" s="133"/>
      <c r="AQ150" s="147"/>
    </row>
    <row r="151" spans="3:43" x14ac:dyDescent="0.2">
      <c r="C151" s="146"/>
      <c r="D151" s="146"/>
      <c r="E151" s="146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47"/>
      <c r="Q151" s="133"/>
      <c r="R151" s="133"/>
      <c r="S151" s="133"/>
      <c r="T151" s="133"/>
      <c r="U151" s="147"/>
      <c r="V151" s="133"/>
      <c r="W151" s="133"/>
      <c r="X151" s="147"/>
      <c r="Y151" s="133"/>
      <c r="Z151" s="133"/>
      <c r="AA151" s="133"/>
      <c r="AB151" s="147"/>
      <c r="AD151" s="133"/>
      <c r="AE151" s="147"/>
      <c r="AG151" s="133"/>
      <c r="AH151" s="147"/>
      <c r="AJ151" s="133"/>
      <c r="AK151" s="147"/>
      <c r="AM151" s="133"/>
      <c r="AN151" s="147"/>
      <c r="AP151" s="133"/>
      <c r="AQ151" s="147"/>
    </row>
    <row r="152" spans="3:43" x14ac:dyDescent="0.2">
      <c r="C152" s="146"/>
      <c r="D152" s="146"/>
      <c r="E152" s="146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47"/>
      <c r="Q152" s="133"/>
      <c r="R152" s="133"/>
      <c r="S152" s="133"/>
      <c r="T152" s="133"/>
      <c r="U152" s="147"/>
      <c r="V152" s="133"/>
      <c r="W152" s="133"/>
      <c r="X152" s="147"/>
      <c r="Y152" s="133"/>
      <c r="Z152" s="133"/>
      <c r="AA152" s="133"/>
      <c r="AB152" s="147"/>
      <c r="AD152" s="133"/>
      <c r="AE152" s="147"/>
      <c r="AG152" s="133"/>
      <c r="AH152" s="147"/>
      <c r="AJ152" s="133"/>
      <c r="AK152" s="147"/>
      <c r="AM152" s="133"/>
      <c r="AN152" s="147"/>
      <c r="AP152" s="133"/>
      <c r="AQ152" s="147"/>
    </row>
    <row r="153" spans="3:43" x14ac:dyDescent="0.2">
      <c r="C153" s="146"/>
      <c r="D153" s="146"/>
      <c r="E153" s="146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47"/>
      <c r="Q153" s="133"/>
      <c r="R153" s="133"/>
      <c r="S153" s="133"/>
      <c r="T153" s="133"/>
      <c r="U153" s="147"/>
      <c r="V153" s="133"/>
      <c r="W153" s="133"/>
      <c r="X153" s="147"/>
      <c r="Y153" s="133"/>
      <c r="Z153" s="133"/>
      <c r="AA153" s="133"/>
      <c r="AB153" s="147"/>
      <c r="AD153" s="133"/>
      <c r="AE153" s="147"/>
      <c r="AG153" s="133"/>
      <c r="AH153" s="147"/>
      <c r="AJ153" s="133"/>
      <c r="AK153" s="147"/>
      <c r="AM153" s="133"/>
      <c r="AN153" s="147"/>
      <c r="AP153" s="133"/>
      <c r="AQ153" s="147"/>
    </row>
    <row r="154" spans="3:43" x14ac:dyDescent="0.2">
      <c r="C154" s="146"/>
      <c r="D154" s="146"/>
      <c r="E154" s="146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47"/>
      <c r="Q154" s="133"/>
      <c r="R154" s="133"/>
      <c r="S154" s="133"/>
      <c r="T154" s="133"/>
      <c r="U154" s="147"/>
      <c r="V154" s="133"/>
      <c r="W154" s="133"/>
      <c r="X154" s="147"/>
      <c r="Y154" s="133"/>
      <c r="Z154" s="133"/>
      <c r="AA154" s="133"/>
      <c r="AB154" s="147"/>
      <c r="AD154" s="133"/>
      <c r="AE154" s="147"/>
      <c r="AG154" s="133"/>
      <c r="AH154" s="147"/>
      <c r="AJ154" s="133"/>
      <c r="AK154" s="147"/>
      <c r="AM154" s="133"/>
      <c r="AN154" s="147"/>
      <c r="AP154" s="133"/>
      <c r="AQ154" s="147"/>
    </row>
    <row r="155" spans="3:43" x14ac:dyDescent="0.2">
      <c r="C155" s="146"/>
      <c r="D155" s="146"/>
      <c r="E155" s="146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47"/>
      <c r="Q155" s="133"/>
      <c r="R155" s="133"/>
      <c r="S155" s="133"/>
      <c r="T155" s="133"/>
      <c r="U155" s="147"/>
      <c r="V155" s="133"/>
      <c r="W155" s="133"/>
      <c r="X155" s="147"/>
      <c r="Y155" s="133"/>
      <c r="Z155" s="133"/>
      <c r="AA155" s="133"/>
      <c r="AB155" s="147"/>
      <c r="AD155" s="133"/>
      <c r="AE155" s="147"/>
      <c r="AG155" s="133"/>
      <c r="AH155" s="147"/>
      <c r="AJ155" s="133"/>
      <c r="AK155" s="147"/>
      <c r="AM155" s="133"/>
      <c r="AN155" s="147"/>
      <c r="AP155" s="133"/>
      <c r="AQ155" s="147"/>
    </row>
    <row r="156" spans="3:43" x14ac:dyDescent="0.2">
      <c r="C156" s="146"/>
      <c r="D156" s="146"/>
      <c r="E156" s="146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47"/>
      <c r="Q156" s="133"/>
      <c r="R156" s="133"/>
      <c r="S156" s="133"/>
      <c r="T156" s="133"/>
      <c r="U156" s="147"/>
      <c r="V156" s="133"/>
      <c r="W156" s="133"/>
      <c r="X156" s="147"/>
      <c r="Y156" s="133"/>
      <c r="Z156" s="133"/>
      <c r="AA156" s="133"/>
      <c r="AB156" s="147"/>
      <c r="AD156" s="133"/>
      <c r="AE156" s="147"/>
      <c r="AG156" s="133"/>
      <c r="AH156" s="147"/>
      <c r="AJ156" s="133"/>
      <c r="AK156" s="147"/>
      <c r="AM156" s="133"/>
      <c r="AN156" s="147"/>
      <c r="AP156" s="133"/>
      <c r="AQ156" s="147"/>
    </row>
    <row r="157" spans="3:43" x14ac:dyDescent="0.2">
      <c r="C157" s="146"/>
      <c r="D157" s="146"/>
      <c r="E157" s="146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47"/>
      <c r="Q157" s="133"/>
      <c r="R157" s="133"/>
      <c r="S157" s="133"/>
      <c r="T157" s="133"/>
      <c r="U157" s="147"/>
      <c r="V157" s="133"/>
      <c r="W157" s="133"/>
      <c r="X157" s="147"/>
      <c r="Y157" s="133"/>
      <c r="Z157" s="133"/>
      <c r="AA157" s="133"/>
      <c r="AB157" s="147"/>
      <c r="AD157" s="133"/>
      <c r="AE157" s="147"/>
      <c r="AG157" s="133"/>
      <c r="AH157" s="147"/>
      <c r="AJ157" s="133"/>
      <c r="AK157" s="147"/>
      <c r="AM157" s="133"/>
      <c r="AN157" s="147"/>
      <c r="AP157" s="133"/>
      <c r="AQ157" s="147"/>
    </row>
    <row r="158" spans="3:43" x14ac:dyDescent="0.2">
      <c r="C158" s="146"/>
      <c r="D158" s="146"/>
      <c r="E158" s="146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47"/>
      <c r="Q158" s="133"/>
      <c r="R158" s="133"/>
      <c r="S158" s="133"/>
      <c r="T158" s="133"/>
      <c r="U158" s="147"/>
      <c r="V158" s="133"/>
      <c r="W158" s="133"/>
      <c r="X158" s="147"/>
      <c r="Y158" s="133"/>
      <c r="Z158" s="133"/>
      <c r="AA158" s="133"/>
      <c r="AB158" s="147"/>
      <c r="AD158" s="133"/>
      <c r="AE158" s="147"/>
      <c r="AG158" s="133"/>
      <c r="AH158" s="147"/>
      <c r="AJ158" s="133"/>
      <c r="AK158" s="147"/>
      <c r="AM158" s="133"/>
      <c r="AN158" s="147"/>
      <c r="AP158" s="133"/>
      <c r="AQ158" s="147"/>
    </row>
    <row r="159" spans="3:43" x14ac:dyDescent="0.2">
      <c r="C159" s="146"/>
      <c r="D159" s="146"/>
      <c r="E159" s="146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47"/>
      <c r="Q159" s="133"/>
      <c r="R159" s="133"/>
      <c r="S159" s="133"/>
      <c r="T159" s="133"/>
      <c r="U159" s="147"/>
      <c r="V159" s="133"/>
      <c r="W159" s="133"/>
      <c r="X159" s="147"/>
      <c r="Y159" s="133"/>
      <c r="Z159" s="133"/>
      <c r="AA159" s="133"/>
      <c r="AB159" s="147"/>
      <c r="AD159" s="133"/>
      <c r="AE159" s="147"/>
      <c r="AG159" s="133"/>
      <c r="AH159" s="147"/>
      <c r="AJ159" s="133"/>
      <c r="AK159" s="147"/>
      <c r="AM159" s="133"/>
      <c r="AN159" s="147"/>
      <c r="AP159" s="133"/>
      <c r="AQ159" s="147"/>
    </row>
    <row r="160" spans="3:43" x14ac:dyDescent="0.2">
      <c r="C160" s="146"/>
      <c r="D160" s="146"/>
      <c r="E160" s="146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47"/>
      <c r="Q160" s="133"/>
      <c r="R160" s="133"/>
      <c r="S160" s="133"/>
      <c r="T160" s="133"/>
      <c r="U160" s="147"/>
      <c r="V160" s="133"/>
      <c r="W160" s="133"/>
      <c r="X160" s="147"/>
      <c r="Y160" s="133"/>
      <c r="Z160" s="133"/>
      <c r="AA160" s="133"/>
      <c r="AB160" s="147"/>
      <c r="AD160" s="133"/>
      <c r="AE160" s="147"/>
      <c r="AG160" s="133"/>
      <c r="AH160" s="147"/>
      <c r="AJ160" s="133"/>
      <c r="AK160" s="147"/>
      <c r="AM160" s="133"/>
      <c r="AN160" s="147"/>
      <c r="AP160" s="133"/>
      <c r="AQ160" s="147"/>
    </row>
    <row r="161" spans="3:43" x14ac:dyDescent="0.2">
      <c r="C161" s="146"/>
      <c r="D161" s="146"/>
      <c r="E161" s="146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47"/>
      <c r="Q161" s="133"/>
      <c r="R161" s="133"/>
      <c r="S161" s="133"/>
      <c r="T161" s="133"/>
      <c r="U161" s="147"/>
      <c r="V161" s="133"/>
      <c r="W161" s="133"/>
      <c r="X161" s="147"/>
      <c r="Y161" s="133"/>
      <c r="Z161" s="133"/>
      <c r="AA161" s="133"/>
      <c r="AB161" s="147"/>
      <c r="AD161" s="133"/>
      <c r="AE161" s="147"/>
      <c r="AG161" s="133"/>
      <c r="AH161" s="147"/>
      <c r="AJ161" s="133"/>
      <c r="AK161" s="147"/>
      <c r="AM161" s="133"/>
      <c r="AN161" s="147"/>
      <c r="AP161" s="133"/>
      <c r="AQ161" s="147"/>
    </row>
    <row r="162" spans="3:43" x14ac:dyDescent="0.2">
      <c r="C162" s="146"/>
      <c r="D162" s="146"/>
      <c r="E162" s="146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47"/>
      <c r="Q162" s="133"/>
      <c r="R162" s="133"/>
      <c r="S162" s="133"/>
      <c r="T162" s="133"/>
      <c r="U162" s="147"/>
      <c r="V162" s="133"/>
      <c r="W162" s="133"/>
      <c r="X162" s="147"/>
      <c r="Y162" s="133"/>
      <c r="Z162" s="133"/>
      <c r="AA162" s="133"/>
      <c r="AB162" s="147"/>
      <c r="AD162" s="133"/>
      <c r="AE162" s="147"/>
      <c r="AG162" s="133"/>
      <c r="AH162" s="147"/>
      <c r="AJ162" s="133"/>
      <c r="AK162" s="147"/>
      <c r="AM162" s="133"/>
      <c r="AN162" s="147"/>
      <c r="AP162" s="133"/>
      <c r="AQ162" s="147"/>
    </row>
    <row r="163" spans="3:43" x14ac:dyDescent="0.2">
      <c r="C163" s="146"/>
      <c r="D163" s="146"/>
      <c r="E163" s="146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47"/>
      <c r="Q163" s="133"/>
      <c r="R163" s="133"/>
      <c r="S163" s="133"/>
      <c r="T163" s="133"/>
      <c r="U163" s="147"/>
      <c r="V163" s="133"/>
      <c r="W163" s="133"/>
      <c r="X163" s="147"/>
      <c r="Y163" s="133"/>
      <c r="Z163" s="133"/>
      <c r="AA163" s="133"/>
      <c r="AB163" s="147"/>
      <c r="AD163" s="133"/>
      <c r="AE163" s="147"/>
      <c r="AG163" s="133"/>
      <c r="AH163" s="147"/>
      <c r="AJ163" s="133"/>
      <c r="AK163" s="147"/>
      <c r="AM163" s="133"/>
      <c r="AN163" s="147"/>
      <c r="AP163" s="133"/>
      <c r="AQ163" s="147"/>
    </row>
    <row r="164" spans="3:43" x14ac:dyDescent="0.2">
      <c r="C164" s="146"/>
      <c r="D164" s="146"/>
      <c r="E164" s="146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7"/>
      <c r="Q164" s="133"/>
      <c r="R164" s="133"/>
      <c r="S164" s="133"/>
      <c r="T164" s="133"/>
      <c r="U164" s="147"/>
      <c r="V164" s="133"/>
      <c r="W164" s="133"/>
      <c r="X164" s="147"/>
      <c r="Y164" s="133"/>
      <c r="Z164" s="133"/>
      <c r="AA164" s="133"/>
      <c r="AB164" s="147"/>
      <c r="AD164" s="133"/>
      <c r="AE164" s="147"/>
      <c r="AG164" s="133"/>
      <c r="AH164" s="147"/>
      <c r="AJ164" s="133"/>
      <c r="AK164" s="147"/>
      <c r="AM164" s="133"/>
      <c r="AN164" s="147"/>
      <c r="AP164" s="133"/>
      <c r="AQ164" s="147"/>
    </row>
    <row r="165" spans="3:43" x14ac:dyDescent="0.2">
      <c r="C165" s="146"/>
      <c r="D165" s="146"/>
      <c r="E165" s="146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47"/>
      <c r="Q165" s="133"/>
      <c r="R165" s="133"/>
      <c r="S165" s="133"/>
      <c r="T165" s="133"/>
      <c r="U165" s="147"/>
      <c r="V165" s="133"/>
      <c r="W165" s="133"/>
      <c r="X165" s="147"/>
      <c r="Y165" s="133"/>
      <c r="Z165" s="133"/>
      <c r="AA165" s="133"/>
      <c r="AB165" s="147"/>
      <c r="AD165" s="133"/>
      <c r="AE165" s="147"/>
      <c r="AG165" s="133"/>
      <c r="AH165" s="147"/>
      <c r="AJ165" s="133"/>
      <c r="AK165" s="147"/>
      <c r="AM165" s="133"/>
      <c r="AN165" s="147"/>
      <c r="AP165" s="133"/>
      <c r="AQ165" s="147"/>
    </row>
    <row r="166" spans="3:43" x14ac:dyDescent="0.2">
      <c r="C166" s="146"/>
      <c r="D166" s="146"/>
      <c r="E166" s="146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47"/>
      <c r="Q166" s="133"/>
      <c r="R166" s="133"/>
      <c r="S166" s="133"/>
      <c r="T166" s="133"/>
      <c r="U166" s="147"/>
      <c r="V166" s="133"/>
      <c r="W166" s="133"/>
      <c r="X166" s="147"/>
      <c r="Y166" s="133"/>
      <c r="Z166" s="133"/>
      <c r="AA166" s="133"/>
      <c r="AB166" s="147"/>
      <c r="AD166" s="133"/>
      <c r="AE166" s="147"/>
      <c r="AG166" s="133"/>
      <c r="AH166" s="147"/>
      <c r="AJ166" s="133"/>
      <c r="AK166" s="147"/>
      <c r="AM166" s="133"/>
      <c r="AN166" s="147"/>
      <c r="AP166" s="133"/>
      <c r="AQ166" s="147"/>
    </row>
    <row r="167" spans="3:43" x14ac:dyDescent="0.2">
      <c r="C167" s="146"/>
      <c r="D167" s="146"/>
      <c r="E167" s="146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47"/>
      <c r="Q167" s="133"/>
      <c r="R167" s="133"/>
      <c r="S167" s="133"/>
      <c r="T167" s="133"/>
      <c r="U167" s="147"/>
      <c r="V167" s="133"/>
      <c r="W167" s="133"/>
      <c r="X167" s="147"/>
      <c r="Y167" s="133"/>
      <c r="Z167" s="133"/>
      <c r="AA167" s="133"/>
      <c r="AB167" s="147"/>
      <c r="AD167" s="133"/>
      <c r="AE167" s="147"/>
      <c r="AG167" s="133"/>
      <c r="AH167" s="147"/>
      <c r="AJ167" s="133"/>
      <c r="AK167" s="147"/>
      <c r="AM167" s="133"/>
      <c r="AN167" s="147"/>
      <c r="AP167" s="133"/>
      <c r="AQ167" s="147"/>
    </row>
    <row r="168" spans="3:43" x14ac:dyDescent="0.2">
      <c r="C168" s="146"/>
      <c r="D168" s="146"/>
      <c r="E168" s="146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47"/>
      <c r="Q168" s="133"/>
      <c r="R168" s="133"/>
      <c r="S168" s="133"/>
      <c r="T168" s="133"/>
      <c r="U168" s="147"/>
      <c r="V168" s="133"/>
      <c r="W168" s="133"/>
      <c r="X168" s="147"/>
      <c r="Y168" s="133"/>
      <c r="Z168" s="133"/>
      <c r="AA168" s="133"/>
      <c r="AB168" s="147"/>
      <c r="AD168" s="133"/>
      <c r="AE168" s="147"/>
      <c r="AG168" s="133"/>
      <c r="AH168" s="147"/>
      <c r="AJ168" s="133"/>
      <c r="AK168" s="147"/>
      <c r="AM168" s="133"/>
      <c r="AN168" s="147"/>
      <c r="AP168" s="133"/>
      <c r="AQ168" s="147"/>
    </row>
    <row r="169" spans="3:43" x14ac:dyDescent="0.2">
      <c r="C169" s="146"/>
      <c r="D169" s="146"/>
      <c r="E169" s="146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47"/>
      <c r="Q169" s="133"/>
      <c r="R169" s="133"/>
      <c r="S169" s="133"/>
      <c r="T169" s="133"/>
      <c r="U169" s="147"/>
      <c r="V169" s="133"/>
      <c r="W169" s="133"/>
      <c r="X169" s="147"/>
      <c r="Y169" s="133"/>
      <c r="Z169" s="133"/>
      <c r="AA169" s="133"/>
      <c r="AB169" s="147"/>
      <c r="AD169" s="133"/>
      <c r="AE169" s="147"/>
      <c r="AG169" s="133"/>
      <c r="AH169" s="147"/>
      <c r="AJ169" s="133"/>
      <c r="AK169" s="147"/>
      <c r="AM169" s="133"/>
      <c r="AN169" s="147"/>
      <c r="AP169" s="133"/>
      <c r="AQ169" s="147"/>
    </row>
    <row r="170" spans="3:43" x14ac:dyDescent="0.2">
      <c r="C170" s="146"/>
      <c r="D170" s="146"/>
      <c r="E170" s="146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47"/>
      <c r="Q170" s="133"/>
      <c r="R170" s="133"/>
      <c r="S170" s="133"/>
      <c r="T170" s="133"/>
      <c r="U170" s="147"/>
      <c r="V170" s="133"/>
      <c r="W170" s="133"/>
      <c r="X170" s="147"/>
      <c r="Y170" s="133"/>
      <c r="Z170" s="133"/>
      <c r="AA170" s="133"/>
      <c r="AB170" s="147"/>
      <c r="AD170" s="133"/>
      <c r="AE170" s="147"/>
      <c r="AG170" s="133"/>
      <c r="AH170" s="147"/>
      <c r="AJ170" s="133"/>
      <c r="AK170" s="147"/>
      <c r="AM170" s="133"/>
      <c r="AN170" s="147"/>
      <c r="AP170" s="133"/>
      <c r="AQ170" s="147"/>
    </row>
    <row r="171" spans="3:43" x14ac:dyDescent="0.2">
      <c r="C171" s="146"/>
      <c r="D171" s="146"/>
      <c r="E171" s="146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47"/>
      <c r="Q171" s="133"/>
      <c r="R171" s="133"/>
      <c r="S171" s="133"/>
      <c r="T171" s="133"/>
      <c r="U171" s="147"/>
      <c r="V171" s="133"/>
      <c r="W171" s="133"/>
      <c r="X171" s="147"/>
      <c r="Y171" s="133"/>
      <c r="Z171" s="133"/>
      <c r="AA171" s="133"/>
      <c r="AB171" s="147"/>
      <c r="AD171" s="133"/>
      <c r="AE171" s="147"/>
      <c r="AG171" s="133"/>
      <c r="AH171" s="147"/>
      <c r="AJ171" s="133"/>
      <c r="AK171" s="147"/>
      <c r="AM171" s="133"/>
      <c r="AN171" s="147"/>
      <c r="AP171" s="133"/>
      <c r="AQ171" s="147"/>
    </row>
    <row r="172" spans="3:43" x14ac:dyDescent="0.2">
      <c r="C172" s="146"/>
      <c r="D172" s="146"/>
      <c r="E172" s="146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47"/>
      <c r="Q172" s="133"/>
      <c r="R172" s="133"/>
      <c r="S172" s="133"/>
      <c r="T172" s="133"/>
      <c r="U172" s="147"/>
      <c r="V172" s="133"/>
      <c r="W172" s="133"/>
      <c r="X172" s="147"/>
      <c r="Y172" s="133"/>
      <c r="Z172" s="133"/>
      <c r="AA172" s="133"/>
      <c r="AB172" s="147"/>
      <c r="AD172" s="133"/>
      <c r="AE172" s="147"/>
      <c r="AG172" s="133"/>
      <c r="AH172" s="147"/>
      <c r="AJ172" s="133"/>
      <c r="AK172" s="147"/>
      <c r="AM172" s="133"/>
      <c r="AN172" s="147"/>
      <c r="AP172" s="133"/>
      <c r="AQ172" s="147"/>
    </row>
    <row r="173" spans="3:43" x14ac:dyDescent="0.2">
      <c r="C173" s="146"/>
      <c r="D173" s="146"/>
      <c r="E173" s="146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47"/>
      <c r="Q173" s="133"/>
      <c r="R173" s="133"/>
      <c r="S173" s="133"/>
      <c r="T173" s="133"/>
      <c r="U173" s="147"/>
      <c r="V173" s="133"/>
      <c r="W173" s="133"/>
      <c r="X173" s="147"/>
      <c r="Y173" s="133"/>
      <c r="Z173" s="133"/>
      <c r="AA173" s="133"/>
      <c r="AB173" s="147"/>
      <c r="AD173" s="133"/>
      <c r="AE173" s="147"/>
      <c r="AG173" s="133"/>
      <c r="AH173" s="147"/>
      <c r="AJ173" s="133"/>
      <c r="AK173" s="147"/>
      <c r="AM173" s="133"/>
      <c r="AN173" s="147"/>
      <c r="AP173" s="133"/>
      <c r="AQ173" s="147"/>
    </row>
    <row r="174" spans="3:43" x14ac:dyDescent="0.2">
      <c r="C174" s="146"/>
      <c r="D174" s="146"/>
      <c r="E174" s="146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7"/>
      <c r="Q174" s="133"/>
      <c r="R174" s="133"/>
      <c r="S174" s="133"/>
      <c r="T174" s="133"/>
      <c r="U174" s="147"/>
      <c r="V174" s="133"/>
      <c r="W174" s="133"/>
      <c r="X174" s="147"/>
      <c r="Y174" s="133"/>
      <c r="Z174" s="133"/>
      <c r="AA174" s="133"/>
      <c r="AB174" s="147"/>
      <c r="AD174" s="133"/>
      <c r="AE174" s="147"/>
      <c r="AG174" s="133"/>
      <c r="AH174" s="147"/>
      <c r="AJ174" s="133"/>
      <c r="AK174" s="147"/>
      <c r="AM174" s="133"/>
      <c r="AN174" s="147"/>
      <c r="AP174" s="133"/>
      <c r="AQ174" s="147"/>
    </row>
    <row r="175" spans="3:43" x14ac:dyDescent="0.2">
      <c r="C175" s="146"/>
      <c r="D175" s="146"/>
      <c r="E175" s="146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47"/>
      <c r="Q175" s="133"/>
      <c r="R175" s="133"/>
      <c r="S175" s="133"/>
      <c r="T175" s="133"/>
      <c r="U175" s="147"/>
      <c r="V175" s="133"/>
      <c r="W175" s="133"/>
      <c r="X175" s="147"/>
      <c r="Y175" s="133"/>
      <c r="Z175" s="133"/>
      <c r="AA175" s="133"/>
      <c r="AB175" s="147"/>
      <c r="AD175" s="133"/>
      <c r="AE175" s="147"/>
      <c r="AG175" s="133"/>
      <c r="AH175" s="147"/>
      <c r="AJ175" s="133"/>
      <c r="AK175" s="147"/>
      <c r="AM175" s="133"/>
      <c r="AN175" s="147"/>
      <c r="AP175" s="133"/>
      <c r="AQ175" s="147"/>
    </row>
    <row r="176" spans="3:43" x14ac:dyDescent="0.2">
      <c r="C176" s="146"/>
      <c r="D176" s="146"/>
      <c r="E176" s="146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47"/>
      <c r="Q176" s="133"/>
      <c r="R176" s="133"/>
      <c r="S176" s="133"/>
      <c r="T176" s="133"/>
      <c r="U176" s="147"/>
      <c r="V176" s="133"/>
      <c r="W176" s="133"/>
      <c r="X176" s="147"/>
      <c r="Y176" s="133"/>
      <c r="Z176" s="133"/>
      <c r="AA176" s="133"/>
      <c r="AB176" s="147"/>
      <c r="AD176" s="133"/>
      <c r="AE176" s="147"/>
      <c r="AG176" s="133"/>
      <c r="AH176" s="147"/>
      <c r="AJ176" s="133"/>
      <c r="AK176" s="147"/>
      <c r="AM176" s="133"/>
      <c r="AN176" s="147"/>
      <c r="AP176" s="133"/>
      <c r="AQ176" s="147"/>
    </row>
    <row r="177" spans="3:43" x14ac:dyDescent="0.2">
      <c r="C177" s="146"/>
      <c r="D177" s="146"/>
      <c r="E177" s="146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47"/>
      <c r="Q177" s="133"/>
      <c r="R177" s="133"/>
      <c r="S177" s="133"/>
      <c r="T177" s="133"/>
      <c r="U177" s="147"/>
      <c r="V177" s="133"/>
      <c r="W177" s="133"/>
      <c r="X177" s="147"/>
      <c r="Y177" s="133"/>
      <c r="Z177" s="133"/>
      <c r="AA177" s="133"/>
      <c r="AB177" s="147"/>
      <c r="AD177" s="133"/>
      <c r="AE177" s="147"/>
      <c r="AG177" s="133"/>
      <c r="AH177" s="147"/>
      <c r="AJ177" s="133"/>
      <c r="AK177" s="147"/>
      <c r="AM177" s="133"/>
      <c r="AN177" s="147"/>
      <c r="AP177" s="133"/>
      <c r="AQ177" s="147"/>
    </row>
    <row r="178" spans="3:43" x14ac:dyDescent="0.2">
      <c r="C178" s="146"/>
      <c r="D178" s="146"/>
      <c r="E178" s="146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47"/>
      <c r="Q178" s="133"/>
      <c r="R178" s="133"/>
      <c r="S178" s="133"/>
      <c r="T178" s="133"/>
      <c r="U178" s="147"/>
      <c r="V178" s="133"/>
      <c r="W178" s="133"/>
      <c r="X178" s="147"/>
      <c r="Y178" s="133"/>
      <c r="Z178" s="133"/>
      <c r="AA178" s="133"/>
      <c r="AB178" s="147"/>
      <c r="AD178" s="133"/>
      <c r="AE178" s="147"/>
      <c r="AG178" s="133"/>
      <c r="AH178" s="147"/>
      <c r="AJ178" s="133"/>
      <c r="AK178" s="147"/>
      <c r="AM178" s="133"/>
      <c r="AN178" s="147"/>
      <c r="AP178" s="133"/>
      <c r="AQ178" s="147"/>
    </row>
    <row r="179" spans="3:43" x14ac:dyDescent="0.2">
      <c r="C179" s="146"/>
      <c r="D179" s="146"/>
      <c r="E179" s="146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47"/>
      <c r="Q179" s="133"/>
      <c r="R179" s="133"/>
      <c r="S179" s="133"/>
      <c r="T179" s="133"/>
      <c r="U179" s="147"/>
      <c r="V179" s="133"/>
      <c r="W179" s="133"/>
      <c r="X179" s="147"/>
      <c r="Y179" s="133"/>
      <c r="Z179" s="133"/>
      <c r="AA179" s="133"/>
      <c r="AB179" s="147"/>
      <c r="AD179" s="133"/>
      <c r="AE179" s="147"/>
      <c r="AG179" s="133"/>
      <c r="AH179" s="147"/>
      <c r="AJ179" s="133"/>
      <c r="AK179" s="147"/>
      <c r="AM179" s="133"/>
      <c r="AN179" s="147"/>
      <c r="AP179" s="133"/>
      <c r="AQ179" s="147"/>
    </row>
    <row r="180" spans="3:43" x14ac:dyDescent="0.2">
      <c r="C180" s="146"/>
      <c r="D180" s="146"/>
      <c r="E180" s="146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47"/>
      <c r="Q180" s="133"/>
      <c r="R180" s="133"/>
      <c r="S180" s="133"/>
      <c r="T180" s="133"/>
      <c r="U180" s="147"/>
      <c r="V180" s="133"/>
      <c r="W180" s="133"/>
      <c r="X180" s="147"/>
      <c r="Y180" s="133"/>
      <c r="Z180" s="133"/>
      <c r="AA180" s="133"/>
      <c r="AB180" s="147"/>
      <c r="AD180" s="133"/>
      <c r="AE180" s="147"/>
      <c r="AG180" s="133"/>
      <c r="AH180" s="147"/>
      <c r="AJ180" s="133"/>
      <c r="AK180" s="147"/>
      <c r="AM180" s="133"/>
      <c r="AN180" s="147"/>
      <c r="AP180" s="133"/>
      <c r="AQ180" s="147"/>
    </row>
    <row r="181" spans="3:43" x14ac:dyDescent="0.2">
      <c r="C181" s="146"/>
      <c r="D181" s="146"/>
      <c r="E181" s="146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47"/>
      <c r="Q181" s="133"/>
      <c r="R181" s="133"/>
      <c r="S181" s="133"/>
      <c r="T181" s="133"/>
      <c r="U181" s="147"/>
      <c r="V181" s="133"/>
      <c r="W181" s="133"/>
      <c r="X181" s="147"/>
      <c r="Y181" s="133"/>
      <c r="Z181" s="133"/>
      <c r="AA181" s="133"/>
      <c r="AB181" s="147"/>
      <c r="AD181" s="133"/>
      <c r="AE181" s="147"/>
      <c r="AG181" s="133"/>
      <c r="AH181" s="147"/>
      <c r="AJ181" s="133"/>
      <c r="AK181" s="147"/>
      <c r="AM181" s="133"/>
      <c r="AN181" s="147"/>
      <c r="AP181" s="133"/>
      <c r="AQ181" s="147"/>
    </row>
    <row r="182" spans="3:43" x14ac:dyDescent="0.2">
      <c r="C182" s="146"/>
      <c r="D182" s="146"/>
      <c r="E182" s="146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47"/>
      <c r="Q182" s="133"/>
      <c r="R182" s="133"/>
      <c r="S182" s="133"/>
      <c r="T182" s="133"/>
      <c r="U182" s="147"/>
      <c r="V182" s="133"/>
      <c r="W182" s="133"/>
      <c r="X182" s="147"/>
      <c r="Y182" s="133"/>
      <c r="Z182" s="133"/>
      <c r="AA182" s="133"/>
      <c r="AB182" s="147"/>
      <c r="AD182" s="133"/>
      <c r="AE182" s="147"/>
      <c r="AG182" s="133"/>
      <c r="AH182" s="147"/>
      <c r="AJ182" s="133"/>
      <c r="AK182" s="147"/>
      <c r="AM182" s="133"/>
      <c r="AN182" s="147"/>
      <c r="AP182" s="133"/>
      <c r="AQ182" s="147"/>
    </row>
    <row r="183" spans="3:43" x14ac:dyDescent="0.2">
      <c r="C183" s="146"/>
      <c r="D183" s="146"/>
      <c r="E183" s="146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47"/>
      <c r="Q183" s="133"/>
      <c r="R183" s="133"/>
      <c r="S183" s="133"/>
      <c r="T183" s="133"/>
      <c r="U183" s="147"/>
      <c r="V183" s="133"/>
      <c r="W183" s="133"/>
      <c r="X183" s="147"/>
      <c r="Y183" s="133"/>
      <c r="Z183" s="133"/>
      <c r="AA183" s="133"/>
      <c r="AB183" s="147"/>
      <c r="AD183" s="133"/>
      <c r="AE183" s="147"/>
      <c r="AG183" s="133"/>
      <c r="AH183" s="147"/>
      <c r="AJ183" s="133"/>
      <c r="AK183" s="147"/>
      <c r="AM183" s="133"/>
      <c r="AN183" s="147"/>
      <c r="AP183" s="133"/>
      <c r="AQ183" s="147"/>
    </row>
    <row r="184" spans="3:43" x14ac:dyDescent="0.2">
      <c r="C184" s="146"/>
      <c r="D184" s="146"/>
      <c r="E184" s="146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47"/>
      <c r="Q184" s="133"/>
      <c r="R184" s="133"/>
      <c r="S184" s="133"/>
      <c r="T184" s="133"/>
      <c r="U184" s="147"/>
      <c r="V184" s="133"/>
      <c r="W184" s="133"/>
      <c r="X184" s="147"/>
      <c r="Y184" s="133"/>
      <c r="Z184" s="133"/>
      <c r="AA184" s="133"/>
      <c r="AB184" s="147"/>
      <c r="AD184" s="133"/>
      <c r="AE184" s="147"/>
      <c r="AG184" s="133"/>
      <c r="AH184" s="147"/>
      <c r="AJ184" s="133"/>
      <c r="AK184" s="147"/>
      <c r="AM184" s="133"/>
      <c r="AN184" s="147"/>
      <c r="AP184" s="133"/>
      <c r="AQ184" s="147"/>
    </row>
    <row r="185" spans="3:43" x14ac:dyDescent="0.2">
      <c r="C185" s="146"/>
      <c r="D185" s="146"/>
      <c r="E185" s="146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47"/>
      <c r="Q185" s="133"/>
      <c r="R185" s="133"/>
      <c r="S185" s="133"/>
      <c r="T185" s="133"/>
      <c r="U185" s="147"/>
      <c r="V185" s="133"/>
      <c r="W185" s="133"/>
      <c r="X185" s="147"/>
      <c r="Y185" s="133"/>
      <c r="Z185" s="133"/>
      <c r="AA185" s="133"/>
      <c r="AB185" s="147"/>
      <c r="AD185" s="133"/>
      <c r="AE185" s="147"/>
      <c r="AG185" s="133"/>
      <c r="AH185" s="147"/>
      <c r="AJ185" s="133"/>
      <c r="AK185" s="147"/>
      <c r="AM185" s="133"/>
      <c r="AN185" s="147"/>
      <c r="AP185" s="133"/>
      <c r="AQ185" s="147"/>
    </row>
    <row r="186" spans="3:43" x14ac:dyDescent="0.2">
      <c r="C186" s="146"/>
      <c r="D186" s="146"/>
      <c r="E186" s="146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47"/>
      <c r="Q186" s="133"/>
      <c r="R186" s="133"/>
      <c r="S186" s="133"/>
      <c r="T186" s="133"/>
      <c r="U186" s="147"/>
      <c r="V186" s="133"/>
      <c r="W186" s="133"/>
      <c r="X186" s="147"/>
      <c r="Y186" s="133"/>
      <c r="Z186" s="133"/>
      <c r="AA186" s="133"/>
      <c r="AB186" s="147"/>
      <c r="AD186" s="133"/>
      <c r="AE186" s="147"/>
      <c r="AG186" s="133"/>
      <c r="AH186" s="147"/>
      <c r="AJ186" s="133"/>
      <c r="AK186" s="147"/>
      <c r="AM186" s="133"/>
      <c r="AN186" s="147"/>
      <c r="AP186" s="133"/>
      <c r="AQ186" s="147"/>
    </row>
    <row r="187" spans="3:43" x14ac:dyDescent="0.2">
      <c r="C187" s="146"/>
      <c r="D187" s="146"/>
      <c r="E187" s="146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47"/>
      <c r="Q187" s="133"/>
      <c r="R187" s="133"/>
      <c r="S187" s="133"/>
      <c r="T187" s="133"/>
      <c r="U187" s="147"/>
      <c r="V187" s="133"/>
      <c r="W187" s="133"/>
      <c r="X187" s="147"/>
      <c r="Y187" s="133"/>
      <c r="Z187" s="133"/>
      <c r="AA187" s="133"/>
      <c r="AB187" s="147"/>
      <c r="AD187" s="133"/>
      <c r="AE187" s="147"/>
      <c r="AG187" s="133"/>
      <c r="AH187" s="147"/>
      <c r="AJ187" s="133"/>
      <c r="AK187" s="147"/>
      <c r="AM187" s="133"/>
      <c r="AN187" s="147"/>
      <c r="AP187" s="133"/>
      <c r="AQ187" s="147"/>
    </row>
    <row r="188" spans="3:43" x14ac:dyDescent="0.2">
      <c r="C188" s="146"/>
      <c r="D188" s="146"/>
      <c r="E188" s="146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47"/>
      <c r="Q188" s="133"/>
      <c r="R188" s="133"/>
      <c r="S188" s="133"/>
      <c r="T188" s="133"/>
      <c r="U188" s="147"/>
      <c r="V188" s="133"/>
      <c r="W188" s="133"/>
      <c r="X188" s="147"/>
      <c r="Y188" s="133"/>
      <c r="Z188" s="133"/>
      <c r="AA188" s="133"/>
      <c r="AB188" s="147"/>
      <c r="AD188" s="133"/>
      <c r="AE188" s="147"/>
      <c r="AG188" s="133"/>
      <c r="AH188" s="147"/>
      <c r="AJ188" s="133"/>
      <c r="AK188" s="147"/>
      <c r="AM188" s="133"/>
      <c r="AN188" s="147"/>
      <c r="AP188" s="133"/>
      <c r="AQ188" s="147"/>
    </row>
    <row r="189" spans="3:43" x14ac:dyDescent="0.2">
      <c r="C189" s="146"/>
      <c r="D189" s="146"/>
      <c r="E189" s="146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47"/>
      <c r="Q189" s="133"/>
      <c r="R189" s="133"/>
      <c r="S189" s="133"/>
      <c r="T189" s="133"/>
      <c r="U189" s="147"/>
      <c r="V189" s="133"/>
      <c r="W189" s="133"/>
      <c r="X189" s="147"/>
      <c r="Y189" s="133"/>
      <c r="Z189" s="133"/>
      <c r="AA189" s="133"/>
      <c r="AB189" s="147"/>
      <c r="AD189" s="133"/>
      <c r="AE189" s="147"/>
      <c r="AG189" s="133"/>
      <c r="AH189" s="147"/>
      <c r="AJ189" s="133"/>
      <c r="AK189" s="147"/>
      <c r="AM189" s="133"/>
      <c r="AN189" s="147"/>
      <c r="AP189" s="133"/>
      <c r="AQ189" s="147"/>
    </row>
    <row r="190" spans="3:43" x14ac:dyDescent="0.2">
      <c r="C190" s="146"/>
      <c r="D190" s="146"/>
      <c r="E190" s="146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47"/>
      <c r="Q190" s="133"/>
      <c r="R190" s="133"/>
      <c r="S190" s="133"/>
      <c r="T190" s="133"/>
      <c r="U190" s="147"/>
      <c r="V190" s="133"/>
      <c r="W190" s="133"/>
      <c r="X190" s="147"/>
      <c r="Y190" s="133"/>
      <c r="Z190" s="133"/>
      <c r="AA190" s="133"/>
      <c r="AB190" s="147"/>
      <c r="AD190" s="133"/>
      <c r="AE190" s="147"/>
      <c r="AG190" s="133"/>
      <c r="AH190" s="147"/>
      <c r="AJ190" s="133"/>
      <c r="AK190" s="147"/>
      <c r="AM190" s="133"/>
      <c r="AN190" s="147"/>
      <c r="AP190" s="133"/>
      <c r="AQ190" s="147"/>
    </row>
    <row r="191" spans="3:43" x14ac:dyDescent="0.2">
      <c r="C191" s="146"/>
      <c r="D191" s="146"/>
      <c r="E191" s="146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47"/>
      <c r="Q191" s="133"/>
      <c r="R191" s="133"/>
      <c r="S191" s="133"/>
      <c r="T191" s="133"/>
      <c r="U191" s="147"/>
      <c r="V191" s="133"/>
      <c r="W191" s="133"/>
      <c r="X191" s="147"/>
      <c r="Y191" s="133"/>
      <c r="Z191" s="133"/>
      <c r="AA191" s="133"/>
      <c r="AB191" s="147"/>
      <c r="AD191" s="133"/>
      <c r="AE191" s="147"/>
      <c r="AG191" s="133"/>
      <c r="AH191" s="147"/>
      <c r="AJ191" s="133"/>
      <c r="AK191" s="147"/>
      <c r="AM191" s="133"/>
      <c r="AN191" s="147"/>
      <c r="AP191" s="133"/>
      <c r="AQ191" s="147"/>
    </row>
    <row r="192" spans="3:43" x14ac:dyDescent="0.2">
      <c r="C192" s="146"/>
      <c r="D192" s="146"/>
      <c r="E192" s="146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47"/>
      <c r="Q192" s="133"/>
      <c r="R192" s="133"/>
      <c r="S192" s="133"/>
      <c r="T192" s="133"/>
      <c r="U192" s="147"/>
      <c r="V192" s="133"/>
      <c r="W192" s="133"/>
      <c r="X192" s="147"/>
      <c r="Y192" s="133"/>
      <c r="Z192" s="133"/>
      <c r="AA192" s="133"/>
      <c r="AB192" s="147"/>
      <c r="AD192" s="133"/>
      <c r="AE192" s="147"/>
      <c r="AG192" s="133"/>
      <c r="AH192" s="147"/>
      <c r="AJ192" s="133"/>
      <c r="AK192" s="147"/>
      <c r="AM192" s="133"/>
      <c r="AN192" s="147"/>
      <c r="AP192" s="133"/>
      <c r="AQ192" s="147"/>
    </row>
    <row r="193" spans="3:43" x14ac:dyDescent="0.2">
      <c r="C193" s="146"/>
      <c r="D193" s="146"/>
      <c r="E193" s="146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47"/>
      <c r="Q193" s="133"/>
      <c r="R193" s="133"/>
      <c r="S193" s="133"/>
      <c r="T193" s="133"/>
      <c r="U193" s="147"/>
      <c r="V193" s="133"/>
      <c r="W193" s="133"/>
      <c r="X193" s="147"/>
      <c r="Y193" s="133"/>
      <c r="Z193" s="133"/>
      <c r="AA193" s="133"/>
      <c r="AB193" s="147"/>
      <c r="AD193" s="133"/>
      <c r="AE193" s="147"/>
      <c r="AG193" s="133"/>
      <c r="AH193" s="147"/>
      <c r="AJ193" s="133"/>
      <c r="AK193" s="147"/>
      <c r="AM193" s="133"/>
      <c r="AN193" s="147"/>
      <c r="AP193" s="133"/>
      <c r="AQ193" s="147"/>
    </row>
    <row r="194" spans="3:43" x14ac:dyDescent="0.2">
      <c r="C194" s="146"/>
      <c r="D194" s="146"/>
      <c r="E194" s="146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47"/>
      <c r="Q194" s="133"/>
      <c r="R194" s="133"/>
      <c r="S194" s="133"/>
      <c r="T194" s="133"/>
      <c r="U194" s="147"/>
      <c r="V194" s="133"/>
      <c r="W194" s="133"/>
      <c r="X194" s="147"/>
      <c r="Y194" s="133"/>
      <c r="Z194" s="133"/>
      <c r="AA194" s="133"/>
      <c r="AB194" s="147"/>
      <c r="AD194" s="133"/>
      <c r="AE194" s="147"/>
      <c r="AG194" s="133"/>
      <c r="AH194" s="147"/>
      <c r="AJ194" s="133"/>
      <c r="AK194" s="147"/>
      <c r="AM194" s="133"/>
      <c r="AN194" s="147"/>
      <c r="AP194" s="133"/>
      <c r="AQ194" s="147"/>
    </row>
    <row r="195" spans="3:43" x14ac:dyDescent="0.2">
      <c r="C195" s="146"/>
      <c r="D195" s="146"/>
      <c r="E195" s="146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47"/>
      <c r="Q195" s="133"/>
      <c r="R195" s="133"/>
      <c r="S195" s="133"/>
      <c r="T195" s="133"/>
      <c r="U195" s="147"/>
      <c r="V195" s="133"/>
      <c r="W195" s="133"/>
      <c r="X195" s="147"/>
      <c r="Y195" s="133"/>
      <c r="Z195" s="133"/>
      <c r="AA195" s="133"/>
      <c r="AB195" s="147"/>
      <c r="AD195" s="133"/>
      <c r="AE195" s="147"/>
      <c r="AG195" s="133"/>
      <c r="AH195" s="147"/>
      <c r="AJ195" s="133"/>
      <c r="AK195" s="147"/>
      <c r="AM195" s="133"/>
      <c r="AN195" s="147"/>
      <c r="AP195" s="133"/>
      <c r="AQ195" s="147"/>
    </row>
    <row r="196" spans="3:43" x14ac:dyDescent="0.2">
      <c r="C196" s="146"/>
      <c r="D196" s="146"/>
      <c r="E196" s="146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47"/>
      <c r="Q196" s="133"/>
      <c r="R196" s="133"/>
      <c r="S196" s="133"/>
      <c r="T196" s="133"/>
      <c r="U196" s="147"/>
      <c r="V196" s="133"/>
      <c r="W196" s="133"/>
      <c r="X196" s="147"/>
      <c r="Y196" s="133"/>
      <c r="Z196" s="133"/>
      <c r="AA196" s="133"/>
      <c r="AB196" s="147"/>
      <c r="AD196" s="133"/>
      <c r="AE196" s="147"/>
      <c r="AG196" s="133"/>
      <c r="AH196" s="147"/>
      <c r="AJ196" s="133"/>
      <c r="AK196" s="147"/>
      <c r="AM196" s="133"/>
      <c r="AN196" s="147"/>
      <c r="AP196" s="133"/>
      <c r="AQ196" s="147"/>
    </row>
    <row r="197" spans="3:43" x14ac:dyDescent="0.2">
      <c r="C197" s="146"/>
      <c r="D197" s="146"/>
      <c r="E197" s="146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47"/>
      <c r="Q197" s="133"/>
      <c r="R197" s="133"/>
      <c r="S197" s="133"/>
      <c r="T197" s="133"/>
      <c r="U197" s="147"/>
      <c r="V197" s="133"/>
      <c r="W197" s="133"/>
      <c r="X197" s="147"/>
      <c r="Y197" s="133"/>
      <c r="Z197" s="133"/>
      <c r="AA197" s="133"/>
      <c r="AB197" s="147"/>
      <c r="AD197" s="133"/>
      <c r="AE197" s="147"/>
      <c r="AG197" s="133"/>
      <c r="AH197" s="147"/>
      <c r="AJ197" s="133"/>
      <c r="AK197" s="147"/>
      <c r="AM197" s="133"/>
      <c r="AN197" s="147"/>
      <c r="AP197" s="133"/>
      <c r="AQ197" s="147"/>
    </row>
    <row r="198" spans="3:43" x14ac:dyDescent="0.2">
      <c r="C198" s="146"/>
      <c r="D198" s="146"/>
      <c r="E198" s="146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47"/>
      <c r="Q198" s="133"/>
      <c r="R198" s="133"/>
      <c r="S198" s="133"/>
      <c r="T198" s="133"/>
      <c r="U198" s="147"/>
      <c r="V198" s="133"/>
      <c r="W198" s="133"/>
      <c r="X198" s="147"/>
      <c r="Y198" s="133"/>
      <c r="Z198" s="133"/>
      <c r="AA198" s="133"/>
      <c r="AB198" s="147"/>
      <c r="AD198" s="133"/>
      <c r="AE198" s="147"/>
      <c r="AG198" s="133"/>
      <c r="AH198" s="147"/>
      <c r="AJ198" s="133"/>
      <c r="AK198" s="147"/>
      <c r="AM198" s="133"/>
      <c r="AN198" s="147"/>
      <c r="AP198" s="133"/>
      <c r="AQ198" s="147"/>
    </row>
    <row r="199" spans="3:43" x14ac:dyDescent="0.2">
      <c r="C199" s="146"/>
      <c r="D199" s="146"/>
      <c r="E199" s="146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47"/>
      <c r="Q199" s="133"/>
      <c r="R199" s="133"/>
      <c r="S199" s="133"/>
      <c r="T199" s="133"/>
      <c r="U199" s="147"/>
      <c r="V199" s="133"/>
      <c r="W199" s="133"/>
      <c r="X199" s="147"/>
      <c r="Y199" s="133"/>
      <c r="Z199" s="133"/>
      <c r="AA199" s="133"/>
      <c r="AB199" s="147"/>
      <c r="AD199" s="133"/>
      <c r="AE199" s="147"/>
      <c r="AG199" s="133"/>
      <c r="AH199" s="147"/>
      <c r="AJ199" s="133"/>
      <c r="AK199" s="147"/>
      <c r="AM199" s="133"/>
      <c r="AN199" s="147"/>
      <c r="AP199" s="133"/>
      <c r="AQ199" s="147"/>
    </row>
    <row r="200" spans="3:43" x14ac:dyDescent="0.2">
      <c r="C200" s="146"/>
      <c r="D200" s="146"/>
      <c r="E200" s="146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47"/>
      <c r="Q200" s="133"/>
      <c r="R200" s="133"/>
      <c r="S200" s="133"/>
      <c r="T200" s="133"/>
      <c r="U200" s="147"/>
      <c r="V200" s="133"/>
      <c r="W200" s="133"/>
      <c r="X200" s="147"/>
      <c r="Y200" s="133"/>
      <c r="Z200" s="133"/>
      <c r="AA200" s="133"/>
      <c r="AB200" s="147"/>
      <c r="AD200" s="133"/>
      <c r="AE200" s="147"/>
      <c r="AG200" s="133"/>
      <c r="AH200" s="147"/>
      <c r="AJ200" s="133"/>
      <c r="AK200" s="147"/>
      <c r="AM200" s="133"/>
      <c r="AN200" s="147"/>
      <c r="AP200" s="133"/>
      <c r="AQ200" s="147"/>
    </row>
    <row r="201" spans="3:43" x14ac:dyDescent="0.2">
      <c r="C201" s="146"/>
      <c r="D201" s="146"/>
      <c r="E201" s="146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47"/>
      <c r="Q201" s="133"/>
      <c r="R201" s="133"/>
      <c r="S201" s="133"/>
      <c r="T201" s="133"/>
      <c r="U201" s="147"/>
      <c r="V201" s="133"/>
      <c r="W201" s="133"/>
      <c r="X201" s="147"/>
      <c r="Y201" s="133"/>
      <c r="Z201" s="133"/>
      <c r="AA201" s="133"/>
      <c r="AB201" s="147"/>
      <c r="AD201" s="133"/>
      <c r="AE201" s="147"/>
      <c r="AG201" s="133"/>
      <c r="AH201" s="147"/>
      <c r="AJ201" s="133"/>
      <c r="AK201" s="147"/>
      <c r="AM201" s="133"/>
      <c r="AN201" s="147"/>
      <c r="AP201" s="133"/>
      <c r="AQ201" s="147"/>
    </row>
    <row r="202" spans="3:43" x14ac:dyDescent="0.2">
      <c r="C202" s="146"/>
      <c r="D202" s="146"/>
      <c r="E202" s="146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47"/>
      <c r="Q202" s="133"/>
      <c r="R202" s="133"/>
      <c r="S202" s="133"/>
      <c r="T202" s="133"/>
      <c r="U202" s="147"/>
      <c r="V202" s="133"/>
      <c r="W202" s="133"/>
      <c r="X202" s="147"/>
      <c r="Y202" s="133"/>
      <c r="Z202" s="133"/>
      <c r="AA202" s="133"/>
      <c r="AB202" s="147"/>
      <c r="AD202" s="133"/>
      <c r="AE202" s="147"/>
      <c r="AG202" s="133"/>
      <c r="AH202" s="147"/>
      <c r="AJ202" s="133"/>
      <c r="AK202" s="147"/>
      <c r="AM202" s="133"/>
      <c r="AN202" s="147"/>
      <c r="AP202" s="133"/>
      <c r="AQ202" s="147"/>
    </row>
    <row r="203" spans="3:43" x14ac:dyDescent="0.2">
      <c r="C203" s="146"/>
      <c r="D203" s="146"/>
      <c r="E203" s="146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47"/>
      <c r="Q203" s="133"/>
      <c r="R203" s="133"/>
      <c r="S203" s="133"/>
      <c r="T203" s="133"/>
      <c r="U203" s="147"/>
      <c r="V203" s="133"/>
      <c r="W203" s="133"/>
      <c r="X203" s="147"/>
      <c r="Y203" s="133"/>
      <c r="Z203" s="133"/>
      <c r="AA203" s="133"/>
      <c r="AB203" s="147"/>
      <c r="AD203" s="133"/>
      <c r="AE203" s="147"/>
      <c r="AG203" s="133"/>
      <c r="AH203" s="147"/>
      <c r="AJ203" s="133"/>
      <c r="AK203" s="147"/>
      <c r="AM203" s="133"/>
      <c r="AN203" s="147"/>
      <c r="AP203" s="133"/>
      <c r="AQ203" s="147"/>
    </row>
    <row r="204" spans="3:43" x14ac:dyDescent="0.2">
      <c r="C204" s="146"/>
      <c r="D204" s="146"/>
      <c r="E204" s="146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47"/>
      <c r="Q204" s="133"/>
      <c r="R204" s="133"/>
      <c r="S204" s="133"/>
      <c r="T204" s="133"/>
      <c r="U204" s="147"/>
      <c r="V204" s="133"/>
      <c r="W204" s="133"/>
      <c r="X204" s="147"/>
      <c r="Y204" s="133"/>
      <c r="Z204" s="133"/>
      <c r="AA204" s="133"/>
      <c r="AB204" s="147"/>
      <c r="AD204" s="133"/>
      <c r="AE204" s="147"/>
      <c r="AG204" s="133"/>
      <c r="AH204" s="147"/>
      <c r="AJ204" s="133"/>
      <c r="AK204" s="147"/>
      <c r="AM204" s="133"/>
      <c r="AN204" s="147"/>
      <c r="AP204" s="133"/>
      <c r="AQ204" s="147"/>
    </row>
    <row r="205" spans="3:43" x14ac:dyDescent="0.2">
      <c r="C205" s="146"/>
      <c r="D205" s="146"/>
      <c r="E205" s="146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47"/>
      <c r="Q205" s="133"/>
      <c r="R205" s="133"/>
      <c r="S205" s="133"/>
      <c r="T205" s="133"/>
      <c r="U205" s="147"/>
      <c r="V205" s="133"/>
      <c r="W205" s="133"/>
      <c r="X205" s="147"/>
      <c r="Y205" s="133"/>
      <c r="Z205" s="133"/>
      <c r="AA205" s="133"/>
      <c r="AB205" s="147"/>
      <c r="AD205" s="133"/>
      <c r="AE205" s="147"/>
      <c r="AG205" s="133"/>
      <c r="AH205" s="147"/>
      <c r="AJ205" s="133"/>
      <c r="AK205" s="147"/>
      <c r="AM205" s="133"/>
      <c r="AN205" s="147"/>
      <c r="AP205" s="133"/>
      <c r="AQ205" s="147"/>
    </row>
    <row r="206" spans="3:43" x14ac:dyDescent="0.2">
      <c r="C206" s="146"/>
      <c r="D206" s="146"/>
      <c r="E206" s="146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47"/>
      <c r="Q206" s="133"/>
      <c r="R206" s="133"/>
      <c r="S206" s="133"/>
      <c r="T206" s="133"/>
      <c r="U206" s="147"/>
      <c r="V206" s="133"/>
      <c r="W206" s="133"/>
      <c r="X206" s="147"/>
      <c r="Y206" s="133"/>
      <c r="Z206" s="133"/>
      <c r="AA206" s="133"/>
      <c r="AB206" s="147"/>
      <c r="AD206" s="133"/>
      <c r="AE206" s="147"/>
      <c r="AG206" s="133"/>
      <c r="AH206" s="147"/>
      <c r="AJ206" s="133"/>
      <c r="AK206" s="147"/>
      <c r="AM206" s="133"/>
      <c r="AN206" s="147"/>
      <c r="AP206" s="133"/>
      <c r="AQ206" s="147"/>
    </row>
    <row r="207" spans="3:43" x14ac:dyDescent="0.2">
      <c r="C207" s="146"/>
      <c r="D207" s="146"/>
      <c r="E207" s="146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47"/>
      <c r="Q207" s="133"/>
      <c r="R207" s="133"/>
      <c r="S207" s="133"/>
      <c r="T207" s="133"/>
      <c r="U207" s="147"/>
      <c r="V207" s="133"/>
      <c r="W207" s="133"/>
      <c r="X207" s="147"/>
      <c r="Y207" s="133"/>
      <c r="Z207" s="133"/>
      <c r="AA207" s="133"/>
      <c r="AB207" s="147"/>
      <c r="AD207" s="133"/>
      <c r="AE207" s="147"/>
      <c r="AG207" s="133"/>
      <c r="AH207" s="147"/>
      <c r="AJ207" s="133"/>
      <c r="AK207" s="147"/>
      <c r="AM207" s="133"/>
      <c r="AN207" s="147"/>
      <c r="AP207" s="133"/>
      <c r="AQ207" s="147"/>
    </row>
    <row r="208" spans="3:43" x14ac:dyDescent="0.2">
      <c r="C208" s="146"/>
      <c r="D208" s="146"/>
      <c r="E208" s="146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47"/>
      <c r="Q208" s="133"/>
      <c r="R208" s="133"/>
      <c r="S208" s="133"/>
      <c r="T208" s="133"/>
      <c r="U208" s="147"/>
      <c r="V208" s="133"/>
      <c r="W208" s="133"/>
      <c r="X208" s="147"/>
      <c r="Y208" s="133"/>
      <c r="Z208" s="133"/>
      <c r="AA208" s="133"/>
      <c r="AB208" s="147"/>
      <c r="AD208" s="133"/>
      <c r="AE208" s="147"/>
      <c r="AG208" s="133"/>
      <c r="AH208" s="147"/>
      <c r="AJ208" s="133"/>
      <c r="AK208" s="147"/>
      <c r="AM208" s="133"/>
      <c r="AN208" s="147"/>
      <c r="AP208" s="133"/>
      <c r="AQ208" s="147"/>
    </row>
    <row r="209" spans="3:43" x14ac:dyDescent="0.2">
      <c r="C209" s="146"/>
      <c r="D209" s="146"/>
      <c r="E209" s="146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47"/>
      <c r="Q209" s="133"/>
      <c r="R209" s="133"/>
      <c r="S209" s="133"/>
      <c r="T209" s="133"/>
      <c r="U209" s="147"/>
      <c r="V209" s="133"/>
      <c r="W209" s="133"/>
      <c r="X209" s="147"/>
      <c r="Y209" s="133"/>
      <c r="Z209" s="133"/>
      <c r="AA209" s="133"/>
      <c r="AB209" s="147"/>
      <c r="AD209" s="133"/>
      <c r="AE209" s="147"/>
      <c r="AG209" s="133"/>
      <c r="AH209" s="147"/>
      <c r="AJ209" s="133"/>
      <c r="AK209" s="147"/>
      <c r="AM209" s="133"/>
      <c r="AN209" s="147"/>
      <c r="AP209" s="133"/>
      <c r="AQ209" s="147"/>
    </row>
    <row r="210" spans="3:43" x14ac:dyDescent="0.2">
      <c r="C210" s="146"/>
      <c r="D210" s="146"/>
      <c r="E210" s="146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47"/>
      <c r="Q210" s="133"/>
      <c r="R210" s="133"/>
      <c r="S210" s="133"/>
      <c r="T210" s="133"/>
      <c r="U210" s="147"/>
      <c r="V210" s="133"/>
      <c r="W210" s="133"/>
      <c r="X210" s="147"/>
      <c r="Y210" s="133"/>
      <c r="Z210" s="133"/>
      <c r="AA210" s="133"/>
      <c r="AB210" s="147"/>
      <c r="AD210" s="133"/>
      <c r="AE210" s="147"/>
      <c r="AG210" s="133"/>
      <c r="AH210" s="147"/>
      <c r="AJ210" s="133"/>
      <c r="AK210" s="147"/>
      <c r="AM210" s="133"/>
      <c r="AN210" s="147"/>
      <c r="AP210" s="133"/>
      <c r="AQ210" s="147"/>
    </row>
    <row r="211" spans="3:43" x14ac:dyDescent="0.2">
      <c r="C211" s="146"/>
      <c r="D211" s="146"/>
      <c r="E211" s="146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47"/>
      <c r="Q211" s="133"/>
      <c r="R211" s="133"/>
      <c r="S211" s="133"/>
      <c r="T211" s="133"/>
      <c r="U211" s="147"/>
      <c r="V211" s="133"/>
      <c r="W211" s="133"/>
      <c r="X211" s="147"/>
      <c r="Y211" s="133"/>
      <c r="Z211" s="133"/>
      <c r="AA211" s="133"/>
      <c r="AB211" s="147"/>
      <c r="AD211" s="133"/>
      <c r="AE211" s="147"/>
      <c r="AG211" s="133"/>
      <c r="AH211" s="147"/>
      <c r="AJ211" s="133"/>
      <c r="AK211" s="147"/>
      <c r="AM211" s="133"/>
      <c r="AN211" s="147"/>
      <c r="AP211" s="133"/>
      <c r="AQ211" s="147"/>
    </row>
    <row r="212" spans="3:43" x14ac:dyDescent="0.2">
      <c r="C212" s="146"/>
      <c r="D212" s="146"/>
      <c r="E212" s="146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47"/>
      <c r="Q212" s="133"/>
      <c r="R212" s="133"/>
      <c r="S212" s="133"/>
      <c r="T212" s="133"/>
      <c r="U212" s="147"/>
      <c r="V212" s="133"/>
      <c r="W212" s="133"/>
      <c r="X212" s="147"/>
      <c r="Y212" s="133"/>
      <c r="Z212" s="133"/>
      <c r="AA212" s="133"/>
      <c r="AB212" s="147"/>
      <c r="AD212" s="133"/>
      <c r="AE212" s="147"/>
      <c r="AG212" s="133"/>
      <c r="AH212" s="147"/>
      <c r="AJ212" s="133"/>
      <c r="AK212" s="147"/>
      <c r="AM212" s="133"/>
      <c r="AN212" s="147"/>
      <c r="AP212" s="133"/>
      <c r="AQ212" s="147"/>
    </row>
    <row r="213" spans="3:43" x14ac:dyDescent="0.2">
      <c r="C213" s="146"/>
      <c r="D213" s="146"/>
      <c r="E213" s="146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47"/>
      <c r="Q213" s="133"/>
      <c r="R213" s="133"/>
      <c r="S213" s="133"/>
      <c r="T213" s="133"/>
      <c r="U213" s="147"/>
      <c r="V213" s="133"/>
      <c r="W213" s="133"/>
      <c r="X213" s="147"/>
      <c r="Y213" s="133"/>
      <c r="Z213" s="133"/>
      <c r="AA213" s="133"/>
      <c r="AB213" s="147"/>
      <c r="AD213" s="133"/>
      <c r="AE213" s="147"/>
      <c r="AG213" s="133"/>
      <c r="AH213" s="147"/>
      <c r="AJ213" s="133"/>
      <c r="AK213" s="147"/>
      <c r="AM213" s="133"/>
      <c r="AN213" s="147"/>
      <c r="AP213" s="133"/>
      <c r="AQ213" s="147"/>
    </row>
    <row r="214" spans="3:43" x14ac:dyDescent="0.2">
      <c r="C214" s="146"/>
      <c r="D214" s="146"/>
      <c r="E214" s="146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47"/>
      <c r="Q214" s="133"/>
      <c r="R214" s="133"/>
      <c r="S214" s="133"/>
      <c r="T214" s="133"/>
      <c r="U214" s="147"/>
      <c r="V214" s="133"/>
      <c r="W214" s="133"/>
      <c r="X214" s="147"/>
      <c r="Y214" s="133"/>
      <c r="Z214" s="133"/>
      <c r="AA214" s="133"/>
      <c r="AB214" s="147"/>
      <c r="AD214" s="133"/>
      <c r="AE214" s="147"/>
      <c r="AG214" s="133"/>
      <c r="AH214" s="147"/>
      <c r="AJ214" s="133"/>
      <c r="AK214" s="147"/>
      <c r="AM214" s="133"/>
      <c r="AN214" s="147"/>
      <c r="AP214" s="133"/>
      <c r="AQ214" s="147"/>
    </row>
    <row r="215" spans="3:43" x14ac:dyDescent="0.2">
      <c r="C215" s="146"/>
      <c r="D215" s="146"/>
      <c r="E215" s="146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47"/>
      <c r="Q215" s="133"/>
      <c r="R215" s="133"/>
      <c r="S215" s="133"/>
      <c r="T215" s="133"/>
      <c r="U215" s="147"/>
      <c r="V215" s="133"/>
      <c r="W215" s="133"/>
      <c r="X215" s="147"/>
      <c r="Y215" s="133"/>
      <c r="Z215" s="133"/>
      <c r="AA215" s="133"/>
      <c r="AB215" s="147"/>
      <c r="AD215" s="133"/>
      <c r="AE215" s="147"/>
      <c r="AG215" s="133"/>
      <c r="AH215" s="147"/>
      <c r="AJ215" s="133"/>
      <c r="AK215" s="147"/>
      <c r="AM215" s="133"/>
      <c r="AN215" s="147"/>
      <c r="AP215" s="133"/>
      <c r="AQ215" s="147"/>
    </row>
    <row r="216" spans="3:43" x14ac:dyDescent="0.2">
      <c r="C216" s="146"/>
      <c r="D216" s="146"/>
      <c r="E216" s="146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47"/>
      <c r="Q216" s="133"/>
      <c r="R216" s="133"/>
      <c r="S216" s="133"/>
      <c r="T216" s="133"/>
      <c r="U216" s="147"/>
      <c r="V216" s="133"/>
      <c r="W216" s="133"/>
      <c r="X216" s="147"/>
      <c r="Y216" s="133"/>
      <c r="Z216" s="133"/>
      <c r="AA216" s="133"/>
      <c r="AB216" s="147"/>
      <c r="AD216" s="133"/>
      <c r="AE216" s="147"/>
      <c r="AG216" s="133"/>
      <c r="AH216" s="147"/>
      <c r="AJ216" s="133"/>
      <c r="AK216" s="147"/>
      <c r="AM216" s="133"/>
      <c r="AN216" s="147"/>
      <c r="AP216" s="133"/>
      <c r="AQ216" s="147"/>
    </row>
    <row r="217" spans="3:43" x14ac:dyDescent="0.2">
      <c r="C217" s="146"/>
      <c r="D217" s="146"/>
      <c r="E217" s="146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47"/>
      <c r="Q217" s="133"/>
      <c r="R217" s="133"/>
      <c r="S217" s="133"/>
      <c r="T217" s="133"/>
      <c r="U217" s="147"/>
      <c r="V217" s="133"/>
      <c r="W217" s="133"/>
      <c r="X217" s="147"/>
      <c r="Y217" s="133"/>
      <c r="Z217" s="133"/>
      <c r="AA217" s="133"/>
      <c r="AB217" s="147"/>
      <c r="AD217" s="133"/>
      <c r="AE217" s="147"/>
      <c r="AG217" s="133"/>
      <c r="AH217" s="147"/>
      <c r="AJ217" s="133"/>
      <c r="AK217" s="147"/>
      <c r="AM217" s="133"/>
      <c r="AN217" s="147"/>
      <c r="AP217" s="133"/>
      <c r="AQ217" s="147"/>
    </row>
    <row r="218" spans="3:43" x14ac:dyDescent="0.2">
      <c r="C218" s="146"/>
      <c r="D218" s="146"/>
      <c r="E218" s="146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47"/>
      <c r="Q218" s="133"/>
      <c r="R218" s="133"/>
      <c r="S218" s="133"/>
      <c r="T218" s="133"/>
      <c r="U218" s="147"/>
      <c r="V218" s="133"/>
      <c r="W218" s="133"/>
      <c r="X218" s="147"/>
      <c r="Y218" s="133"/>
      <c r="Z218" s="133"/>
      <c r="AA218" s="133"/>
      <c r="AB218" s="147"/>
      <c r="AD218" s="133"/>
      <c r="AE218" s="147"/>
      <c r="AG218" s="133"/>
      <c r="AH218" s="147"/>
      <c r="AJ218" s="133"/>
      <c r="AK218" s="147"/>
      <c r="AM218" s="133"/>
      <c r="AN218" s="147"/>
      <c r="AP218" s="133"/>
      <c r="AQ218" s="147"/>
    </row>
    <row r="219" spans="3:43" x14ac:dyDescent="0.2">
      <c r="C219" s="146"/>
      <c r="D219" s="146"/>
      <c r="E219" s="146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47"/>
      <c r="Q219" s="133"/>
      <c r="R219" s="133"/>
      <c r="S219" s="133"/>
      <c r="T219" s="133"/>
      <c r="U219" s="147"/>
      <c r="V219" s="133"/>
      <c r="W219" s="133"/>
      <c r="X219" s="147"/>
      <c r="Y219" s="133"/>
      <c r="Z219" s="133"/>
      <c r="AA219" s="133"/>
      <c r="AB219" s="147"/>
      <c r="AD219" s="133"/>
      <c r="AE219" s="147"/>
      <c r="AG219" s="133"/>
      <c r="AH219" s="147"/>
      <c r="AJ219" s="133"/>
      <c r="AK219" s="147"/>
      <c r="AM219" s="133"/>
      <c r="AN219" s="147"/>
      <c r="AP219" s="133"/>
      <c r="AQ219" s="147"/>
    </row>
    <row r="220" spans="3:43" x14ac:dyDescent="0.2">
      <c r="C220" s="146"/>
      <c r="D220" s="146"/>
      <c r="E220" s="146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47"/>
      <c r="Q220" s="133"/>
      <c r="R220" s="133"/>
      <c r="S220" s="133"/>
      <c r="T220" s="133"/>
      <c r="U220" s="147"/>
      <c r="V220" s="133"/>
      <c r="W220" s="133"/>
      <c r="X220" s="147"/>
      <c r="Y220" s="133"/>
      <c r="Z220" s="133"/>
      <c r="AA220" s="133"/>
      <c r="AB220" s="147"/>
      <c r="AD220" s="133"/>
      <c r="AE220" s="147"/>
      <c r="AG220" s="133"/>
      <c r="AH220" s="147"/>
      <c r="AJ220" s="133"/>
      <c r="AK220" s="147"/>
      <c r="AM220" s="133"/>
      <c r="AN220" s="147"/>
      <c r="AP220" s="133"/>
      <c r="AQ220" s="147"/>
    </row>
    <row r="221" spans="3:43" x14ac:dyDescent="0.2">
      <c r="C221" s="146"/>
      <c r="D221" s="146"/>
      <c r="E221" s="146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47"/>
      <c r="Q221" s="133"/>
      <c r="R221" s="133"/>
      <c r="S221" s="133"/>
      <c r="T221" s="133"/>
      <c r="U221" s="147"/>
      <c r="V221" s="133"/>
      <c r="W221" s="133"/>
      <c r="X221" s="147"/>
      <c r="Y221" s="133"/>
      <c r="Z221" s="133"/>
      <c r="AA221" s="133"/>
      <c r="AB221" s="147"/>
      <c r="AD221" s="133"/>
      <c r="AE221" s="147"/>
      <c r="AG221" s="133"/>
      <c r="AH221" s="147"/>
      <c r="AJ221" s="133"/>
      <c r="AK221" s="147"/>
      <c r="AM221" s="133"/>
      <c r="AN221" s="147"/>
      <c r="AP221" s="133"/>
      <c r="AQ221" s="147"/>
    </row>
    <row r="222" spans="3:43" x14ac:dyDescent="0.2">
      <c r="C222" s="146"/>
      <c r="D222" s="146"/>
      <c r="E222" s="146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47"/>
      <c r="Q222" s="133"/>
      <c r="R222" s="133"/>
      <c r="S222" s="133"/>
      <c r="T222" s="133"/>
      <c r="U222" s="147"/>
      <c r="V222" s="133"/>
      <c r="W222" s="133"/>
      <c r="X222" s="147"/>
      <c r="Y222" s="133"/>
      <c r="Z222" s="133"/>
      <c r="AA222" s="133"/>
      <c r="AB222" s="147"/>
      <c r="AD222" s="133"/>
      <c r="AE222" s="147"/>
      <c r="AG222" s="133"/>
      <c r="AH222" s="147"/>
      <c r="AJ222" s="133"/>
      <c r="AK222" s="147"/>
      <c r="AM222" s="133"/>
      <c r="AN222" s="147"/>
      <c r="AP222" s="133"/>
      <c r="AQ222" s="147"/>
    </row>
    <row r="223" spans="3:43" x14ac:dyDescent="0.2">
      <c r="C223" s="146"/>
      <c r="D223" s="146"/>
      <c r="E223" s="146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47"/>
      <c r="Q223" s="133"/>
      <c r="R223" s="133"/>
      <c r="S223" s="133"/>
      <c r="T223" s="133"/>
      <c r="U223" s="147"/>
      <c r="V223" s="133"/>
      <c r="W223" s="133"/>
      <c r="X223" s="147"/>
      <c r="Y223" s="133"/>
      <c r="Z223" s="133"/>
      <c r="AA223" s="133"/>
      <c r="AB223" s="147"/>
      <c r="AD223" s="133"/>
      <c r="AE223" s="147"/>
      <c r="AG223" s="133"/>
      <c r="AH223" s="147"/>
      <c r="AJ223" s="133"/>
      <c r="AK223" s="147"/>
      <c r="AM223" s="133"/>
      <c r="AN223" s="147"/>
      <c r="AP223" s="133"/>
      <c r="AQ223" s="147"/>
    </row>
    <row r="224" spans="3:43" x14ac:dyDescent="0.2">
      <c r="C224" s="146"/>
      <c r="D224" s="146"/>
      <c r="E224" s="146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47"/>
      <c r="Q224" s="133"/>
      <c r="R224" s="133"/>
      <c r="S224" s="133"/>
      <c r="T224" s="133"/>
      <c r="U224" s="147"/>
      <c r="V224" s="133"/>
      <c r="W224" s="133"/>
      <c r="X224" s="147"/>
      <c r="Y224" s="133"/>
      <c r="Z224" s="133"/>
      <c r="AA224" s="133"/>
      <c r="AB224" s="147"/>
      <c r="AD224" s="133"/>
      <c r="AE224" s="147"/>
      <c r="AG224" s="133"/>
      <c r="AH224" s="147"/>
      <c r="AJ224" s="133"/>
      <c r="AK224" s="147"/>
      <c r="AM224" s="133"/>
      <c r="AN224" s="147"/>
      <c r="AP224" s="133"/>
      <c r="AQ224" s="147"/>
    </row>
    <row r="225" spans="3:43" x14ac:dyDescent="0.2">
      <c r="C225" s="146"/>
      <c r="D225" s="146"/>
      <c r="E225" s="146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47"/>
      <c r="Q225" s="133"/>
      <c r="R225" s="133"/>
      <c r="S225" s="133"/>
      <c r="T225" s="133"/>
      <c r="U225" s="147"/>
      <c r="V225" s="133"/>
      <c r="W225" s="133"/>
      <c r="X225" s="147"/>
      <c r="Y225" s="133"/>
      <c r="Z225" s="133"/>
      <c r="AA225" s="133"/>
      <c r="AB225" s="147"/>
      <c r="AD225" s="133"/>
      <c r="AE225" s="147"/>
      <c r="AG225" s="133"/>
      <c r="AH225" s="147"/>
      <c r="AJ225" s="133"/>
      <c r="AK225" s="147"/>
      <c r="AM225" s="133"/>
      <c r="AN225" s="147"/>
      <c r="AP225" s="133"/>
      <c r="AQ225" s="147"/>
    </row>
    <row r="226" spans="3:43" x14ac:dyDescent="0.2">
      <c r="C226" s="146"/>
      <c r="D226" s="146"/>
      <c r="E226" s="146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47"/>
      <c r="Q226" s="133"/>
      <c r="R226" s="133"/>
      <c r="S226" s="133"/>
      <c r="T226" s="133"/>
      <c r="U226" s="147"/>
      <c r="V226" s="133"/>
      <c r="W226" s="133"/>
      <c r="X226" s="147"/>
      <c r="Y226" s="133"/>
      <c r="Z226" s="133"/>
      <c r="AA226" s="133"/>
      <c r="AB226" s="147"/>
      <c r="AD226" s="133"/>
      <c r="AE226" s="147"/>
      <c r="AG226" s="133"/>
      <c r="AH226" s="147"/>
      <c r="AJ226" s="133"/>
      <c r="AK226" s="147"/>
      <c r="AM226" s="133"/>
      <c r="AN226" s="147"/>
      <c r="AP226" s="133"/>
      <c r="AQ226" s="147"/>
    </row>
    <row r="227" spans="3:43" x14ac:dyDescent="0.2">
      <c r="C227" s="146"/>
      <c r="D227" s="146"/>
      <c r="E227" s="146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47"/>
      <c r="Q227" s="133"/>
      <c r="R227" s="133"/>
      <c r="S227" s="133"/>
      <c r="T227" s="133"/>
      <c r="U227" s="147"/>
      <c r="V227" s="133"/>
      <c r="W227" s="133"/>
      <c r="X227" s="147"/>
      <c r="Y227" s="133"/>
      <c r="Z227" s="133"/>
      <c r="AA227" s="133"/>
      <c r="AB227" s="147"/>
      <c r="AD227" s="133"/>
      <c r="AE227" s="147"/>
      <c r="AG227" s="133"/>
      <c r="AH227" s="147"/>
      <c r="AJ227" s="133"/>
      <c r="AK227" s="147"/>
      <c r="AM227" s="133"/>
      <c r="AN227" s="147"/>
      <c r="AP227" s="133"/>
      <c r="AQ227" s="147"/>
    </row>
    <row r="228" spans="3:43" x14ac:dyDescent="0.2">
      <c r="C228" s="146"/>
      <c r="D228" s="146"/>
      <c r="E228" s="146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47"/>
      <c r="Q228" s="133"/>
      <c r="R228" s="133"/>
      <c r="S228" s="133"/>
      <c r="T228" s="133"/>
      <c r="U228" s="147"/>
      <c r="V228" s="133"/>
      <c r="W228" s="133"/>
      <c r="X228" s="147"/>
      <c r="Y228" s="133"/>
      <c r="Z228" s="133"/>
      <c r="AA228" s="133"/>
      <c r="AB228" s="147"/>
      <c r="AD228" s="133"/>
      <c r="AE228" s="147"/>
      <c r="AG228" s="133"/>
      <c r="AH228" s="147"/>
      <c r="AJ228" s="133"/>
      <c r="AK228" s="147"/>
      <c r="AM228" s="133"/>
      <c r="AN228" s="147"/>
      <c r="AP228" s="133"/>
      <c r="AQ228" s="147"/>
    </row>
    <row r="229" spans="3:43" x14ac:dyDescent="0.2">
      <c r="C229" s="146"/>
      <c r="D229" s="146"/>
      <c r="E229" s="14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47"/>
      <c r="Q229" s="133"/>
      <c r="R229" s="133"/>
      <c r="S229" s="133"/>
      <c r="T229" s="133"/>
      <c r="U229" s="147"/>
      <c r="V229" s="133"/>
      <c r="W229" s="133"/>
      <c r="X229" s="147"/>
      <c r="Y229" s="133"/>
      <c r="Z229" s="133"/>
      <c r="AA229" s="133"/>
      <c r="AB229" s="147"/>
      <c r="AD229" s="133"/>
      <c r="AE229" s="147"/>
      <c r="AG229" s="133"/>
      <c r="AH229" s="147"/>
      <c r="AJ229" s="133"/>
      <c r="AK229" s="147"/>
      <c r="AM229" s="133"/>
      <c r="AN229" s="147"/>
      <c r="AP229" s="133"/>
      <c r="AQ229" s="147"/>
    </row>
    <row r="230" spans="3:43" x14ac:dyDescent="0.2">
      <c r="C230" s="146"/>
      <c r="D230" s="146"/>
      <c r="E230" s="146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47"/>
      <c r="Q230" s="133"/>
      <c r="R230" s="133"/>
      <c r="S230" s="133"/>
      <c r="T230" s="133"/>
      <c r="U230" s="147"/>
      <c r="V230" s="133"/>
      <c r="W230" s="133"/>
      <c r="X230" s="147"/>
      <c r="Y230" s="133"/>
      <c r="Z230" s="133"/>
      <c r="AA230" s="133"/>
      <c r="AB230" s="147"/>
      <c r="AD230" s="133"/>
      <c r="AE230" s="147"/>
      <c r="AG230" s="133"/>
      <c r="AH230" s="147"/>
      <c r="AJ230" s="133"/>
      <c r="AK230" s="147"/>
      <c r="AM230" s="133"/>
      <c r="AN230" s="147"/>
      <c r="AP230" s="133"/>
      <c r="AQ230" s="147"/>
    </row>
    <row r="231" spans="3:43" x14ac:dyDescent="0.2">
      <c r="C231" s="146"/>
      <c r="D231" s="146"/>
      <c r="E231" s="146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47"/>
      <c r="Q231" s="133"/>
      <c r="R231" s="133"/>
      <c r="S231" s="133"/>
      <c r="T231" s="133"/>
      <c r="U231" s="147"/>
      <c r="V231" s="133"/>
      <c r="W231" s="133"/>
      <c r="X231" s="147"/>
      <c r="Y231" s="133"/>
      <c r="Z231" s="133"/>
      <c r="AA231" s="133"/>
      <c r="AB231" s="147"/>
      <c r="AD231" s="133"/>
      <c r="AE231" s="147"/>
      <c r="AG231" s="133"/>
      <c r="AH231" s="147"/>
      <c r="AJ231" s="133"/>
      <c r="AK231" s="147"/>
      <c r="AM231" s="133"/>
      <c r="AN231" s="147"/>
      <c r="AP231" s="133"/>
      <c r="AQ231" s="147"/>
    </row>
    <row r="232" spans="3:43" x14ac:dyDescent="0.2">
      <c r="C232" s="146"/>
      <c r="D232" s="146"/>
      <c r="E232" s="146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47"/>
      <c r="Q232" s="133"/>
      <c r="R232" s="133"/>
      <c r="S232" s="133"/>
      <c r="T232" s="133"/>
      <c r="U232" s="147"/>
      <c r="V232" s="133"/>
      <c r="W232" s="133"/>
      <c r="X232" s="147"/>
      <c r="Y232" s="133"/>
      <c r="Z232" s="133"/>
      <c r="AA232" s="133"/>
      <c r="AB232" s="147"/>
      <c r="AD232" s="133"/>
      <c r="AE232" s="147"/>
      <c r="AG232" s="133"/>
      <c r="AH232" s="147"/>
      <c r="AJ232" s="133"/>
      <c r="AK232" s="147"/>
      <c r="AM232" s="133"/>
      <c r="AN232" s="147"/>
      <c r="AP232" s="133"/>
      <c r="AQ232" s="147"/>
    </row>
    <row r="233" spans="3:43" x14ac:dyDescent="0.2">
      <c r="C233" s="146"/>
      <c r="D233" s="146"/>
      <c r="E233" s="146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47"/>
      <c r="Q233" s="133"/>
      <c r="R233" s="133"/>
      <c r="S233" s="133"/>
      <c r="T233" s="133"/>
      <c r="U233" s="147"/>
      <c r="V233" s="133"/>
      <c r="W233" s="133"/>
      <c r="X233" s="147"/>
      <c r="Y233" s="133"/>
      <c r="Z233" s="133"/>
      <c r="AA233" s="133"/>
      <c r="AB233" s="147"/>
      <c r="AD233" s="133"/>
      <c r="AE233" s="147"/>
      <c r="AG233" s="133"/>
      <c r="AH233" s="147"/>
      <c r="AJ233" s="133"/>
      <c r="AK233" s="147"/>
      <c r="AM233" s="133"/>
      <c r="AN233" s="147"/>
      <c r="AP233" s="133"/>
      <c r="AQ233" s="147"/>
    </row>
    <row r="234" spans="3:43" x14ac:dyDescent="0.2">
      <c r="C234" s="146"/>
      <c r="D234" s="146"/>
      <c r="E234" s="146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47"/>
      <c r="Q234" s="133"/>
      <c r="R234" s="133"/>
      <c r="S234" s="133"/>
      <c r="T234" s="133"/>
      <c r="U234" s="147"/>
      <c r="V234" s="133"/>
      <c r="W234" s="133"/>
      <c r="X234" s="147"/>
      <c r="Y234" s="133"/>
      <c r="Z234" s="133"/>
      <c r="AA234" s="133"/>
      <c r="AB234" s="147"/>
      <c r="AD234" s="133"/>
      <c r="AE234" s="147"/>
      <c r="AG234" s="133"/>
      <c r="AH234" s="147"/>
      <c r="AJ234" s="133"/>
      <c r="AK234" s="147"/>
      <c r="AM234" s="133"/>
      <c r="AN234" s="147"/>
      <c r="AP234" s="133"/>
      <c r="AQ234" s="147"/>
    </row>
    <row r="235" spans="3:43" x14ac:dyDescent="0.2">
      <c r="C235" s="146"/>
      <c r="D235" s="146"/>
      <c r="E235" s="146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47"/>
      <c r="Q235" s="133"/>
      <c r="R235" s="133"/>
      <c r="S235" s="133"/>
      <c r="T235" s="133"/>
      <c r="U235" s="147"/>
      <c r="V235" s="133"/>
      <c r="W235" s="133"/>
      <c r="X235" s="147"/>
      <c r="Y235" s="133"/>
      <c r="Z235" s="133"/>
      <c r="AA235" s="133"/>
      <c r="AB235" s="147"/>
      <c r="AD235" s="133"/>
      <c r="AE235" s="147"/>
      <c r="AG235" s="133"/>
      <c r="AH235" s="147"/>
      <c r="AJ235" s="133"/>
      <c r="AK235" s="147"/>
      <c r="AM235" s="133"/>
      <c r="AN235" s="147"/>
      <c r="AP235" s="133"/>
      <c r="AQ235" s="147"/>
    </row>
    <row r="236" spans="3:43" x14ac:dyDescent="0.2">
      <c r="C236" s="146"/>
      <c r="D236" s="146"/>
      <c r="E236" s="146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47"/>
      <c r="Q236" s="133"/>
      <c r="R236" s="133"/>
      <c r="S236" s="133"/>
      <c r="T236" s="133"/>
      <c r="U236" s="147"/>
      <c r="V236" s="133"/>
      <c r="W236" s="133"/>
      <c r="X236" s="147"/>
      <c r="Y236" s="133"/>
      <c r="Z236" s="133"/>
      <c r="AA236" s="133"/>
      <c r="AB236" s="147"/>
      <c r="AD236" s="133"/>
      <c r="AE236" s="147"/>
      <c r="AG236" s="133"/>
      <c r="AH236" s="147"/>
      <c r="AJ236" s="133"/>
      <c r="AK236" s="147"/>
      <c r="AM236" s="133"/>
      <c r="AN236" s="147"/>
      <c r="AP236" s="133"/>
      <c r="AQ236" s="147"/>
    </row>
    <row r="237" spans="3:43" x14ac:dyDescent="0.2">
      <c r="C237" s="146"/>
      <c r="D237" s="146"/>
      <c r="E237" s="146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47"/>
      <c r="Q237" s="133"/>
      <c r="R237" s="133"/>
      <c r="S237" s="133"/>
      <c r="T237" s="133"/>
      <c r="U237" s="147"/>
      <c r="V237" s="133"/>
      <c r="W237" s="133"/>
      <c r="X237" s="147"/>
      <c r="Y237" s="133"/>
      <c r="Z237" s="133"/>
      <c r="AA237" s="133"/>
      <c r="AB237" s="147"/>
      <c r="AD237" s="133"/>
      <c r="AE237" s="147"/>
      <c r="AG237" s="133"/>
      <c r="AH237" s="147"/>
      <c r="AJ237" s="133"/>
      <c r="AK237" s="147"/>
      <c r="AM237" s="133"/>
      <c r="AN237" s="147"/>
      <c r="AP237" s="133"/>
      <c r="AQ237" s="147"/>
    </row>
    <row r="238" spans="3:43" x14ac:dyDescent="0.2">
      <c r="C238" s="146"/>
      <c r="D238" s="146"/>
      <c r="E238" s="146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47"/>
      <c r="Q238" s="133"/>
      <c r="R238" s="133"/>
      <c r="S238" s="133"/>
      <c r="T238" s="133"/>
      <c r="U238" s="147"/>
      <c r="V238" s="133"/>
      <c r="W238" s="133"/>
      <c r="X238" s="147"/>
      <c r="Y238" s="133"/>
      <c r="Z238" s="133"/>
      <c r="AA238" s="133"/>
      <c r="AB238" s="147"/>
      <c r="AD238" s="133"/>
      <c r="AE238" s="147"/>
      <c r="AG238" s="133"/>
      <c r="AH238" s="147"/>
      <c r="AJ238" s="133"/>
      <c r="AK238" s="147"/>
      <c r="AM238" s="133"/>
      <c r="AN238" s="147"/>
      <c r="AP238" s="133"/>
      <c r="AQ238" s="147"/>
    </row>
    <row r="239" spans="3:43" x14ac:dyDescent="0.2">
      <c r="C239" s="146"/>
      <c r="D239" s="146"/>
      <c r="E239" s="146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47"/>
      <c r="Q239" s="133"/>
      <c r="R239" s="133"/>
      <c r="S239" s="133"/>
      <c r="T239" s="133"/>
      <c r="U239" s="147"/>
      <c r="V239" s="133"/>
      <c r="W239" s="133"/>
      <c r="X239" s="147"/>
      <c r="Y239" s="133"/>
      <c r="Z239" s="133"/>
      <c r="AA239" s="133"/>
      <c r="AB239" s="147"/>
      <c r="AD239" s="133"/>
      <c r="AE239" s="147"/>
      <c r="AG239" s="133"/>
      <c r="AH239" s="147"/>
      <c r="AJ239" s="133"/>
      <c r="AK239" s="147"/>
      <c r="AM239" s="133"/>
      <c r="AN239" s="147"/>
      <c r="AP239" s="133"/>
      <c r="AQ239" s="147"/>
    </row>
    <row r="240" spans="3:43" x14ac:dyDescent="0.2">
      <c r="C240" s="146"/>
      <c r="D240" s="146"/>
      <c r="E240" s="146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47"/>
      <c r="Q240" s="133"/>
      <c r="R240" s="133"/>
      <c r="S240" s="133"/>
      <c r="T240" s="133"/>
      <c r="U240" s="147"/>
      <c r="V240" s="133"/>
      <c r="W240" s="133"/>
      <c r="X240" s="147"/>
      <c r="Y240" s="133"/>
      <c r="Z240" s="133"/>
      <c r="AA240" s="133"/>
      <c r="AB240" s="147"/>
      <c r="AD240" s="133"/>
      <c r="AE240" s="147"/>
      <c r="AG240" s="133"/>
      <c r="AH240" s="147"/>
      <c r="AJ240" s="133"/>
      <c r="AK240" s="147"/>
      <c r="AM240" s="133"/>
      <c r="AN240" s="147"/>
      <c r="AP240" s="133"/>
      <c r="AQ240" s="147"/>
    </row>
    <row r="241" spans="3:43" x14ac:dyDescent="0.2">
      <c r="C241" s="146"/>
      <c r="D241" s="146"/>
      <c r="E241" s="146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47"/>
      <c r="Q241" s="133"/>
      <c r="R241" s="133"/>
      <c r="S241" s="133"/>
      <c r="T241" s="133"/>
      <c r="U241" s="147"/>
      <c r="V241" s="133"/>
      <c r="W241" s="133"/>
      <c r="X241" s="147"/>
      <c r="Y241" s="133"/>
      <c r="Z241" s="133"/>
      <c r="AA241" s="133"/>
      <c r="AB241" s="147"/>
      <c r="AD241" s="133"/>
      <c r="AE241" s="147"/>
      <c r="AG241" s="133"/>
      <c r="AH241" s="147"/>
      <c r="AJ241" s="133"/>
      <c r="AK241" s="147"/>
      <c r="AM241" s="133"/>
      <c r="AN241" s="147"/>
      <c r="AP241" s="133"/>
      <c r="AQ241" s="147"/>
    </row>
    <row r="242" spans="3:43" x14ac:dyDescent="0.2">
      <c r="C242" s="146"/>
      <c r="D242" s="146"/>
      <c r="E242" s="146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47"/>
      <c r="Q242" s="133"/>
      <c r="R242" s="133"/>
      <c r="S242" s="133"/>
      <c r="T242" s="133"/>
      <c r="U242" s="147"/>
      <c r="V242" s="133"/>
      <c r="W242" s="133"/>
      <c r="X242" s="147"/>
      <c r="Y242" s="133"/>
      <c r="Z242" s="133"/>
      <c r="AA242" s="133"/>
      <c r="AB242" s="147"/>
      <c r="AD242" s="133"/>
      <c r="AE242" s="147"/>
      <c r="AG242" s="133"/>
      <c r="AH242" s="147"/>
      <c r="AJ242" s="133"/>
      <c r="AK242" s="147"/>
      <c r="AM242" s="133"/>
      <c r="AN242" s="147"/>
      <c r="AP242" s="133"/>
      <c r="AQ242" s="147"/>
    </row>
    <row r="243" spans="3:43" x14ac:dyDescent="0.2">
      <c r="C243" s="146"/>
      <c r="D243" s="146"/>
      <c r="E243" s="146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47"/>
      <c r="Q243" s="133"/>
      <c r="R243" s="133"/>
      <c r="S243" s="133"/>
      <c r="T243" s="133"/>
      <c r="U243" s="147"/>
      <c r="V243" s="133"/>
      <c r="W243" s="133"/>
      <c r="X243" s="147"/>
      <c r="Y243" s="133"/>
      <c r="Z243" s="133"/>
      <c r="AA243" s="133"/>
      <c r="AB243" s="147"/>
      <c r="AD243" s="133"/>
      <c r="AE243" s="147"/>
      <c r="AG243" s="133"/>
      <c r="AH243" s="147"/>
      <c r="AJ243" s="133"/>
      <c r="AK243" s="147"/>
      <c r="AM243" s="133"/>
      <c r="AN243" s="147"/>
      <c r="AP243" s="133"/>
      <c r="AQ243" s="147"/>
    </row>
    <row r="244" spans="3:43" x14ac:dyDescent="0.2">
      <c r="C244" s="146"/>
      <c r="D244" s="146"/>
      <c r="E244" s="146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47"/>
      <c r="Q244" s="133"/>
      <c r="R244" s="133"/>
      <c r="S244" s="133"/>
      <c r="T244" s="133"/>
      <c r="U244" s="147"/>
      <c r="V244" s="133"/>
      <c r="W244" s="133"/>
      <c r="X244" s="147"/>
      <c r="Y244" s="133"/>
      <c r="Z244" s="133"/>
      <c r="AA244" s="133"/>
      <c r="AB244" s="147"/>
      <c r="AD244" s="133"/>
      <c r="AE244" s="147"/>
      <c r="AG244" s="133"/>
      <c r="AH244" s="147"/>
      <c r="AJ244" s="133"/>
      <c r="AK244" s="147"/>
      <c r="AM244" s="133"/>
      <c r="AN244" s="147"/>
      <c r="AP244" s="133"/>
      <c r="AQ244" s="147"/>
    </row>
    <row r="245" spans="3:43" x14ac:dyDescent="0.2">
      <c r="C245" s="146"/>
      <c r="D245" s="146"/>
      <c r="E245" s="146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47"/>
      <c r="Q245" s="133"/>
      <c r="R245" s="133"/>
      <c r="S245" s="133"/>
      <c r="T245" s="133"/>
      <c r="U245" s="147"/>
      <c r="V245" s="133"/>
      <c r="W245" s="133"/>
      <c r="X245" s="147"/>
      <c r="Y245" s="133"/>
      <c r="Z245" s="133"/>
      <c r="AA245" s="133"/>
      <c r="AB245" s="147"/>
      <c r="AD245" s="133"/>
      <c r="AE245" s="147"/>
      <c r="AG245" s="133"/>
      <c r="AH245" s="147"/>
      <c r="AJ245" s="133"/>
      <c r="AK245" s="147"/>
      <c r="AM245" s="133"/>
      <c r="AN245" s="147"/>
      <c r="AP245" s="133"/>
      <c r="AQ245" s="147"/>
    </row>
  </sheetData>
  <mergeCells count="11">
    <mergeCell ref="D39:K39"/>
    <mergeCell ref="S39:Z39"/>
    <mergeCell ref="AL39:AT39"/>
    <mergeCell ref="C2:AU2"/>
    <mergeCell ref="B4:C4"/>
    <mergeCell ref="D36:K36"/>
    <mergeCell ref="S36:Z36"/>
    <mergeCell ref="AL36:AT36"/>
    <mergeCell ref="D38:K38"/>
    <mergeCell ref="S38:Z38"/>
    <mergeCell ref="AL38:AT38"/>
  </mergeCells>
  <printOptions horizontalCentered="1" verticalCentered="1"/>
  <pageMargins left="0" right="7.874015748031496E-2" top="0.78740157480314965" bottom="0.19685039370078741" header="0.39370078740157483" footer="0"/>
  <pageSetup paperSize="256" scale="69" orientation="landscape" r:id="rId1"/>
  <headerFooter differentOddEven="1">
    <oddFooter xml:space="preserve"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1" sqref="E1:H1048576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6" width="5.7109375" style="81" hidden="1" customWidth="1"/>
    <col min="7" max="8" width="14.28515625" style="81" hidden="1" customWidth="1"/>
    <col min="9" max="9" width="34.5703125" style="81" customWidth="1"/>
    <col min="10" max="10" width="14.140625" style="81" customWidth="1"/>
    <col min="11" max="11" width="5.7109375" style="81" hidden="1" customWidth="1"/>
    <col min="12" max="12" width="7" style="81" hidden="1" customWidth="1"/>
    <col min="13" max="13" width="16" style="81" bestFit="1" customWidth="1"/>
    <col min="14" max="14" width="5.85546875" style="81" hidden="1" customWidth="1"/>
    <col min="15" max="15" width="11.28515625" style="157" hidden="1" customWidth="1"/>
    <col min="16" max="16" width="17.42578125" style="81" customWidth="1"/>
    <col min="17" max="17" width="14" style="81" bestFit="1" customWidth="1"/>
    <col min="18" max="18" width="14.140625" style="81" customWidth="1"/>
    <col min="19" max="19" width="5.7109375" style="81" hidden="1" customWidth="1"/>
    <col min="20" max="20" width="11.28515625" style="157" hidden="1" customWidth="1"/>
    <col min="21" max="21" width="13.85546875" style="81" customWidth="1"/>
    <col min="22" max="22" width="5.7109375" style="81" hidden="1" customWidth="1"/>
    <col min="23" max="23" width="11.28515625" style="157" hidden="1" customWidth="1"/>
    <col min="24" max="24" width="20.5703125" style="81" hidden="1" customWidth="1"/>
    <col min="25" max="25" width="19.140625" style="81" customWidth="1"/>
    <col min="26" max="26" width="5.7109375" style="81" hidden="1" customWidth="1"/>
    <col min="27" max="27" width="11.28515625" style="157" hidden="1" customWidth="1"/>
    <col min="28" max="28" width="14.28515625" style="81" customWidth="1"/>
    <col min="29" max="29" width="5.7109375" style="81" hidden="1" customWidth="1"/>
    <col min="30" max="30" width="11.28515625" style="157" hidden="1" customWidth="1"/>
    <col min="31" max="31" width="18" style="139" customWidth="1"/>
    <col min="32" max="32" width="7.7109375" style="81" hidden="1" customWidth="1"/>
    <col min="33" max="33" width="11.28515625" style="157" hidden="1" customWidth="1"/>
    <col min="34" max="34" width="13.85546875" style="81" customWidth="1"/>
    <col min="35" max="35" width="5.85546875" style="81" hidden="1" customWidth="1"/>
    <col min="36" max="36" width="5.85546875" style="157" hidden="1" customWidth="1"/>
    <col min="37" max="37" width="13" style="139" customWidth="1"/>
    <col min="38" max="38" width="5.7109375" style="81" hidden="1" customWidth="1"/>
    <col min="39" max="39" width="11.28515625" style="157" hidden="1" customWidth="1"/>
    <col min="40" max="40" width="14.85546875" style="81" hidden="1" customWidth="1"/>
    <col min="41" max="41" width="5.7109375" style="81" hidden="1" customWidth="1"/>
    <col min="42" max="42" width="11.28515625" style="157" hidden="1" customWidth="1"/>
    <col min="43" max="43" width="15.5703125" style="81" hidden="1" customWidth="1"/>
    <col min="44" max="44" width="18.5703125" style="81" customWidth="1"/>
    <col min="45" max="45" width="19.85546875" style="81" customWidth="1"/>
    <col min="46" max="46" width="46.28515625" style="81" customWidth="1"/>
    <col min="47" max="47" width="14" style="81" hidden="1" customWidth="1"/>
    <col min="48" max="48" width="11.42578125" style="81" hidden="1" customWidth="1"/>
    <col min="49" max="49" width="15.28515625" style="81" hidden="1" customWidth="1"/>
    <col min="50" max="59" width="11.42578125" style="81" hidden="1" customWidth="1"/>
    <col min="60" max="60" width="10" style="81" hidden="1" customWidth="1"/>
    <col min="61" max="61" width="45.85546875" style="81" customWidth="1"/>
    <col min="62" max="64" width="11.42578125" style="81" customWidth="1"/>
    <col min="65" max="16384" width="11.42578125" style="81"/>
  </cols>
  <sheetData>
    <row r="1" spans="1:61" ht="15.75" x14ac:dyDescent="0.2">
      <c r="M1" s="138"/>
      <c r="N1" s="138"/>
      <c r="O1" s="158"/>
      <c r="P1" s="138"/>
      <c r="Q1" s="138"/>
    </row>
    <row r="2" spans="1:61" ht="35.25" customHeight="1" x14ac:dyDescent="0.2">
      <c r="C2" s="174" t="s">
        <v>138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61" s="82" customFormat="1" ht="9" thickBot="1" x14ac:dyDescent="0.25">
      <c r="A3" s="82">
        <v>1</v>
      </c>
      <c r="B3" s="82">
        <f>+A3+1</f>
        <v>2</v>
      </c>
      <c r="C3" s="82">
        <f t="shared" ref="C3:AS3" si="0">+B3+1</f>
        <v>3</v>
      </c>
      <c r="D3" s="82">
        <f t="shared" si="0"/>
        <v>4</v>
      </c>
      <c r="E3" s="82" t="e">
        <f>+#REF!+1</f>
        <v>#REF!</v>
      </c>
      <c r="F3" s="82" t="e">
        <f t="shared" si="0"/>
        <v>#REF!</v>
      </c>
      <c r="G3" s="82" t="e">
        <f t="shared" si="0"/>
        <v>#REF!</v>
      </c>
      <c r="H3" s="82" t="e">
        <f t="shared" si="0"/>
        <v>#REF!</v>
      </c>
      <c r="J3" s="82" t="e">
        <f>+H3+1</f>
        <v>#REF!</v>
      </c>
      <c r="K3" s="82" t="e">
        <f t="shared" si="0"/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3" t="e">
        <f t="shared" si="0"/>
        <v>#REF!</v>
      </c>
      <c r="AF3" s="82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3" t="e">
        <f t="shared" si="0"/>
        <v>#REF!</v>
      </c>
      <c r="AL3" s="82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</row>
    <row r="4" spans="1:61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7" t="s">
        <v>5</v>
      </c>
      <c r="F4" s="87" t="s">
        <v>6</v>
      </c>
      <c r="G4" s="87" t="s">
        <v>7</v>
      </c>
      <c r="H4" s="87" t="s">
        <v>8</v>
      </c>
      <c r="I4" s="7" t="s">
        <v>145</v>
      </c>
      <c r="J4" s="87" t="s">
        <v>9</v>
      </c>
      <c r="K4" s="87" t="s">
        <v>5</v>
      </c>
      <c r="L4" s="87" t="s">
        <v>6</v>
      </c>
      <c r="M4" s="88" t="s">
        <v>10</v>
      </c>
      <c r="N4" s="88" t="s">
        <v>5</v>
      </c>
      <c r="O4" s="89" t="s">
        <v>6</v>
      </c>
      <c r="P4" s="88" t="s">
        <v>11</v>
      </c>
      <c r="Q4" s="88" t="s">
        <v>12</v>
      </c>
      <c r="R4" s="88" t="s">
        <v>13</v>
      </c>
      <c r="S4" s="87" t="s">
        <v>5</v>
      </c>
      <c r="T4" s="90" t="s">
        <v>6</v>
      </c>
      <c r="U4" s="87" t="s">
        <v>14</v>
      </c>
      <c r="V4" s="91" t="s">
        <v>5</v>
      </c>
      <c r="W4" s="92" t="s">
        <v>6</v>
      </c>
      <c r="X4" s="88" t="s">
        <v>15</v>
      </c>
      <c r="Y4" s="7" t="s">
        <v>152</v>
      </c>
      <c r="Z4" s="87" t="s">
        <v>5</v>
      </c>
      <c r="AA4" s="90" t="s">
        <v>6</v>
      </c>
      <c r="AB4" s="87" t="s">
        <v>16</v>
      </c>
      <c r="AC4" s="87" t="s">
        <v>5</v>
      </c>
      <c r="AD4" s="90" t="s">
        <v>6</v>
      </c>
      <c r="AE4" s="88" t="s">
        <v>21</v>
      </c>
      <c r="AF4" s="87" t="s">
        <v>5</v>
      </c>
      <c r="AG4" s="90" t="s">
        <v>6</v>
      </c>
      <c r="AH4" s="87" t="s">
        <v>18</v>
      </c>
      <c r="AI4" s="87" t="s">
        <v>5</v>
      </c>
      <c r="AJ4" s="90" t="s">
        <v>6</v>
      </c>
      <c r="AK4" s="88" t="s">
        <v>19</v>
      </c>
      <c r="AL4" s="87" t="s">
        <v>5</v>
      </c>
      <c r="AM4" s="90" t="s">
        <v>6</v>
      </c>
      <c r="AN4" s="87" t="s">
        <v>20</v>
      </c>
      <c r="AO4" s="91" t="s">
        <v>5</v>
      </c>
      <c r="AP4" s="92" t="s">
        <v>6</v>
      </c>
      <c r="AQ4" s="88" t="s">
        <v>21</v>
      </c>
      <c r="AR4" s="7" t="s">
        <v>153</v>
      </c>
      <c r="AS4" s="7" t="s">
        <v>154</v>
      </c>
      <c r="AT4" s="93" t="s">
        <v>22</v>
      </c>
      <c r="AV4" s="94"/>
      <c r="AW4" s="94" t="s">
        <v>23</v>
      </c>
      <c r="AX4" s="95" t="s">
        <v>24</v>
      </c>
      <c r="AY4" s="95" t="s">
        <v>25</v>
      </c>
      <c r="AZ4" s="95" t="s">
        <v>26</v>
      </c>
      <c r="BA4" s="95" t="s">
        <v>27</v>
      </c>
      <c r="BB4" s="95" t="s">
        <v>28</v>
      </c>
      <c r="BC4" s="95" t="s">
        <v>29</v>
      </c>
      <c r="BD4" s="95" t="s">
        <v>30</v>
      </c>
      <c r="BE4" s="96"/>
      <c r="BF4" s="96"/>
      <c r="BG4" s="96"/>
      <c r="BH4" s="94"/>
      <c r="BI4" s="93" t="s">
        <v>31</v>
      </c>
    </row>
    <row r="5" spans="1:61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1" t="s">
        <v>37</v>
      </c>
      <c r="F5" s="101" t="s">
        <v>38</v>
      </c>
      <c r="G5" s="101">
        <v>15</v>
      </c>
      <c r="H5" s="101">
        <v>421.49</v>
      </c>
      <c r="I5" s="160" t="s">
        <v>146</v>
      </c>
      <c r="J5" s="101">
        <v>6572.35</v>
      </c>
      <c r="K5" s="101" t="s">
        <v>37</v>
      </c>
      <c r="L5" s="102">
        <v>1311</v>
      </c>
      <c r="M5" s="103">
        <f>134.58+33.65</f>
        <v>168.23000000000002</v>
      </c>
      <c r="N5" s="101" t="s">
        <v>37</v>
      </c>
      <c r="O5" s="102">
        <v>1713</v>
      </c>
      <c r="P5" s="101">
        <v>351.5</v>
      </c>
      <c r="Q5" s="103">
        <v>406.32</v>
      </c>
      <c r="R5" s="103">
        <f t="shared" ref="R5:R32" si="2">(J5*3%)</f>
        <v>197.1705</v>
      </c>
      <c r="S5" s="101" t="s">
        <v>37</v>
      </c>
      <c r="T5" s="102">
        <v>1712</v>
      </c>
      <c r="U5" s="104">
        <f t="shared" ref="U5:U32" si="3">(Q5+R5)</f>
        <v>603.4905</v>
      </c>
      <c r="V5" s="101" t="s">
        <v>37</v>
      </c>
      <c r="W5" s="102">
        <v>1345</v>
      </c>
      <c r="X5" s="104">
        <v>0</v>
      </c>
      <c r="Y5" s="104">
        <f t="shared" ref="Y5:Y32" si="4">J5+M5+P5+U5+X5</f>
        <v>7695.5704999999998</v>
      </c>
      <c r="Z5" s="101" t="s">
        <v>39</v>
      </c>
      <c r="AA5" s="102">
        <v>1431</v>
      </c>
      <c r="AB5" s="104">
        <f t="shared" ref="AB5:AB32" si="5">(J5*9.5%)</f>
        <v>624.3732500000001</v>
      </c>
      <c r="AC5" s="101" t="s">
        <v>39</v>
      </c>
      <c r="AD5" s="105" t="s">
        <v>40</v>
      </c>
      <c r="AE5" s="103">
        <v>306</v>
      </c>
      <c r="AF5" s="101" t="s">
        <v>39</v>
      </c>
      <c r="AG5" s="105" t="s">
        <v>41</v>
      </c>
      <c r="AH5" s="103">
        <f t="shared" ref="AH5:AH32" si="6">+BD5</f>
        <v>1096.58</v>
      </c>
      <c r="AI5" s="101" t="s">
        <v>39</v>
      </c>
      <c r="AJ5" s="105" t="s">
        <v>42</v>
      </c>
      <c r="AK5" s="103">
        <f t="shared" ref="AK5:AK10" si="7">(J5*1%)</f>
        <v>65.723500000000001</v>
      </c>
      <c r="AL5" s="101" t="s">
        <v>39</v>
      </c>
      <c r="AM5" s="105" t="s">
        <v>43</v>
      </c>
      <c r="AN5" s="103">
        <v>0</v>
      </c>
      <c r="AO5" s="101" t="s">
        <v>39</v>
      </c>
      <c r="AP5" s="105">
        <v>1431</v>
      </c>
      <c r="AQ5" s="103">
        <v>0</v>
      </c>
      <c r="AR5" s="104">
        <f t="shared" ref="AR5:AR32" si="8">(AB5+AE5+AH5+AK5+AN5+AQ5)</f>
        <v>2092.6767500000001</v>
      </c>
      <c r="AS5" s="106">
        <f t="shared" ref="AS5:AS32" si="9">(Y5-AR5)</f>
        <v>5602.8937499999993</v>
      </c>
      <c r="AT5" s="107"/>
      <c r="AU5" s="108"/>
      <c r="AV5" s="109">
        <f>+G5</f>
        <v>15</v>
      </c>
      <c r="AW5" s="109">
        <f>+J5+R5+M5+P5+Q5+X5</f>
        <v>7695.5704999999998</v>
      </c>
      <c r="AX5" s="110">
        <f>IFERROR(+AW5/AV5,0)*AV5</f>
        <v>7695.5705000000007</v>
      </c>
      <c r="AY5" s="110">
        <f>IFERROR(+LOOKUP(AX5,[10]TARIFAS!$A$4:$B$14,[10]TARIFAS!$A$4:$A$14),0)</f>
        <v>5081.41</v>
      </c>
      <c r="AZ5" s="110">
        <f>+AX5-AY5</f>
        <v>2614.1605000000009</v>
      </c>
      <c r="BA5" s="110">
        <f>IFERROR(+LOOKUP(AX5,[10]TARIFAS!$A$4:$B$14,[10]TARIFAS!$D$4:$D$14),0)</f>
        <v>21.36</v>
      </c>
      <c r="BB5" s="110">
        <f>(+AZ5*BA5)/100</f>
        <v>558.38468280000018</v>
      </c>
      <c r="BC5" s="110">
        <f>IFERROR(+LOOKUP(AX5,[10]TARIFAS!$A$4:$B$14,[10]TARIFAS!$C$4:$C$14),0)</f>
        <v>538.20000000000005</v>
      </c>
      <c r="BD5" s="110">
        <f>ROUND(+BB5+BC5,2)</f>
        <v>1096.58</v>
      </c>
      <c r="BE5" s="110"/>
      <c r="BF5" s="110"/>
      <c r="BG5" s="110"/>
      <c r="BH5" s="109"/>
    </row>
    <row r="6" spans="1:61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1" t="s">
        <v>37</v>
      </c>
      <c r="F6" s="101" t="s">
        <v>38</v>
      </c>
      <c r="G6" s="101">
        <v>15</v>
      </c>
      <c r="H6" s="101">
        <v>421.49</v>
      </c>
      <c r="I6" s="160" t="s">
        <v>147</v>
      </c>
      <c r="J6" s="101">
        <v>6572.35</v>
      </c>
      <c r="K6" s="101" t="s">
        <v>37</v>
      </c>
      <c r="L6" s="102">
        <v>1311</v>
      </c>
      <c r="M6" s="103">
        <v>168.22500000000002</v>
      </c>
      <c r="N6" s="101" t="s">
        <v>37</v>
      </c>
      <c r="O6" s="102">
        <v>1713</v>
      </c>
      <c r="P6" s="101">
        <v>351.5</v>
      </c>
      <c r="Q6" s="103">
        <v>406.32</v>
      </c>
      <c r="R6" s="103">
        <f t="shared" si="2"/>
        <v>197.1705</v>
      </c>
      <c r="S6" s="101" t="s">
        <v>37</v>
      </c>
      <c r="T6" s="102">
        <v>1712</v>
      </c>
      <c r="U6" s="104">
        <f t="shared" si="3"/>
        <v>603.4905</v>
      </c>
      <c r="V6" s="101"/>
      <c r="W6" s="102"/>
      <c r="X6" s="104"/>
      <c r="Y6" s="104">
        <f t="shared" si="4"/>
        <v>7695.5655000000006</v>
      </c>
      <c r="Z6" s="101" t="s">
        <v>39</v>
      </c>
      <c r="AA6" s="102">
        <v>1431</v>
      </c>
      <c r="AB6" s="104">
        <f t="shared" si="5"/>
        <v>624.3732500000001</v>
      </c>
      <c r="AC6" s="101" t="s">
        <v>39</v>
      </c>
      <c r="AD6" s="105" t="s">
        <v>40</v>
      </c>
      <c r="AE6" s="103">
        <v>2529</v>
      </c>
      <c r="AF6" s="101" t="s">
        <v>39</v>
      </c>
      <c r="AG6" s="105" t="s">
        <v>41</v>
      </c>
      <c r="AH6" s="103">
        <f t="shared" si="6"/>
        <v>1096.58</v>
      </c>
      <c r="AI6" s="101" t="s">
        <v>39</v>
      </c>
      <c r="AJ6" s="105" t="s">
        <v>42</v>
      </c>
      <c r="AK6" s="103">
        <f t="shared" si="7"/>
        <v>65.723500000000001</v>
      </c>
      <c r="AL6" s="101" t="s">
        <v>39</v>
      </c>
      <c r="AM6" s="105" t="s">
        <v>43</v>
      </c>
      <c r="AN6" s="103">
        <v>0</v>
      </c>
      <c r="AO6" s="101" t="s">
        <v>39</v>
      </c>
      <c r="AP6" s="105">
        <v>1431</v>
      </c>
      <c r="AQ6" s="103">
        <v>0</v>
      </c>
      <c r="AR6" s="104">
        <f t="shared" si="8"/>
        <v>4315.6767500000005</v>
      </c>
      <c r="AS6" s="106">
        <f t="shared" si="9"/>
        <v>3379.8887500000001</v>
      </c>
      <c r="AT6" s="113"/>
      <c r="AU6" s="108"/>
      <c r="AV6" s="109">
        <f t="shared" ref="AV6:AV32" si="10">+G6</f>
        <v>15</v>
      </c>
      <c r="AW6" s="109">
        <f t="shared" ref="AW6:AW32" si="11">+J6+R6+M6+P6+Q6+X6</f>
        <v>7695.5655000000006</v>
      </c>
      <c r="AX6" s="110">
        <f t="shared" ref="AX6:AX32" si="12">IFERROR(+AW6/AV6,0)*AV6</f>
        <v>7695.5655000000015</v>
      </c>
      <c r="AY6" s="110">
        <f>IFERROR(+LOOKUP(AX6,[10]TARIFAS!$A$4:$B$14,[10]TARIFAS!$A$4:$A$14),0)</f>
        <v>5081.41</v>
      </c>
      <c r="AZ6" s="110">
        <f t="shared" ref="AZ6:AZ32" si="13">+AX6-AY6</f>
        <v>2614.1555000000017</v>
      </c>
      <c r="BA6" s="110">
        <f>IFERROR(+LOOKUP(AX6,[10]TARIFAS!$A$4:$B$14,[10]TARIFAS!$D$4:$D$14),0)</f>
        <v>21.36</v>
      </c>
      <c r="BB6" s="110">
        <f t="shared" ref="BB6:BB32" si="14">(+AZ6*BA6)/100</f>
        <v>558.38361480000037</v>
      </c>
      <c r="BC6" s="110">
        <f>IFERROR(+LOOKUP(AX6,[10]TARIFAS!$A$4:$B$14,[10]TARIFAS!$C$4:$C$14),0)</f>
        <v>538.20000000000005</v>
      </c>
      <c r="BD6" s="110">
        <f t="shared" ref="BD6:BD32" si="15">ROUND(+BB6+BC6,2)</f>
        <v>1096.58</v>
      </c>
      <c r="BE6" s="110"/>
      <c r="BF6" s="110"/>
      <c r="BG6" s="110"/>
      <c r="BH6" s="109"/>
    </row>
    <row r="7" spans="1:61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1" t="s">
        <v>37</v>
      </c>
      <c r="F7" s="101" t="s">
        <v>38</v>
      </c>
      <c r="G7" s="101">
        <v>15</v>
      </c>
      <c r="H7" s="101">
        <v>504.21533333333332</v>
      </c>
      <c r="I7" s="160" t="s">
        <v>147</v>
      </c>
      <c r="J7" s="101">
        <v>7713.23</v>
      </c>
      <c r="K7" s="101" t="s">
        <v>37</v>
      </c>
      <c r="L7" s="102">
        <v>1311</v>
      </c>
      <c r="M7" s="103">
        <v>168.22500000000002</v>
      </c>
      <c r="N7" s="101" t="s">
        <v>37</v>
      </c>
      <c r="O7" s="102">
        <v>1713</v>
      </c>
      <c r="P7" s="101">
        <v>282.08999999999997</v>
      </c>
      <c r="Q7" s="103">
        <v>418.44</v>
      </c>
      <c r="R7" s="103">
        <f t="shared" si="2"/>
        <v>231.39689999999999</v>
      </c>
      <c r="S7" s="101" t="s">
        <v>37</v>
      </c>
      <c r="T7" s="102">
        <v>1712</v>
      </c>
      <c r="U7" s="104">
        <f t="shared" si="3"/>
        <v>649.83690000000001</v>
      </c>
      <c r="V7" s="101"/>
      <c r="W7" s="102"/>
      <c r="X7" s="104"/>
      <c r="Y7" s="104">
        <f t="shared" si="4"/>
        <v>8813.3819000000003</v>
      </c>
      <c r="Z7" s="101" t="s">
        <v>39</v>
      </c>
      <c r="AA7" s="102">
        <v>1431</v>
      </c>
      <c r="AB7" s="104">
        <f t="shared" si="5"/>
        <v>732.75684999999999</v>
      </c>
      <c r="AC7" s="101" t="s">
        <v>39</v>
      </c>
      <c r="AD7" s="105" t="s">
        <v>40</v>
      </c>
      <c r="AE7" s="103">
        <v>1158.5</v>
      </c>
      <c r="AF7" s="101" t="s">
        <v>39</v>
      </c>
      <c r="AG7" s="105" t="s">
        <v>41</v>
      </c>
      <c r="AH7" s="103">
        <f t="shared" si="6"/>
        <v>1335.35</v>
      </c>
      <c r="AI7" s="101" t="s">
        <v>39</v>
      </c>
      <c r="AJ7" s="105" t="s">
        <v>42</v>
      </c>
      <c r="AK7" s="103">
        <f t="shared" si="7"/>
        <v>77.132300000000001</v>
      </c>
      <c r="AL7" s="101" t="s">
        <v>39</v>
      </c>
      <c r="AM7" s="105" t="s">
        <v>43</v>
      </c>
      <c r="AN7" s="103">
        <v>0</v>
      </c>
      <c r="AO7" s="101" t="s">
        <v>39</v>
      </c>
      <c r="AP7" s="105">
        <v>1431</v>
      </c>
      <c r="AQ7" s="103">
        <v>0</v>
      </c>
      <c r="AR7" s="104">
        <f t="shared" si="8"/>
        <v>3303.7391500000003</v>
      </c>
      <c r="AS7" s="106">
        <f t="shared" si="9"/>
        <v>5509.64275</v>
      </c>
      <c r="AT7" s="113"/>
      <c r="AU7" s="108"/>
      <c r="AV7" s="109">
        <f t="shared" si="10"/>
        <v>15</v>
      </c>
      <c r="AW7" s="109">
        <f t="shared" si="11"/>
        <v>8813.3819000000003</v>
      </c>
      <c r="AX7" s="110">
        <f t="shared" si="12"/>
        <v>8813.3819000000003</v>
      </c>
      <c r="AY7" s="110">
        <f>IFERROR(+LOOKUP(AX7,[10]TARIFAS!$A$4:$B$14,[10]TARIFAS!$A$4:$A$14),0)</f>
        <v>5081.41</v>
      </c>
      <c r="AZ7" s="110">
        <f t="shared" si="13"/>
        <v>3731.9719000000005</v>
      </c>
      <c r="BA7" s="110">
        <f>IFERROR(+LOOKUP(AX7,[10]TARIFAS!$A$4:$B$14,[10]TARIFAS!$D$4:$D$14),0)</f>
        <v>21.36</v>
      </c>
      <c r="BB7" s="110">
        <f t="shared" si="14"/>
        <v>797.14919784000017</v>
      </c>
      <c r="BC7" s="110">
        <f>IFERROR(+LOOKUP(AX7,[10]TARIFAS!$A$4:$B$14,[10]TARIFAS!$C$4:$C$14),0)</f>
        <v>538.20000000000005</v>
      </c>
      <c r="BD7" s="110">
        <f t="shared" si="15"/>
        <v>1335.35</v>
      </c>
      <c r="BE7" s="110"/>
      <c r="BF7" s="110"/>
      <c r="BG7" s="110"/>
      <c r="BH7" s="109"/>
    </row>
    <row r="8" spans="1:61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1" t="s">
        <v>37</v>
      </c>
      <c r="F8" s="101" t="s">
        <v>38</v>
      </c>
      <c r="G8" s="101">
        <v>15</v>
      </c>
      <c r="H8" s="101">
        <v>421.49</v>
      </c>
      <c r="I8" s="160" t="s">
        <v>148</v>
      </c>
      <c r="J8" s="101">
        <v>6572.35</v>
      </c>
      <c r="K8" s="101" t="s">
        <v>37</v>
      </c>
      <c r="L8" s="102">
        <v>1311</v>
      </c>
      <c r="M8" s="103">
        <v>201.87</v>
      </c>
      <c r="N8" s="101" t="s">
        <v>37</v>
      </c>
      <c r="O8" s="102">
        <v>1713</v>
      </c>
      <c r="P8" s="101">
        <v>351.5</v>
      </c>
      <c r="Q8" s="103">
        <v>406.32</v>
      </c>
      <c r="R8" s="103">
        <f t="shared" si="2"/>
        <v>197.1705</v>
      </c>
      <c r="S8" s="101" t="s">
        <v>37</v>
      </c>
      <c r="T8" s="102">
        <v>1712</v>
      </c>
      <c r="U8" s="104">
        <f t="shared" si="3"/>
        <v>603.4905</v>
      </c>
      <c r="V8" s="101"/>
      <c r="W8" s="102"/>
      <c r="X8" s="104"/>
      <c r="Y8" s="104">
        <f t="shared" si="4"/>
        <v>7729.2105000000001</v>
      </c>
      <c r="Z8" s="101" t="s">
        <v>39</v>
      </c>
      <c r="AA8" s="102">
        <v>1431</v>
      </c>
      <c r="AB8" s="104">
        <f t="shared" si="5"/>
        <v>624.3732500000001</v>
      </c>
      <c r="AC8" s="101" t="s">
        <v>39</v>
      </c>
      <c r="AD8" s="105" t="s">
        <v>40</v>
      </c>
      <c r="AE8" s="103">
        <v>1542</v>
      </c>
      <c r="AF8" s="101" t="s">
        <v>39</v>
      </c>
      <c r="AG8" s="105" t="s">
        <v>41</v>
      </c>
      <c r="AH8" s="103">
        <f t="shared" si="6"/>
        <v>1103.77</v>
      </c>
      <c r="AI8" s="101" t="s">
        <v>39</v>
      </c>
      <c r="AJ8" s="105" t="s">
        <v>42</v>
      </c>
      <c r="AK8" s="103">
        <f t="shared" si="7"/>
        <v>65.723500000000001</v>
      </c>
      <c r="AL8" s="101" t="s">
        <v>39</v>
      </c>
      <c r="AM8" s="105" t="s">
        <v>43</v>
      </c>
      <c r="AN8" s="103">
        <v>0</v>
      </c>
      <c r="AO8" s="101" t="s">
        <v>39</v>
      </c>
      <c r="AP8" s="105">
        <v>1431</v>
      </c>
      <c r="AQ8" s="103">
        <v>0</v>
      </c>
      <c r="AR8" s="104">
        <f t="shared" si="8"/>
        <v>3335.8667500000001</v>
      </c>
      <c r="AS8" s="106">
        <f t="shared" si="9"/>
        <v>4393.34375</v>
      </c>
      <c r="AT8" s="113"/>
      <c r="AU8" s="108"/>
      <c r="AV8" s="109">
        <f t="shared" si="10"/>
        <v>15</v>
      </c>
      <c r="AW8" s="109">
        <f t="shared" si="11"/>
        <v>7729.2105000000001</v>
      </c>
      <c r="AX8" s="110">
        <f>IFERROR(+AW8/AV8,0)*AV8</f>
        <v>7729.2105000000001</v>
      </c>
      <c r="AY8" s="110">
        <f>IFERROR(+LOOKUP(AX8,[10]TARIFAS!$A$4:$B$14,[10]TARIFAS!$A$4:$A$14),0)</f>
        <v>5081.41</v>
      </c>
      <c r="AZ8" s="110">
        <f t="shared" si="13"/>
        <v>2647.8005000000003</v>
      </c>
      <c r="BA8" s="110">
        <f>IFERROR(+LOOKUP(AX8,[10]TARIFAS!$A$4:$B$14,[10]TARIFAS!$D$4:$D$14),0)</f>
        <v>21.36</v>
      </c>
      <c r="BB8" s="110">
        <f t="shared" si="14"/>
        <v>565.57018679999999</v>
      </c>
      <c r="BC8" s="110">
        <f>IFERROR(+LOOKUP(AX8,[10]TARIFAS!$A$4:$B$14,[10]TARIFAS!$C$4:$C$14),0)</f>
        <v>538.20000000000005</v>
      </c>
      <c r="BD8" s="110">
        <f t="shared" si="15"/>
        <v>1103.77</v>
      </c>
      <c r="BE8" s="110"/>
      <c r="BF8" s="110"/>
      <c r="BG8" s="110"/>
      <c r="BH8" s="109"/>
    </row>
    <row r="9" spans="1:61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1" t="s">
        <v>37</v>
      </c>
      <c r="F9" s="101" t="s">
        <v>38</v>
      </c>
      <c r="G9" s="101">
        <v>15</v>
      </c>
      <c r="H9" s="101">
        <v>504.21533333333332</v>
      </c>
      <c r="I9" s="160" t="s">
        <v>147</v>
      </c>
      <c r="J9" s="101">
        <v>7713.23</v>
      </c>
      <c r="K9" s="101" t="s">
        <v>37</v>
      </c>
      <c r="L9" s="102">
        <v>1311</v>
      </c>
      <c r="M9" s="103">
        <v>168.22500000000002</v>
      </c>
      <c r="N9" s="101" t="s">
        <v>37</v>
      </c>
      <c r="O9" s="102">
        <v>1713</v>
      </c>
      <c r="P9" s="101">
        <v>282.08999999999997</v>
      </c>
      <c r="Q9" s="103">
        <v>418.44</v>
      </c>
      <c r="R9" s="103">
        <f t="shared" si="2"/>
        <v>231.39689999999999</v>
      </c>
      <c r="S9" s="101" t="s">
        <v>37</v>
      </c>
      <c r="T9" s="102">
        <v>1712</v>
      </c>
      <c r="U9" s="104">
        <f t="shared" si="3"/>
        <v>649.83690000000001</v>
      </c>
      <c r="V9" s="101"/>
      <c r="W9" s="102"/>
      <c r="X9" s="104"/>
      <c r="Y9" s="104">
        <f t="shared" si="4"/>
        <v>8813.3819000000003</v>
      </c>
      <c r="Z9" s="101" t="s">
        <v>39</v>
      </c>
      <c r="AA9" s="102">
        <v>1431</v>
      </c>
      <c r="AB9" s="104">
        <f t="shared" si="5"/>
        <v>732.75684999999999</v>
      </c>
      <c r="AC9" s="101" t="s">
        <v>39</v>
      </c>
      <c r="AD9" s="105" t="s">
        <v>40</v>
      </c>
      <c r="AE9" s="103">
        <v>0</v>
      </c>
      <c r="AF9" s="101" t="s">
        <v>39</v>
      </c>
      <c r="AG9" s="105" t="s">
        <v>41</v>
      </c>
      <c r="AH9" s="103">
        <f t="shared" si="6"/>
        <v>1335.35</v>
      </c>
      <c r="AI9" s="101" t="s">
        <v>39</v>
      </c>
      <c r="AJ9" s="105" t="s">
        <v>42</v>
      </c>
      <c r="AK9" s="103">
        <f t="shared" si="7"/>
        <v>77.132300000000001</v>
      </c>
      <c r="AL9" s="101" t="s">
        <v>39</v>
      </c>
      <c r="AM9" s="105" t="s">
        <v>43</v>
      </c>
      <c r="AN9" s="103">
        <v>0</v>
      </c>
      <c r="AO9" s="101" t="s">
        <v>39</v>
      </c>
      <c r="AP9" s="105">
        <v>1431</v>
      </c>
      <c r="AQ9" s="103">
        <v>0</v>
      </c>
      <c r="AR9" s="104">
        <f t="shared" si="8"/>
        <v>2145.2391500000003</v>
      </c>
      <c r="AS9" s="106">
        <f t="shared" si="9"/>
        <v>6668.14275</v>
      </c>
      <c r="AT9" s="113"/>
      <c r="AU9" s="108"/>
      <c r="AV9" s="109">
        <f t="shared" si="10"/>
        <v>15</v>
      </c>
      <c r="AW9" s="109">
        <f t="shared" si="11"/>
        <v>8813.3819000000003</v>
      </c>
      <c r="AX9" s="110">
        <f>IFERROR(+AW9/AV9,0)*AV9</f>
        <v>8813.3819000000003</v>
      </c>
      <c r="AY9" s="110">
        <f>IFERROR(+LOOKUP(AX9,[10]TARIFAS!$A$4:$B$14,[10]TARIFAS!$A$4:$A$14),0)</f>
        <v>5081.41</v>
      </c>
      <c r="AZ9" s="110">
        <f t="shared" si="13"/>
        <v>3731.9719000000005</v>
      </c>
      <c r="BA9" s="110">
        <f>IFERROR(+LOOKUP(AX9,[10]TARIFAS!$A$4:$B$14,[10]TARIFAS!$D$4:$D$14),0)</f>
        <v>21.36</v>
      </c>
      <c r="BB9" s="110">
        <f t="shared" si="14"/>
        <v>797.14919784000017</v>
      </c>
      <c r="BC9" s="110">
        <f>IFERROR(+LOOKUP(AX9,[10]TARIFAS!$A$4:$B$14,[10]TARIFAS!$C$4:$C$14),0)</f>
        <v>538.20000000000005</v>
      </c>
      <c r="BD9" s="110">
        <f t="shared" si="15"/>
        <v>1335.35</v>
      </c>
      <c r="BE9" s="110"/>
      <c r="BF9" s="110"/>
      <c r="BG9" s="110"/>
      <c r="BH9" s="109"/>
    </row>
    <row r="10" spans="1:61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1" t="s">
        <v>37</v>
      </c>
      <c r="F10" s="101" t="s">
        <v>38</v>
      </c>
      <c r="G10" s="101">
        <v>15</v>
      </c>
      <c r="H10" s="101">
        <v>421.49</v>
      </c>
      <c r="I10" s="160" t="s">
        <v>147</v>
      </c>
      <c r="J10" s="101">
        <v>6572.35</v>
      </c>
      <c r="K10" s="101" t="s">
        <v>37</v>
      </c>
      <c r="L10" s="102">
        <v>1311</v>
      </c>
      <c r="M10" s="103">
        <v>201.87</v>
      </c>
      <c r="N10" s="101" t="s">
        <v>37</v>
      </c>
      <c r="O10" s="102">
        <v>1713</v>
      </c>
      <c r="P10" s="101">
        <v>351.5</v>
      </c>
      <c r="Q10" s="103">
        <v>406.32</v>
      </c>
      <c r="R10" s="103">
        <f t="shared" si="2"/>
        <v>197.1705</v>
      </c>
      <c r="S10" s="101" t="s">
        <v>37</v>
      </c>
      <c r="T10" s="102">
        <v>1712</v>
      </c>
      <c r="U10" s="104">
        <f t="shared" si="3"/>
        <v>603.4905</v>
      </c>
      <c r="V10" s="101"/>
      <c r="W10" s="102"/>
      <c r="X10" s="104"/>
      <c r="Y10" s="104">
        <f t="shared" si="4"/>
        <v>7729.2105000000001</v>
      </c>
      <c r="Z10" s="101" t="s">
        <v>39</v>
      </c>
      <c r="AA10" s="102">
        <v>1431</v>
      </c>
      <c r="AB10" s="104">
        <f t="shared" si="5"/>
        <v>624.3732500000001</v>
      </c>
      <c r="AC10" s="101" t="s">
        <v>39</v>
      </c>
      <c r="AD10" s="105" t="s">
        <v>40</v>
      </c>
      <c r="AE10" s="103">
        <v>2108</v>
      </c>
      <c r="AF10" s="101" t="s">
        <v>39</v>
      </c>
      <c r="AG10" s="105" t="s">
        <v>41</v>
      </c>
      <c r="AH10" s="103">
        <f t="shared" si="6"/>
        <v>1103.77</v>
      </c>
      <c r="AI10" s="101" t="s">
        <v>39</v>
      </c>
      <c r="AJ10" s="105" t="s">
        <v>42</v>
      </c>
      <c r="AK10" s="103">
        <f t="shared" si="7"/>
        <v>65.723500000000001</v>
      </c>
      <c r="AL10" s="101" t="s">
        <v>39</v>
      </c>
      <c r="AM10" s="105" t="s">
        <v>43</v>
      </c>
      <c r="AN10" s="103">
        <v>0</v>
      </c>
      <c r="AO10" s="101" t="s">
        <v>39</v>
      </c>
      <c r="AP10" s="105">
        <v>1431</v>
      </c>
      <c r="AQ10" s="103">
        <v>0</v>
      </c>
      <c r="AR10" s="104">
        <f t="shared" si="8"/>
        <v>3901.8667500000001</v>
      </c>
      <c r="AS10" s="106">
        <f t="shared" si="9"/>
        <v>3827.34375</v>
      </c>
      <c r="AT10" s="113"/>
      <c r="AU10" s="108"/>
      <c r="AV10" s="109">
        <f t="shared" si="10"/>
        <v>15</v>
      </c>
      <c r="AW10" s="109">
        <f t="shared" si="11"/>
        <v>7729.2105000000001</v>
      </c>
      <c r="AX10" s="110">
        <f>IFERROR(+AW10/AV10,0)*AV10</f>
        <v>7729.2105000000001</v>
      </c>
      <c r="AY10" s="110">
        <f>IFERROR(+LOOKUP(AX10,[10]TARIFAS!$A$4:$B$14,[10]TARIFAS!$A$4:$A$14),0)</f>
        <v>5081.41</v>
      </c>
      <c r="AZ10" s="110">
        <f t="shared" si="13"/>
        <v>2647.8005000000003</v>
      </c>
      <c r="BA10" s="110">
        <f>IFERROR(+LOOKUP(AX10,[10]TARIFAS!$A$4:$B$14,[10]TARIFAS!$D$4:$D$14),0)</f>
        <v>21.36</v>
      </c>
      <c r="BB10" s="110">
        <f t="shared" si="14"/>
        <v>565.57018679999999</v>
      </c>
      <c r="BC10" s="110">
        <f>IFERROR(+LOOKUP(AX10,[10]TARIFAS!$A$4:$B$14,[10]TARIFAS!$C$4:$C$14),0)</f>
        <v>538.20000000000005</v>
      </c>
      <c r="BD10" s="110">
        <f t="shared" si="15"/>
        <v>1103.77</v>
      </c>
      <c r="BE10" s="110"/>
      <c r="BF10" s="110"/>
      <c r="BG10" s="110"/>
      <c r="BH10" s="109"/>
    </row>
    <row r="11" spans="1:61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1" t="s">
        <v>37</v>
      </c>
      <c r="F11" s="101" t="s">
        <v>38</v>
      </c>
      <c r="G11" s="101">
        <v>15</v>
      </c>
      <c r="H11" s="101">
        <v>325.036</v>
      </c>
      <c r="I11" s="160" t="s">
        <v>149</v>
      </c>
      <c r="J11" s="101">
        <v>5063.04</v>
      </c>
      <c r="K11" s="101" t="s">
        <v>37</v>
      </c>
      <c r="L11" s="102">
        <v>1311</v>
      </c>
      <c r="M11" s="103">
        <v>235.51499999999999</v>
      </c>
      <c r="N11" s="101" t="s">
        <v>37</v>
      </c>
      <c r="O11" s="102">
        <v>1713</v>
      </c>
      <c r="P11" s="101">
        <v>207.91</v>
      </c>
      <c r="Q11" s="103">
        <v>371.02</v>
      </c>
      <c r="R11" s="103">
        <f t="shared" si="2"/>
        <v>151.8912</v>
      </c>
      <c r="S11" s="101" t="s">
        <v>37</v>
      </c>
      <c r="T11" s="102">
        <v>1712</v>
      </c>
      <c r="U11" s="104">
        <f t="shared" si="3"/>
        <v>522.91120000000001</v>
      </c>
      <c r="V11" s="101"/>
      <c r="W11" s="102"/>
      <c r="X11" s="104"/>
      <c r="Y11" s="104">
        <f t="shared" si="4"/>
        <v>6029.3762000000006</v>
      </c>
      <c r="Z11" s="101" t="s">
        <v>39</v>
      </c>
      <c r="AA11" s="102">
        <v>1431</v>
      </c>
      <c r="AB11" s="104">
        <f t="shared" si="5"/>
        <v>480.98880000000003</v>
      </c>
      <c r="AC11" s="101" t="s">
        <v>39</v>
      </c>
      <c r="AD11" s="105" t="s">
        <v>40</v>
      </c>
      <c r="AE11" s="103">
        <v>0</v>
      </c>
      <c r="AF11" s="101" t="s">
        <v>39</v>
      </c>
      <c r="AG11" s="105" t="s">
        <v>41</v>
      </c>
      <c r="AH11" s="103">
        <f t="shared" si="6"/>
        <v>740.69</v>
      </c>
      <c r="AI11" s="101" t="s">
        <v>39</v>
      </c>
      <c r="AJ11" s="105" t="s">
        <v>42</v>
      </c>
      <c r="AK11" s="103">
        <v>0</v>
      </c>
      <c r="AL11" s="101" t="s">
        <v>39</v>
      </c>
      <c r="AM11" s="105" t="s">
        <v>43</v>
      </c>
      <c r="AN11" s="103">
        <v>0</v>
      </c>
      <c r="AO11" s="101" t="s">
        <v>39</v>
      </c>
      <c r="AP11" s="105">
        <v>1431</v>
      </c>
      <c r="AQ11" s="103">
        <v>0</v>
      </c>
      <c r="AR11" s="104">
        <f t="shared" si="8"/>
        <v>1221.6788000000001</v>
      </c>
      <c r="AS11" s="106">
        <f t="shared" si="9"/>
        <v>4807.6974000000009</v>
      </c>
      <c r="AT11" s="113"/>
      <c r="AU11" s="108"/>
      <c r="AV11" s="109">
        <f t="shared" si="10"/>
        <v>15</v>
      </c>
      <c r="AW11" s="109">
        <f t="shared" si="11"/>
        <v>6029.3762000000006</v>
      </c>
      <c r="AX11" s="110">
        <f t="shared" si="12"/>
        <v>6029.3762000000006</v>
      </c>
      <c r="AY11" s="110">
        <f>IFERROR(+LOOKUP(AX11,[10]TARIFAS!$A$4:$B$14,[10]TARIFAS!$A$4:$A$14),0)</f>
        <v>5081.41</v>
      </c>
      <c r="AZ11" s="110">
        <f t="shared" si="13"/>
        <v>947.96620000000075</v>
      </c>
      <c r="BA11" s="110">
        <f>IFERROR(+LOOKUP(AX11,[10]TARIFAS!$A$4:$B$14,[10]TARIFAS!$D$4:$D$14),0)</f>
        <v>21.36</v>
      </c>
      <c r="BB11" s="110">
        <f t="shared" si="14"/>
        <v>202.48558032000017</v>
      </c>
      <c r="BC11" s="110">
        <f>IFERROR(+LOOKUP(AX11,[10]TARIFAS!$A$4:$B$14,[10]TARIFAS!$C$4:$C$14),0)</f>
        <v>538.20000000000005</v>
      </c>
      <c r="BD11" s="110">
        <f t="shared" si="15"/>
        <v>740.69</v>
      </c>
      <c r="BE11" s="110"/>
      <c r="BF11" s="110"/>
      <c r="BG11" s="110"/>
      <c r="BH11" s="109"/>
    </row>
    <row r="12" spans="1:61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1" t="s">
        <v>37</v>
      </c>
      <c r="F12" s="101" t="s">
        <v>38</v>
      </c>
      <c r="G12" s="101">
        <v>15</v>
      </c>
      <c r="H12" s="101">
        <v>325.036</v>
      </c>
      <c r="I12" s="160" t="s">
        <v>149</v>
      </c>
      <c r="J12" s="101">
        <v>5063.04</v>
      </c>
      <c r="K12" s="101" t="s">
        <v>37</v>
      </c>
      <c r="L12" s="102">
        <v>1311</v>
      </c>
      <c r="M12" s="103">
        <v>201.87</v>
      </c>
      <c r="N12" s="101" t="s">
        <v>37</v>
      </c>
      <c r="O12" s="102">
        <v>1713</v>
      </c>
      <c r="P12" s="101">
        <v>207.91</v>
      </c>
      <c r="Q12" s="103">
        <v>371.02</v>
      </c>
      <c r="R12" s="103">
        <f t="shared" si="2"/>
        <v>151.8912</v>
      </c>
      <c r="S12" s="101" t="s">
        <v>37</v>
      </c>
      <c r="T12" s="102">
        <v>1712</v>
      </c>
      <c r="U12" s="104">
        <f t="shared" si="3"/>
        <v>522.91120000000001</v>
      </c>
      <c r="V12" s="101"/>
      <c r="W12" s="102"/>
      <c r="X12" s="104"/>
      <c r="Y12" s="104">
        <f t="shared" si="4"/>
        <v>5995.7312000000002</v>
      </c>
      <c r="Z12" s="101" t="s">
        <v>39</v>
      </c>
      <c r="AA12" s="102">
        <v>1431</v>
      </c>
      <c r="AB12" s="104">
        <f t="shared" si="5"/>
        <v>480.98880000000003</v>
      </c>
      <c r="AC12" s="101" t="s">
        <v>39</v>
      </c>
      <c r="AD12" s="105" t="s">
        <v>40</v>
      </c>
      <c r="AE12" s="103">
        <v>0</v>
      </c>
      <c r="AF12" s="101" t="s">
        <v>39</v>
      </c>
      <c r="AG12" s="105" t="s">
        <v>41</v>
      </c>
      <c r="AH12" s="103">
        <f t="shared" si="6"/>
        <v>733.5</v>
      </c>
      <c r="AI12" s="101" t="s">
        <v>39</v>
      </c>
      <c r="AJ12" s="105" t="s">
        <v>42</v>
      </c>
      <c r="AK12" s="103">
        <v>0</v>
      </c>
      <c r="AL12" s="101" t="s">
        <v>39</v>
      </c>
      <c r="AM12" s="105" t="s">
        <v>43</v>
      </c>
      <c r="AN12" s="103">
        <v>0</v>
      </c>
      <c r="AO12" s="101" t="s">
        <v>39</v>
      </c>
      <c r="AP12" s="105">
        <v>1431</v>
      </c>
      <c r="AQ12" s="103">
        <v>0</v>
      </c>
      <c r="AR12" s="104">
        <f t="shared" si="8"/>
        <v>1214.4888000000001</v>
      </c>
      <c r="AS12" s="106">
        <f t="shared" si="9"/>
        <v>4781.2424000000001</v>
      </c>
      <c r="AT12" s="113"/>
      <c r="AU12" s="108"/>
      <c r="AV12" s="109">
        <f t="shared" si="10"/>
        <v>15</v>
      </c>
      <c r="AW12" s="109">
        <f t="shared" si="11"/>
        <v>5995.7312000000002</v>
      </c>
      <c r="AX12" s="110">
        <f t="shared" si="12"/>
        <v>5995.7312000000002</v>
      </c>
      <c r="AY12" s="110">
        <f>IFERROR(+LOOKUP(AX12,[10]TARIFAS!$A$4:$B$14,[10]TARIFAS!$A$4:$A$14),0)</f>
        <v>5081.41</v>
      </c>
      <c r="AZ12" s="110">
        <f t="shared" si="13"/>
        <v>914.32120000000032</v>
      </c>
      <c r="BA12" s="110">
        <f>IFERROR(+LOOKUP(AX12,[10]TARIFAS!$A$4:$B$14,[10]TARIFAS!$D$4:$D$14),0)</f>
        <v>21.36</v>
      </c>
      <c r="BB12" s="110">
        <f t="shared" si="14"/>
        <v>195.29900832000007</v>
      </c>
      <c r="BC12" s="110">
        <f>IFERROR(+LOOKUP(AX12,[10]TARIFAS!$A$4:$B$14,[10]TARIFAS!$C$4:$C$14),0)</f>
        <v>538.20000000000005</v>
      </c>
      <c r="BD12" s="110">
        <f t="shared" si="15"/>
        <v>733.5</v>
      </c>
      <c r="BE12" s="110"/>
      <c r="BF12" s="110"/>
      <c r="BG12" s="110"/>
      <c r="BH12" s="109"/>
    </row>
    <row r="13" spans="1:61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1" t="s">
        <v>37</v>
      </c>
      <c r="F13" s="101" t="s">
        <v>38</v>
      </c>
      <c r="G13" s="101">
        <v>15</v>
      </c>
      <c r="H13" s="101">
        <v>421.49</v>
      </c>
      <c r="I13" s="160" t="s">
        <v>149</v>
      </c>
      <c r="J13" s="101">
        <v>6572.35</v>
      </c>
      <c r="K13" s="101" t="s">
        <v>37</v>
      </c>
      <c r="L13" s="102">
        <v>1311</v>
      </c>
      <c r="M13" s="103">
        <v>235.51499999999999</v>
      </c>
      <c r="N13" s="101" t="s">
        <v>37</v>
      </c>
      <c r="O13" s="102">
        <v>1713</v>
      </c>
      <c r="P13" s="101">
        <v>351.5</v>
      </c>
      <c r="Q13" s="103">
        <v>406.32</v>
      </c>
      <c r="R13" s="103">
        <f t="shared" si="2"/>
        <v>197.1705</v>
      </c>
      <c r="S13" s="101" t="s">
        <v>37</v>
      </c>
      <c r="T13" s="102">
        <v>1712</v>
      </c>
      <c r="U13" s="104">
        <f t="shared" si="3"/>
        <v>603.4905</v>
      </c>
      <c r="V13" s="101"/>
      <c r="W13" s="102"/>
      <c r="X13" s="104"/>
      <c r="Y13" s="104">
        <f t="shared" si="4"/>
        <v>7762.8555000000006</v>
      </c>
      <c r="Z13" s="101" t="s">
        <v>39</v>
      </c>
      <c r="AA13" s="102">
        <v>1431</v>
      </c>
      <c r="AB13" s="104">
        <f t="shared" si="5"/>
        <v>624.3732500000001</v>
      </c>
      <c r="AC13" s="101" t="s">
        <v>39</v>
      </c>
      <c r="AD13" s="105" t="s">
        <v>40</v>
      </c>
      <c r="AE13" s="103">
        <v>0</v>
      </c>
      <c r="AF13" s="101" t="s">
        <v>39</v>
      </c>
      <c r="AG13" s="105" t="s">
        <v>41</v>
      </c>
      <c r="AH13" s="103">
        <f t="shared" si="6"/>
        <v>1110.96</v>
      </c>
      <c r="AI13" s="101" t="s">
        <v>39</v>
      </c>
      <c r="AJ13" s="105" t="s">
        <v>42</v>
      </c>
      <c r="AK13" s="103">
        <v>0</v>
      </c>
      <c r="AL13" s="101" t="s">
        <v>39</v>
      </c>
      <c r="AM13" s="105" t="s">
        <v>43</v>
      </c>
      <c r="AN13" s="103">
        <v>0</v>
      </c>
      <c r="AO13" s="101" t="s">
        <v>39</v>
      </c>
      <c r="AP13" s="105">
        <v>1431</v>
      </c>
      <c r="AQ13" s="103">
        <v>0</v>
      </c>
      <c r="AR13" s="104">
        <f t="shared" si="8"/>
        <v>1735.3332500000001</v>
      </c>
      <c r="AS13" s="106">
        <f t="shared" si="9"/>
        <v>6027.52225</v>
      </c>
      <c r="AT13" s="113"/>
      <c r="AU13" s="108"/>
      <c r="AV13" s="109">
        <f t="shared" si="10"/>
        <v>15</v>
      </c>
      <c r="AW13" s="109">
        <f t="shared" si="11"/>
        <v>7762.8555000000006</v>
      </c>
      <c r="AX13" s="110">
        <f t="shared" si="12"/>
        <v>7762.8555000000015</v>
      </c>
      <c r="AY13" s="110">
        <f>IFERROR(+LOOKUP(AX13,[10]TARIFAS!$A$4:$B$14,[10]TARIFAS!$A$4:$A$14),0)</f>
        <v>5081.41</v>
      </c>
      <c r="AZ13" s="110">
        <f t="shared" si="13"/>
        <v>2681.4455000000016</v>
      </c>
      <c r="BA13" s="110">
        <f>IFERROR(+LOOKUP(AX13,[10]TARIFAS!$A$4:$B$14,[10]TARIFAS!$D$4:$D$14),0)</f>
        <v>21.36</v>
      </c>
      <c r="BB13" s="110">
        <f t="shared" si="14"/>
        <v>572.75675880000028</v>
      </c>
      <c r="BC13" s="110">
        <f>IFERROR(+LOOKUP(AX13,[10]TARIFAS!$A$4:$B$14,[10]TARIFAS!$C$4:$C$14),0)</f>
        <v>538.20000000000005</v>
      </c>
      <c r="BD13" s="110">
        <f t="shared" si="15"/>
        <v>1110.96</v>
      </c>
      <c r="BE13" s="110"/>
      <c r="BF13" s="110"/>
      <c r="BG13" s="110"/>
      <c r="BH13" s="109"/>
    </row>
    <row r="14" spans="1:61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1" t="s">
        <v>37</v>
      </c>
      <c r="F14" s="101" t="s">
        <v>38</v>
      </c>
      <c r="G14" s="101">
        <v>15</v>
      </c>
      <c r="H14" s="101">
        <v>1029.4333333333334</v>
      </c>
      <c r="I14" s="160" t="s">
        <v>147</v>
      </c>
      <c r="J14" s="101">
        <v>15441.5</v>
      </c>
      <c r="K14" s="101" t="s">
        <v>37</v>
      </c>
      <c r="L14" s="102">
        <v>1311</v>
      </c>
      <c r="M14" s="103">
        <v>0</v>
      </c>
      <c r="N14" s="101" t="s">
        <v>37</v>
      </c>
      <c r="O14" s="102">
        <v>1713</v>
      </c>
      <c r="P14" s="103">
        <v>566.5</v>
      </c>
      <c r="Q14" s="103">
        <v>835.5</v>
      </c>
      <c r="R14" s="103">
        <f t="shared" si="2"/>
        <v>463.245</v>
      </c>
      <c r="S14" s="101" t="s">
        <v>37</v>
      </c>
      <c r="T14" s="102">
        <v>1712</v>
      </c>
      <c r="U14" s="104">
        <f t="shared" si="3"/>
        <v>1298.7449999999999</v>
      </c>
      <c r="V14" s="101"/>
      <c r="W14" s="102"/>
      <c r="X14" s="104"/>
      <c r="Y14" s="104">
        <f t="shared" si="4"/>
        <v>17306.744999999999</v>
      </c>
      <c r="Z14" s="101" t="s">
        <v>39</v>
      </c>
      <c r="AA14" s="102">
        <v>1431</v>
      </c>
      <c r="AB14" s="104">
        <f t="shared" si="5"/>
        <v>1466.9425000000001</v>
      </c>
      <c r="AC14" s="101" t="s">
        <v>39</v>
      </c>
      <c r="AD14" s="105" t="s">
        <v>40</v>
      </c>
      <c r="AE14" s="103">
        <v>0</v>
      </c>
      <c r="AF14" s="101" t="s">
        <v>39</v>
      </c>
      <c r="AG14" s="105" t="s">
        <v>41</v>
      </c>
      <c r="AH14" s="103">
        <f t="shared" si="6"/>
        <v>3376.71</v>
      </c>
      <c r="AI14" s="101" t="s">
        <v>39</v>
      </c>
      <c r="AJ14" s="105" t="s">
        <v>42</v>
      </c>
      <c r="AK14" s="103">
        <v>0</v>
      </c>
      <c r="AL14" s="101" t="s">
        <v>39</v>
      </c>
      <c r="AM14" s="105" t="s">
        <v>43</v>
      </c>
      <c r="AN14" s="103">
        <v>0</v>
      </c>
      <c r="AO14" s="101" t="s">
        <v>39</v>
      </c>
      <c r="AP14" s="105">
        <v>1431</v>
      </c>
      <c r="AQ14" s="103">
        <v>0</v>
      </c>
      <c r="AR14" s="104">
        <f t="shared" si="8"/>
        <v>4843.6525000000001</v>
      </c>
      <c r="AS14" s="106">
        <f t="shared" si="9"/>
        <v>12463.092499999999</v>
      </c>
      <c r="AT14" s="113"/>
      <c r="AU14" s="108"/>
      <c r="AV14" s="109">
        <f t="shared" si="10"/>
        <v>15</v>
      </c>
      <c r="AW14" s="109">
        <f t="shared" si="11"/>
        <v>17306.745000000003</v>
      </c>
      <c r="AX14" s="110">
        <f t="shared" si="12"/>
        <v>17306.745000000003</v>
      </c>
      <c r="AY14" s="110">
        <f>IFERROR(+LOOKUP(AX14,[10]TARIFAS!$A$4:$B$14,[10]TARIFAS!$A$4:$A$14),0)</f>
        <v>16153.06</v>
      </c>
      <c r="AZ14" s="110">
        <f t="shared" si="13"/>
        <v>1153.6850000000031</v>
      </c>
      <c r="BA14" s="110">
        <f>IFERROR(+LOOKUP(AX14,[10]TARIFAS!$A$4:$B$14,[10]TARIFAS!$D$4:$D$14),0)</f>
        <v>30</v>
      </c>
      <c r="BB14" s="110">
        <f t="shared" si="14"/>
        <v>346.10550000000092</v>
      </c>
      <c r="BC14" s="110">
        <f>IFERROR(+LOOKUP(AX14,[10]TARIFAS!$A$4:$B$14,[10]TARIFAS!$C$4:$C$14),0)</f>
        <v>3030.6</v>
      </c>
      <c r="BD14" s="110">
        <f t="shared" si="15"/>
        <v>3376.71</v>
      </c>
      <c r="BE14" s="110"/>
      <c r="BF14" s="110"/>
      <c r="BG14" s="110"/>
      <c r="BH14" s="109"/>
    </row>
    <row r="15" spans="1:61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1" t="s">
        <v>37</v>
      </c>
      <c r="F15" s="101" t="s">
        <v>38</v>
      </c>
      <c r="G15" s="101">
        <v>15</v>
      </c>
      <c r="H15" s="101">
        <v>325.036</v>
      </c>
      <c r="I15" s="160" t="s">
        <v>147</v>
      </c>
      <c r="J15" s="101">
        <v>5063.04</v>
      </c>
      <c r="K15" s="101" t="s">
        <v>37</v>
      </c>
      <c r="L15" s="102">
        <v>1311</v>
      </c>
      <c r="M15" s="115">
        <v>100.935</v>
      </c>
      <c r="N15" s="101" t="s">
        <v>37</v>
      </c>
      <c r="O15" s="102">
        <v>1713</v>
      </c>
      <c r="P15" s="116">
        <v>207.91</v>
      </c>
      <c r="Q15" s="115">
        <v>371.02</v>
      </c>
      <c r="R15" s="103">
        <f t="shared" si="2"/>
        <v>151.8912</v>
      </c>
      <c r="S15" s="101" t="s">
        <v>37</v>
      </c>
      <c r="T15" s="102">
        <v>1712</v>
      </c>
      <c r="U15" s="104">
        <f t="shared" si="3"/>
        <v>522.91120000000001</v>
      </c>
      <c r="V15" s="101"/>
      <c r="W15" s="102"/>
      <c r="X15" s="104"/>
      <c r="Y15" s="104">
        <f t="shared" si="4"/>
        <v>5894.7962000000007</v>
      </c>
      <c r="Z15" s="101" t="s">
        <v>39</v>
      </c>
      <c r="AA15" s="102">
        <v>1431</v>
      </c>
      <c r="AB15" s="104">
        <f t="shared" si="5"/>
        <v>480.98880000000003</v>
      </c>
      <c r="AC15" s="101" t="s">
        <v>39</v>
      </c>
      <c r="AD15" s="105" t="s">
        <v>40</v>
      </c>
      <c r="AE15" s="115">
        <v>0</v>
      </c>
      <c r="AF15" s="101" t="s">
        <v>39</v>
      </c>
      <c r="AG15" s="105" t="s">
        <v>41</v>
      </c>
      <c r="AH15" s="103">
        <f t="shared" si="6"/>
        <v>711.94</v>
      </c>
      <c r="AI15" s="101" t="s">
        <v>39</v>
      </c>
      <c r="AJ15" s="105" t="s">
        <v>42</v>
      </c>
      <c r="AK15" s="103">
        <f t="shared" ref="AK15:AK20" si="16">(J15*1%)</f>
        <v>50.630400000000002</v>
      </c>
      <c r="AL15" s="101" t="s">
        <v>39</v>
      </c>
      <c r="AM15" s="105" t="s">
        <v>43</v>
      </c>
      <c r="AN15" s="115">
        <v>0</v>
      </c>
      <c r="AO15" s="101" t="s">
        <v>39</v>
      </c>
      <c r="AP15" s="105">
        <v>1431</v>
      </c>
      <c r="AQ15" s="103">
        <v>0</v>
      </c>
      <c r="AR15" s="104">
        <f t="shared" si="8"/>
        <v>1243.5592000000001</v>
      </c>
      <c r="AS15" s="106">
        <f t="shared" si="9"/>
        <v>4651.237000000001</v>
      </c>
      <c r="AT15" s="117"/>
      <c r="AU15" s="108"/>
      <c r="AV15" s="109">
        <f t="shared" si="10"/>
        <v>15</v>
      </c>
      <c r="AW15" s="109">
        <f t="shared" si="11"/>
        <v>5894.7962000000007</v>
      </c>
      <c r="AX15" s="110">
        <f t="shared" si="12"/>
        <v>5894.7962000000007</v>
      </c>
      <c r="AY15" s="110">
        <f>IFERROR(+LOOKUP(AX15,[10]TARIFAS!$A$4:$B$14,[10]TARIFAS!$A$4:$A$14),0)</f>
        <v>5081.41</v>
      </c>
      <c r="AZ15" s="110">
        <f t="shared" si="13"/>
        <v>813.38620000000083</v>
      </c>
      <c r="BA15" s="110">
        <f>IFERROR(+LOOKUP(AX15,[10]TARIFAS!$A$4:$B$14,[10]TARIFAS!$D$4:$D$14),0)</f>
        <v>21.36</v>
      </c>
      <c r="BB15" s="110">
        <f t="shared" si="14"/>
        <v>173.73929232000017</v>
      </c>
      <c r="BC15" s="110">
        <f>IFERROR(+LOOKUP(AX15,[10]TARIFAS!$A$4:$B$14,[10]TARIFAS!$C$4:$C$14),0)</f>
        <v>538.20000000000005</v>
      </c>
      <c r="BD15" s="110">
        <f t="shared" si="15"/>
        <v>711.94</v>
      </c>
      <c r="BE15" s="110"/>
      <c r="BF15" s="110"/>
      <c r="BG15" s="110"/>
      <c r="BH15" s="109"/>
    </row>
    <row r="16" spans="1:61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1" t="s">
        <v>37</v>
      </c>
      <c r="F16" s="101" t="s">
        <v>38</v>
      </c>
      <c r="G16" s="101">
        <v>15</v>
      </c>
      <c r="H16" s="101">
        <v>421.49</v>
      </c>
      <c r="I16" s="160" t="s">
        <v>147</v>
      </c>
      <c r="J16" s="101">
        <v>6572.35</v>
      </c>
      <c r="K16" s="101" t="s">
        <v>37</v>
      </c>
      <c r="L16" s="102">
        <v>1311</v>
      </c>
      <c r="M16" s="103">
        <v>100.935</v>
      </c>
      <c r="N16" s="101" t="s">
        <v>37</v>
      </c>
      <c r="O16" s="102">
        <v>1713</v>
      </c>
      <c r="P16" s="101">
        <v>351.5</v>
      </c>
      <c r="Q16" s="103">
        <v>406.32</v>
      </c>
      <c r="R16" s="103">
        <f t="shared" si="2"/>
        <v>197.1705</v>
      </c>
      <c r="S16" s="101" t="s">
        <v>37</v>
      </c>
      <c r="T16" s="102">
        <v>1712</v>
      </c>
      <c r="U16" s="104">
        <f t="shared" si="3"/>
        <v>603.4905</v>
      </c>
      <c r="V16" s="101"/>
      <c r="W16" s="102"/>
      <c r="X16" s="104"/>
      <c r="Y16" s="104">
        <f t="shared" si="4"/>
        <v>7628.2755000000006</v>
      </c>
      <c r="Z16" s="101" t="s">
        <v>39</v>
      </c>
      <c r="AA16" s="102">
        <v>1431</v>
      </c>
      <c r="AB16" s="104">
        <f t="shared" si="5"/>
        <v>624.3732500000001</v>
      </c>
      <c r="AC16" s="101" t="s">
        <v>39</v>
      </c>
      <c r="AD16" s="105" t="s">
        <v>40</v>
      </c>
      <c r="AE16" s="103">
        <v>411</v>
      </c>
      <c r="AF16" s="101" t="s">
        <v>39</v>
      </c>
      <c r="AG16" s="105" t="s">
        <v>41</v>
      </c>
      <c r="AH16" s="103">
        <f t="shared" si="6"/>
        <v>1082.21</v>
      </c>
      <c r="AI16" s="101" t="s">
        <v>39</v>
      </c>
      <c r="AJ16" s="105" t="s">
        <v>42</v>
      </c>
      <c r="AK16" s="103">
        <f t="shared" si="16"/>
        <v>65.723500000000001</v>
      </c>
      <c r="AL16" s="101" t="s">
        <v>39</v>
      </c>
      <c r="AM16" s="105" t="s">
        <v>43</v>
      </c>
      <c r="AN16" s="103">
        <v>0</v>
      </c>
      <c r="AO16" s="101" t="s">
        <v>39</v>
      </c>
      <c r="AP16" s="105">
        <v>1431</v>
      </c>
      <c r="AQ16" s="103">
        <v>0</v>
      </c>
      <c r="AR16" s="104">
        <f t="shared" si="8"/>
        <v>2183.3067500000002</v>
      </c>
      <c r="AS16" s="106">
        <f t="shared" si="9"/>
        <v>5444.96875</v>
      </c>
      <c r="AT16" s="113"/>
      <c r="AU16" s="108"/>
      <c r="AV16" s="109">
        <f t="shared" si="10"/>
        <v>15</v>
      </c>
      <c r="AW16" s="109">
        <f t="shared" si="11"/>
        <v>7628.2755000000006</v>
      </c>
      <c r="AX16" s="110">
        <f t="shared" si="12"/>
        <v>7628.2755000000006</v>
      </c>
      <c r="AY16" s="110">
        <f>IFERROR(+LOOKUP(AX16,[10]TARIFAS!$A$4:$B$14,[10]TARIFAS!$A$4:$A$14),0)</f>
        <v>5081.41</v>
      </c>
      <c r="AZ16" s="110">
        <f t="shared" si="13"/>
        <v>2546.8655000000008</v>
      </c>
      <c r="BA16" s="110">
        <f>IFERROR(+LOOKUP(AX16,[10]TARIFAS!$A$4:$B$14,[10]TARIFAS!$D$4:$D$14),0)</f>
        <v>21.36</v>
      </c>
      <c r="BB16" s="110">
        <f t="shared" si="14"/>
        <v>544.01047080000023</v>
      </c>
      <c r="BC16" s="110">
        <f>IFERROR(+LOOKUP(AX16,[10]TARIFAS!$A$4:$B$14,[10]TARIFAS!$C$4:$C$14),0)</f>
        <v>538.20000000000005</v>
      </c>
      <c r="BD16" s="110">
        <f t="shared" si="15"/>
        <v>1082.21</v>
      </c>
      <c r="BE16" s="110"/>
      <c r="BF16" s="110"/>
      <c r="BG16" s="110"/>
      <c r="BH16" s="109"/>
    </row>
    <row r="17" spans="1:61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1" t="s">
        <v>37</v>
      </c>
      <c r="F17" s="101" t="s">
        <v>38</v>
      </c>
      <c r="G17" s="101">
        <v>15</v>
      </c>
      <c r="H17" s="101">
        <v>421.49</v>
      </c>
      <c r="I17" s="160" t="s">
        <v>149</v>
      </c>
      <c r="J17" s="101">
        <v>6572.35</v>
      </c>
      <c r="K17" s="101" t="s">
        <v>37</v>
      </c>
      <c r="L17" s="102">
        <v>1311</v>
      </c>
      <c r="M17" s="103">
        <v>100.935</v>
      </c>
      <c r="N17" s="101" t="s">
        <v>37</v>
      </c>
      <c r="O17" s="102">
        <v>1713</v>
      </c>
      <c r="P17" s="101">
        <v>351.5</v>
      </c>
      <c r="Q17" s="103">
        <v>406.32</v>
      </c>
      <c r="R17" s="103">
        <f t="shared" si="2"/>
        <v>197.1705</v>
      </c>
      <c r="S17" s="101" t="s">
        <v>37</v>
      </c>
      <c r="T17" s="102">
        <v>1712</v>
      </c>
      <c r="U17" s="104">
        <f t="shared" si="3"/>
        <v>603.4905</v>
      </c>
      <c r="V17" s="101"/>
      <c r="W17" s="102"/>
      <c r="X17" s="104"/>
      <c r="Y17" s="104">
        <f t="shared" si="4"/>
        <v>7628.2755000000006</v>
      </c>
      <c r="Z17" s="101" t="s">
        <v>39</v>
      </c>
      <c r="AA17" s="102">
        <v>1431</v>
      </c>
      <c r="AB17" s="104">
        <f t="shared" si="5"/>
        <v>624.3732500000001</v>
      </c>
      <c r="AC17" s="101" t="s">
        <v>39</v>
      </c>
      <c r="AD17" s="105" t="s">
        <v>40</v>
      </c>
      <c r="AE17" s="103">
        <v>0</v>
      </c>
      <c r="AF17" s="101" t="s">
        <v>39</v>
      </c>
      <c r="AG17" s="105" t="s">
        <v>41</v>
      </c>
      <c r="AH17" s="103">
        <f t="shared" si="6"/>
        <v>1082.21</v>
      </c>
      <c r="AI17" s="101" t="s">
        <v>39</v>
      </c>
      <c r="AJ17" s="105" t="s">
        <v>42</v>
      </c>
      <c r="AK17" s="103">
        <f t="shared" si="16"/>
        <v>65.723500000000001</v>
      </c>
      <c r="AL17" s="101" t="s">
        <v>39</v>
      </c>
      <c r="AM17" s="105" t="s">
        <v>43</v>
      </c>
      <c r="AN17" s="103">
        <v>0</v>
      </c>
      <c r="AO17" s="101" t="s">
        <v>39</v>
      </c>
      <c r="AP17" s="105">
        <v>1431</v>
      </c>
      <c r="AQ17" s="103">
        <v>0</v>
      </c>
      <c r="AR17" s="104">
        <f t="shared" si="8"/>
        <v>1772.3067500000002</v>
      </c>
      <c r="AS17" s="106">
        <f t="shared" si="9"/>
        <v>5855.96875</v>
      </c>
      <c r="AT17" s="113"/>
      <c r="AU17" s="108"/>
      <c r="AV17" s="109">
        <f t="shared" si="10"/>
        <v>15</v>
      </c>
      <c r="AW17" s="109">
        <f t="shared" si="11"/>
        <v>7628.2755000000006</v>
      </c>
      <c r="AX17" s="110">
        <f t="shared" si="12"/>
        <v>7628.2755000000006</v>
      </c>
      <c r="AY17" s="110">
        <f>IFERROR(+LOOKUP(AX17,[10]TARIFAS!$A$4:$B$14,[10]TARIFAS!$A$4:$A$14),0)</f>
        <v>5081.41</v>
      </c>
      <c r="AZ17" s="110">
        <f t="shared" si="13"/>
        <v>2546.8655000000008</v>
      </c>
      <c r="BA17" s="110">
        <f>IFERROR(+LOOKUP(AX17,[10]TARIFAS!$A$4:$B$14,[10]TARIFAS!$D$4:$D$14),0)</f>
        <v>21.36</v>
      </c>
      <c r="BB17" s="110">
        <f t="shared" si="14"/>
        <v>544.01047080000023</v>
      </c>
      <c r="BC17" s="110">
        <f>IFERROR(+LOOKUP(AX17,[10]TARIFAS!$A$4:$B$14,[10]TARIFAS!$C$4:$C$14),0)</f>
        <v>538.20000000000005</v>
      </c>
      <c r="BD17" s="110">
        <f t="shared" si="15"/>
        <v>1082.21</v>
      </c>
      <c r="BE17" s="110"/>
      <c r="BF17" s="110"/>
      <c r="BG17" s="110"/>
      <c r="BH17" s="109"/>
    </row>
    <row r="18" spans="1:61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1" t="s">
        <v>37</v>
      </c>
      <c r="F18" s="101" t="s">
        <v>38</v>
      </c>
      <c r="G18" s="101">
        <v>15</v>
      </c>
      <c r="H18" s="101">
        <v>504.21533333333332</v>
      </c>
      <c r="I18" s="160" t="s">
        <v>150</v>
      </c>
      <c r="J18" s="101">
        <v>7713.23</v>
      </c>
      <c r="K18" s="101" t="s">
        <v>37</v>
      </c>
      <c r="L18" s="102">
        <v>1311</v>
      </c>
      <c r="M18" s="103">
        <v>100.935</v>
      </c>
      <c r="N18" s="101" t="s">
        <v>37</v>
      </c>
      <c r="O18" s="102">
        <v>1713</v>
      </c>
      <c r="P18" s="103">
        <v>282.08999999999997</v>
      </c>
      <c r="Q18" s="103">
        <v>418.44</v>
      </c>
      <c r="R18" s="103">
        <f t="shared" si="2"/>
        <v>231.39689999999999</v>
      </c>
      <c r="S18" s="101" t="s">
        <v>37</v>
      </c>
      <c r="T18" s="102">
        <v>1712</v>
      </c>
      <c r="U18" s="104">
        <f t="shared" si="3"/>
        <v>649.83690000000001</v>
      </c>
      <c r="V18" s="101"/>
      <c r="W18" s="102"/>
      <c r="X18" s="104"/>
      <c r="Y18" s="104">
        <f t="shared" si="4"/>
        <v>8746.0918999999994</v>
      </c>
      <c r="Z18" s="101" t="s">
        <v>39</v>
      </c>
      <c r="AA18" s="102">
        <v>1431</v>
      </c>
      <c r="AB18" s="104">
        <f t="shared" si="5"/>
        <v>732.75684999999999</v>
      </c>
      <c r="AC18" s="101" t="s">
        <v>39</v>
      </c>
      <c r="AD18" s="105" t="s">
        <v>40</v>
      </c>
      <c r="AE18" s="104">
        <f>523.61+10.13+3666.74+151.2</f>
        <v>4351.6799999999994</v>
      </c>
      <c r="AF18" s="101" t="s">
        <v>39</v>
      </c>
      <c r="AG18" s="105" t="s">
        <v>41</v>
      </c>
      <c r="AH18" s="103">
        <f t="shared" si="6"/>
        <v>1320.98</v>
      </c>
      <c r="AI18" s="101" t="s">
        <v>39</v>
      </c>
      <c r="AJ18" s="105" t="s">
        <v>42</v>
      </c>
      <c r="AK18" s="103">
        <f t="shared" si="16"/>
        <v>77.132300000000001</v>
      </c>
      <c r="AL18" s="101" t="s">
        <v>39</v>
      </c>
      <c r="AM18" s="105" t="s">
        <v>43</v>
      </c>
      <c r="AN18" s="103">
        <v>0</v>
      </c>
      <c r="AO18" s="101" t="s">
        <v>39</v>
      </c>
      <c r="AP18" s="105">
        <v>1431</v>
      </c>
      <c r="AQ18" s="103">
        <v>0</v>
      </c>
      <c r="AR18" s="104">
        <f t="shared" si="8"/>
        <v>6482.5491499999998</v>
      </c>
      <c r="AS18" s="106">
        <f t="shared" si="9"/>
        <v>2263.5427499999996</v>
      </c>
      <c r="AT18" s="113"/>
      <c r="AU18" s="108"/>
      <c r="AV18" s="109">
        <f t="shared" si="10"/>
        <v>15</v>
      </c>
      <c r="AW18" s="109">
        <f t="shared" si="11"/>
        <v>8746.0918999999994</v>
      </c>
      <c r="AX18" s="110">
        <f t="shared" si="12"/>
        <v>8746.0918999999994</v>
      </c>
      <c r="AY18" s="110">
        <f>IFERROR(+LOOKUP(AX18,[10]TARIFAS!$A$4:$B$14,[10]TARIFAS!$A$4:$A$14),0)</f>
        <v>5081.41</v>
      </c>
      <c r="AZ18" s="110">
        <f t="shared" si="13"/>
        <v>3664.6818999999996</v>
      </c>
      <c r="BA18" s="110">
        <f>IFERROR(+LOOKUP(AX18,[10]TARIFAS!$A$4:$B$14,[10]TARIFAS!$D$4:$D$14),0)</f>
        <v>21.36</v>
      </c>
      <c r="BB18" s="110">
        <f t="shared" si="14"/>
        <v>782.77605383999992</v>
      </c>
      <c r="BC18" s="110">
        <f>IFERROR(+LOOKUP(AX18,[10]TARIFAS!$A$4:$B$14,[10]TARIFAS!$C$4:$C$14),0)</f>
        <v>538.20000000000005</v>
      </c>
      <c r="BD18" s="110">
        <f t="shared" si="15"/>
        <v>1320.98</v>
      </c>
      <c r="BE18" s="110"/>
      <c r="BF18" s="110"/>
      <c r="BG18" s="110"/>
      <c r="BH18" s="109"/>
    </row>
    <row r="19" spans="1:61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1" t="s">
        <v>37</v>
      </c>
      <c r="F19" s="101" t="s">
        <v>38</v>
      </c>
      <c r="G19" s="101">
        <v>15</v>
      </c>
      <c r="H19" s="101">
        <v>421.49</v>
      </c>
      <c r="I19" s="160" t="s">
        <v>146</v>
      </c>
      <c r="J19" s="101">
        <v>6572.35</v>
      </c>
      <c r="K19" s="101" t="s">
        <v>37</v>
      </c>
      <c r="L19" s="102">
        <v>1311</v>
      </c>
      <c r="M19" s="103">
        <v>67.290000000000006</v>
      </c>
      <c r="N19" s="101" t="s">
        <v>37</v>
      </c>
      <c r="O19" s="102">
        <v>1713</v>
      </c>
      <c r="P19" s="103">
        <v>351.5</v>
      </c>
      <c r="Q19" s="103">
        <v>406.32</v>
      </c>
      <c r="R19" s="103">
        <f t="shared" si="2"/>
        <v>197.1705</v>
      </c>
      <c r="S19" s="101" t="s">
        <v>37</v>
      </c>
      <c r="T19" s="102">
        <v>1712</v>
      </c>
      <c r="U19" s="104">
        <f t="shared" si="3"/>
        <v>603.4905</v>
      </c>
      <c r="V19" s="101"/>
      <c r="W19" s="102"/>
      <c r="X19" s="104"/>
      <c r="Y19" s="104">
        <f t="shared" si="4"/>
        <v>7594.6305000000002</v>
      </c>
      <c r="Z19" s="101" t="s">
        <v>39</v>
      </c>
      <c r="AA19" s="102">
        <v>1431</v>
      </c>
      <c r="AB19" s="104">
        <f t="shared" si="5"/>
        <v>624.3732500000001</v>
      </c>
      <c r="AC19" s="101" t="s">
        <v>39</v>
      </c>
      <c r="AD19" s="105" t="s">
        <v>40</v>
      </c>
      <c r="AE19" s="103">
        <v>402</v>
      </c>
      <c r="AF19" s="101" t="s">
        <v>39</v>
      </c>
      <c r="AG19" s="105" t="s">
        <v>41</v>
      </c>
      <c r="AH19" s="103">
        <f t="shared" si="6"/>
        <v>1075.02</v>
      </c>
      <c r="AI19" s="101" t="s">
        <v>39</v>
      </c>
      <c r="AJ19" s="105" t="s">
        <v>42</v>
      </c>
      <c r="AK19" s="103">
        <f t="shared" si="16"/>
        <v>65.723500000000001</v>
      </c>
      <c r="AL19" s="101" t="s">
        <v>39</v>
      </c>
      <c r="AM19" s="105" t="s">
        <v>43</v>
      </c>
      <c r="AN19" s="103">
        <v>0</v>
      </c>
      <c r="AO19" s="101" t="s">
        <v>39</v>
      </c>
      <c r="AP19" s="105">
        <v>1431</v>
      </c>
      <c r="AQ19" s="103">
        <v>0</v>
      </c>
      <c r="AR19" s="104">
        <f t="shared" si="8"/>
        <v>2167.1167500000001</v>
      </c>
      <c r="AS19" s="106">
        <f t="shared" si="9"/>
        <v>5427.5137500000001</v>
      </c>
      <c r="AT19" s="113"/>
      <c r="AU19" s="108"/>
      <c r="AV19" s="109">
        <f t="shared" si="10"/>
        <v>15</v>
      </c>
      <c r="AW19" s="109">
        <f t="shared" si="11"/>
        <v>7594.6305000000002</v>
      </c>
      <c r="AX19" s="110">
        <f t="shared" si="12"/>
        <v>7594.6305000000002</v>
      </c>
      <c r="AY19" s="110">
        <f>IFERROR(+LOOKUP(AX19,[10]TARIFAS!$A$4:$B$14,[10]TARIFAS!$A$4:$A$14),0)</f>
        <v>5081.41</v>
      </c>
      <c r="AZ19" s="110">
        <f t="shared" si="13"/>
        <v>2513.2205000000004</v>
      </c>
      <c r="BA19" s="110">
        <f>IFERROR(+LOOKUP(AX19,[10]TARIFAS!$A$4:$B$14,[10]TARIFAS!$D$4:$D$14),0)</f>
        <v>21.36</v>
      </c>
      <c r="BB19" s="110">
        <f t="shared" si="14"/>
        <v>536.82389880000005</v>
      </c>
      <c r="BC19" s="110">
        <f>IFERROR(+LOOKUP(AX19,[10]TARIFAS!$A$4:$B$14,[10]TARIFAS!$C$4:$C$14),0)</f>
        <v>538.20000000000005</v>
      </c>
      <c r="BD19" s="110">
        <f t="shared" si="15"/>
        <v>1075.02</v>
      </c>
      <c r="BE19" s="110"/>
      <c r="BF19" s="110"/>
      <c r="BG19" s="110"/>
      <c r="BH19" s="109"/>
    </row>
    <row r="20" spans="1:61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1" t="s">
        <v>37</v>
      </c>
      <c r="F20" s="101" t="s">
        <v>38</v>
      </c>
      <c r="G20" s="101">
        <v>15</v>
      </c>
      <c r="H20" s="101">
        <v>353.488</v>
      </c>
      <c r="I20" s="160" t="s">
        <v>150</v>
      </c>
      <c r="J20" s="101">
        <v>5414.82</v>
      </c>
      <c r="K20" s="101" t="s">
        <v>37</v>
      </c>
      <c r="L20" s="102">
        <v>1311</v>
      </c>
      <c r="M20" s="103">
        <v>67.290000000000006</v>
      </c>
      <c r="N20" s="101" t="s">
        <v>37</v>
      </c>
      <c r="O20" s="102">
        <v>1713</v>
      </c>
      <c r="P20" s="103">
        <v>211.44</v>
      </c>
      <c r="Q20" s="103">
        <v>378.6</v>
      </c>
      <c r="R20" s="103">
        <f t="shared" si="2"/>
        <v>162.44459999999998</v>
      </c>
      <c r="S20" s="101" t="s">
        <v>37</v>
      </c>
      <c r="T20" s="102">
        <v>1712</v>
      </c>
      <c r="U20" s="104">
        <f t="shared" si="3"/>
        <v>541.04459999999995</v>
      </c>
      <c r="V20" s="101"/>
      <c r="W20" s="102"/>
      <c r="X20" s="104"/>
      <c r="Y20" s="104">
        <f t="shared" si="4"/>
        <v>6234.5945999999994</v>
      </c>
      <c r="Z20" s="101" t="s">
        <v>39</v>
      </c>
      <c r="AA20" s="102">
        <v>1431</v>
      </c>
      <c r="AB20" s="104">
        <f t="shared" si="5"/>
        <v>514.40789999999993</v>
      </c>
      <c r="AC20" s="101" t="s">
        <v>39</v>
      </c>
      <c r="AD20" s="105" t="s">
        <v>40</v>
      </c>
      <c r="AE20" s="103">
        <v>0</v>
      </c>
      <c r="AF20" s="101" t="s">
        <v>39</v>
      </c>
      <c r="AG20" s="105" t="s">
        <v>41</v>
      </c>
      <c r="AH20" s="103">
        <f t="shared" si="6"/>
        <v>784.52</v>
      </c>
      <c r="AI20" s="101" t="s">
        <v>39</v>
      </c>
      <c r="AJ20" s="105" t="s">
        <v>42</v>
      </c>
      <c r="AK20" s="103">
        <f t="shared" si="16"/>
        <v>54.148199999999996</v>
      </c>
      <c r="AL20" s="101" t="s">
        <v>39</v>
      </c>
      <c r="AM20" s="105" t="s">
        <v>43</v>
      </c>
      <c r="AN20" s="103">
        <v>0</v>
      </c>
      <c r="AO20" s="101" t="s">
        <v>39</v>
      </c>
      <c r="AP20" s="105">
        <v>1431</v>
      </c>
      <c r="AQ20" s="103">
        <v>0</v>
      </c>
      <c r="AR20" s="104">
        <f t="shared" si="8"/>
        <v>1353.0761</v>
      </c>
      <c r="AS20" s="106">
        <f t="shared" si="9"/>
        <v>4881.5184999999992</v>
      </c>
      <c r="AT20" s="113"/>
      <c r="AU20" s="108"/>
      <c r="AV20" s="109">
        <f t="shared" si="10"/>
        <v>15</v>
      </c>
      <c r="AW20" s="109">
        <f t="shared" si="11"/>
        <v>6234.5945999999994</v>
      </c>
      <c r="AX20" s="110">
        <f t="shared" si="12"/>
        <v>6234.5945999999994</v>
      </c>
      <c r="AY20" s="110">
        <f>IFERROR(+LOOKUP(AX20,[10]TARIFAS!$A$4:$B$14,[10]TARIFAS!$A$4:$A$14),0)</f>
        <v>5081.41</v>
      </c>
      <c r="AZ20" s="110">
        <f t="shared" si="13"/>
        <v>1153.1845999999996</v>
      </c>
      <c r="BA20" s="110">
        <f>IFERROR(+LOOKUP(AX20,[10]TARIFAS!$A$4:$B$14,[10]TARIFAS!$D$4:$D$14),0)</f>
        <v>21.36</v>
      </c>
      <c r="BB20" s="110">
        <f t="shared" si="14"/>
        <v>246.32023055999991</v>
      </c>
      <c r="BC20" s="110">
        <f>IFERROR(+LOOKUP(AX20,[10]TARIFAS!$A$4:$B$14,[10]TARIFAS!$C$4:$C$14),0)</f>
        <v>538.20000000000005</v>
      </c>
      <c r="BD20" s="110">
        <f t="shared" si="15"/>
        <v>784.52</v>
      </c>
      <c r="BE20" s="110"/>
      <c r="BF20" s="110"/>
      <c r="BG20" s="110"/>
      <c r="BH20" s="109"/>
    </row>
    <row r="21" spans="1:61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1" t="s">
        <v>37</v>
      </c>
      <c r="F21" s="101" t="s">
        <v>38</v>
      </c>
      <c r="G21" s="101">
        <v>15</v>
      </c>
      <c r="H21" s="101">
        <v>421.49</v>
      </c>
      <c r="I21" s="160" t="s">
        <v>149</v>
      </c>
      <c r="J21" s="101">
        <v>6572.35</v>
      </c>
      <c r="K21" s="101" t="s">
        <v>37</v>
      </c>
      <c r="L21" s="102">
        <v>1311</v>
      </c>
      <c r="M21" s="115">
        <v>100.935</v>
      </c>
      <c r="N21" s="101" t="s">
        <v>37</v>
      </c>
      <c r="O21" s="102">
        <v>1713</v>
      </c>
      <c r="P21" s="115">
        <v>351.5</v>
      </c>
      <c r="Q21" s="115">
        <v>406.32</v>
      </c>
      <c r="R21" s="103">
        <f t="shared" si="2"/>
        <v>197.1705</v>
      </c>
      <c r="S21" s="101" t="s">
        <v>37</v>
      </c>
      <c r="T21" s="102">
        <v>1712</v>
      </c>
      <c r="U21" s="104">
        <f t="shared" si="3"/>
        <v>603.4905</v>
      </c>
      <c r="V21" s="101"/>
      <c r="W21" s="102"/>
      <c r="X21" s="104"/>
      <c r="Y21" s="104">
        <f t="shared" si="4"/>
        <v>7628.2755000000006</v>
      </c>
      <c r="Z21" s="101" t="s">
        <v>39</v>
      </c>
      <c r="AA21" s="102">
        <v>1431</v>
      </c>
      <c r="AB21" s="104">
        <f t="shared" si="5"/>
        <v>624.3732500000001</v>
      </c>
      <c r="AC21" s="101" t="s">
        <v>39</v>
      </c>
      <c r="AD21" s="105" t="s">
        <v>40</v>
      </c>
      <c r="AE21" s="115">
        <v>1405</v>
      </c>
      <c r="AF21" s="101" t="s">
        <v>39</v>
      </c>
      <c r="AG21" s="105" t="s">
        <v>41</v>
      </c>
      <c r="AH21" s="103">
        <f t="shared" si="6"/>
        <v>1082.21</v>
      </c>
      <c r="AI21" s="101" t="s">
        <v>39</v>
      </c>
      <c r="AJ21" s="105" t="s">
        <v>42</v>
      </c>
      <c r="AK21" s="103">
        <v>0</v>
      </c>
      <c r="AL21" s="101" t="s">
        <v>39</v>
      </c>
      <c r="AM21" s="105" t="s">
        <v>43</v>
      </c>
      <c r="AN21" s="115">
        <v>0</v>
      </c>
      <c r="AO21" s="101" t="s">
        <v>39</v>
      </c>
      <c r="AP21" s="105">
        <v>1431</v>
      </c>
      <c r="AQ21" s="103">
        <v>0</v>
      </c>
      <c r="AR21" s="104">
        <f t="shared" si="8"/>
        <v>3111.5832500000001</v>
      </c>
      <c r="AS21" s="106">
        <f t="shared" si="9"/>
        <v>4516.6922500000001</v>
      </c>
      <c r="AT21" s="113"/>
      <c r="AU21" s="108"/>
      <c r="AV21" s="109">
        <f t="shared" si="10"/>
        <v>15</v>
      </c>
      <c r="AW21" s="109">
        <f t="shared" si="11"/>
        <v>7628.2755000000006</v>
      </c>
      <c r="AX21" s="110">
        <f t="shared" si="12"/>
        <v>7628.2755000000006</v>
      </c>
      <c r="AY21" s="110">
        <f>IFERROR(+LOOKUP(AX21,[10]TARIFAS!$A$4:$B$14,[10]TARIFAS!$A$4:$A$14),0)</f>
        <v>5081.41</v>
      </c>
      <c r="AZ21" s="110">
        <f t="shared" si="13"/>
        <v>2546.8655000000008</v>
      </c>
      <c r="BA21" s="110">
        <f>IFERROR(+LOOKUP(AX21,[10]TARIFAS!$A$4:$B$14,[10]TARIFAS!$D$4:$D$14),0)</f>
        <v>21.36</v>
      </c>
      <c r="BB21" s="110">
        <f t="shared" si="14"/>
        <v>544.01047080000023</v>
      </c>
      <c r="BC21" s="110">
        <f>IFERROR(+LOOKUP(AX21,[10]TARIFAS!$A$4:$B$14,[10]TARIFAS!$C$4:$C$14),0)</f>
        <v>538.20000000000005</v>
      </c>
      <c r="BD21" s="110">
        <f t="shared" si="15"/>
        <v>1082.21</v>
      </c>
      <c r="BE21" s="110"/>
      <c r="BF21" s="110"/>
      <c r="BG21" s="110"/>
      <c r="BH21" s="109"/>
    </row>
    <row r="22" spans="1:61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1" t="s">
        <v>37</v>
      </c>
      <c r="F22" s="101" t="s">
        <v>38</v>
      </c>
      <c r="G22" s="101">
        <v>15</v>
      </c>
      <c r="H22" s="101">
        <v>421.49</v>
      </c>
      <c r="I22" s="160" t="s">
        <v>151</v>
      </c>
      <c r="J22" s="101">
        <v>6572.35</v>
      </c>
      <c r="K22" s="101" t="s">
        <v>37</v>
      </c>
      <c r="L22" s="102">
        <v>1311</v>
      </c>
      <c r="M22" s="115">
        <v>67.290000000000006</v>
      </c>
      <c r="N22" s="101" t="s">
        <v>37</v>
      </c>
      <c r="O22" s="102">
        <v>1713</v>
      </c>
      <c r="P22" s="115">
        <v>351.5</v>
      </c>
      <c r="Q22" s="115">
        <v>406.32</v>
      </c>
      <c r="R22" s="103">
        <f t="shared" si="2"/>
        <v>197.1705</v>
      </c>
      <c r="S22" s="101" t="s">
        <v>37</v>
      </c>
      <c r="T22" s="102">
        <v>1712</v>
      </c>
      <c r="U22" s="104">
        <f t="shared" si="3"/>
        <v>603.4905</v>
      </c>
      <c r="V22" s="101"/>
      <c r="W22" s="102"/>
      <c r="X22" s="104"/>
      <c r="Y22" s="104">
        <f t="shared" si="4"/>
        <v>7594.6305000000002</v>
      </c>
      <c r="Z22" s="101" t="s">
        <v>39</v>
      </c>
      <c r="AA22" s="102">
        <v>1431</v>
      </c>
      <c r="AB22" s="104">
        <f t="shared" si="5"/>
        <v>624.3732500000001</v>
      </c>
      <c r="AC22" s="101" t="s">
        <v>39</v>
      </c>
      <c r="AD22" s="105" t="s">
        <v>40</v>
      </c>
      <c r="AE22" s="115">
        <v>2108</v>
      </c>
      <c r="AF22" s="101" t="s">
        <v>39</v>
      </c>
      <c r="AG22" s="105" t="s">
        <v>41</v>
      </c>
      <c r="AH22" s="103">
        <f t="shared" si="6"/>
        <v>1075.02</v>
      </c>
      <c r="AI22" s="101" t="s">
        <v>39</v>
      </c>
      <c r="AJ22" s="105" t="s">
        <v>42</v>
      </c>
      <c r="AK22" s="103">
        <f>(J22*1%)</f>
        <v>65.723500000000001</v>
      </c>
      <c r="AL22" s="101" t="s">
        <v>39</v>
      </c>
      <c r="AM22" s="105" t="s">
        <v>43</v>
      </c>
      <c r="AN22" s="115">
        <v>0</v>
      </c>
      <c r="AO22" s="101" t="s">
        <v>39</v>
      </c>
      <c r="AP22" s="105">
        <v>1431</v>
      </c>
      <c r="AQ22" s="103">
        <v>0</v>
      </c>
      <c r="AR22" s="104">
        <f t="shared" si="8"/>
        <v>3873.1167500000001</v>
      </c>
      <c r="AS22" s="106">
        <f t="shared" si="9"/>
        <v>3721.5137500000001</v>
      </c>
      <c r="AT22" s="113"/>
      <c r="AU22" s="108"/>
      <c r="AV22" s="109">
        <f t="shared" si="10"/>
        <v>15</v>
      </c>
      <c r="AW22" s="109">
        <f t="shared" si="11"/>
        <v>7594.6305000000002</v>
      </c>
      <c r="AX22" s="110">
        <f t="shared" si="12"/>
        <v>7594.6305000000002</v>
      </c>
      <c r="AY22" s="110">
        <f>IFERROR(+LOOKUP(AX22,[10]TARIFAS!$A$4:$B$14,[10]TARIFAS!$A$4:$A$14),0)</f>
        <v>5081.41</v>
      </c>
      <c r="AZ22" s="110">
        <f t="shared" si="13"/>
        <v>2513.2205000000004</v>
      </c>
      <c r="BA22" s="110">
        <f>IFERROR(+LOOKUP(AX22,[10]TARIFAS!$A$4:$B$14,[10]TARIFAS!$D$4:$D$14),0)</f>
        <v>21.36</v>
      </c>
      <c r="BB22" s="110">
        <f t="shared" si="14"/>
        <v>536.82389880000005</v>
      </c>
      <c r="BC22" s="110">
        <f>IFERROR(+LOOKUP(AX22,[10]TARIFAS!$A$4:$B$14,[10]TARIFAS!$C$4:$C$14),0)</f>
        <v>538.20000000000005</v>
      </c>
      <c r="BD22" s="110">
        <f t="shared" si="15"/>
        <v>1075.02</v>
      </c>
      <c r="BE22" s="110"/>
      <c r="BF22" s="110"/>
      <c r="BG22" s="110"/>
      <c r="BH22" s="109"/>
    </row>
    <row r="23" spans="1:61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1" t="s">
        <v>37</v>
      </c>
      <c r="F23" s="101" t="s">
        <v>38</v>
      </c>
      <c r="G23" s="101">
        <v>15</v>
      </c>
      <c r="H23" s="101">
        <v>421.49</v>
      </c>
      <c r="I23" s="160" t="s">
        <v>149</v>
      </c>
      <c r="J23" s="101">
        <v>6572.35</v>
      </c>
      <c r="K23" s="101" t="s">
        <v>37</v>
      </c>
      <c r="L23" s="102">
        <v>1311</v>
      </c>
      <c r="M23" s="115">
        <v>0</v>
      </c>
      <c r="N23" s="101" t="s">
        <v>37</v>
      </c>
      <c r="O23" s="102">
        <v>1713</v>
      </c>
      <c r="P23" s="115">
        <v>351.5</v>
      </c>
      <c r="Q23" s="115">
        <v>406.32</v>
      </c>
      <c r="R23" s="103">
        <f t="shared" si="2"/>
        <v>197.1705</v>
      </c>
      <c r="S23" s="101" t="s">
        <v>37</v>
      </c>
      <c r="T23" s="102">
        <v>1712</v>
      </c>
      <c r="U23" s="104">
        <f t="shared" si="3"/>
        <v>603.4905</v>
      </c>
      <c r="V23" s="101"/>
      <c r="W23" s="102"/>
      <c r="X23" s="104"/>
      <c r="Y23" s="104">
        <f t="shared" si="4"/>
        <v>7527.3405000000002</v>
      </c>
      <c r="Z23" s="101" t="s">
        <v>39</v>
      </c>
      <c r="AA23" s="102">
        <v>1431</v>
      </c>
      <c r="AB23" s="104">
        <f t="shared" si="5"/>
        <v>624.3732500000001</v>
      </c>
      <c r="AC23" s="101" t="s">
        <v>39</v>
      </c>
      <c r="AD23" s="105" t="s">
        <v>40</v>
      </c>
      <c r="AE23" s="115">
        <v>0</v>
      </c>
      <c r="AF23" s="101" t="s">
        <v>39</v>
      </c>
      <c r="AG23" s="105" t="s">
        <v>41</v>
      </c>
      <c r="AH23" s="103">
        <f t="shared" si="6"/>
        <v>1060.6500000000001</v>
      </c>
      <c r="AI23" s="101" t="s">
        <v>39</v>
      </c>
      <c r="AJ23" s="105" t="s">
        <v>42</v>
      </c>
      <c r="AK23" s="103">
        <f>(J23*1%)</f>
        <v>65.723500000000001</v>
      </c>
      <c r="AL23" s="101" t="s">
        <v>39</v>
      </c>
      <c r="AM23" s="105" t="s">
        <v>43</v>
      </c>
      <c r="AN23" s="115">
        <v>0</v>
      </c>
      <c r="AO23" s="101" t="s">
        <v>39</v>
      </c>
      <c r="AP23" s="105">
        <v>1431</v>
      </c>
      <c r="AQ23" s="103">
        <v>0</v>
      </c>
      <c r="AR23" s="104">
        <f t="shared" si="8"/>
        <v>1750.7467500000002</v>
      </c>
      <c r="AS23" s="106">
        <f t="shared" si="9"/>
        <v>5776.59375</v>
      </c>
      <c r="AT23" s="113"/>
      <c r="AU23" s="108"/>
      <c r="AV23" s="109">
        <f t="shared" si="10"/>
        <v>15</v>
      </c>
      <c r="AW23" s="109">
        <f t="shared" si="11"/>
        <v>7527.3405000000002</v>
      </c>
      <c r="AX23" s="110">
        <f t="shared" si="12"/>
        <v>7527.3405000000002</v>
      </c>
      <c r="AY23" s="110">
        <f>IFERROR(+LOOKUP(AX23,[10]TARIFAS!$A$4:$B$14,[10]TARIFAS!$A$4:$A$14),0)</f>
        <v>5081.41</v>
      </c>
      <c r="AZ23" s="110">
        <f t="shared" si="13"/>
        <v>2445.9305000000004</v>
      </c>
      <c r="BA23" s="110">
        <f>IFERROR(+LOOKUP(AX23,[10]TARIFAS!$A$4:$B$14,[10]TARIFAS!$D$4:$D$14),0)</f>
        <v>21.36</v>
      </c>
      <c r="BB23" s="110">
        <f t="shared" si="14"/>
        <v>522.45075480000003</v>
      </c>
      <c r="BC23" s="110">
        <f>IFERROR(+LOOKUP(AX23,[10]TARIFAS!$A$4:$B$14,[10]TARIFAS!$C$4:$C$14),0)</f>
        <v>538.20000000000005</v>
      </c>
      <c r="BD23" s="110">
        <f t="shared" si="15"/>
        <v>1060.6500000000001</v>
      </c>
      <c r="BE23" s="110"/>
      <c r="BF23" s="110"/>
      <c r="BG23" s="110"/>
      <c r="BH23" s="109"/>
    </row>
    <row r="24" spans="1:61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1" t="s">
        <v>37</v>
      </c>
      <c r="F24" s="101" t="s">
        <v>38</v>
      </c>
      <c r="G24" s="101">
        <v>15</v>
      </c>
      <c r="H24" s="101">
        <v>325.036</v>
      </c>
      <c r="I24" s="160" t="s">
        <v>150</v>
      </c>
      <c r="J24" s="101">
        <v>5063.04</v>
      </c>
      <c r="K24" s="101" t="s">
        <v>37</v>
      </c>
      <c r="L24" s="102">
        <v>1311</v>
      </c>
      <c r="M24" s="115">
        <v>0</v>
      </c>
      <c r="N24" s="101" t="s">
        <v>37</v>
      </c>
      <c r="O24" s="102">
        <v>1713</v>
      </c>
      <c r="P24" s="115">
        <v>207.91</v>
      </c>
      <c r="Q24" s="115">
        <v>371.02</v>
      </c>
      <c r="R24" s="103">
        <f t="shared" si="2"/>
        <v>151.8912</v>
      </c>
      <c r="S24" s="101" t="s">
        <v>37</v>
      </c>
      <c r="T24" s="102">
        <v>1712</v>
      </c>
      <c r="U24" s="104">
        <f t="shared" si="3"/>
        <v>522.91120000000001</v>
      </c>
      <c r="V24" s="101"/>
      <c r="W24" s="102"/>
      <c r="X24" s="104"/>
      <c r="Y24" s="104">
        <f t="shared" si="4"/>
        <v>5793.8611999999994</v>
      </c>
      <c r="Z24" s="101" t="s">
        <v>39</v>
      </c>
      <c r="AA24" s="102">
        <v>1431</v>
      </c>
      <c r="AB24" s="104">
        <f t="shared" si="5"/>
        <v>480.98880000000003</v>
      </c>
      <c r="AC24" s="101" t="s">
        <v>39</v>
      </c>
      <c r="AD24" s="105" t="s">
        <v>40</v>
      </c>
      <c r="AE24" s="115">
        <v>0</v>
      </c>
      <c r="AF24" s="101" t="s">
        <v>39</v>
      </c>
      <c r="AG24" s="105" t="s">
        <v>41</v>
      </c>
      <c r="AH24" s="103">
        <f t="shared" si="6"/>
        <v>690.38</v>
      </c>
      <c r="AI24" s="101" t="s">
        <v>39</v>
      </c>
      <c r="AJ24" s="105" t="s">
        <v>42</v>
      </c>
      <c r="AK24" s="103">
        <f>(J24*1%)</f>
        <v>50.630400000000002</v>
      </c>
      <c r="AL24" s="101" t="s">
        <v>39</v>
      </c>
      <c r="AM24" s="105" t="s">
        <v>43</v>
      </c>
      <c r="AN24" s="115">
        <v>0</v>
      </c>
      <c r="AO24" s="101" t="s">
        <v>39</v>
      </c>
      <c r="AP24" s="105">
        <v>1431</v>
      </c>
      <c r="AQ24" s="103">
        <v>0</v>
      </c>
      <c r="AR24" s="104">
        <f t="shared" si="8"/>
        <v>1221.9992</v>
      </c>
      <c r="AS24" s="106">
        <f t="shared" si="9"/>
        <v>4571.8619999999992</v>
      </c>
      <c r="AT24" s="113"/>
      <c r="AU24" s="108"/>
      <c r="AV24" s="109">
        <f t="shared" si="10"/>
        <v>15</v>
      </c>
      <c r="AW24" s="109">
        <f t="shared" si="11"/>
        <v>5793.8611999999994</v>
      </c>
      <c r="AX24" s="110">
        <f t="shared" si="12"/>
        <v>5793.8611999999994</v>
      </c>
      <c r="AY24" s="110">
        <f>IFERROR(+LOOKUP(AX24,[10]TARIFAS!$A$4:$B$14,[10]TARIFAS!$A$4:$A$14),0)</f>
        <v>5081.41</v>
      </c>
      <c r="AZ24" s="110">
        <f t="shared" si="13"/>
        <v>712.45119999999952</v>
      </c>
      <c r="BA24" s="110">
        <f>IFERROR(+LOOKUP(AX24,[10]TARIFAS!$A$4:$B$14,[10]TARIFAS!$D$4:$D$14),0)</f>
        <v>21.36</v>
      </c>
      <c r="BB24" s="110">
        <f t="shared" si="14"/>
        <v>152.17957631999988</v>
      </c>
      <c r="BC24" s="110">
        <f>IFERROR(+LOOKUP(AX24,[10]TARIFAS!$A$4:$B$14,[10]TARIFAS!$C$4:$C$14),0)</f>
        <v>538.20000000000005</v>
      </c>
      <c r="BD24" s="110">
        <f t="shared" si="15"/>
        <v>690.38</v>
      </c>
      <c r="BE24" s="110"/>
      <c r="BF24" s="110"/>
      <c r="BG24" s="110"/>
      <c r="BH24" s="109"/>
    </row>
    <row r="25" spans="1:61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1" t="s">
        <v>37</v>
      </c>
      <c r="F25" s="101" t="s">
        <v>38</v>
      </c>
      <c r="G25" s="101">
        <v>15</v>
      </c>
      <c r="H25" s="101">
        <v>421.49</v>
      </c>
      <c r="I25" s="160" t="s">
        <v>151</v>
      </c>
      <c r="J25" s="101">
        <v>6572.35</v>
      </c>
      <c r="K25" s="101" t="s">
        <v>37</v>
      </c>
      <c r="L25" s="102">
        <v>1311</v>
      </c>
      <c r="M25" s="115">
        <v>0</v>
      </c>
      <c r="N25" s="101" t="s">
        <v>37</v>
      </c>
      <c r="O25" s="102">
        <v>1713</v>
      </c>
      <c r="P25" s="115">
        <v>351.5</v>
      </c>
      <c r="Q25" s="115">
        <v>406.32</v>
      </c>
      <c r="R25" s="103">
        <f t="shared" si="2"/>
        <v>197.1705</v>
      </c>
      <c r="S25" s="101" t="s">
        <v>37</v>
      </c>
      <c r="T25" s="102">
        <v>1712</v>
      </c>
      <c r="U25" s="104">
        <f t="shared" si="3"/>
        <v>603.4905</v>
      </c>
      <c r="V25" s="101"/>
      <c r="W25" s="102"/>
      <c r="X25" s="104"/>
      <c r="Y25" s="104">
        <f t="shared" si="4"/>
        <v>7527.3405000000002</v>
      </c>
      <c r="Z25" s="101" t="s">
        <v>39</v>
      </c>
      <c r="AA25" s="102">
        <v>1431</v>
      </c>
      <c r="AB25" s="104">
        <f t="shared" si="5"/>
        <v>624.3732500000001</v>
      </c>
      <c r="AC25" s="101" t="s">
        <v>39</v>
      </c>
      <c r="AD25" s="105" t="s">
        <v>40</v>
      </c>
      <c r="AE25" s="115">
        <v>1687</v>
      </c>
      <c r="AF25" s="101" t="s">
        <v>39</v>
      </c>
      <c r="AG25" s="105" t="s">
        <v>41</v>
      </c>
      <c r="AH25" s="103">
        <f t="shared" si="6"/>
        <v>1060.6500000000001</v>
      </c>
      <c r="AI25" s="101" t="s">
        <v>39</v>
      </c>
      <c r="AJ25" s="105" t="s">
        <v>42</v>
      </c>
      <c r="AK25" s="103">
        <f>(J25*1%)</f>
        <v>65.723500000000001</v>
      </c>
      <c r="AL25" s="101" t="s">
        <v>39</v>
      </c>
      <c r="AM25" s="105" t="s">
        <v>43</v>
      </c>
      <c r="AN25" s="115">
        <v>0</v>
      </c>
      <c r="AO25" s="101" t="s">
        <v>39</v>
      </c>
      <c r="AP25" s="105">
        <v>1431</v>
      </c>
      <c r="AQ25" s="103">
        <v>0</v>
      </c>
      <c r="AR25" s="104">
        <f t="shared" si="8"/>
        <v>3437.7467500000002</v>
      </c>
      <c r="AS25" s="106">
        <f t="shared" si="9"/>
        <v>4089.59375</v>
      </c>
      <c r="AT25" s="113"/>
      <c r="AU25" s="108"/>
      <c r="AV25" s="109">
        <f t="shared" si="10"/>
        <v>15</v>
      </c>
      <c r="AW25" s="109">
        <f t="shared" si="11"/>
        <v>7527.3405000000002</v>
      </c>
      <c r="AX25" s="110">
        <f t="shared" si="12"/>
        <v>7527.3405000000002</v>
      </c>
      <c r="AY25" s="110">
        <f>IFERROR(+LOOKUP(AX25,[10]TARIFAS!$A$4:$B$14,[10]TARIFAS!$A$4:$A$14),0)</f>
        <v>5081.41</v>
      </c>
      <c r="AZ25" s="110">
        <f t="shared" si="13"/>
        <v>2445.9305000000004</v>
      </c>
      <c r="BA25" s="110">
        <f>IFERROR(+LOOKUP(AX25,[10]TARIFAS!$A$4:$B$14,[10]TARIFAS!$D$4:$D$14),0)</f>
        <v>21.36</v>
      </c>
      <c r="BB25" s="110">
        <f t="shared" si="14"/>
        <v>522.45075480000003</v>
      </c>
      <c r="BC25" s="110">
        <f>IFERROR(+LOOKUP(AX25,[10]TARIFAS!$A$4:$B$14,[10]TARIFAS!$C$4:$C$14),0)</f>
        <v>538.20000000000005</v>
      </c>
      <c r="BD25" s="110">
        <f t="shared" si="15"/>
        <v>1060.6500000000001</v>
      </c>
      <c r="BE25" s="110"/>
      <c r="BF25" s="110"/>
      <c r="BG25" s="110"/>
      <c r="BH25" s="109"/>
    </row>
    <row r="26" spans="1:61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1" t="s">
        <v>37</v>
      </c>
      <c r="F26" s="101" t="s">
        <v>38</v>
      </c>
      <c r="G26" s="101">
        <v>15</v>
      </c>
      <c r="H26" s="101">
        <v>325.036</v>
      </c>
      <c r="I26" s="160" t="s">
        <v>149</v>
      </c>
      <c r="J26" s="101">
        <v>5063.04</v>
      </c>
      <c r="K26" s="101" t="s">
        <v>37</v>
      </c>
      <c r="L26" s="102">
        <v>1311</v>
      </c>
      <c r="M26" s="115">
        <v>0</v>
      </c>
      <c r="N26" s="101" t="s">
        <v>37</v>
      </c>
      <c r="O26" s="102">
        <v>1713</v>
      </c>
      <c r="P26" s="115">
        <v>207.91</v>
      </c>
      <c r="Q26" s="115">
        <v>371.02</v>
      </c>
      <c r="R26" s="103">
        <f t="shared" si="2"/>
        <v>151.8912</v>
      </c>
      <c r="S26" s="101" t="s">
        <v>37</v>
      </c>
      <c r="T26" s="102">
        <v>1712</v>
      </c>
      <c r="U26" s="104">
        <f t="shared" si="3"/>
        <v>522.91120000000001</v>
      </c>
      <c r="V26" s="101"/>
      <c r="W26" s="102"/>
      <c r="X26" s="104"/>
      <c r="Y26" s="104">
        <f t="shared" si="4"/>
        <v>5793.8611999999994</v>
      </c>
      <c r="Z26" s="101" t="s">
        <v>39</v>
      </c>
      <c r="AA26" s="102">
        <v>1431</v>
      </c>
      <c r="AB26" s="104">
        <f t="shared" si="5"/>
        <v>480.98880000000003</v>
      </c>
      <c r="AC26" s="101" t="s">
        <v>39</v>
      </c>
      <c r="AD26" s="105" t="s">
        <v>40</v>
      </c>
      <c r="AE26" s="115">
        <v>0</v>
      </c>
      <c r="AF26" s="101" t="s">
        <v>39</v>
      </c>
      <c r="AG26" s="105" t="s">
        <v>41</v>
      </c>
      <c r="AH26" s="103">
        <f t="shared" si="6"/>
        <v>690.38</v>
      </c>
      <c r="AI26" s="101" t="s">
        <v>39</v>
      </c>
      <c r="AJ26" s="105" t="s">
        <v>42</v>
      </c>
      <c r="AK26" s="103">
        <f>(J26*1%)</f>
        <v>50.630400000000002</v>
      </c>
      <c r="AL26" s="101" t="s">
        <v>39</v>
      </c>
      <c r="AM26" s="105" t="s">
        <v>43</v>
      </c>
      <c r="AN26" s="115">
        <v>0</v>
      </c>
      <c r="AO26" s="101" t="s">
        <v>39</v>
      </c>
      <c r="AP26" s="105">
        <v>1431</v>
      </c>
      <c r="AQ26" s="103">
        <v>0</v>
      </c>
      <c r="AR26" s="104">
        <f t="shared" si="8"/>
        <v>1221.9992</v>
      </c>
      <c r="AS26" s="106">
        <f t="shared" si="9"/>
        <v>4571.8619999999992</v>
      </c>
      <c r="AT26" s="113"/>
      <c r="AU26" s="108"/>
      <c r="AV26" s="109">
        <f t="shared" si="10"/>
        <v>15</v>
      </c>
      <c r="AW26" s="109">
        <f t="shared" si="11"/>
        <v>5793.8611999999994</v>
      </c>
      <c r="AX26" s="110">
        <f t="shared" si="12"/>
        <v>5793.8611999999994</v>
      </c>
      <c r="AY26" s="110">
        <f>IFERROR(+LOOKUP(AX26,[10]TARIFAS!$A$4:$B$14,[10]TARIFAS!$A$4:$A$14),0)</f>
        <v>5081.41</v>
      </c>
      <c r="AZ26" s="110">
        <f t="shared" si="13"/>
        <v>712.45119999999952</v>
      </c>
      <c r="BA26" s="110">
        <f>IFERROR(+LOOKUP(AX26,[10]TARIFAS!$A$4:$B$14,[10]TARIFAS!$D$4:$D$14),0)</f>
        <v>21.36</v>
      </c>
      <c r="BB26" s="110">
        <f t="shared" si="14"/>
        <v>152.17957631999988</v>
      </c>
      <c r="BC26" s="110">
        <f>IFERROR(+LOOKUP(AX26,[10]TARIFAS!$A$4:$B$14,[10]TARIFAS!$C$4:$C$14),0)</f>
        <v>538.20000000000005</v>
      </c>
      <c r="BD26" s="110">
        <f t="shared" si="15"/>
        <v>690.38</v>
      </c>
      <c r="BE26" s="110"/>
      <c r="BF26" s="110"/>
      <c r="BG26" s="110"/>
      <c r="BH26" s="109"/>
    </row>
    <row r="27" spans="1:61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1" t="s">
        <v>37</v>
      </c>
      <c r="F27" s="101" t="s">
        <v>38</v>
      </c>
      <c r="G27" s="101">
        <v>15</v>
      </c>
      <c r="H27" s="101">
        <v>1029.4333333333334</v>
      </c>
      <c r="I27" s="160" t="s">
        <v>146</v>
      </c>
      <c r="J27" s="101">
        <v>15441.5</v>
      </c>
      <c r="K27" s="101" t="s">
        <v>37</v>
      </c>
      <c r="L27" s="102">
        <v>1311</v>
      </c>
      <c r="M27" s="115">
        <v>0</v>
      </c>
      <c r="N27" s="101" t="s">
        <v>37</v>
      </c>
      <c r="O27" s="102">
        <v>1713</v>
      </c>
      <c r="P27" s="115">
        <v>566.5</v>
      </c>
      <c r="Q27" s="115">
        <v>835.5</v>
      </c>
      <c r="R27" s="103">
        <f t="shared" si="2"/>
        <v>463.245</v>
      </c>
      <c r="S27" s="101" t="s">
        <v>37</v>
      </c>
      <c r="T27" s="102">
        <v>1712</v>
      </c>
      <c r="U27" s="104">
        <f t="shared" si="3"/>
        <v>1298.7449999999999</v>
      </c>
      <c r="V27" s="101"/>
      <c r="W27" s="102"/>
      <c r="X27" s="104"/>
      <c r="Y27" s="104">
        <f t="shared" si="4"/>
        <v>17306.744999999999</v>
      </c>
      <c r="Z27" s="101" t="s">
        <v>39</v>
      </c>
      <c r="AA27" s="102">
        <v>1431</v>
      </c>
      <c r="AB27" s="104">
        <f t="shared" si="5"/>
        <v>1466.9425000000001</v>
      </c>
      <c r="AC27" s="101" t="s">
        <v>39</v>
      </c>
      <c r="AD27" s="105" t="s">
        <v>40</v>
      </c>
      <c r="AE27" s="115">
        <v>0</v>
      </c>
      <c r="AF27" s="101" t="s">
        <v>39</v>
      </c>
      <c r="AG27" s="105" t="s">
        <v>41</v>
      </c>
      <c r="AH27" s="103">
        <f t="shared" si="6"/>
        <v>3376.71</v>
      </c>
      <c r="AI27" s="101" t="s">
        <v>39</v>
      </c>
      <c r="AJ27" s="105" t="s">
        <v>42</v>
      </c>
      <c r="AK27" s="103">
        <v>0</v>
      </c>
      <c r="AL27" s="101" t="s">
        <v>39</v>
      </c>
      <c r="AM27" s="105" t="s">
        <v>43</v>
      </c>
      <c r="AN27" s="115">
        <v>0</v>
      </c>
      <c r="AO27" s="101" t="s">
        <v>39</v>
      </c>
      <c r="AP27" s="105">
        <v>1431</v>
      </c>
      <c r="AQ27" s="103">
        <v>0</v>
      </c>
      <c r="AR27" s="104">
        <f t="shared" si="8"/>
        <v>4843.6525000000001</v>
      </c>
      <c r="AS27" s="106">
        <f t="shared" si="9"/>
        <v>12463.092499999999</v>
      </c>
      <c r="AT27" s="113"/>
      <c r="AU27" s="108"/>
      <c r="AV27" s="111">
        <f t="shared" si="10"/>
        <v>15</v>
      </c>
      <c r="AW27" s="109">
        <f t="shared" si="11"/>
        <v>17306.745000000003</v>
      </c>
      <c r="AX27" s="119">
        <f>IFERROR(+AW27/AV27,0)*AV27</f>
        <v>17306.745000000003</v>
      </c>
      <c r="AY27" s="119">
        <f>IFERROR(+LOOKUP(AX27,[10]TARIFAS!$A$4:$B$14,[10]TARIFAS!$A$4:$A$14),0)</f>
        <v>16153.06</v>
      </c>
      <c r="AZ27" s="119">
        <f>+AX27-AY27</f>
        <v>1153.6850000000031</v>
      </c>
      <c r="BA27" s="119">
        <f>IFERROR(+LOOKUP(AX27,[10]TARIFAS!$A$4:$B$14,[10]TARIFAS!$D$4:$D$14),0)</f>
        <v>30</v>
      </c>
      <c r="BB27" s="119">
        <f>(+AZ27*BA27)/100</f>
        <v>346.10550000000092</v>
      </c>
      <c r="BC27" s="119">
        <f>IFERROR(+LOOKUP(AX27,[10]TARIFAS!$A$4:$B$14,[10]TARIFAS!$C$4:$C$14),0)</f>
        <v>3030.6</v>
      </c>
      <c r="BD27" s="119">
        <f>ROUND(+BB27+BC27,2)</f>
        <v>3376.71</v>
      </c>
      <c r="BE27" s="119"/>
      <c r="BF27" s="119"/>
      <c r="BG27" s="119"/>
      <c r="BI27" s="120"/>
    </row>
    <row r="28" spans="1:61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1" t="s">
        <v>37</v>
      </c>
      <c r="F28" s="101" t="s">
        <v>38</v>
      </c>
      <c r="G28" s="101">
        <v>15</v>
      </c>
      <c r="H28" s="101">
        <v>1958.6333333333334</v>
      </c>
      <c r="I28" s="160" t="s">
        <v>148</v>
      </c>
      <c r="J28" s="101">
        <v>29379.5</v>
      </c>
      <c r="K28" s="101" t="s">
        <v>37</v>
      </c>
      <c r="L28" s="102">
        <v>1311</v>
      </c>
      <c r="M28" s="115">
        <v>0</v>
      </c>
      <c r="N28" s="101" t="s">
        <v>37</v>
      </c>
      <c r="O28" s="102">
        <v>1713</v>
      </c>
      <c r="P28" s="116">
        <v>808.5</v>
      </c>
      <c r="Q28" s="115">
        <v>1144</v>
      </c>
      <c r="R28" s="103">
        <f t="shared" si="2"/>
        <v>881.38499999999999</v>
      </c>
      <c r="S28" s="101" t="s">
        <v>37</v>
      </c>
      <c r="T28" s="102">
        <v>1712</v>
      </c>
      <c r="U28" s="104">
        <f t="shared" si="3"/>
        <v>2025.385</v>
      </c>
      <c r="V28" s="101"/>
      <c r="W28" s="102"/>
      <c r="X28" s="104"/>
      <c r="Y28" s="104">
        <f t="shared" si="4"/>
        <v>32213.384999999998</v>
      </c>
      <c r="Z28" s="101" t="s">
        <v>39</v>
      </c>
      <c r="AA28" s="102">
        <v>1431</v>
      </c>
      <c r="AB28" s="104">
        <f t="shared" si="5"/>
        <v>2791.0525000000002</v>
      </c>
      <c r="AC28" s="101" t="s">
        <v>39</v>
      </c>
      <c r="AD28" s="105" t="s">
        <v>40</v>
      </c>
      <c r="AE28" s="115">
        <v>4897</v>
      </c>
      <c r="AF28" s="101" t="s">
        <v>39</v>
      </c>
      <c r="AG28" s="105" t="s">
        <v>41</v>
      </c>
      <c r="AH28" s="103">
        <f t="shared" si="6"/>
        <v>7876.11</v>
      </c>
      <c r="AI28" s="101" t="s">
        <v>39</v>
      </c>
      <c r="AJ28" s="105" t="s">
        <v>42</v>
      </c>
      <c r="AK28" s="103">
        <v>0</v>
      </c>
      <c r="AL28" s="101" t="s">
        <v>39</v>
      </c>
      <c r="AM28" s="105" t="s">
        <v>43</v>
      </c>
      <c r="AN28" s="115">
        <v>0</v>
      </c>
      <c r="AO28" s="101" t="s">
        <v>39</v>
      </c>
      <c r="AP28" s="105">
        <v>1431</v>
      </c>
      <c r="AQ28" s="103">
        <v>0</v>
      </c>
      <c r="AR28" s="104">
        <f t="shared" si="8"/>
        <v>15564.162499999999</v>
      </c>
      <c r="AS28" s="106">
        <f t="shared" si="9"/>
        <v>16649.2225</v>
      </c>
      <c r="AT28" s="113"/>
      <c r="AU28" s="108"/>
      <c r="AV28" s="109">
        <f t="shared" si="10"/>
        <v>15</v>
      </c>
      <c r="AW28" s="109">
        <f t="shared" si="11"/>
        <v>32213.384999999998</v>
      </c>
      <c r="AX28" s="110">
        <f t="shared" si="12"/>
        <v>32213.384999999995</v>
      </c>
      <c r="AY28" s="110">
        <f>IFERROR(+LOOKUP(AX28,[10]TARIFAS!$A$4:$B$14,[10]TARIFAS!$A$4:$A$14),0)</f>
        <v>30838.81</v>
      </c>
      <c r="AZ28" s="110">
        <f t="shared" si="13"/>
        <v>1374.5749999999935</v>
      </c>
      <c r="BA28" s="110">
        <f>IFERROR(+LOOKUP(AX28,[10]TARIFAS!$A$4:$B$14,[10]TARIFAS!$D$4:$D$14),0)</f>
        <v>32</v>
      </c>
      <c r="BB28" s="110">
        <f t="shared" si="14"/>
        <v>439.86399999999793</v>
      </c>
      <c r="BC28" s="110">
        <f>IFERROR(+LOOKUP(AX28,[10]TARIFAS!$A$4:$B$14,[10]TARIFAS!$C$4:$C$14),0)</f>
        <v>7436.25</v>
      </c>
      <c r="BD28" s="110">
        <f t="shared" si="15"/>
        <v>7876.11</v>
      </c>
      <c r="BE28" s="110"/>
      <c r="BF28" s="110"/>
      <c r="BG28" s="110"/>
      <c r="BH28" s="109"/>
    </row>
    <row r="29" spans="1:61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1" t="s">
        <v>37</v>
      </c>
      <c r="F29" s="101" t="s">
        <v>38</v>
      </c>
      <c r="G29" s="101">
        <v>15</v>
      </c>
      <c r="H29" s="101">
        <v>421.49</v>
      </c>
      <c r="I29" s="160" t="s">
        <v>151</v>
      </c>
      <c r="J29" s="101">
        <v>6572.35</v>
      </c>
      <c r="K29" s="101" t="s">
        <v>37</v>
      </c>
      <c r="L29" s="102">
        <v>1311</v>
      </c>
      <c r="M29" s="115">
        <v>0</v>
      </c>
      <c r="N29" s="101" t="s">
        <v>37</v>
      </c>
      <c r="O29" s="102">
        <v>1713</v>
      </c>
      <c r="P29" s="116">
        <v>351.5</v>
      </c>
      <c r="Q29" s="115">
        <v>406.32</v>
      </c>
      <c r="R29" s="103">
        <f t="shared" si="2"/>
        <v>197.1705</v>
      </c>
      <c r="S29" s="101" t="s">
        <v>37</v>
      </c>
      <c r="T29" s="102">
        <v>1712</v>
      </c>
      <c r="U29" s="104">
        <f t="shared" si="3"/>
        <v>603.4905</v>
      </c>
      <c r="V29" s="101"/>
      <c r="W29" s="102"/>
      <c r="X29" s="104"/>
      <c r="Y29" s="104">
        <f t="shared" si="4"/>
        <v>7527.3405000000002</v>
      </c>
      <c r="Z29" s="101" t="s">
        <v>39</v>
      </c>
      <c r="AA29" s="102">
        <v>1431</v>
      </c>
      <c r="AB29" s="104">
        <f t="shared" si="5"/>
        <v>624.3732500000001</v>
      </c>
      <c r="AC29" s="101" t="s">
        <v>39</v>
      </c>
      <c r="AD29" s="105" t="s">
        <v>40</v>
      </c>
      <c r="AE29" s="115">
        <v>0</v>
      </c>
      <c r="AF29" s="101" t="s">
        <v>39</v>
      </c>
      <c r="AG29" s="105" t="s">
        <v>41</v>
      </c>
      <c r="AH29" s="103">
        <f t="shared" si="6"/>
        <v>1060.6500000000001</v>
      </c>
      <c r="AI29" s="101" t="s">
        <v>39</v>
      </c>
      <c r="AJ29" s="105" t="s">
        <v>42</v>
      </c>
      <c r="AK29" s="103">
        <v>0</v>
      </c>
      <c r="AL29" s="101" t="s">
        <v>39</v>
      </c>
      <c r="AM29" s="105" t="s">
        <v>43</v>
      </c>
      <c r="AN29" s="115">
        <v>0</v>
      </c>
      <c r="AO29" s="101" t="s">
        <v>39</v>
      </c>
      <c r="AP29" s="105">
        <v>1431</v>
      </c>
      <c r="AQ29" s="103">
        <v>0</v>
      </c>
      <c r="AR29" s="104">
        <f t="shared" si="8"/>
        <v>1685.0232500000002</v>
      </c>
      <c r="AS29" s="106">
        <f t="shared" si="9"/>
        <v>5842.3172500000001</v>
      </c>
      <c r="AT29" s="113"/>
      <c r="AU29" s="108"/>
      <c r="AV29" s="109">
        <f t="shared" si="10"/>
        <v>15</v>
      </c>
      <c r="AW29" s="109">
        <f t="shared" si="11"/>
        <v>7527.3405000000002</v>
      </c>
      <c r="AX29" s="110">
        <f t="shared" si="12"/>
        <v>7527.3405000000002</v>
      </c>
      <c r="AY29" s="110">
        <f>IFERROR(+LOOKUP(AX29,[10]TARIFAS!$A$4:$B$14,[10]TARIFAS!$A$4:$A$14),0)</f>
        <v>5081.41</v>
      </c>
      <c r="AZ29" s="110">
        <f t="shared" si="13"/>
        <v>2445.9305000000004</v>
      </c>
      <c r="BA29" s="110">
        <f>IFERROR(+LOOKUP(AX29,[10]TARIFAS!$A$4:$B$14,[10]TARIFAS!$D$4:$D$14),0)</f>
        <v>21.36</v>
      </c>
      <c r="BB29" s="110">
        <f t="shared" si="14"/>
        <v>522.45075480000003</v>
      </c>
      <c r="BC29" s="110">
        <f>IFERROR(+LOOKUP(AX29,[10]TARIFAS!$A$4:$B$14,[10]TARIFAS!$C$4:$C$14),0)</f>
        <v>538.20000000000005</v>
      </c>
      <c r="BD29" s="110">
        <f>ROUND(+BB29+BC29,2)</f>
        <v>1060.6500000000001</v>
      </c>
      <c r="BE29" s="110"/>
      <c r="BF29" s="110"/>
      <c r="BG29" s="110"/>
      <c r="BH29" s="109"/>
    </row>
    <row r="30" spans="1:61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1" t="s">
        <v>37</v>
      </c>
      <c r="F30" s="101" t="s">
        <v>38</v>
      </c>
      <c r="G30" s="101">
        <v>15</v>
      </c>
      <c r="H30" s="101">
        <v>1029.4333333333334</v>
      </c>
      <c r="I30" s="160" t="s">
        <v>151</v>
      </c>
      <c r="J30" s="101">
        <v>15441.5</v>
      </c>
      <c r="K30" s="101" t="s">
        <v>37</v>
      </c>
      <c r="L30" s="102">
        <v>1311</v>
      </c>
      <c r="M30" s="103">
        <f>67.29</f>
        <v>67.290000000000006</v>
      </c>
      <c r="N30" s="101" t="s">
        <v>37</v>
      </c>
      <c r="O30" s="102">
        <v>1713</v>
      </c>
      <c r="P30" s="103">
        <v>566.5</v>
      </c>
      <c r="Q30" s="103">
        <v>835.5</v>
      </c>
      <c r="R30" s="103">
        <f t="shared" si="2"/>
        <v>463.245</v>
      </c>
      <c r="S30" s="101" t="s">
        <v>37</v>
      </c>
      <c r="T30" s="102">
        <v>1712</v>
      </c>
      <c r="U30" s="104">
        <f t="shared" si="3"/>
        <v>1298.7449999999999</v>
      </c>
      <c r="V30" s="101"/>
      <c r="W30" s="102"/>
      <c r="X30" s="104"/>
      <c r="Y30" s="104">
        <f t="shared" si="4"/>
        <v>17374.035</v>
      </c>
      <c r="Z30" s="101" t="s">
        <v>39</v>
      </c>
      <c r="AA30" s="102">
        <v>1431</v>
      </c>
      <c r="AB30" s="104">
        <f t="shared" si="5"/>
        <v>1466.9425000000001</v>
      </c>
      <c r="AC30" s="101" t="s">
        <v>39</v>
      </c>
      <c r="AD30" s="105" t="s">
        <v>40</v>
      </c>
      <c r="AE30" s="115">
        <v>0</v>
      </c>
      <c r="AF30" s="101" t="s">
        <v>39</v>
      </c>
      <c r="AG30" s="105" t="s">
        <v>41</v>
      </c>
      <c r="AH30" s="103">
        <f t="shared" si="6"/>
        <v>3396.89</v>
      </c>
      <c r="AI30" s="101" t="s">
        <v>39</v>
      </c>
      <c r="AJ30" s="105" t="s">
        <v>42</v>
      </c>
      <c r="AK30" s="103">
        <v>0</v>
      </c>
      <c r="AL30" s="101" t="s">
        <v>39</v>
      </c>
      <c r="AM30" s="105" t="s">
        <v>43</v>
      </c>
      <c r="AN30" s="115">
        <v>0</v>
      </c>
      <c r="AO30" s="101" t="s">
        <v>39</v>
      </c>
      <c r="AP30" s="105">
        <v>1431</v>
      </c>
      <c r="AQ30" s="103">
        <v>0</v>
      </c>
      <c r="AR30" s="104">
        <f t="shared" si="8"/>
        <v>4863.8325000000004</v>
      </c>
      <c r="AS30" s="106">
        <f t="shared" si="9"/>
        <v>12510.202499999999</v>
      </c>
      <c r="AT30" s="113"/>
      <c r="AU30" s="108"/>
      <c r="AV30" s="109">
        <f t="shared" si="10"/>
        <v>15</v>
      </c>
      <c r="AW30" s="109">
        <f t="shared" si="11"/>
        <v>17374.035000000003</v>
      </c>
      <c r="AX30" s="110">
        <f t="shared" si="12"/>
        <v>17374.035000000003</v>
      </c>
      <c r="AY30" s="110">
        <f>IFERROR(+LOOKUP(AX30,[10]TARIFAS!$A$4:$B$14,[10]TARIFAS!$A$4:$A$14),0)</f>
        <v>16153.06</v>
      </c>
      <c r="AZ30" s="110">
        <f t="shared" si="13"/>
        <v>1220.975000000004</v>
      </c>
      <c r="BA30" s="110">
        <f>IFERROR(+LOOKUP(AX30,[10]TARIFAS!$A$4:$B$14,[10]TARIFAS!$D$4:$D$14),0)</f>
        <v>30</v>
      </c>
      <c r="BB30" s="110">
        <f t="shared" si="14"/>
        <v>366.29250000000116</v>
      </c>
      <c r="BC30" s="110">
        <f>IFERROR(+LOOKUP(AX30,[10]TARIFAS!$A$4:$B$14,[10]TARIFAS!$C$4:$C$14),0)</f>
        <v>3030.6</v>
      </c>
      <c r="BD30" s="110">
        <f t="shared" si="15"/>
        <v>3396.89</v>
      </c>
      <c r="BE30" s="110"/>
      <c r="BF30" s="110"/>
      <c r="BG30" s="110"/>
      <c r="BH30" s="109"/>
    </row>
    <row r="31" spans="1:61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1" t="s">
        <v>37</v>
      </c>
      <c r="F31" s="101" t="s">
        <v>38</v>
      </c>
      <c r="G31" s="101">
        <v>15</v>
      </c>
      <c r="H31" s="101">
        <v>325.036</v>
      </c>
      <c r="I31" s="163" t="s">
        <v>150</v>
      </c>
      <c r="J31" s="101">
        <v>5063.04</v>
      </c>
      <c r="K31" s="101" t="s">
        <v>37</v>
      </c>
      <c r="L31" s="102">
        <v>1311</v>
      </c>
      <c r="M31" s="115">
        <v>0</v>
      </c>
      <c r="N31" s="101" t="s">
        <v>37</v>
      </c>
      <c r="O31" s="102">
        <v>1713</v>
      </c>
      <c r="P31" s="115">
        <v>207.91</v>
      </c>
      <c r="Q31" s="115">
        <v>371.02</v>
      </c>
      <c r="R31" s="103">
        <f t="shared" si="2"/>
        <v>151.8912</v>
      </c>
      <c r="S31" s="101" t="s">
        <v>37</v>
      </c>
      <c r="T31" s="102">
        <v>1712</v>
      </c>
      <c r="U31" s="104">
        <f t="shared" si="3"/>
        <v>522.91120000000001</v>
      </c>
      <c r="V31" s="101"/>
      <c r="W31" s="102"/>
      <c r="X31" s="104"/>
      <c r="Y31" s="104">
        <f t="shared" si="4"/>
        <v>5793.8611999999994</v>
      </c>
      <c r="Z31" s="101" t="s">
        <v>39</v>
      </c>
      <c r="AA31" s="102">
        <v>1431</v>
      </c>
      <c r="AB31" s="104">
        <f t="shared" si="5"/>
        <v>480.98880000000003</v>
      </c>
      <c r="AC31" s="101" t="s">
        <v>39</v>
      </c>
      <c r="AD31" s="105" t="s">
        <v>40</v>
      </c>
      <c r="AE31" s="115">
        <v>0</v>
      </c>
      <c r="AF31" s="101" t="s">
        <v>39</v>
      </c>
      <c r="AG31" s="105" t="s">
        <v>41</v>
      </c>
      <c r="AH31" s="103">
        <f t="shared" si="6"/>
        <v>690.38</v>
      </c>
      <c r="AI31" s="101" t="s">
        <v>39</v>
      </c>
      <c r="AJ31" s="105" t="s">
        <v>42</v>
      </c>
      <c r="AK31" s="103">
        <v>0</v>
      </c>
      <c r="AL31" s="101" t="s">
        <v>39</v>
      </c>
      <c r="AM31" s="105" t="s">
        <v>43</v>
      </c>
      <c r="AN31" s="115">
        <v>0</v>
      </c>
      <c r="AO31" s="101" t="s">
        <v>39</v>
      </c>
      <c r="AP31" s="105">
        <v>1431</v>
      </c>
      <c r="AQ31" s="103">
        <v>0</v>
      </c>
      <c r="AR31" s="104">
        <f t="shared" si="8"/>
        <v>1171.3688</v>
      </c>
      <c r="AS31" s="106">
        <f t="shared" si="9"/>
        <v>4622.4923999999992</v>
      </c>
      <c r="AT31" s="113"/>
      <c r="AU31" s="108"/>
      <c r="AV31" s="109">
        <f>+G31</f>
        <v>15</v>
      </c>
      <c r="AW31" s="109">
        <f>+J31+R31+M31+P31+Q31+X31</f>
        <v>5793.8611999999994</v>
      </c>
      <c r="AX31" s="110">
        <f>IFERROR(+AW31/AV31,0)*AV31</f>
        <v>5793.8611999999994</v>
      </c>
      <c r="AY31" s="110">
        <f>IFERROR(+LOOKUP(AX31,[10]TARIFAS!$A$4:$B$14,[10]TARIFAS!$A$4:$A$14),0)</f>
        <v>5081.41</v>
      </c>
      <c r="AZ31" s="110">
        <f>+AX31-AY31</f>
        <v>712.45119999999952</v>
      </c>
      <c r="BA31" s="110">
        <f>IFERROR(+LOOKUP(AX31,[10]TARIFAS!$A$4:$B$14,[10]TARIFAS!$D$4:$D$14),0)</f>
        <v>21.36</v>
      </c>
      <c r="BB31" s="110">
        <f>(+AZ31*BA31)/100</f>
        <v>152.17957631999988</v>
      </c>
      <c r="BC31" s="110">
        <f>IFERROR(+LOOKUP(AX31,[10]TARIFAS!$A$4:$B$14,[10]TARIFAS!$C$4:$C$14),0)</f>
        <v>538.20000000000005</v>
      </c>
      <c r="BD31" s="110">
        <f>ROUND(+BB31+BC31,2)</f>
        <v>690.38</v>
      </c>
      <c r="BE31" s="110"/>
      <c r="BF31" s="110"/>
      <c r="BG31" s="110"/>
      <c r="BH31" s="109"/>
    </row>
    <row r="32" spans="1:61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1" t="s">
        <v>37</v>
      </c>
      <c r="F32" s="101" t="s">
        <v>38</v>
      </c>
      <c r="G32" s="101">
        <v>11</v>
      </c>
      <c r="H32" s="101">
        <v>421.49</v>
      </c>
      <c r="I32" s="163" t="s">
        <v>147</v>
      </c>
      <c r="J32" s="101">
        <v>6572.35</v>
      </c>
      <c r="K32" s="101" t="s">
        <v>37</v>
      </c>
      <c r="L32" s="102">
        <v>1311</v>
      </c>
      <c r="M32" s="115">
        <v>0</v>
      </c>
      <c r="N32" s="101" t="s">
        <v>37</v>
      </c>
      <c r="O32" s="102">
        <v>1713</v>
      </c>
      <c r="P32" s="116">
        <f>23.43*15</f>
        <v>351.45</v>
      </c>
      <c r="Q32" s="115">
        <f>27.09*15</f>
        <v>406.35</v>
      </c>
      <c r="R32" s="103">
        <f t="shared" si="2"/>
        <v>197.1705</v>
      </c>
      <c r="S32" s="101" t="s">
        <v>37</v>
      </c>
      <c r="T32" s="102">
        <v>1712</v>
      </c>
      <c r="U32" s="104">
        <f t="shared" si="3"/>
        <v>603.52050000000008</v>
      </c>
      <c r="V32" s="101"/>
      <c r="W32" s="102"/>
      <c r="X32" s="104"/>
      <c r="Y32" s="104">
        <f t="shared" si="4"/>
        <v>7527.3204999999998</v>
      </c>
      <c r="Z32" s="101" t="s">
        <v>39</v>
      </c>
      <c r="AA32" s="102">
        <v>1431</v>
      </c>
      <c r="AB32" s="104">
        <f t="shared" si="5"/>
        <v>624.3732500000001</v>
      </c>
      <c r="AC32" s="101" t="s">
        <v>39</v>
      </c>
      <c r="AD32" s="105" t="s">
        <v>40</v>
      </c>
      <c r="AE32" s="115">
        <v>0</v>
      </c>
      <c r="AF32" s="101" t="s">
        <v>39</v>
      </c>
      <c r="AG32" s="105" t="s">
        <v>41</v>
      </c>
      <c r="AH32" s="103">
        <f t="shared" si="6"/>
        <v>1060.6500000000001</v>
      </c>
      <c r="AI32" s="101" t="s">
        <v>39</v>
      </c>
      <c r="AJ32" s="105" t="s">
        <v>42</v>
      </c>
      <c r="AK32" s="103">
        <v>0</v>
      </c>
      <c r="AL32" s="101" t="s">
        <v>39</v>
      </c>
      <c r="AM32" s="105" t="s">
        <v>43</v>
      </c>
      <c r="AN32" s="115">
        <v>0</v>
      </c>
      <c r="AO32" s="101" t="s">
        <v>39</v>
      </c>
      <c r="AP32" s="105">
        <v>1431</v>
      </c>
      <c r="AQ32" s="103">
        <v>0</v>
      </c>
      <c r="AR32" s="104">
        <f t="shared" si="8"/>
        <v>1685.0232500000002</v>
      </c>
      <c r="AS32" s="106">
        <f t="shared" si="9"/>
        <v>5842.2972499999996</v>
      </c>
      <c r="AT32" s="113"/>
      <c r="AU32" s="108"/>
      <c r="AV32" s="109">
        <f t="shared" si="10"/>
        <v>11</v>
      </c>
      <c r="AW32" s="109">
        <f t="shared" si="11"/>
        <v>7527.3205000000007</v>
      </c>
      <c r="AX32" s="110">
        <f t="shared" si="12"/>
        <v>7527.3205000000007</v>
      </c>
      <c r="AY32" s="110">
        <f>IFERROR(+LOOKUP(AX32,[10]TARIFAS!$A$4:$B$14,[10]TARIFAS!$A$4:$A$14),0)</f>
        <v>5081.41</v>
      </c>
      <c r="AZ32" s="110">
        <f t="shared" si="13"/>
        <v>2445.9105000000009</v>
      </c>
      <c r="BA32" s="110">
        <f>IFERROR(+LOOKUP(AX32,[10]TARIFAS!$A$4:$B$14,[10]TARIFAS!$D$4:$D$14),0)</f>
        <v>21.36</v>
      </c>
      <c r="BB32" s="110">
        <f t="shared" si="14"/>
        <v>522.44648280000013</v>
      </c>
      <c r="BC32" s="110">
        <f>IFERROR(+LOOKUP(AX32,[10]TARIFAS!$A$4:$B$14,[10]TARIFAS!$C$4:$C$14),0)</f>
        <v>538.20000000000005</v>
      </c>
      <c r="BD32" s="110">
        <f t="shared" si="15"/>
        <v>1060.6500000000001</v>
      </c>
      <c r="BE32" s="110"/>
      <c r="BF32" s="110"/>
      <c r="BG32" s="110"/>
      <c r="BH32" s="109"/>
    </row>
    <row r="33" spans="1:46" s="128" customFormat="1" ht="21" customHeight="1" thickBot="1" x14ac:dyDescent="0.25">
      <c r="A33" s="121"/>
      <c r="B33" s="122"/>
      <c r="C33" s="123"/>
      <c r="D33" s="123" t="s">
        <v>110</v>
      </c>
      <c r="E33" s="124"/>
      <c r="F33" s="124"/>
      <c r="G33" s="124"/>
      <c r="H33" s="161"/>
      <c r="I33" s="165"/>
      <c r="J33" s="162">
        <f>SUM(J5:J32)</f>
        <v>226649.65000000005</v>
      </c>
      <c r="K33" s="124"/>
      <c r="L33" s="124"/>
      <c r="M33" s="124">
        <f>SUM(M5:M32)</f>
        <v>2523.3799999999992</v>
      </c>
      <c r="N33" s="124"/>
      <c r="O33" s="124"/>
      <c r="P33" s="124">
        <f>SUM(P5:P32)</f>
        <v>9734.119999999999</v>
      </c>
      <c r="Q33" s="124">
        <f>SUM(Q5:Q32)</f>
        <v>13199.05</v>
      </c>
      <c r="R33" s="124">
        <f>SUM(R5:R32)</f>
        <v>6799.4895000000015</v>
      </c>
      <c r="S33" s="124"/>
      <c r="T33" s="124"/>
      <c r="U33" s="124">
        <f>SUM(U5:U32)</f>
        <v>19998.539499999995</v>
      </c>
      <c r="V33" s="124"/>
      <c r="W33" s="125"/>
      <c r="X33" s="124">
        <f>SUM(X5:X30)</f>
        <v>0</v>
      </c>
      <c r="Y33" s="124">
        <f>SUM(Y5:Y32)</f>
        <v>258905.68949999995</v>
      </c>
      <c r="Z33" s="124"/>
      <c r="AA33" s="125"/>
      <c r="AB33" s="124">
        <f>SUM(AB5:AB32)</f>
        <v>21531.716750000007</v>
      </c>
      <c r="AC33" s="124"/>
      <c r="AD33" s="125"/>
      <c r="AE33" s="126">
        <f>SUM(AE5:AE32)</f>
        <v>22905.18</v>
      </c>
      <c r="AF33" s="124"/>
      <c r="AG33" s="125"/>
      <c r="AH33" s="124">
        <f>SUM(AH5:AH32)</f>
        <v>42210.82</v>
      </c>
      <c r="AI33" s="124"/>
      <c r="AJ33" s="125"/>
      <c r="AK33" s="126">
        <f>SUM(AK5:AK32)</f>
        <v>1094.6713000000002</v>
      </c>
      <c r="AL33" s="124"/>
      <c r="AM33" s="125"/>
      <c r="AN33" s="124">
        <f>SUM(AN5:AN32)</f>
        <v>0</v>
      </c>
      <c r="AO33" s="124"/>
      <c r="AP33" s="125"/>
      <c r="AQ33" s="124">
        <f>SUM(AQ5:AQ32)</f>
        <v>0</v>
      </c>
      <c r="AR33" s="124">
        <f>SUM(AR5:AR32)</f>
        <v>87742.388049999994</v>
      </c>
      <c r="AS33" s="124">
        <f>SUM(AS5:AS32)</f>
        <v>171163.30144999997</v>
      </c>
      <c r="AT33" s="127"/>
    </row>
    <row r="34" spans="1:46" s="128" customFormat="1" ht="21" customHeight="1" x14ac:dyDescent="0.2">
      <c r="A34" s="129"/>
      <c r="B34" s="129"/>
      <c r="C34" s="130"/>
      <c r="D34" s="130"/>
      <c r="E34" s="129"/>
      <c r="F34" s="129"/>
      <c r="G34" s="129"/>
      <c r="H34" s="129"/>
      <c r="I34" s="135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1"/>
      <c r="X34" s="129"/>
      <c r="Y34" s="129"/>
      <c r="Z34" s="129"/>
      <c r="AA34" s="131"/>
      <c r="AB34" s="129"/>
      <c r="AC34" s="129"/>
      <c r="AD34" s="131"/>
      <c r="AE34" s="132"/>
      <c r="AF34" s="129"/>
      <c r="AG34" s="131"/>
      <c r="AH34" s="129"/>
      <c r="AI34" s="129"/>
      <c r="AJ34" s="131"/>
      <c r="AK34" s="132"/>
      <c r="AL34" s="129"/>
      <c r="AM34" s="131"/>
      <c r="AN34" s="129"/>
      <c r="AO34" s="129"/>
      <c r="AP34" s="131"/>
      <c r="AQ34" s="129"/>
      <c r="AR34" s="129"/>
      <c r="AS34" s="129"/>
      <c r="AT34" s="129"/>
    </row>
    <row r="35" spans="1:46" ht="15.75" x14ac:dyDescent="0.2">
      <c r="A35" s="133"/>
      <c r="B35" s="133"/>
      <c r="C35" s="134"/>
      <c r="D35" s="135" t="s">
        <v>111</v>
      </c>
      <c r="E35" s="135"/>
      <c r="F35" s="135"/>
      <c r="G35" s="135"/>
      <c r="H35" s="135"/>
      <c r="I35" s="141"/>
      <c r="J35" s="135"/>
      <c r="K35" s="135"/>
      <c r="L35" s="135"/>
      <c r="N35" s="135"/>
      <c r="O35" s="136"/>
      <c r="P35" s="137"/>
      <c r="Q35" s="138"/>
      <c r="R35" s="173"/>
      <c r="S35" s="173"/>
      <c r="T35" s="173"/>
      <c r="U35" s="173"/>
      <c r="V35" s="173"/>
      <c r="W35" s="173"/>
      <c r="X35" s="173"/>
      <c r="Y35" s="173"/>
      <c r="Z35" s="133"/>
      <c r="AA35" s="133"/>
      <c r="AB35" s="133"/>
      <c r="AC35" s="133"/>
      <c r="AD35" s="133"/>
      <c r="AF35" s="133"/>
      <c r="AG35" s="133"/>
      <c r="AH35" s="133"/>
      <c r="AI35" s="133"/>
      <c r="AJ35" s="133"/>
      <c r="AK35" s="173" t="s">
        <v>113</v>
      </c>
      <c r="AL35" s="173"/>
      <c r="AM35" s="173"/>
      <c r="AN35" s="173"/>
      <c r="AO35" s="173"/>
      <c r="AP35" s="173"/>
      <c r="AQ35" s="173"/>
      <c r="AR35" s="173"/>
      <c r="AS35" s="173"/>
    </row>
    <row r="36" spans="1:46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35"/>
      <c r="J36" s="141"/>
      <c r="K36" s="141"/>
      <c r="L36" s="141"/>
      <c r="N36" s="141"/>
      <c r="O36" s="142"/>
      <c r="P36" s="141"/>
      <c r="Q36" s="138"/>
      <c r="R36" s="138"/>
      <c r="S36" s="141"/>
      <c r="T36" s="142"/>
      <c r="V36" s="141"/>
      <c r="W36" s="142"/>
      <c r="Y36" s="138"/>
      <c r="Z36" s="141"/>
      <c r="AA36" s="142"/>
      <c r="AB36" s="143"/>
      <c r="AC36" s="141"/>
      <c r="AD36" s="142"/>
      <c r="AE36" s="144"/>
      <c r="AF36" s="141"/>
      <c r="AG36" s="142"/>
      <c r="AH36" s="133"/>
      <c r="AI36" s="141"/>
      <c r="AJ36" s="142"/>
      <c r="AK36" s="145"/>
      <c r="AL36" s="141"/>
      <c r="AM36" s="142"/>
      <c r="AN36" s="133"/>
      <c r="AO36" s="141"/>
      <c r="AP36" s="142"/>
      <c r="AQ36" s="133"/>
      <c r="AS36" s="133"/>
    </row>
    <row r="37" spans="1:46" ht="15.75" x14ac:dyDescent="0.2">
      <c r="A37" s="133"/>
      <c r="B37" s="133"/>
      <c r="C37" s="146"/>
      <c r="D37" s="135" t="s">
        <v>114</v>
      </c>
      <c r="E37" s="135"/>
      <c r="F37" s="135"/>
      <c r="G37" s="135"/>
      <c r="H37" s="135"/>
      <c r="I37" s="135"/>
      <c r="J37" s="135"/>
      <c r="K37" s="135"/>
      <c r="L37" s="135"/>
      <c r="N37" s="135"/>
      <c r="O37" s="136"/>
      <c r="P37" s="138"/>
      <c r="Q37" s="138"/>
      <c r="R37" s="173"/>
      <c r="S37" s="173"/>
      <c r="T37" s="173"/>
      <c r="U37" s="173"/>
      <c r="V37" s="173"/>
      <c r="W37" s="173"/>
      <c r="X37" s="173"/>
      <c r="Y37" s="173"/>
      <c r="Z37" s="133"/>
      <c r="AA37" s="133"/>
      <c r="AB37" s="133"/>
      <c r="AC37" s="133"/>
      <c r="AD37" s="133"/>
      <c r="AF37" s="133"/>
      <c r="AG37" s="133"/>
      <c r="AI37" s="133"/>
      <c r="AJ37" s="133"/>
      <c r="AK37" s="173" t="s">
        <v>115</v>
      </c>
      <c r="AL37" s="173"/>
      <c r="AM37" s="173"/>
      <c r="AN37" s="173"/>
      <c r="AO37" s="173"/>
      <c r="AP37" s="173"/>
      <c r="AQ37" s="173"/>
      <c r="AR37" s="173"/>
      <c r="AS37" s="173"/>
      <c r="AT37" s="133"/>
    </row>
    <row r="38" spans="1:46" ht="15.75" x14ac:dyDescent="0.2">
      <c r="A38" s="133"/>
      <c r="B38" s="133"/>
      <c r="C38" s="146"/>
      <c r="D38" s="135" t="s">
        <v>117</v>
      </c>
      <c r="E38" s="135"/>
      <c r="F38" s="135"/>
      <c r="G38" s="135"/>
      <c r="H38" s="135"/>
      <c r="I38" s="133"/>
      <c r="J38" s="135"/>
      <c r="K38" s="135"/>
      <c r="L38" s="135"/>
      <c r="N38" s="135"/>
      <c r="O38" s="136"/>
      <c r="P38" s="138"/>
      <c r="Q38" s="138"/>
      <c r="R38" s="173"/>
      <c r="S38" s="173"/>
      <c r="T38" s="173"/>
      <c r="U38" s="173"/>
      <c r="V38" s="173"/>
      <c r="W38" s="173"/>
      <c r="X38" s="173"/>
      <c r="Y38" s="173"/>
      <c r="Z38" s="133"/>
      <c r="AA38" s="133"/>
      <c r="AB38" s="133"/>
      <c r="AC38" s="133"/>
      <c r="AD38" s="133"/>
      <c r="AF38" s="133"/>
      <c r="AG38" s="133"/>
      <c r="AI38" s="133"/>
      <c r="AJ38" s="133"/>
      <c r="AK38" s="173" t="s">
        <v>133</v>
      </c>
      <c r="AL38" s="173"/>
      <c r="AM38" s="173"/>
      <c r="AN38" s="173"/>
      <c r="AO38" s="173"/>
      <c r="AP38" s="173"/>
      <c r="AQ38" s="173"/>
      <c r="AR38" s="173"/>
      <c r="AS38" s="173"/>
      <c r="AT38" s="133"/>
    </row>
    <row r="39" spans="1:46" x14ac:dyDescent="0.2">
      <c r="A39" s="133"/>
      <c r="B39" s="133"/>
      <c r="C39" s="146"/>
      <c r="D39" s="146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47"/>
      <c r="P39" s="133"/>
      <c r="S39" s="133"/>
      <c r="T39" s="147"/>
      <c r="V39" s="133"/>
      <c r="W39" s="147"/>
      <c r="Y39" s="133"/>
      <c r="Z39" s="133"/>
      <c r="AA39" s="147"/>
      <c r="AB39" s="133"/>
      <c r="AC39" s="133"/>
      <c r="AD39" s="147"/>
      <c r="AE39" s="148"/>
      <c r="AF39" s="133"/>
      <c r="AG39" s="147"/>
      <c r="AI39" s="133"/>
      <c r="AJ39" s="147"/>
      <c r="AL39" s="133"/>
      <c r="AM39" s="147"/>
      <c r="AO39" s="133"/>
      <c r="AP39" s="147"/>
      <c r="AR39" s="133"/>
      <c r="AS39" s="133"/>
      <c r="AT39" s="133"/>
    </row>
    <row r="40" spans="1:46" x14ac:dyDescent="0.2">
      <c r="C40" s="146"/>
      <c r="D40" s="146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47"/>
      <c r="P40" s="133"/>
      <c r="Q40" s="133"/>
      <c r="R40" s="133"/>
      <c r="S40" s="133"/>
      <c r="T40" s="147"/>
      <c r="U40" s="149"/>
      <c r="V40" s="133"/>
      <c r="W40" s="147"/>
      <c r="X40" s="149"/>
      <c r="Y40" s="133"/>
      <c r="Z40" s="133"/>
      <c r="AA40" s="147"/>
      <c r="AB40" s="133"/>
      <c r="AC40" s="133"/>
      <c r="AD40" s="147"/>
      <c r="AE40" s="150"/>
      <c r="AF40" s="133"/>
      <c r="AG40" s="147"/>
      <c r="AH40" s="133"/>
      <c r="AI40" s="133"/>
      <c r="AJ40" s="147"/>
      <c r="AK40" s="150"/>
      <c r="AL40" s="133"/>
      <c r="AM40" s="147"/>
      <c r="AN40" s="133"/>
      <c r="AO40" s="133"/>
      <c r="AP40" s="147"/>
      <c r="AQ40" s="133"/>
      <c r="AR40" s="133"/>
    </row>
    <row r="41" spans="1:46" x14ac:dyDescent="0.2">
      <c r="C41" s="146"/>
      <c r="D41" s="146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47"/>
      <c r="P41" s="133"/>
      <c r="Q41" s="133"/>
      <c r="R41" s="133"/>
      <c r="S41" s="133"/>
      <c r="T41" s="147"/>
      <c r="U41" s="149"/>
      <c r="V41" s="133"/>
      <c r="W41" s="147"/>
      <c r="X41" s="149"/>
      <c r="Y41" s="133"/>
      <c r="Z41" s="133"/>
      <c r="AA41" s="147"/>
      <c r="AB41" s="133"/>
      <c r="AC41" s="133"/>
      <c r="AD41" s="147"/>
      <c r="AE41" s="150"/>
      <c r="AF41" s="133"/>
      <c r="AG41" s="147"/>
      <c r="AH41" s="133"/>
      <c r="AI41" s="133"/>
      <c r="AJ41" s="147"/>
      <c r="AK41" s="150"/>
      <c r="AL41" s="133"/>
      <c r="AM41" s="147"/>
      <c r="AN41" s="133"/>
      <c r="AO41" s="133"/>
      <c r="AP41" s="147"/>
      <c r="AQ41" s="133"/>
      <c r="AR41" s="133"/>
    </row>
    <row r="42" spans="1:46" x14ac:dyDescent="0.2">
      <c r="C42" s="146"/>
      <c r="D42" s="146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47"/>
      <c r="P42" s="133"/>
      <c r="Q42" s="133"/>
      <c r="R42" s="133"/>
      <c r="S42" s="133"/>
      <c r="T42" s="147"/>
      <c r="U42" s="149"/>
      <c r="V42" s="133"/>
      <c r="W42" s="147"/>
      <c r="X42" s="149"/>
      <c r="Y42" s="133"/>
      <c r="Z42" s="133"/>
      <c r="AA42" s="147"/>
      <c r="AB42" s="133"/>
      <c r="AC42" s="133"/>
      <c r="AD42" s="147"/>
      <c r="AE42" s="150"/>
      <c r="AF42" s="133"/>
      <c r="AG42" s="147"/>
      <c r="AH42" s="133"/>
      <c r="AI42" s="133"/>
      <c r="AJ42" s="147"/>
      <c r="AK42" s="150"/>
      <c r="AL42" s="133"/>
      <c r="AM42" s="147"/>
      <c r="AN42" s="133"/>
      <c r="AO42" s="133"/>
      <c r="AP42" s="147"/>
      <c r="AQ42" s="133"/>
      <c r="AR42" s="133"/>
      <c r="AS42" s="133"/>
    </row>
    <row r="43" spans="1:46" x14ac:dyDescent="0.2">
      <c r="C43" s="146"/>
      <c r="D43" s="146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47"/>
      <c r="P43" s="133"/>
      <c r="Q43" s="133"/>
      <c r="R43" s="133"/>
      <c r="S43" s="133"/>
      <c r="T43" s="147"/>
      <c r="U43" s="149"/>
      <c r="V43" s="133"/>
      <c r="W43" s="147"/>
      <c r="X43" s="149"/>
      <c r="Y43" s="133"/>
      <c r="Z43" s="133"/>
      <c r="AA43" s="147"/>
      <c r="AB43" s="133"/>
      <c r="AC43" s="133"/>
      <c r="AD43" s="147"/>
      <c r="AE43" s="150"/>
      <c r="AF43" s="133"/>
      <c r="AG43" s="147"/>
      <c r="AH43" s="133"/>
      <c r="AI43" s="133"/>
      <c r="AJ43" s="147"/>
      <c r="AK43" s="150"/>
      <c r="AL43" s="133"/>
      <c r="AM43" s="147"/>
      <c r="AN43" s="133"/>
      <c r="AO43" s="133"/>
      <c r="AP43" s="147"/>
      <c r="AQ43" s="133"/>
      <c r="AR43" s="133"/>
      <c r="AS43" s="133"/>
    </row>
    <row r="44" spans="1:46" x14ac:dyDescent="0.2">
      <c r="C44" s="146"/>
      <c r="D44" s="146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47"/>
      <c r="P44" s="133"/>
      <c r="Q44" s="133"/>
      <c r="R44" s="133"/>
      <c r="S44" s="133"/>
      <c r="T44" s="147"/>
      <c r="U44" s="149"/>
      <c r="V44" s="133"/>
      <c r="W44" s="147"/>
      <c r="X44" s="149"/>
      <c r="Y44" s="133"/>
      <c r="Z44" s="133"/>
      <c r="AA44" s="147"/>
      <c r="AB44" s="133"/>
      <c r="AC44" s="133"/>
      <c r="AD44" s="147"/>
      <c r="AE44" s="150"/>
      <c r="AF44" s="133"/>
      <c r="AG44" s="147"/>
      <c r="AH44" s="133"/>
      <c r="AI44" s="133"/>
      <c r="AJ44" s="147"/>
      <c r="AK44" s="150"/>
      <c r="AL44" s="133"/>
      <c r="AM44" s="147"/>
      <c r="AN44" s="133"/>
      <c r="AO44" s="133"/>
      <c r="AP44" s="147"/>
      <c r="AQ44" s="133"/>
      <c r="AR44" s="133"/>
      <c r="AS44" s="133"/>
    </row>
    <row r="45" spans="1:46" x14ac:dyDescent="0.2">
      <c r="C45" s="146"/>
      <c r="D45" s="146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47"/>
      <c r="P45" s="133"/>
      <c r="Q45" s="133"/>
      <c r="R45" s="133"/>
      <c r="S45" s="133"/>
      <c r="T45" s="147"/>
      <c r="U45" s="149"/>
      <c r="V45" s="133"/>
      <c r="W45" s="147"/>
      <c r="X45" s="149"/>
      <c r="Y45" s="133"/>
      <c r="Z45" s="133"/>
      <c r="AA45" s="147"/>
      <c r="AB45" s="133"/>
      <c r="AC45" s="133"/>
      <c r="AD45" s="147"/>
      <c r="AE45" s="150"/>
      <c r="AF45" s="133"/>
      <c r="AG45" s="147"/>
      <c r="AH45" s="133"/>
      <c r="AI45" s="133"/>
      <c r="AJ45" s="147"/>
      <c r="AK45" s="150"/>
      <c r="AL45" s="133"/>
      <c r="AM45" s="147"/>
      <c r="AN45" s="133"/>
      <c r="AO45" s="133"/>
      <c r="AP45" s="147"/>
      <c r="AQ45" s="133"/>
      <c r="AR45" s="133"/>
      <c r="AS45" s="133"/>
    </row>
    <row r="46" spans="1:46" x14ac:dyDescent="0.2">
      <c r="C46" s="146"/>
      <c r="D46" s="146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47"/>
      <c r="P46" s="133"/>
      <c r="Q46" s="133"/>
      <c r="R46" s="133"/>
      <c r="S46" s="133"/>
      <c r="T46" s="147"/>
      <c r="U46" s="149"/>
      <c r="V46" s="133"/>
      <c r="W46" s="147"/>
      <c r="X46" s="149"/>
      <c r="Y46" s="133"/>
      <c r="Z46" s="133"/>
      <c r="AA46" s="147"/>
      <c r="AB46" s="133"/>
      <c r="AC46" s="133"/>
      <c r="AD46" s="147"/>
      <c r="AE46" s="150"/>
      <c r="AF46" s="133"/>
      <c r="AG46" s="147"/>
      <c r="AH46" s="133"/>
      <c r="AI46" s="133"/>
      <c r="AJ46" s="147"/>
      <c r="AK46" s="150"/>
      <c r="AL46" s="133"/>
      <c r="AM46" s="147"/>
      <c r="AN46" s="133"/>
      <c r="AO46" s="133"/>
      <c r="AP46" s="147"/>
      <c r="AQ46" s="133"/>
      <c r="AR46" s="133"/>
    </row>
    <row r="47" spans="1:46" x14ac:dyDescent="0.2">
      <c r="C47" s="146"/>
      <c r="D47" s="146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47"/>
      <c r="P47" s="133"/>
      <c r="Q47" s="133"/>
      <c r="R47" s="133"/>
      <c r="S47" s="133"/>
      <c r="T47" s="147"/>
      <c r="U47" s="149"/>
      <c r="V47" s="133"/>
      <c r="W47" s="147"/>
      <c r="X47" s="149"/>
      <c r="Y47" s="133"/>
      <c r="Z47" s="133"/>
      <c r="AA47" s="147"/>
      <c r="AB47" s="133"/>
      <c r="AC47" s="133"/>
      <c r="AD47" s="147"/>
      <c r="AE47" s="150"/>
      <c r="AF47" s="133"/>
      <c r="AG47" s="147"/>
      <c r="AH47" s="133"/>
      <c r="AI47" s="133"/>
      <c r="AJ47" s="147"/>
      <c r="AK47" s="150"/>
      <c r="AL47" s="133"/>
      <c r="AM47" s="147"/>
      <c r="AN47" s="133"/>
      <c r="AO47" s="133"/>
      <c r="AP47" s="147"/>
      <c r="AQ47" s="133"/>
      <c r="AR47" s="133"/>
    </row>
    <row r="48" spans="1:46" x14ac:dyDescent="0.2">
      <c r="C48" s="146"/>
      <c r="D48" s="146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47"/>
      <c r="P48" s="133"/>
      <c r="Q48" s="133"/>
      <c r="R48" s="133"/>
      <c r="S48" s="133"/>
      <c r="T48" s="147"/>
      <c r="U48" s="149"/>
      <c r="V48" s="133"/>
      <c r="W48" s="147"/>
      <c r="X48" s="149"/>
      <c r="Y48" s="133"/>
      <c r="Z48" s="133"/>
      <c r="AA48" s="147"/>
      <c r="AB48" s="133"/>
      <c r="AC48" s="133"/>
      <c r="AD48" s="147"/>
      <c r="AE48" s="150"/>
      <c r="AF48" s="133"/>
      <c r="AG48" s="147"/>
      <c r="AH48" s="133"/>
      <c r="AI48" s="133"/>
      <c r="AJ48" s="147"/>
      <c r="AK48" s="150"/>
      <c r="AL48" s="133"/>
      <c r="AM48" s="147"/>
      <c r="AN48" s="133"/>
      <c r="AO48" s="133"/>
      <c r="AP48" s="147"/>
      <c r="AQ48" s="133"/>
      <c r="AR48" s="133"/>
    </row>
    <row r="49" spans="3:44" x14ac:dyDescent="0.2">
      <c r="C49" s="146"/>
      <c r="D49" s="146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47"/>
      <c r="P49" s="133"/>
      <c r="Q49" s="133"/>
      <c r="R49" s="133"/>
      <c r="S49" s="133"/>
      <c r="T49" s="147"/>
      <c r="U49" s="149"/>
      <c r="V49" s="133"/>
      <c r="W49" s="147"/>
      <c r="X49" s="149"/>
      <c r="Y49" s="133"/>
      <c r="Z49" s="133"/>
      <c r="AA49" s="147"/>
      <c r="AB49" s="133"/>
      <c r="AC49" s="133"/>
      <c r="AD49" s="147"/>
      <c r="AE49" s="150"/>
      <c r="AF49" s="133"/>
      <c r="AG49" s="147"/>
      <c r="AH49" s="133"/>
      <c r="AI49" s="133"/>
      <c r="AJ49" s="147"/>
      <c r="AK49" s="150"/>
      <c r="AL49" s="133"/>
      <c r="AM49" s="147"/>
      <c r="AN49" s="133"/>
      <c r="AO49" s="133"/>
      <c r="AP49" s="147"/>
      <c r="AQ49" s="133"/>
      <c r="AR49" s="133"/>
    </row>
    <row r="50" spans="3:44" x14ac:dyDescent="0.2">
      <c r="C50" s="146"/>
      <c r="D50" s="146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47"/>
      <c r="P50" s="133"/>
      <c r="Q50" s="133"/>
      <c r="R50" s="133"/>
      <c r="S50" s="133"/>
      <c r="T50" s="147"/>
      <c r="U50" s="149"/>
      <c r="V50" s="133"/>
      <c r="W50" s="147"/>
      <c r="X50" s="149"/>
      <c r="Y50" s="133"/>
      <c r="Z50" s="133"/>
      <c r="AA50" s="147"/>
      <c r="AB50" s="133"/>
      <c r="AC50" s="133"/>
      <c r="AD50" s="147"/>
      <c r="AE50" s="150"/>
      <c r="AF50" s="133"/>
      <c r="AG50" s="147"/>
      <c r="AH50" s="133"/>
      <c r="AI50" s="133"/>
      <c r="AJ50" s="147"/>
      <c r="AK50" s="150"/>
      <c r="AL50" s="133"/>
      <c r="AM50" s="147"/>
      <c r="AN50" s="133"/>
      <c r="AO50" s="133"/>
      <c r="AP50" s="147"/>
      <c r="AQ50" s="133"/>
      <c r="AR50" s="133"/>
    </row>
    <row r="51" spans="3:44" x14ac:dyDescent="0.2">
      <c r="C51" s="146"/>
      <c r="D51" s="146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47"/>
      <c r="P51" s="133"/>
      <c r="Q51" s="133"/>
      <c r="R51" s="133"/>
      <c r="S51" s="133"/>
      <c r="T51" s="147"/>
      <c r="U51" s="149"/>
      <c r="V51" s="133"/>
      <c r="W51" s="147"/>
      <c r="X51" s="149"/>
      <c r="Y51" s="133"/>
      <c r="Z51" s="133"/>
      <c r="AA51" s="147"/>
      <c r="AB51" s="133"/>
      <c r="AC51" s="133"/>
      <c r="AD51" s="147"/>
      <c r="AE51" s="150"/>
      <c r="AF51" s="133"/>
      <c r="AG51" s="147"/>
      <c r="AH51" s="133"/>
      <c r="AI51" s="133"/>
      <c r="AJ51" s="147"/>
      <c r="AK51" s="150"/>
      <c r="AL51" s="133"/>
      <c r="AM51" s="147"/>
      <c r="AN51" s="133"/>
      <c r="AO51" s="133"/>
      <c r="AP51" s="147"/>
      <c r="AQ51" s="133"/>
      <c r="AR51" s="133"/>
    </row>
    <row r="52" spans="3:44" x14ac:dyDescent="0.2">
      <c r="C52" s="146"/>
      <c r="D52" s="146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47"/>
      <c r="P52" s="133"/>
      <c r="Q52" s="133"/>
      <c r="R52" s="133"/>
      <c r="S52" s="133"/>
      <c r="T52" s="147"/>
      <c r="U52" s="149"/>
      <c r="V52" s="133"/>
      <c r="W52" s="147"/>
      <c r="X52" s="149"/>
      <c r="Y52" s="133"/>
      <c r="Z52" s="133"/>
      <c r="AA52" s="147"/>
      <c r="AB52" s="133"/>
      <c r="AC52" s="133"/>
      <c r="AD52" s="147"/>
      <c r="AE52" s="150"/>
      <c r="AF52" s="133"/>
      <c r="AG52" s="147"/>
      <c r="AH52" s="133"/>
      <c r="AI52" s="133"/>
      <c r="AJ52" s="147"/>
      <c r="AK52" s="150"/>
      <c r="AL52" s="133"/>
      <c r="AM52" s="147"/>
      <c r="AN52" s="133"/>
      <c r="AO52" s="133"/>
      <c r="AP52" s="147"/>
      <c r="AQ52" s="133"/>
      <c r="AR52" s="133"/>
    </row>
    <row r="53" spans="3:44" x14ac:dyDescent="0.2">
      <c r="C53" s="146"/>
      <c r="D53" s="146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47"/>
      <c r="P53" s="133"/>
      <c r="Q53" s="133"/>
      <c r="R53" s="133"/>
      <c r="S53" s="133"/>
      <c r="T53" s="147"/>
      <c r="U53" s="149"/>
      <c r="V53" s="133"/>
      <c r="W53" s="147"/>
      <c r="X53" s="149"/>
      <c r="Y53" s="133"/>
      <c r="Z53" s="133"/>
      <c r="AA53" s="147"/>
      <c r="AB53" s="133"/>
      <c r="AC53" s="133"/>
      <c r="AD53" s="147"/>
      <c r="AE53" s="150"/>
      <c r="AF53" s="133"/>
      <c r="AG53" s="147"/>
      <c r="AH53" s="133"/>
      <c r="AI53" s="133"/>
      <c r="AJ53" s="147"/>
      <c r="AK53" s="150"/>
      <c r="AL53" s="133"/>
      <c r="AM53" s="147"/>
      <c r="AN53" s="133"/>
      <c r="AO53" s="133"/>
      <c r="AP53" s="147"/>
      <c r="AQ53" s="133"/>
      <c r="AR53" s="133"/>
    </row>
    <row r="54" spans="3:44" x14ac:dyDescent="0.2">
      <c r="C54" s="146"/>
      <c r="D54" s="146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47"/>
      <c r="P54" s="133"/>
      <c r="Q54" s="133"/>
      <c r="R54" s="133"/>
      <c r="S54" s="133"/>
      <c r="T54" s="147"/>
      <c r="U54" s="149"/>
      <c r="V54" s="133"/>
      <c r="W54" s="147"/>
      <c r="X54" s="149"/>
      <c r="Y54" s="133"/>
      <c r="Z54" s="133"/>
      <c r="AA54" s="147"/>
      <c r="AB54" s="133"/>
      <c r="AC54" s="133"/>
      <c r="AD54" s="147"/>
      <c r="AE54" s="150"/>
      <c r="AF54" s="133"/>
      <c r="AG54" s="147"/>
      <c r="AH54" s="133"/>
      <c r="AI54" s="133"/>
      <c r="AJ54" s="147"/>
      <c r="AK54" s="150"/>
      <c r="AL54" s="133"/>
      <c r="AM54" s="147"/>
      <c r="AN54" s="133"/>
      <c r="AO54" s="133"/>
      <c r="AP54" s="147"/>
      <c r="AQ54" s="133"/>
      <c r="AR54" s="133"/>
    </row>
    <row r="55" spans="3:44" x14ac:dyDescent="0.2">
      <c r="C55" s="134"/>
      <c r="D55" s="151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47"/>
      <c r="P55" s="133"/>
      <c r="Q55" s="133"/>
      <c r="R55" s="133"/>
      <c r="S55" s="133"/>
      <c r="T55" s="147"/>
      <c r="U55" s="149"/>
      <c r="V55" s="133"/>
      <c r="W55" s="147"/>
      <c r="X55" s="149"/>
      <c r="Y55" s="133"/>
      <c r="Z55" s="133"/>
      <c r="AA55" s="147"/>
      <c r="AB55" s="133"/>
      <c r="AC55" s="133"/>
      <c r="AD55" s="147"/>
      <c r="AE55" s="150"/>
      <c r="AF55" s="133"/>
      <c r="AG55" s="147"/>
      <c r="AH55" s="133"/>
      <c r="AI55" s="133"/>
      <c r="AJ55" s="147"/>
      <c r="AK55" s="150"/>
      <c r="AL55" s="133"/>
      <c r="AM55" s="147"/>
      <c r="AN55" s="133"/>
      <c r="AO55" s="133"/>
      <c r="AP55" s="147"/>
      <c r="AQ55" s="133"/>
      <c r="AR55" s="133"/>
    </row>
    <row r="56" spans="3:44" x14ac:dyDescent="0.2">
      <c r="C56" s="134"/>
      <c r="D56" s="151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47"/>
      <c r="P56" s="133"/>
      <c r="Q56" s="133"/>
      <c r="R56" s="133"/>
      <c r="S56" s="133"/>
      <c r="T56" s="147"/>
      <c r="U56" s="149"/>
      <c r="V56" s="133"/>
      <c r="W56" s="147"/>
      <c r="X56" s="149"/>
      <c r="Y56" s="133"/>
      <c r="Z56" s="133"/>
      <c r="AA56" s="147"/>
      <c r="AB56" s="133"/>
      <c r="AC56" s="133"/>
      <c r="AD56" s="147"/>
      <c r="AE56" s="150"/>
      <c r="AF56" s="133"/>
      <c r="AG56" s="147"/>
      <c r="AH56" s="133"/>
      <c r="AI56" s="133"/>
      <c r="AJ56" s="147"/>
      <c r="AK56" s="150"/>
      <c r="AL56" s="133"/>
      <c r="AM56" s="147"/>
      <c r="AN56" s="133"/>
      <c r="AO56" s="133"/>
      <c r="AP56" s="147"/>
      <c r="AQ56" s="133"/>
      <c r="AR56" s="133"/>
    </row>
    <row r="57" spans="3:44" x14ac:dyDescent="0.2">
      <c r="C57" s="134"/>
      <c r="D57" s="151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47"/>
      <c r="P57" s="133"/>
      <c r="Q57" s="133"/>
      <c r="R57" s="133"/>
      <c r="S57" s="133"/>
      <c r="T57" s="147"/>
      <c r="U57" s="149"/>
      <c r="V57" s="133"/>
      <c r="W57" s="147"/>
      <c r="X57" s="149"/>
      <c r="Y57" s="133"/>
      <c r="Z57" s="133"/>
      <c r="AA57" s="147"/>
      <c r="AB57" s="133"/>
      <c r="AC57" s="133"/>
      <c r="AD57" s="147"/>
      <c r="AE57" s="150"/>
      <c r="AF57" s="133"/>
      <c r="AG57" s="147"/>
      <c r="AH57" s="133"/>
      <c r="AI57" s="133"/>
      <c r="AJ57" s="147"/>
      <c r="AK57" s="150"/>
      <c r="AL57" s="133"/>
      <c r="AM57" s="147"/>
      <c r="AN57" s="133"/>
      <c r="AO57" s="133"/>
      <c r="AP57" s="147"/>
      <c r="AQ57" s="133"/>
      <c r="AR57" s="133"/>
    </row>
    <row r="58" spans="3:44" x14ac:dyDescent="0.2">
      <c r="C58" s="134"/>
      <c r="D58" s="151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47"/>
      <c r="P58" s="133"/>
      <c r="Q58" s="133"/>
      <c r="R58" s="133"/>
      <c r="S58" s="133"/>
      <c r="T58" s="147"/>
      <c r="U58" s="149"/>
      <c r="V58" s="133"/>
      <c r="W58" s="147"/>
      <c r="X58" s="149"/>
      <c r="Y58" s="133"/>
      <c r="Z58" s="133"/>
      <c r="AA58" s="147"/>
      <c r="AB58" s="133"/>
      <c r="AC58" s="133"/>
      <c r="AD58" s="147"/>
      <c r="AE58" s="150"/>
      <c r="AF58" s="133"/>
      <c r="AG58" s="147"/>
      <c r="AH58" s="133"/>
      <c r="AI58" s="133"/>
      <c r="AJ58" s="147"/>
      <c r="AK58" s="150"/>
      <c r="AL58" s="133"/>
      <c r="AM58" s="147"/>
      <c r="AN58" s="133"/>
      <c r="AO58" s="133"/>
      <c r="AP58" s="147"/>
      <c r="AQ58" s="133"/>
      <c r="AR58" s="133"/>
    </row>
    <row r="59" spans="3:44" x14ac:dyDescent="0.2">
      <c r="C59" s="146"/>
      <c r="D59" s="146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47"/>
      <c r="P59" s="133"/>
      <c r="Q59" s="133"/>
      <c r="R59" s="133"/>
      <c r="S59" s="133"/>
      <c r="T59" s="147"/>
      <c r="U59" s="149"/>
      <c r="V59" s="133"/>
      <c r="W59" s="147"/>
      <c r="X59" s="149"/>
      <c r="Y59" s="133"/>
      <c r="Z59" s="133"/>
      <c r="AA59" s="147"/>
      <c r="AC59" s="133"/>
      <c r="AD59" s="147"/>
      <c r="AF59" s="133"/>
      <c r="AG59" s="147"/>
      <c r="AI59" s="133"/>
      <c r="AJ59" s="147"/>
      <c r="AL59" s="133"/>
      <c r="AM59" s="147"/>
      <c r="AO59" s="133"/>
      <c r="AP59" s="147"/>
    </row>
    <row r="60" spans="3:44" x14ac:dyDescent="0.2">
      <c r="C60" s="146"/>
      <c r="D60" s="146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47"/>
      <c r="P60" s="133"/>
      <c r="Q60" s="133"/>
      <c r="R60" s="133"/>
      <c r="S60" s="133"/>
      <c r="T60" s="147"/>
      <c r="U60" s="149"/>
      <c r="V60" s="133"/>
      <c r="W60" s="147"/>
      <c r="X60" s="149"/>
      <c r="Y60" s="133"/>
      <c r="Z60" s="133"/>
      <c r="AA60" s="147"/>
      <c r="AC60" s="133"/>
      <c r="AD60" s="147"/>
      <c r="AF60" s="133"/>
      <c r="AG60" s="147"/>
      <c r="AI60" s="133"/>
      <c r="AJ60" s="147"/>
      <c r="AL60" s="133"/>
      <c r="AM60" s="147"/>
      <c r="AO60" s="133"/>
      <c r="AP60" s="147"/>
    </row>
    <row r="61" spans="3:44" x14ac:dyDescent="0.2">
      <c r="C61" s="146"/>
      <c r="D61" s="146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47"/>
      <c r="P61" s="133"/>
      <c r="Q61" s="133"/>
      <c r="R61" s="133"/>
      <c r="S61" s="133"/>
      <c r="T61" s="147"/>
      <c r="U61" s="149"/>
      <c r="V61" s="133"/>
      <c r="W61" s="147"/>
      <c r="X61" s="149"/>
      <c r="Y61" s="133"/>
      <c r="Z61" s="133"/>
      <c r="AA61" s="147"/>
      <c r="AC61" s="133"/>
      <c r="AD61" s="147"/>
      <c r="AF61" s="133"/>
      <c r="AG61" s="147"/>
      <c r="AI61" s="133"/>
      <c r="AJ61" s="147"/>
      <c r="AL61" s="133"/>
      <c r="AM61" s="147"/>
      <c r="AO61" s="133"/>
      <c r="AP61" s="147"/>
    </row>
    <row r="62" spans="3:44" x14ac:dyDescent="0.2">
      <c r="C62" s="146"/>
      <c r="D62" s="146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47"/>
      <c r="P62" s="133"/>
      <c r="Q62" s="133"/>
      <c r="R62" s="133"/>
      <c r="S62" s="133"/>
      <c r="T62" s="147"/>
      <c r="U62" s="149"/>
      <c r="V62" s="133"/>
      <c r="W62" s="147"/>
      <c r="X62" s="149"/>
      <c r="Y62" s="133"/>
      <c r="Z62" s="133"/>
      <c r="AA62" s="147"/>
      <c r="AC62" s="133"/>
      <c r="AD62" s="147"/>
      <c r="AF62" s="133"/>
      <c r="AG62" s="147"/>
      <c r="AI62" s="133"/>
      <c r="AJ62" s="147"/>
      <c r="AL62" s="133"/>
      <c r="AM62" s="147"/>
      <c r="AO62" s="133"/>
      <c r="AP62" s="147"/>
    </row>
    <row r="63" spans="3:44" x14ac:dyDescent="0.2">
      <c r="C63" s="146"/>
      <c r="D63" s="146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47"/>
      <c r="P63" s="133"/>
      <c r="Q63" s="133"/>
      <c r="R63" s="133"/>
      <c r="S63" s="133"/>
      <c r="T63" s="147"/>
      <c r="U63" s="149"/>
      <c r="V63" s="133"/>
      <c r="W63" s="147"/>
      <c r="X63" s="149"/>
      <c r="Y63" s="133"/>
      <c r="Z63" s="133"/>
      <c r="AA63" s="147"/>
      <c r="AC63" s="133"/>
      <c r="AD63" s="147"/>
      <c r="AF63" s="133"/>
      <c r="AG63" s="147"/>
      <c r="AI63" s="133"/>
      <c r="AJ63" s="147"/>
      <c r="AL63" s="133"/>
      <c r="AM63" s="147"/>
      <c r="AO63" s="133"/>
      <c r="AP63" s="147"/>
    </row>
    <row r="64" spans="3:44" x14ac:dyDescent="0.2">
      <c r="C64" s="146"/>
      <c r="D64" s="146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47"/>
      <c r="P64" s="133"/>
      <c r="Q64" s="133"/>
      <c r="R64" s="133"/>
      <c r="S64" s="133"/>
      <c r="T64" s="147"/>
      <c r="U64" s="149"/>
      <c r="V64" s="133"/>
      <c r="W64" s="147"/>
      <c r="X64" s="149"/>
      <c r="Y64" s="133"/>
      <c r="Z64" s="133"/>
      <c r="AA64" s="147"/>
      <c r="AC64" s="133"/>
      <c r="AD64" s="147"/>
      <c r="AF64" s="133"/>
      <c r="AG64" s="147"/>
      <c r="AI64" s="133"/>
      <c r="AJ64" s="147"/>
      <c r="AL64" s="133"/>
      <c r="AM64" s="147"/>
      <c r="AO64" s="133"/>
      <c r="AP64" s="147"/>
    </row>
    <row r="65" spans="3:45" x14ac:dyDescent="0.2">
      <c r="C65" s="140"/>
      <c r="D65" s="140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47"/>
      <c r="P65" s="149"/>
      <c r="Q65" s="133"/>
      <c r="R65" s="149"/>
      <c r="S65" s="133"/>
      <c r="T65" s="147"/>
      <c r="U65" s="149"/>
      <c r="V65" s="133"/>
      <c r="W65" s="147"/>
      <c r="X65" s="149"/>
      <c r="Y65" s="133"/>
      <c r="Z65" s="133"/>
      <c r="AA65" s="147"/>
      <c r="AB65" s="133"/>
      <c r="AC65" s="133"/>
      <c r="AD65" s="147"/>
      <c r="AE65" s="150"/>
      <c r="AF65" s="133"/>
      <c r="AG65" s="147"/>
      <c r="AH65" s="133"/>
      <c r="AI65" s="133"/>
      <c r="AJ65" s="147"/>
      <c r="AK65" s="150"/>
      <c r="AL65" s="133"/>
      <c r="AM65" s="147"/>
      <c r="AN65" s="133"/>
      <c r="AO65" s="133"/>
      <c r="AP65" s="147"/>
      <c r="AQ65" s="133"/>
      <c r="AR65" s="133"/>
    </row>
    <row r="66" spans="3:45" x14ac:dyDescent="0.2">
      <c r="C66" s="146"/>
      <c r="D66" s="146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47"/>
      <c r="P66" s="133"/>
      <c r="Q66" s="133"/>
      <c r="R66" s="133"/>
      <c r="S66" s="133"/>
      <c r="T66" s="147"/>
      <c r="U66" s="133"/>
      <c r="V66" s="133"/>
      <c r="W66" s="147"/>
      <c r="X66" s="133"/>
      <c r="Y66" s="133"/>
      <c r="Z66" s="133"/>
      <c r="AA66" s="147"/>
      <c r="AB66" s="133"/>
      <c r="AC66" s="133"/>
      <c r="AD66" s="147"/>
      <c r="AE66" s="150"/>
      <c r="AF66" s="133"/>
      <c r="AG66" s="147"/>
      <c r="AH66" s="133"/>
      <c r="AI66" s="133"/>
      <c r="AJ66" s="147"/>
      <c r="AK66" s="150"/>
      <c r="AL66" s="133"/>
      <c r="AM66" s="147"/>
      <c r="AN66" s="133"/>
      <c r="AO66" s="133"/>
      <c r="AP66" s="147"/>
      <c r="AQ66" s="133"/>
      <c r="AR66" s="133"/>
    </row>
    <row r="67" spans="3:45" x14ac:dyDescent="0.2">
      <c r="C67" s="134"/>
      <c r="D67" s="146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47"/>
      <c r="P67" s="133"/>
      <c r="Q67" s="133"/>
      <c r="R67" s="133"/>
      <c r="S67" s="133"/>
      <c r="T67" s="147"/>
      <c r="U67" s="133"/>
      <c r="V67" s="133"/>
      <c r="W67" s="147"/>
      <c r="X67" s="133"/>
      <c r="Y67" s="133"/>
      <c r="Z67" s="133"/>
      <c r="AA67" s="147"/>
      <c r="AB67" s="133"/>
      <c r="AC67" s="133"/>
      <c r="AD67" s="147"/>
      <c r="AE67" s="150"/>
      <c r="AF67" s="133"/>
      <c r="AG67" s="147"/>
      <c r="AH67" s="133"/>
      <c r="AI67" s="133"/>
      <c r="AJ67" s="147"/>
      <c r="AK67" s="150"/>
      <c r="AL67" s="133"/>
      <c r="AM67" s="147"/>
      <c r="AN67" s="133"/>
      <c r="AO67" s="133"/>
      <c r="AP67" s="147"/>
      <c r="AQ67" s="133"/>
      <c r="AR67" s="133"/>
    </row>
    <row r="68" spans="3:45" x14ac:dyDescent="0.2">
      <c r="C68" s="146"/>
      <c r="D68" s="146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47"/>
      <c r="P68" s="133"/>
      <c r="Q68" s="133"/>
      <c r="R68" s="133"/>
      <c r="S68" s="133"/>
      <c r="T68" s="147"/>
      <c r="U68" s="133"/>
      <c r="V68" s="133"/>
      <c r="W68" s="147"/>
      <c r="X68" s="133"/>
      <c r="Y68" s="133"/>
      <c r="Z68" s="133"/>
      <c r="AA68" s="147"/>
      <c r="AB68" s="133"/>
      <c r="AC68" s="133"/>
      <c r="AD68" s="147"/>
      <c r="AE68" s="150"/>
      <c r="AF68" s="133"/>
      <c r="AG68" s="147"/>
      <c r="AH68" s="133"/>
      <c r="AI68" s="133"/>
      <c r="AJ68" s="147"/>
      <c r="AK68" s="150"/>
      <c r="AL68" s="133"/>
      <c r="AM68" s="147"/>
      <c r="AN68" s="133"/>
      <c r="AO68" s="133"/>
      <c r="AP68" s="147"/>
      <c r="AQ68" s="133"/>
      <c r="AR68" s="133"/>
    </row>
    <row r="69" spans="3:45" x14ac:dyDescent="0.2">
      <c r="C69" s="146"/>
      <c r="D69" s="146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47"/>
      <c r="P69" s="133"/>
      <c r="Q69" s="133"/>
      <c r="R69" s="133"/>
      <c r="S69" s="133"/>
      <c r="T69" s="147"/>
      <c r="U69" s="133"/>
      <c r="V69" s="133"/>
      <c r="W69" s="147"/>
      <c r="X69" s="133"/>
      <c r="Y69" s="133"/>
      <c r="Z69" s="133"/>
      <c r="AA69" s="147"/>
      <c r="AB69" s="133"/>
      <c r="AC69" s="133"/>
      <c r="AD69" s="147"/>
      <c r="AE69" s="150"/>
      <c r="AF69" s="133"/>
      <c r="AG69" s="147"/>
      <c r="AH69" s="133"/>
      <c r="AI69" s="133"/>
      <c r="AJ69" s="147"/>
      <c r="AK69" s="150"/>
      <c r="AL69" s="133"/>
      <c r="AM69" s="147"/>
      <c r="AN69" s="133"/>
      <c r="AO69" s="133"/>
      <c r="AP69" s="147"/>
      <c r="AQ69" s="133"/>
      <c r="AR69" s="133"/>
    </row>
    <row r="70" spans="3:45" x14ac:dyDescent="0.2">
      <c r="C70" s="146"/>
      <c r="D70" s="146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47"/>
      <c r="P70" s="133"/>
      <c r="Q70" s="133"/>
      <c r="R70" s="133"/>
      <c r="S70" s="133"/>
      <c r="T70" s="147"/>
      <c r="U70" s="133"/>
      <c r="V70" s="133"/>
      <c r="W70" s="147"/>
      <c r="X70" s="133"/>
      <c r="Y70" s="133"/>
      <c r="Z70" s="133"/>
      <c r="AA70" s="147"/>
      <c r="AB70" s="133"/>
      <c r="AC70" s="133"/>
      <c r="AD70" s="147"/>
      <c r="AE70" s="150"/>
      <c r="AF70" s="133"/>
      <c r="AG70" s="147"/>
      <c r="AH70" s="133"/>
      <c r="AI70" s="133"/>
      <c r="AJ70" s="147"/>
      <c r="AK70" s="150"/>
      <c r="AL70" s="133"/>
      <c r="AM70" s="147"/>
      <c r="AN70" s="133"/>
      <c r="AO70" s="133"/>
      <c r="AP70" s="147"/>
      <c r="AQ70" s="133"/>
      <c r="AR70" s="133"/>
    </row>
    <row r="71" spans="3:45" x14ac:dyDescent="0.2">
      <c r="C71" s="146"/>
      <c r="D71" s="146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47"/>
      <c r="P71" s="133"/>
      <c r="Q71" s="152"/>
      <c r="R71" s="133"/>
      <c r="S71" s="133"/>
      <c r="T71" s="147"/>
      <c r="U71" s="133"/>
      <c r="V71" s="133"/>
      <c r="W71" s="147"/>
      <c r="X71" s="133"/>
      <c r="Y71" s="133"/>
      <c r="Z71" s="133"/>
      <c r="AA71" s="147"/>
      <c r="AB71" s="133"/>
      <c r="AC71" s="133"/>
      <c r="AD71" s="147"/>
      <c r="AE71" s="150"/>
      <c r="AF71" s="133"/>
      <c r="AG71" s="147"/>
      <c r="AH71" s="133"/>
      <c r="AI71" s="133"/>
      <c r="AJ71" s="147"/>
      <c r="AK71" s="150"/>
      <c r="AL71" s="133"/>
      <c r="AM71" s="147"/>
      <c r="AN71" s="133"/>
      <c r="AO71" s="133"/>
      <c r="AP71" s="147"/>
      <c r="AQ71" s="133"/>
      <c r="AR71" s="133"/>
    </row>
    <row r="72" spans="3:45" x14ac:dyDescent="0.2">
      <c r="C72" s="146"/>
      <c r="D72" s="146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47"/>
      <c r="P72" s="133"/>
      <c r="Q72" s="152"/>
      <c r="R72" s="133"/>
      <c r="S72" s="133"/>
      <c r="T72" s="147"/>
      <c r="U72" s="133"/>
      <c r="V72" s="133"/>
      <c r="W72" s="147"/>
      <c r="X72" s="133"/>
      <c r="Y72" s="133"/>
      <c r="Z72" s="133"/>
      <c r="AA72" s="147"/>
      <c r="AB72" s="133"/>
      <c r="AC72" s="133"/>
      <c r="AD72" s="147"/>
      <c r="AE72" s="150"/>
      <c r="AF72" s="133"/>
      <c r="AG72" s="147"/>
      <c r="AH72" s="133"/>
      <c r="AI72" s="133"/>
      <c r="AJ72" s="147"/>
      <c r="AK72" s="150"/>
      <c r="AL72" s="133"/>
      <c r="AM72" s="147"/>
      <c r="AN72" s="133"/>
      <c r="AO72" s="133"/>
      <c r="AP72" s="147"/>
      <c r="AQ72" s="133"/>
      <c r="AR72" s="133"/>
    </row>
    <row r="73" spans="3:45" x14ac:dyDescent="0.2">
      <c r="C73" s="146"/>
      <c r="D73" s="146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47"/>
      <c r="P73" s="133"/>
      <c r="Q73" s="152"/>
      <c r="R73" s="133"/>
      <c r="S73" s="133"/>
      <c r="T73" s="147"/>
      <c r="U73" s="133"/>
      <c r="V73" s="133"/>
      <c r="W73" s="147"/>
      <c r="X73" s="133"/>
      <c r="Y73" s="133"/>
      <c r="Z73" s="133"/>
      <c r="AA73" s="147"/>
      <c r="AB73" s="133"/>
      <c r="AC73" s="133"/>
      <c r="AD73" s="147"/>
      <c r="AE73" s="150"/>
      <c r="AF73" s="133"/>
      <c r="AG73" s="147"/>
      <c r="AH73" s="133"/>
      <c r="AI73" s="133"/>
      <c r="AJ73" s="147"/>
      <c r="AK73" s="150"/>
      <c r="AL73" s="133"/>
      <c r="AM73" s="147"/>
      <c r="AN73" s="133"/>
      <c r="AO73" s="133"/>
      <c r="AP73" s="147"/>
      <c r="AQ73" s="133"/>
      <c r="AR73" s="133"/>
    </row>
    <row r="74" spans="3:45" x14ac:dyDescent="0.2">
      <c r="C74" s="146"/>
      <c r="D74" s="146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47"/>
      <c r="P74" s="133"/>
      <c r="Q74" s="152"/>
      <c r="R74" s="133"/>
      <c r="S74" s="133"/>
      <c r="T74" s="147"/>
      <c r="U74" s="133"/>
      <c r="V74" s="133"/>
      <c r="W74" s="147"/>
      <c r="X74" s="133"/>
      <c r="Y74" s="133"/>
      <c r="Z74" s="133"/>
      <c r="AA74" s="147"/>
      <c r="AB74" s="133"/>
      <c r="AC74" s="133"/>
      <c r="AD74" s="147"/>
      <c r="AE74" s="150"/>
      <c r="AF74" s="133"/>
      <c r="AG74" s="147"/>
      <c r="AH74" s="133"/>
      <c r="AI74" s="133"/>
      <c r="AJ74" s="147"/>
      <c r="AK74" s="150"/>
      <c r="AL74" s="133"/>
      <c r="AM74" s="147"/>
      <c r="AN74" s="133"/>
      <c r="AO74" s="133"/>
      <c r="AP74" s="147"/>
      <c r="AQ74" s="133"/>
      <c r="AR74" s="133"/>
      <c r="AS74" s="133"/>
    </row>
    <row r="75" spans="3:45" x14ac:dyDescent="0.2">
      <c r="C75" s="146"/>
      <c r="D75" s="146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47"/>
      <c r="P75" s="133"/>
      <c r="Q75" s="152"/>
      <c r="R75" s="133"/>
      <c r="S75" s="133"/>
      <c r="T75" s="147"/>
      <c r="U75" s="133"/>
      <c r="V75" s="133"/>
      <c r="W75" s="147"/>
      <c r="X75" s="133"/>
      <c r="Y75" s="133"/>
      <c r="Z75" s="133"/>
      <c r="AA75" s="147"/>
      <c r="AB75" s="133"/>
      <c r="AC75" s="133"/>
      <c r="AD75" s="147"/>
      <c r="AE75" s="150"/>
      <c r="AF75" s="133"/>
      <c r="AG75" s="147"/>
      <c r="AH75" s="133"/>
      <c r="AI75" s="133"/>
      <c r="AJ75" s="147"/>
      <c r="AK75" s="150"/>
      <c r="AL75" s="133"/>
      <c r="AM75" s="147"/>
      <c r="AN75" s="133"/>
      <c r="AO75" s="133"/>
      <c r="AP75" s="147"/>
      <c r="AQ75" s="133"/>
      <c r="AR75" s="133"/>
      <c r="AS75" s="133"/>
    </row>
    <row r="76" spans="3:45" x14ac:dyDescent="0.2">
      <c r="C76" s="146"/>
      <c r="D76" s="146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47"/>
      <c r="P76" s="133"/>
      <c r="Q76" s="152"/>
      <c r="R76" s="133"/>
      <c r="S76" s="133"/>
      <c r="T76" s="147"/>
      <c r="U76" s="133"/>
      <c r="V76" s="133"/>
      <c r="W76" s="147"/>
      <c r="X76" s="133"/>
      <c r="Y76" s="133"/>
      <c r="Z76" s="133"/>
      <c r="AA76" s="147"/>
      <c r="AC76" s="133"/>
      <c r="AD76" s="147"/>
      <c r="AF76" s="133"/>
      <c r="AG76" s="147"/>
      <c r="AI76" s="133"/>
      <c r="AJ76" s="147"/>
      <c r="AL76" s="133"/>
      <c r="AM76" s="147"/>
      <c r="AO76" s="133"/>
      <c r="AP76" s="147"/>
      <c r="AS76" s="133"/>
    </row>
    <row r="77" spans="3:45" x14ac:dyDescent="0.2">
      <c r="C77" s="146"/>
      <c r="D77" s="146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47"/>
      <c r="P77" s="133"/>
      <c r="Q77" s="152"/>
      <c r="R77" s="133"/>
      <c r="S77" s="133"/>
      <c r="T77" s="147"/>
      <c r="U77" s="133"/>
      <c r="V77" s="133"/>
      <c r="W77" s="147"/>
      <c r="X77" s="133"/>
      <c r="Y77" s="133"/>
      <c r="Z77" s="133"/>
      <c r="AA77" s="147"/>
      <c r="AC77" s="133"/>
      <c r="AD77" s="147"/>
      <c r="AF77" s="133"/>
      <c r="AG77" s="147"/>
      <c r="AI77" s="133"/>
      <c r="AJ77" s="147"/>
      <c r="AL77" s="133"/>
      <c r="AM77" s="147"/>
      <c r="AO77" s="133"/>
      <c r="AP77" s="147"/>
      <c r="AS77" s="133"/>
    </row>
    <row r="78" spans="3:45" x14ac:dyDescent="0.2">
      <c r="C78" s="146"/>
      <c r="D78" s="146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47"/>
      <c r="P78" s="133"/>
      <c r="Q78" s="152"/>
      <c r="R78" s="133"/>
      <c r="S78" s="133"/>
      <c r="T78" s="147"/>
      <c r="U78" s="133"/>
      <c r="V78" s="133"/>
      <c r="W78" s="147"/>
      <c r="X78" s="133"/>
      <c r="Y78" s="133"/>
      <c r="Z78" s="133"/>
      <c r="AA78" s="147"/>
      <c r="AC78" s="133"/>
      <c r="AD78" s="147"/>
      <c r="AF78" s="133"/>
      <c r="AG78" s="147"/>
      <c r="AI78" s="133"/>
      <c r="AJ78" s="147"/>
      <c r="AL78" s="133"/>
      <c r="AM78" s="147"/>
      <c r="AO78" s="133"/>
      <c r="AP78" s="147"/>
    </row>
    <row r="79" spans="3:45" x14ac:dyDescent="0.2">
      <c r="C79" s="146"/>
      <c r="D79" s="146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47"/>
      <c r="P79" s="133"/>
      <c r="Q79" s="152"/>
      <c r="R79" s="133"/>
      <c r="S79" s="133"/>
      <c r="T79" s="147"/>
      <c r="U79" s="133"/>
      <c r="V79" s="133"/>
      <c r="W79" s="147"/>
      <c r="X79" s="133"/>
      <c r="Y79" s="153"/>
      <c r="Z79" s="133"/>
      <c r="AA79" s="147"/>
      <c r="AB79" s="153"/>
      <c r="AC79" s="133"/>
      <c r="AD79" s="147"/>
      <c r="AE79" s="154"/>
      <c r="AF79" s="133"/>
      <c r="AG79" s="147"/>
      <c r="AH79" s="153"/>
      <c r="AI79" s="133"/>
      <c r="AJ79" s="147"/>
      <c r="AK79" s="154"/>
      <c r="AL79" s="133"/>
      <c r="AM79" s="147"/>
      <c r="AN79" s="153"/>
      <c r="AO79" s="133"/>
      <c r="AP79" s="147"/>
      <c r="AQ79" s="153"/>
      <c r="AR79" s="153"/>
      <c r="AS79" s="153"/>
    </row>
    <row r="80" spans="3:45" x14ac:dyDescent="0.2">
      <c r="C80" s="146"/>
      <c r="D80" s="146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47"/>
      <c r="P80" s="133"/>
      <c r="Q80" s="152"/>
      <c r="R80" s="133"/>
      <c r="S80" s="133"/>
      <c r="T80" s="147"/>
      <c r="U80" s="133"/>
      <c r="V80" s="133"/>
      <c r="W80" s="147"/>
      <c r="X80" s="133"/>
      <c r="Y80" s="133"/>
      <c r="Z80" s="133"/>
      <c r="AA80" s="147"/>
      <c r="AB80" s="133"/>
      <c r="AC80" s="133"/>
      <c r="AD80" s="147"/>
      <c r="AE80" s="150"/>
      <c r="AF80" s="133"/>
      <c r="AG80" s="147"/>
      <c r="AH80" s="133"/>
      <c r="AI80" s="133"/>
      <c r="AJ80" s="147"/>
      <c r="AK80" s="150"/>
      <c r="AL80" s="133"/>
      <c r="AM80" s="147"/>
      <c r="AN80" s="133"/>
      <c r="AO80" s="133"/>
      <c r="AP80" s="147"/>
      <c r="AQ80" s="133"/>
      <c r="AR80" s="133"/>
      <c r="AS80" s="133"/>
    </row>
    <row r="81" spans="3:46" x14ac:dyDescent="0.2">
      <c r="C81" s="140"/>
      <c r="D81" s="140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47"/>
      <c r="P81" s="133"/>
      <c r="Q81" s="152"/>
      <c r="R81" s="133"/>
      <c r="S81" s="133"/>
      <c r="T81" s="147"/>
      <c r="U81" s="133"/>
      <c r="V81" s="133"/>
      <c r="W81" s="147"/>
      <c r="X81" s="133"/>
      <c r="Y81" s="133"/>
      <c r="Z81" s="133"/>
      <c r="AA81" s="147"/>
      <c r="AB81" s="133"/>
      <c r="AC81" s="133"/>
      <c r="AD81" s="147"/>
      <c r="AE81" s="150"/>
      <c r="AF81" s="133"/>
      <c r="AG81" s="147"/>
      <c r="AH81" s="133"/>
      <c r="AI81" s="133"/>
      <c r="AJ81" s="147"/>
      <c r="AK81" s="150"/>
      <c r="AL81" s="133"/>
      <c r="AM81" s="147"/>
      <c r="AN81" s="133"/>
      <c r="AO81" s="133"/>
      <c r="AP81" s="147"/>
      <c r="AQ81" s="133"/>
      <c r="AR81" s="133"/>
      <c r="AS81" s="133"/>
    </row>
    <row r="82" spans="3:46" x14ac:dyDescent="0.2">
      <c r="C82" s="146"/>
      <c r="D82" s="146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47"/>
      <c r="P82" s="133"/>
      <c r="Q82" s="152"/>
      <c r="R82" s="133"/>
      <c r="S82" s="133"/>
      <c r="T82" s="147"/>
      <c r="U82" s="133"/>
      <c r="V82" s="133"/>
      <c r="W82" s="147"/>
      <c r="X82" s="133"/>
      <c r="Y82" s="133"/>
      <c r="Z82" s="133"/>
      <c r="AA82" s="147"/>
      <c r="AB82" s="133"/>
      <c r="AC82" s="133"/>
      <c r="AD82" s="147"/>
      <c r="AE82" s="150"/>
      <c r="AF82" s="133"/>
      <c r="AG82" s="147"/>
      <c r="AH82" s="133"/>
      <c r="AI82" s="133"/>
      <c r="AJ82" s="147"/>
      <c r="AK82" s="150"/>
      <c r="AL82" s="133"/>
      <c r="AM82" s="147"/>
      <c r="AN82" s="133"/>
      <c r="AO82" s="133"/>
      <c r="AP82" s="147"/>
      <c r="AQ82" s="133"/>
      <c r="AR82" s="133"/>
      <c r="AS82" s="133"/>
    </row>
    <row r="83" spans="3:46" x14ac:dyDescent="0.2">
      <c r="C83" s="146"/>
      <c r="D83" s="146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47"/>
      <c r="P83" s="133"/>
      <c r="Q83" s="152"/>
      <c r="R83" s="133"/>
      <c r="S83" s="133"/>
      <c r="T83" s="147"/>
      <c r="U83" s="133"/>
      <c r="V83" s="133"/>
      <c r="W83" s="147"/>
      <c r="X83" s="133"/>
      <c r="Y83" s="133"/>
      <c r="Z83" s="133"/>
      <c r="AA83" s="147"/>
      <c r="AB83" s="133"/>
      <c r="AC83" s="133"/>
      <c r="AD83" s="147"/>
      <c r="AE83" s="150"/>
      <c r="AF83" s="133"/>
      <c r="AG83" s="147"/>
      <c r="AH83" s="133"/>
      <c r="AI83" s="133"/>
      <c r="AJ83" s="147"/>
      <c r="AK83" s="150"/>
      <c r="AL83" s="133"/>
      <c r="AM83" s="147"/>
      <c r="AN83" s="133"/>
      <c r="AO83" s="133"/>
      <c r="AP83" s="147"/>
      <c r="AQ83" s="133"/>
      <c r="AR83" s="133"/>
      <c r="AS83" s="133"/>
    </row>
    <row r="84" spans="3:46" x14ac:dyDescent="0.2">
      <c r="C84" s="146"/>
      <c r="D84" s="146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47"/>
      <c r="P84" s="133"/>
      <c r="Q84" s="152"/>
      <c r="R84" s="133"/>
      <c r="S84" s="133"/>
      <c r="T84" s="147"/>
      <c r="U84" s="133"/>
      <c r="V84" s="133"/>
      <c r="W84" s="147"/>
      <c r="X84" s="133"/>
      <c r="Y84" s="133"/>
      <c r="Z84" s="133"/>
      <c r="AA84" s="147"/>
      <c r="AB84" s="133"/>
      <c r="AC84" s="133"/>
      <c r="AD84" s="147"/>
      <c r="AE84" s="150"/>
      <c r="AF84" s="133"/>
      <c r="AG84" s="147"/>
      <c r="AH84" s="133"/>
      <c r="AI84" s="133"/>
      <c r="AJ84" s="147"/>
      <c r="AK84" s="150"/>
      <c r="AL84" s="133"/>
      <c r="AM84" s="147"/>
      <c r="AN84" s="133"/>
      <c r="AO84" s="133"/>
      <c r="AP84" s="147"/>
      <c r="AQ84" s="133"/>
      <c r="AR84" s="133"/>
      <c r="AS84" s="133"/>
    </row>
    <row r="85" spans="3:46" x14ac:dyDescent="0.2">
      <c r="C85" s="146"/>
      <c r="D85" s="146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47"/>
      <c r="P85" s="133"/>
      <c r="Q85" s="152"/>
      <c r="R85" s="133"/>
      <c r="S85" s="133"/>
      <c r="T85" s="147"/>
      <c r="U85" s="133"/>
      <c r="V85" s="133"/>
      <c r="W85" s="147"/>
      <c r="X85" s="133"/>
      <c r="Y85" s="133"/>
      <c r="Z85" s="133"/>
      <c r="AA85" s="147"/>
      <c r="AB85" s="133"/>
      <c r="AC85" s="133"/>
      <c r="AD85" s="147"/>
      <c r="AE85" s="150"/>
      <c r="AF85" s="133"/>
      <c r="AG85" s="147"/>
      <c r="AH85" s="133"/>
      <c r="AI85" s="133"/>
      <c r="AJ85" s="147"/>
      <c r="AK85" s="150"/>
      <c r="AL85" s="133"/>
      <c r="AM85" s="147"/>
      <c r="AN85" s="133"/>
      <c r="AO85" s="133"/>
      <c r="AP85" s="147"/>
      <c r="AQ85" s="133"/>
      <c r="AR85" s="133"/>
      <c r="AS85" s="133"/>
    </row>
    <row r="86" spans="3:46" x14ac:dyDescent="0.2">
      <c r="C86" s="146"/>
      <c r="D86" s="146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47"/>
      <c r="P86" s="133"/>
      <c r="Q86" s="152"/>
      <c r="R86" s="133"/>
      <c r="S86" s="133"/>
      <c r="T86" s="147"/>
      <c r="U86" s="133"/>
      <c r="V86" s="133"/>
      <c r="W86" s="147"/>
      <c r="X86" s="133"/>
      <c r="Y86" s="133"/>
      <c r="Z86" s="133"/>
      <c r="AA86" s="147"/>
      <c r="AB86" s="133"/>
      <c r="AC86" s="133"/>
      <c r="AD86" s="147"/>
      <c r="AE86" s="150"/>
      <c r="AF86" s="133"/>
      <c r="AG86" s="147"/>
      <c r="AH86" s="133"/>
      <c r="AI86" s="133"/>
      <c r="AJ86" s="147"/>
      <c r="AK86" s="150"/>
      <c r="AL86" s="133"/>
      <c r="AM86" s="147"/>
      <c r="AN86" s="133"/>
      <c r="AO86" s="133"/>
      <c r="AP86" s="147"/>
      <c r="AQ86" s="133"/>
      <c r="AR86" s="133"/>
      <c r="AS86" s="133"/>
    </row>
    <row r="87" spans="3:46" x14ac:dyDescent="0.2">
      <c r="C87" s="146"/>
      <c r="D87" s="146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47"/>
      <c r="P87" s="133"/>
      <c r="Q87" s="152"/>
      <c r="R87" s="133"/>
      <c r="S87" s="133"/>
      <c r="T87" s="147"/>
      <c r="U87" s="133"/>
      <c r="V87" s="133"/>
      <c r="W87" s="147"/>
      <c r="X87" s="133"/>
      <c r="Y87" s="133"/>
      <c r="Z87" s="133"/>
      <c r="AA87" s="147"/>
      <c r="AB87" s="133"/>
      <c r="AC87" s="133"/>
      <c r="AD87" s="147"/>
      <c r="AE87" s="150"/>
      <c r="AF87" s="133"/>
      <c r="AG87" s="147"/>
      <c r="AH87" s="133"/>
      <c r="AI87" s="133"/>
      <c r="AJ87" s="147"/>
      <c r="AK87" s="150"/>
      <c r="AL87" s="133"/>
      <c r="AM87" s="147"/>
      <c r="AN87" s="133"/>
      <c r="AO87" s="133"/>
      <c r="AP87" s="147"/>
      <c r="AQ87" s="133"/>
      <c r="AR87" s="133"/>
      <c r="AS87" s="133"/>
    </row>
    <row r="88" spans="3:46" x14ac:dyDescent="0.2">
      <c r="C88" s="146"/>
      <c r="D88" s="146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47"/>
      <c r="P88" s="133"/>
      <c r="Q88" s="152"/>
      <c r="R88" s="133"/>
      <c r="S88" s="133"/>
      <c r="T88" s="147"/>
      <c r="U88" s="133"/>
      <c r="V88" s="133"/>
      <c r="W88" s="147"/>
      <c r="X88" s="133"/>
      <c r="Y88" s="133"/>
      <c r="Z88" s="133"/>
      <c r="AA88" s="147"/>
      <c r="AB88" s="133"/>
      <c r="AC88" s="133"/>
      <c r="AD88" s="147"/>
      <c r="AE88" s="150"/>
      <c r="AF88" s="133"/>
      <c r="AG88" s="147"/>
      <c r="AH88" s="133"/>
      <c r="AI88" s="133"/>
      <c r="AJ88" s="147"/>
      <c r="AK88" s="150"/>
      <c r="AL88" s="133"/>
      <c r="AM88" s="147"/>
      <c r="AN88" s="133"/>
      <c r="AO88" s="133"/>
      <c r="AP88" s="147"/>
      <c r="AQ88" s="133"/>
      <c r="AR88" s="133"/>
      <c r="AS88" s="133"/>
    </row>
    <row r="89" spans="3:46" x14ac:dyDescent="0.2">
      <c r="C89" s="146"/>
      <c r="D89" s="146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47"/>
      <c r="P89" s="133"/>
      <c r="Q89" s="152"/>
      <c r="R89" s="133"/>
      <c r="S89" s="133"/>
      <c r="T89" s="147"/>
      <c r="U89" s="133"/>
      <c r="V89" s="133"/>
      <c r="W89" s="147"/>
      <c r="X89" s="133"/>
      <c r="Y89" s="133"/>
      <c r="Z89" s="133"/>
      <c r="AA89" s="147"/>
      <c r="AB89" s="133"/>
      <c r="AC89" s="133"/>
      <c r="AD89" s="147"/>
      <c r="AE89" s="150"/>
      <c r="AF89" s="133"/>
      <c r="AG89" s="147"/>
      <c r="AH89" s="133"/>
      <c r="AI89" s="133"/>
      <c r="AJ89" s="147"/>
      <c r="AK89" s="150"/>
      <c r="AL89" s="133"/>
      <c r="AM89" s="147"/>
      <c r="AN89" s="133"/>
      <c r="AO89" s="133"/>
      <c r="AP89" s="147"/>
      <c r="AQ89" s="133"/>
      <c r="AR89" s="133"/>
      <c r="AS89" s="133"/>
    </row>
    <row r="90" spans="3:46" x14ac:dyDescent="0.2">
      <c r="C90" s="146"/>
      <c r="D90" s="146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47"/>
      <c r="P90" s="133"/>
      <c r="Q90" s="152"/>
      <c r="R90" s="133"/>
      <c r="S90" s="133"/>
      <c r="T90" s="147"/>
      <c r="U90" s="133"/>
      <c r="V90" s="133"/>
      <c r="W90" s="147"/>
      <c r="X90" s="133"/>
      <c r="Y90" s="133"/>
      <c r="Z90" s="133"/>
      <c r="AA90" s="147"/>
      <c r="AB90" s="133"/>
      <c r="AC90" s="133"/>
      <c r="AD90" s="147"/>
      <c r="AE90" s="150"/>
      <c r="AF90" s="133"/>
      <c r="AG90" s="147"/>
      <c r="AH90" s="133"/>
      <c r="AI90" s="133"/>
      <c r="AJ90" s="147"/>
      <c r="AK90" s="150"/>
      <c r="AL90" s="133"/>
      <c r="AM90" s="147"/>
      <c r="AN90" s="133"/>
      <c r="AO90" s="133"/>
      <c r="AP90" s="147"/>
      <c r="AQ90" s="133"/>
      <c r="AR90" s="133"/>
      <c r="AS90" s="133"/>
    </row>
    <row r="91" spans="3:46" x14ac:dyDescent="0.2">
      <c r="C91" s="146"/>
      <c r="D91" s="146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47"/>
      <c r="P91" s="133"/>
      <c r="Q91" s="152"/>
      <c r="R91" s="133"/>
      <c r="S91" s="133"/>
      <c r="T91" s="147"/>
      <c r="U91" s="133"/>
      <c r="V91" s="133"/>
      <c r="W91" s="147"/>
      <c r="X91" s="133"/>
      <c r="Y91" s="133"/>
      <c r="Z91" s="133"/>
      <c r="AA91" s="147"/>
      <c r="AB91" s="133"/>
      <c r="AC91" s="133"/>
      <c r="AD91" s="147"/>
      <c r="AE91" s="150"/>
      <c r="AF91" s="133"/>
      <c r="AG91" s="147"/>
      <c r="AH91" s="133"/>
      <c r="AI91" s="133"/>
      <c r="AJ91" s="147"/>
      <c r="AK91" s="150"/>
      <c r="AL91" s="133"/>
      <c r="AM91" s="147"/>
      <c r="AN91" s="133"/>
      <c r="AO91" s="133"/>
      <c r="AP91" s="147"/>
      <c r="AQ91" s="133"/>
      <c r="AR91" s="133"/>
      <c r="AS91" s="133"/>
    </row>
    <row r="92" spans="3:46" x14ac:dyDescent="0.2">
      <c r="C92" s="146"/>
      <c r="D92" s="146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47"/>
      <c r="P92" s="133"/>
      <c r="Q92" s="152"/>
      <c r="R92" s="133"/>
      <c r="S92" s="133"/>
      <c r="T92" s="147"/>
      <c r="U92" s="133"/>
      <c r="V92" s="133"/>
      <c r="W92" s="147"/>
      <c r="X92" s="133"/>
      <c r="Y92" s="133"/>
      <c r="Z92" s="133"/>
      <c r="AA92" s="147"/>
      <c r="AB92" s="133"/>
      <c r="AC92" s="133"/>
      <c r="AD92" s="147"/>
      <c r="AE92" s="150"/>
      <c r="AF92" s="133"/>
      <c r="AG92" s="147"/>
      <c r="AH92" s="133"/>
      <c r="AI92" s="133"/>
      <c r="AJ92" s="147"/>
      <c r="AK92" s="150"/>
      <c r="AL92" s="133"/>
      <c r="AM92" s="147"/>
      <c r="AN92" s="133"/>
      <c r="AO92" s="133"/>
      <c r="AP92" s="147"/>
      <c r="AQ92" s="133"/>
      <c r="AR92" s="133"/>
      <c r="AS92" s="133"/>
    </row>
    <row r="93" spans="3:46" x14ac:dyDescent="0.2">
      <c r="C93" s="146"/>
      <c r="D93" s="146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47"/>
      <c r="P93" s="133"/>
      <c r="Q93" s="133"/>
      <c r="R93" s="133"/>
      <c r="S93" s="133"/>
      <c r="T93" s="147"/>
      <c r="U93" s="133"/>
      <c r="V93" s="133"/>
      <c r="W93" s="147"/>
      <c r="X93" s="133"/>
      <c r="Y93" s="133"/>
      <c r="Z93" s="133"/>
      <c r="AA93" s="147"/>
      <c r="AB93" s="133"/>
      <c r="AC93" s="133"/>
      <c r="AD93" s="147"/>
      <c r="AE93" s="150"/>
      <c r="AF93" s="133"/>
      <c r="AG93" s="147"/>
      <c r="AH93" s="133"/>
      <c r="AI93" s="133"/>
      <c r="AJ93" s="147"/>
      <c r="AK93" s="150"/>
      <c r="AL93" s="133"/>
      <c r="AM93" s="147"/>
      <c r="AN93" s="133"/>
      <c r="AO93" s="133"/>
      <c r="AP93" s="147"/>
      <c r="AQ93" s="133"/>
      <c r="AR93" s="133"/>
      <c r="AS93" s="133"/>
    </row>
    <row r="94" spans="3:46" x14ac:dyDescent="0.2">
      <c r="C94" s="146"/>
      <c r="D94" s="146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47"/>
      <c r="P94" s="133"/>
      <c r="Q94" s="133"/>
      <c r="R94" s="133"/>
      <c r="S94" s="133"/>
      <c r="T94" s="147"/>
      <c r="U94" s="133"/>
      <c r="V94" s="133"/>
      <c r="W94" s="147"/>
      <c r="X94" s="133"/>
      <c r="Y94" s="133"/>
      <c r="Z94" s="133"/>
      <c r="AA94" s="147"/>
      <c r="AB94" s="133"/>
      <c r="AC94" s="133"/>
      <c r="AD94" s="147"/>
      <c r="AE94" s="150"/>
      <c r="AF94" s="133"/>
      <c r="AG94" s="147"/>
      <c r="AH94" s="133"/>
      <c r="AI94" s="133"/>
      <c r="AJ94" s="147"/>
      <c r="AK94" s="150"/>
      <c r="AL94" s="133"/>
      <c r="AM94" s="147"/>
      <c r="AN94" s="133"/>
      <c r="AO94" s="133"/>
      <c r="AP94" s="147"/>
      <c r="AQ94" s="133"/>
      <c r="AR94" s="133"/>
      <c r="AS94" s="133"/>
    </row>
    <row r="95" spans="3:46" x14ac:dyDescent="0.2">
      <c r="C95" s="146"/>
      <c r="D95" s="146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47"/>
      <c r="P95" s="133"/>
      <c r="Q95" s="133"/>
      <c r="R95" s="133"/>
      <c r="S95" s="133"/>
      <c r="T95" s="147"/>
      <c r="U95" s="133"/>
      <c r="V95" s="133"/>
      <c r="W95" s="147"/>
      <c r="X95" s="133"/>
      <c r="Y95" s="133"/>
      <c r="Z95" s="133"/>
      <c r="AA95" s="147"/>
      <c r="AB95" s="133"/>
      <c r="AC95" s="133"/>
      <c r="AD95" s="147"/>
      <c r="AE95" s="150"/>
      <c r="AF95" s="133"/>
      <c r="AG95" s="147"/>
      <c r="AH95" s="133"/>
      <c r="AI95" s="133"/>
      <c r="AJ95" s="147"/>
      <c r="AK95" s="150"/>
      <c r="AL95" s="133"/>
      <c r="AM95" s="147"/>
      <c r="AN95" s="133"/>
      <c r="AO95" s="133"/>
      <c r="AP95" s="147"/>
      <c r="AQ95" s="133"/>
      <c r="AR95" s="133"/>
      <c r="AS95" s="133"/>
    </row>
    <row r="96" spans="3:46" x14ac:dyDescent="0.2">
      <c r="C96" s="146"/>
      <c r="D96" s="146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47"/>
      <c r="P96" s="133"/>
      <c r="Q96" s="133"/>
      <c r="R96" s="133"/>
      <c r="S96" s="133"/>
      <c r="T96" s="147"/>
      <c r="U96" s="133"/>
      <c r="V96" s="133"/>
      <c r="W96" s="147"/>
      <c r="X96" s="133"/>
      <c r="Y96" s="133"/>
      <c r="Z96" s="133"/>
      <c r="AA96" s="147"/>
      <c r="AB96" s="133"/>
      <c r="AC96" s="133"/>
      <c r="AD96" s="147"/>
      <c r="AE96" s="150"/>
      <c r="AF96" s="133"/>
      <c r="AG96" s="147"/>
      <c r="AH96" s="133"/>
      <c r="AI96" s="133"/>
      <c r="AJ96" s="147"/>
      <c r="AK96" s="150"/>
      <c r="AL96" s="133"/>
      <c r="AM96" s="147"/>
      <c r="AN96" s="133"/>
      <c r="AO96" s="133"/>
      <c r="AP96" s="147"/>
      <c r="AQ96" s="133"/>
      <c r="AR96" s="133"/>
      <c r="AS96" s="133"/>
      <c r="AT96" s="155"/>
    </row>
    <row r="97" spans="1:47" x14ac:dyDescent="0.2">
      <c r="C97" s="146"/>
      <c r="D97" s="146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47"/>
      <c r="P97" s="133"/>
      <c r="Q97" s="133"/>
      <c r="R97" s="133"/>
      <c r="S97" s="133"/>
      <c r="T97" s="147"/>
      <c r="U97" s="133"/>
      <c r="V97" s="133"/>
      <c r="W97" s="147"/>
      <c r="X97" s="133"/>
      <c r="Y97" s="133"/>
      <c r="Z97" s="133"/>
      <c r="AA97" s="147"/>
      <c r="AB97" s="133"/>
      <c r="AC97" s="133"/>
      <c r="AD97" s="147"/>
      <c r="AE97" s="150"/>
      <c r="AF97" s="133"/>
      <c r="AG97" s="147"/>
      <c r="AH97" s="133"/>
      <c r="AI97" s="133"/>
      <c r="AJ97" s="147"/>
      <c r="AK97" s="150"/>
      <c r="AL97" s="133"/>
      <c r="AM97" s="147"/>
      <c r="AN97" s="133"/>
      <c r="AO97" s="133"/>
      <c r="AP97" s="147"/>
      <c r="AQ97" s="133"/>
      <c r="AR97" s="133"/>
      <c r="AS97" s="133"/>
    </row>
    <row r="98" spans="1:47" x14ac:dyDescent="0.2">
      <c r="C98" s="146"/>
      <c r="D98" s="146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47"/>
      <c r="P98" s="133"/>
      <c r="Q98" s="133"/>
      <c r="R98" s="133"/>
      <c r="S98" s="133"/>
      <c r="T98" s="147"/>
      <c r="U98" s="133"/>
      <c r="V98" s="133"/>
      <c r="W98" s="147"/>
      <c r="X98" s="133"/>
      <c r="Y98" s="133"/>
      <c r="Z98" s="133"/>
      <c r="AA98" s="147"/>
      <c r="AB98" s="133"/>
      <c r="AC98" s="133"/>
      <c r="AD98" s="147"/>
      <c r="AE98" s="150"/>
      <c r="AF98" s="133"/>
      <c r="AG98" s="147"/>
      <c r="AH98" s="133"/>
      <c r="AI98" s="133"/>
      <c r="AJ98" s="147"/>
      <c r="AK98" s="150"/>
      <c r="AL98" s="133"/>
      <c r="AM98" s="147"/>
      <c r="AN98" s="133"/>
      <c r="AO98" s="133"/>
      <c r="AP98" s="147"/>
      <c r="AQ98" s="133"/>
      <c r="AR98" s="133"/>
      <c r="AS98" s="133"/>
    </row>
    <row r="99" spans="1:47" x14ac:dyDescent="0.2">
      <c r="C99" s="146"/>
      <c r="D99" s="146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47"/>
      <c r="P99" s="133"/>
      <c r="Q99" s="133"/>
      <c r="R99" s="133"/>
      <c r="S99" s="133"/>
      <c r="T99" s="147"/>
      <c r="U99" s="133"/>
      <c r="V99" s="133"/>
      <c r="W99" s="147"/>
      <c r="X99" s="133"/>
      <c r="Y99" s="133"/>
      <c r="Z99" s="133"/>
      <c r="AA99" s="147"/>
      <c r="AB99" s="133"/>
      <c r="AC99" s="133"/>
      <c r="AD99" s="147"/>
      <c r="AE99" s="150"/>
      <c r="AF99" s="133"/>
      <c r="AG99" s="147"/>
      <c r="AH99" s="133"/>
      <c r="AI99" s="133"/>
      <c r="AJ99" s="147"/>
      <c r="AK99" s="150"/>
      <c r="AL99" s="133"/>
      <c r="AM99" s="147"/>
      <c r="AN99" s="133"/>
      <c r="AO99" s="133"/>
      <c r="AP99" s="147"/>
      <c r="AQ99" s="133"/>
      <c r="AR99" s="133"/>
      <c r="AS99" s="133"/>
    </row>
    <row r="100" spans="1:47" x14ac:dyDescent="0.2">
      <c r="C100" s="146"/>
      <c r="D100" s="146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47"/>
      <c r="P100" s="133"/>
      <c r="Q100" s="133"/>
      <c r="R100" s="133"/>
      <c r="S100" s="133"/>
      <c r="T100" s="147"/>
      <c r="U100" s="133"/>
      <c r="V100" s="133"/>
      <c r="W100" s="147"/>
      <c r="X100" s="133"/>
      <c r="Y100" s="133"/>
      <c r="Z100" s="133"/>
      <c r="AA100" s="147"/>
      <c r="AB100" s="133"/>
      <c r="AC100" s="133"/>
      <c r="AD100" s="147"/>
      <c r="AE100" s="150"/>
      <c r="AF100" s="133"/>
      <c r="AG100" s="147"/>
      <c r="AH100" s="133"/>
      <c r="AI100" s="133"/>
      <c r="AJ100" s="147"/>
      <c r="AK100" s="150"/>
      <c r="AL100" s="133"/>
      <c r="AM100" s="147"/>
      <c r="AN100" s="133"/>
      <c r="AO100" s="133"/>
      <c r="AP100" s="147"/>
      <c r="AQ100" s="133"/>
      <c r="AR100" s="133"/>
      <c r="AS100" s="133"/>
    </row>
    <row r="101" spans="1:47" x14ac:dyDescent="0.2">
      <c r="C101" s="146"/>
      <c r="D101" s="146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47"/>
      <c r="P101" s="133"/>
      <c r="Q101" s="133"/>
      <c r="R101" s="133"/>
      <c r="S101" s="133"/>
      <c r="T101" s="147"/>
      <c r="U101" s="133"/>
      <c r="V101" s="133"/>
      <c r="W101" s="147"/>
      <c r="X101" s="133"/>
      <c r="Y101" s="133"/>
      <c r="Z101" s="133"/>
      <c r="AA101" s="147"/>
      <c r="AC101" s="133"/>
      <c r="AD101" s="147"/>
      <c r="AF101" s="133"/>
      <c r="AG101" s="147"/>
      <c r="AI101" s="133"/>
      <c r="AJ101" s="147"/>
      <c r="AL101" s="133"/>
      <c r="AM101" s="147"/>
      <c r="AO101" s="133"/>
      <c r="AP101" s="147"/>
      <c r="AS101" s="133"/>
    </row>
    <row r="102" spans="1:47" x14ac:dyDescent="0.2">
      <c r="C102" s="146"/>
      <c r="D102" s="146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47"/>
      <c r="P102" s="133"/>
      <c r="Q102" s="133"/>
      <c r="R102" s="133"/>
      <c r="S102" s="133"/>
      <c r="T102" s="147"/>
      <c r="U102" s="133"/>
      <c r="V102" s="133"/>
      <c r="W102" s="147"/>
      <c r="X102" s="133"/>
      <c r="Y102" s="133"/>
      <c r="Z102" s="133"/>
      <c r="AA102" s="147"/>
      <c r="AC102" s="133"/>
      <c r="AD102" s="147"/>
      <c r="AF102" s="133"/>
      <c r="AG102" s="147"/>
      <c r="AI102" s="133"/>
      <c r="AJ102" s="147"/>
      <c r="AL102" s="133"/>
      <c r="AM102" s="147"/>
      <c r="AO102" s="133"/>
      <c r="AP102" s="147"/>
      <c r="AS102" s="133"/>
    </row>
    <row r="103" spans="1:47" x14ac:dyDescent="0.2">
      <c r="C103" s="146"/>
      <c r="D103" s="146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47"/>
      <c r="P103" s="133"/>
      <c r="Q103" s="133"/>
      <c r="R103" s="133"/>
      <c r="S103" s="133"/>
      <c r="T103" s="147"/>
      <c r="U103" s="133"/>
      <c r="V103" s="133"/>
      <c r="W103" s="147"/>
      <c r="X103" s="133"/>
      <c r="Y103" s="133"/>
      <c r="Z103" s="133"/>
      <c r="AA103" s="147"/>
      <c r="AC103" s="133"/>
      <c r="AD103" s="147"/>
      <c r="AF103" s="133"/>
      <c r="AG103" s="147"/>
      <c r="AI103" s="133"/>
      <c r="AJ103" s="147"/>
      <c r="AL103" s="133"/>
      <c r="AM103" s="147"/>
      <c r="AO103" s="133"/>
      <c r="AP103" s="147"/>
      <c r="AS103" s="133"/>
    </row>
    <row r="104" spans="1:47" x14ac:dyDescent="0.2">
      <c r="C104" s="146"/>
      <c r="D104" s="146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47"/>
      <c r="P104" s="133"/>
      <c r="Q104" s="133"/>
      <c r="R104" s="133"/>
      <c r="S104" s="133"/>
      <c r="T104" s="147"/>
      <c r="U104" s="133"/>
      <c r="V104" s="133"/>
      <c r="W104" s="147"/>
      <c r="X104" s="133"/>
      <c r="Y104" s="133"/>
      <c r="Z104" s="133"/>
      <c r="AA104" s="147"/>
      <c r="AC104" s="133"/>
      <c r="AD104" s="147"/>
      <c r="AF104" s="133"/>
      <c r="AG104" s="147"/>
      <c r="AI104" s="133"/>
      <c r="AJ104" s="147"/>
      <c r="AL104" s="133"/>
      <c r="AM104" s="147"/>
      <c r="AO104" s="133"/>
      <c r="AP104" s="147"/>
    </row>
    <row r="105" spans="1:47" x14ac:dyDescent="0.2">
      <c r="C105" s="146"/>
      <c r="D105" s="146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47"/>
      <c r="P105" s="133"/>
      <c r="Q105" s="133"/>
      <c r="R105" s="133"/>
      <c r="S105" s="133"/>
      <c r="T105" s="147"/>
      <c r="U105" s="133"/>
      <c r="V105" s="133"/>
      <c r="W105" s="147"/>
      <c r="X105" s="133"/>
      <c r="Y105" s="133"/>
      <c r="Z105" s="133"/>
      <c r="AA105" s="147"/>
      <c r="AC105" s="133"/>
      <c r="AD105" s="147"/>
      <c r="AF105" s="133"/>
      <c r="AG105" s="147"/>
      <c r="AI105" s="133"/>
      <c r="AJ105" s="147"/>
      <c r="AL105" s="133"/>
      <c r="AM105" s="147"/>
      <c r="AO105" s="133"/>
      <c r="AP105" s="147"/>
    </row>
    <row r="106" spans="1:47" x14ac:dyDescent="0.2">
      <c r="C106" s="146"/>
      <c r="D106" s="146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47"/>
      <c r="P106" s="133"/>
      <c r="Q106" s="133"/>
      <c r="R106" s="133"/>
      <c r="S106" s="133"/>
      <c r="T106" s="147"/>
      <c r="U106" s="133"/>
      <c r="V106" s="133"/>
      <c r="W106" s="147"/>
      <c r="X106" s="133"/>
      <c r="Y106" s="133"/>
      <c r="Z106" s="133"/>
      <c r="AA106" s="147"/>
      <c r="AC106" s="133"/>
      <c r="AD106" s="147"/>
      <c r="AF106" s="133"/>
      <c r="AG106" s="147"/>
      <c r="AI106" s="133"/>
      <c r="AJ106" s="147"/>
      <c r="AL106" s="133"/>
      <c r="AM106" s="147"/>
      <c r="AO106" s="133"/>
      <c r="AP106" s="147"/>
    </row>
    <row r="107" spans="1:47" x14ac:dyDescent="0.2">
      <c r="C107" s="146"/>
      <c r="D107" s="146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47"/>
      <c r="P107" s="133"/>
      <c r="Q107" s="133"/>
      <c r="R107" s="133"/>
      <c r="S107" s="133"/>
      <c r="T107" s="147"/>
      <c r="U107" s="133"/>
      <c r="V107" s="133"/>
      <c r="W107" s="147"/>
      <c r="X107" s="133"/>
      <c r="Y107" s="133"/>
      <c r="Z107" s="133"/>
      <c r="AA107" s="147"/>
      <c r="AC107" s="133"/>
      <c r="AD107" s="147"/>
      <c r="AF107" s="133"/>
      <c r="AG107" s="147"/>
      <c r="AI107" s="133"/>
      <c r="AJ107" s="147"/>
      <c r="AL107" s="133"/>
      <c r="AM107" s="147"/>
      <c r="AO107" s="133"/>
      <c r="AP107" s="147"/>
    </row>
    <row r="108" spans="1:47" x14ac:dyDescent="0.2">
      <c r="C108" s="146"/>
      <c r="D108" s="146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47"/>
      <c r="P108" s="133"/>
      <c r="Q108" s="133"/>
      <c r="R108" s="133"/>
      <c r="S108" s="133"/>
      <c r="T108" s="147"/>
      <c r="U108" s="133"/>
      <c r="V108" s="133"/>
      <c r="W108" s="147"/>
      <c r="X108" s="133"/>
      <c r="Y108" s="133"/>
      <c r="Z108" s="133"/>
      <c r="AA108" s="147"/>
      <c r="AC108" s="133"/>
      <c r="AD108" s="147"/>
      <c r="AF108" s="133"/>
      <c r="AG108" s="147"/>
      <c r="AI108" s="133"/>
      <c r="AJ108" s="147"/>
      <c r="AL108" s="133"/>
      <c r="AM108" s="147"/>
      <c r="AO108" s="133"/>
      <c r="AP108" s="147"/>
    </row>
    <row r="109" spans="1:47" x14ac:dyDescent="0.2">
      <c r="A109" s="155"/>
      <c r="B109" s="155"/>
      <c r="C109" s="146"/>
      <c r="D109" s="146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47"/>
      <c r="P109" s="133"/>
      <c r="Q109" s="133"/>
      <c r="R109" s="133"/>
      <c r="S109" s="133"/>
      <c r="T109" s="147"/>
      <c r="U109" s="133"/>
      <c r="V109" s="133"/>
      <c r="W109" s="147"/>
      <c r="X109" s="133"/>
      <c r="Y109" s="133"/>
      <c r="Z109" s="133"/>
      <c r="AA109" s="147"/>
      <c r="AC109" s="133"/>
      <c r="AD109" s="147"/>
      <c r="AF109" s="133"/>
      <c r="AG109" s="147"/>
      <c r="AI109" s="133"/>
      <c r="AJ109" s="147"/>
      <c r="AL109" s="133"/>
      <c r="AM109" s="147"/>
      <c r="AO109" s="133"/>
      <c r="AP109" s="147"/>
    </row>
    <row r="110" spans="1:47" x14ac:dyDescent="0.2">
      <c r="C110" s="146"/>
      <c r="D110" s="146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47"/>
      <c r="P110" s="133"/>
      <c r="Q110" s="133"/>
      <c r="R110" s="133"/>
      <c r="S110" s="133"/>
      <c r="T110" s="147"/>
      <c r="U110" s="133"/>
      <c r="V110" s="133"/>
      <c r="W110" s="147"/>
      <c r="X110" s="133"/>
      <c r="Y110" s="133"/>
      <c r="Z110" s="133"/>
      <c r="AA110" s="147"/>
      <c r="AC110" s="133"/>
      <c r="AD110" s="147"/>
      <c r="AF110" s="133"/>
      <c r="AG110" s="147"/>
      <c r="AI110" s="133"/>
      <c r="AJ110" s="147"/>
      <c r="AL110" s="133"/>
      <c r="AM110" s="147"/>
      <c r="AO110" s="133"/>
      <c r="AP110" s="147"/>
    </row>
    <row r="111" spans="1:47" x14ac:dyDescent="0.2">
      <c r="C111" s="146"/>
      <c r="D111" s="146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47"/>
      <c r="P111" s="133"/>
      <c r="Q111" s="133"/>
      <c r="R111" s="133"/>
      <c r="S111" s="133"/>
      <c r="T111" s="147"/>
      <c r="U111" s="133"/>
      <c r="V111" s="133"/>
      <c r="W111" s="147"/>
      <c r="X111" s="133"/>
      <c r="Y111" s="133"/>
      <c r="Z111" s="133"/>
      <c r="AA111" s="147"/>
      <c r="AC111" s="133"/>
      <c r="AD111" s="147"/>
      <c r="AF111" s="133"/>
      <c r="AG111" s="147"/>
      <c r="AI111" s="133"/>
      <c r="AJ111" s="147"/>
      <c r="AL111" s="133"/>
      <c r="AM111" s="147"/>
      <c r="AO111" s="133"/>
      <c r="AP111" s="147"/>
    </row>
    <row r="112" spans="1:47" s="155" customFormat="1" x14ac:dyDescent="0.2">
      <c r="A112" s="81"/>
      <c r="B112" s="81"/>
      <c r="C112" s="146"/>
      <c r="D112" s="146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47"/>
      <c r="P112" s="133"/>
      <c r="Q112" s="133"/>
      <c r="R112" s="133"/>
      <c r="S112" s="133"/>
      <c r="T112" s="147"/>
      <c r="U112" s="133"/>
      <c r="V112" s="133"/>
      <c r="W112" s="147"/>
      <c r="X112" s="133"/>
      <c r="Y112" s="133"/>
      <c r="Z112" s="133"/>
      <c r="AA112" s="147"/>
      <c r="AB112" s="81"/>
      <c r="AC112" s="133"/>
      <c r="AD112" s="147"/>
      <c r="AE112" s="139"/>
      <c r="AF112" s="133"/>
      <c r="AG112" s="147"/>
      <c r="AH112" s="81"/>
      <c r="AI112" s="133"/>
      <c r="AJ112" s="147"/>
      <c r="AK112" s="139"/>
      <c r="AL112" s="133"/>
      <c r="AM112" s="147"/>
      <c r="AN112" s="81"/>
      <c r="AO112" s="133"/>
      <c r="AP112" s="147"/>
      <c r="AQ112" s="81"/>
      <c r="AR112" s="81"/>
      <c r="AS112" s="81"/>
      <c r="AT112" s="81"/>
      <c r="AU112" s="81"/>
    </row>
    <row r="113" spans="3:42" x14ac:dyDescent="0.2">
      <c r="C113" s="146"/>
      <c r="D113" s="146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47"/>
      <c r="P113" s="133"/>
      <c r="Q113" s="133"/>
      <c r="R113" s="133"/>
      <c r="S113" s="133"/>
      <c r="T113" s="147"/>
      <c r="U113" s="133"/>
      <c r="V113" s="133"/>
      <c r="W113" s="147"/>
      <c r="X113" s="133"/>
      <c r="Y113" s="133"/>
      <c r="Z113" s="133"/>
      <c r="AA113" s="147"/>
      <c r="AC113" s="133"/>
      <c r="AD113" s="147"/>
      <c r="AF113" s="133"/>
      <c r="AG113" s="147"/>
      <c r="AI113" s="133"/>
      <c r="AJ113" s="147"/>
      <c r="AL113" s="133"/>
      <c r="AM113" s="147"/>
      <c r="AO113" s="133"/>
      <c r="AP113" s="147"/>
    </row>
    <row r="114" spans="3:42" x14ac:dyDescent="0.2">
      <c r="C114" s="146"/>
      <c r="D114" s="146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47"/>
      <c r="P114" s="133"/>
      <c r="Q114" s="133"/>
      <c r="R114" s="133"/>
      <c r="S114" s="133"/>
      <c r="T114" s="147"/>
      <c r="U114" s="133"/>
      <c r="V114" s="133"/>
      <c r="W114" s="147"/>
      <c r="X114" s="133"/>
      <c r="Y114" s="133"/>
      <c r="Z114" s="133"/>
      <c r="AA114" s="147"/>
      <c r="AC114" s="133"/>
      <c r="AD114" s="147"/>
      <c r="AF114" s="133"/>
      <c r="AG114" s="147"/>
      <c r="AI114" s="133"/>
      <c r="AJ114" s="147"/>
      <c r="AL114" s="133"/>
      <c r="AM114" s="147"/>
      <c r="AO114" s="133"/>
      <c r="AP114" s="147"/>
    </row>
    <row r="115" spans="3:42" x14ac:dyDescent="0.2">
      <c r="C115" s="146"/>
      <c r="D115" s="146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47"/>
      <c r="P115" s="133"/>
      <c r="Q115" s="133"/>
      <c r="R115" s="133"/>
      <c r="S115" s="133"/>
      <c r="T115" s="147"/>
      <c r="U115" s="133"/>
      <c r="V115" s="133"/>
      <c r="W115" s="147"/>
      <c r="X115" s="133"/>
      <c r="Y115" s="133"/>
      <c r="Z115" s="133"/>
      <c r="AA115" s="147"/>
      <c r="AC115" s="133"/>
      <c r="AD115" s="147"/>
      <c r="AF115" s="133"/>
      <c r="AG115" s="147"/>
      <c r="AI115" s="133"/>
      <c r="AJ115" s="147"/>
      <c r="AL115" s="133"/>
      <c r="AM115" s="147"/>
      <c r="AO115" s="133"/>
      <c r="AP115" s="147"/>
    </row>
    <row r="116" spans="3:42" x14ac:dyDescent="0.2">
      <c r="C116" s="146"/>
      <c r="D116" s="146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47"/>
      <c r="P116" s="133"/>
      <c r="Q116" s="133"/>
      <c r="R116" s="133"/>
      <c r="S116" s="133"/>
      <c r="T116" s="147"/>
      <c r="U116" s="133"/>
      <c r="V116" s="133"/>
      <c r="W116" s="147"/>
      <c r="X116" s="133"/>
      <c r="Y116" s="133"/>
      <c r="Z116" s="133"/>
      <c r="AA116" s="147"/>
      <c r="AC116" s="133"/>
      <c r="AD116" s="147"/>
      <c r="AF116" s="133"/>
      <c r="AG116" s="147"/>
      <c r="AI116" s="133"/>
      <c r="AJ116" s="147"/>
      <c r="AL116" s="133"/>
      <c r="AM116" s="147"/>
      <c r="AO116" s="133"/>
      <c r="AP116" s="147"/>
    </row>
    <row r="117" spans="3:42" x14ac:dyDescent="0.2">
      <c r="C117" s="146"/>
      <c r="D117" s="146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47"/>
      <c r="P117" s="133"/>
      <c r="Q117" s="133"/>
      <c r="R117" s="133"/>
      <c r="S117" s="133"/>
      <c r="T117" s="147"/>
      <c r="U117" s="133"/>
      <c r="V117" s="133"/>
      <c r="W117" s="147"/>
      <c r="X117" s="133"/>
      <c r="Y117" s="133"/>
      <c r="Z117" s="133"/>
      <c r="AA117" s="147"/>
      <c r="AC117" s="133"/>
      <c r="AD117" s="147"/>
      <c r="AF117" s="133"/>
      <c r="AG117" s="147"/>
      <c r="AI117" s="133"/>
      <c r="AJ117" s="147"/>
      <c r="AL117" s="133"/>
      <c r="AM117" s="147"/>
      <c r="AO117" s="133"/>
      <c r="AP117" s="147"/>
    </row>
    <row r="118" spans="3:42" x14ac:dyDescent="0.2">
      <c r="C118" s="146"/>
      <c r="D118" s="146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47"/>
      <c r="P118" s="133"/>
      <c r="Q118" s="133"/>
      <c r="R118" s="133"/>
      <c r="S118" s="133"/>
      <c r="T118" s="147"/>
      <c r="U118" s="133"/>
      <c r="V118" s="133"/>
      <c r="W118" s="147"/>
      <c r="X118" s="133"/>
      <c r="Y118" s="133"/>
      <c r="Z118" s="133"/>
      <c r="AA118" s="147"/>
      <c r="AC118" s="133"/>
      <c r="AD118" s="147"/>
      <c r="AF118" s="133"/>
      <c r="AG118" s="147"/>
      <c r="AI118" s="133"/>
      <c r="AJ118" s="147"/>
      <c r="AL118" s="133"/>
      <c r="AM118" s="147"/>
      <c r="AO118" s="133"/>
      <c r="AP118" s="147"/>
    </row>
    <row r="119" spans="3:42" x14ac:dyDescent="0.2">
      <c r="C119" s="146"/>
      <c r="D119" s="146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47"/>
      <c r="P119" s="133"/>
      <c r="Q119" s="133"/>
      <c r="R119" s="133"/>
      <c r="S119" s="133"/>
      <c r="T119" s="147"/>
      <c r="U119" s="133"/>
      <c r="V119" s="133"/>
      <c r="W119" s="147"/>
      <c r="X119" s="133"/>
      <c r="Y119" s="133"/>
      <c r="Z119" s="133"/>
      <c r="AA119" s="147"/>
      <c r="AC119" s="133"/>
      <c r="AD119" s="147"/>
      <c r="AF119" s="133"/>
      <c r="AG119" s="147"/>
      <c r="AI119" s="133"/>
      <c r="AJ119" s="147"/>
      <c r="AL119" s="133"/>
      <c r="AM119" s="147"/>
      <c r="AO119" s="133"/>
      <c r="AP119" s="147"/>
    </row>
    <row r="120" spans="3:42" x14ac:dyDescent="0.2">
      <c r="C120" s="146"/>
      <c r="D120" s="146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47"/>
      <c r="P120" s="133"/>
      <c r="Q120" s="133"/>
      <c r="R120" s="133"/>
      <c r="S120" s="133"/>
      <c r="T120" s="147"/>
      <c r="U120" s="133"/>
      <c r="V120" s="133"/>
      <c r="W120" s="147"/>
      <c r="X120" s="133"/>
      <c r="Y120" s="133"/>
      <c r="Z120" s="133"/>
      <c r="AA120" s="147"/>
      <c r="AC120" s="133"/>
      <c r="AD120" s="147"/>
      <c r="AF120" s="133"/>
      <c r="AG120" s="147"/>
      <c r="AI120" s="133"/>
      <c r="AJ120" s="147"/>
      <c r="AL120" s="133"/>
      <c r="AM120" s="147"/>
      <c r="AO120" s="133"/>
      <c r="AP120" s="147"/>
    </row>
    <row r="121" spans="3:42" x14ac:dyDescent="0.2">
      <c r="C121" s="146"/>
      <c r="D121" s="146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47"/>
      <c r="P121" s="133"/>
      <c r="Q121" s="133"/>
      <c r="R121" s="133"/>
      <c r="S121" s="133"/>
      <c r="T121" s="147"/>
      <c r="U121" s="133"/>
      <c r="V121" s="133"/>
      <c r="W121" s="147"/>
      <c r="X121" s="133"/>
      <c r="Y121" s="133"/>
      <c r="Z121" s="133"/>
      <c r="AA121" s="147"/>
      <c r="AC121" s="133"/>
      <c r="AD121" s="147"/>
      <c r="AF121" s="133"/>
      <c r="AG121" s="147"/>
      <c r="AI121" s="133"/>
      <c r="AJ121" s="147"/>
      <c r="AL121" s="133"/>
      <c r="AM121" s="147"/>
      <c r="AO121" s="133"/>
      <c r="AP121" s="147"/>
    </row>
    <row r="122" spans="3:42" x14ac:dyDescent="0.2">
      <c r="C122" s="146"/>
      <c r="D122" s="146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47"/>
      <c r="P122" s="133"/>
      <c r="Q122" s="133"/>
      <c r="R122" s="133"/>
      <c r="S122" s="133"/>
      <c r="T122" s="147"/>
      <c r="U122" s="133"/>
      <c r="V122" s="133"/>
      <c r="W122" s="147"/>
      <c r="X122" s="133"/>
      <c r="Y122" s="133"/>
      <c r="Z122" s="133"/>
      <c r="AA122" s="147"/>
      <c r="AC122" s="133"/>
      <c r="AD122" s="147"/>
      <c r="AF122" s="133"/>
      <c r="AG122" s="147"/>
      <c r="AI122" s="133"/>
      <c r="AJ122" s="147"/>
      <c r="AL122" s="133"/>
      <c r="AM122" s="147"/>
      <c r="AO122" s="133"/>
      <c r="AP122" s="147"/>
    </row>
    <row r="123" spans="3:42" x14ac:dyDescent="0.2">
      <c r="C123" s="146"/>
      <c r="D123" s="146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47"/>
      <c r="P123" s="133"/>
      <c r="Q123" s="133"/>
      <c r="R123" s="133"/>
      <c r="S123" s="133"/>
      <c r="T123" s="147"/>
      <c r="U123" s="133"/>
      <c r="V123" s="133"/>
      <c r="W123" s="147"/>
      <c r="X123" s="133"/>
      <c r="Y123" s="133"/>
      <c r="Z123" s="133"/>
      <c r="AA123" s="147"/>
      <c r="AC123" s="133"/>
      <c r="AD123" s="147"/>
      <c r="AF123" s="133"/>
      <c r="AG123" s="147"/>
      <c r="AI123" s="133"/>
      <c r="AJ123" s="147"/>
      <c r="AL123" s="133"/>
      <c r="AM123" s="147"/>
      <c r="AO123" s="133"/>
      <c r="AP123" s="147"/>
    </row>
    <row r="124" spans="3:42" x14ac:dyDescent="0.2">
      <c r="C124" s="146"/>
      <c r="D124" s="146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47"/>
      <c r="P124" s="133"/>
      <c r="Q124" s="133"/>
      <c r="R124" s="133"/>
      <c r="S124" s="133"/>
      <c r="T124" s="147"/>
      <c r="U124" s="133"/>
      <c r="V124" s="133"/>
      <c r="W124" s="147"/>
      <c r="X124" s="133"/>
      <c r="Y124" s="133"/>
      <c r="Z124" s="133"/>
      <c r="AA124" s="147"/>
      <c r="AC124" s="133"/>
      <c r="AD124" s="147"/>
      <c r="AF124" s="133"/>
      <c r="AG124" s="147"/>
      <c r="AI124" s="133"/>
      <c r="AJ124" s="147"/>
      <c r="AL124" s="133"/>
      <c r="AM124" s="147"/>
      <c r="AO124" s="133"/>
      <c r="AP124" s="147"/>
    </row>
    <row r="125" spans="3:42" x14ac:dyDescent="0.2">
      <c r="C125" s="146"/>
      <c r="D125" s="14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47"/>
      <c r="P125" s="133"/>
      <c r="Q125" s="133"/>
      <c r="R125" s="133"/>
      <c r="S125" s="133"/>
      <c r="T125" s="147"/>
      <c r="U125" s="133"/>
      <c r="V125" s="133"/>
      <c r="W125" s="147"/>
      <c r="X125" s="133"/>
      <c r="Y125" s="133"/>
      <c r="Z125" s="133"/>
      <c r="AA125" s="147"/>
      <c r="AC125" s="133"/>
      <c r="AD125" s="147"/>
      <c r="AF125" s="133"/>
      <c r="AG125" s="147"/>
      <c r="AI125" s="133"/>
      <c r="AJ125" s="147"/>
      <c r="AL125" s="133"/>
      <c r="AM125" s="147"/>
      <c r="AO125" s="133"/>
      <c r="AP125" s="147"/>
    </row>
    <row r="126" spans="3:42" x14ac:dyDescent="0.2">
      <c r="C126" s="146"/>
      <c r="D126" s="146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47"/>
      <c r="P126" s="133"/>
      <c r="Q126" s="133"/>
      <c r="R126" s="133"/>
      <c r="S126" s="133"/>
      <c r="T126" s="147"/>
      <c r="U126" s="133"/>
      <c r="V126" s="133"/>
      <c r="W126" s="147"/>
      <c r="X126" s="133"/>
      <c r="Y126" s="133"/>
      <c r="Z126" s="133"/>
      <c r="AA126" s="147"/>
      <c r="AC126" s="133"/>
      <c r="AD126" s="147"/>
      <c r="AF126" s="133"/>
      <c r="AG126" s="147"/>
      <c r="AI126" s="133"/>
      <c r="AJ126" s="147"/>
      <c r="AL126" s="133"/>
      <c r="AM126" s="147"/>
      <c r="AO126" s="133"/>
      <c r="AP126" s="147"/>
    </row>
    <row r="127" spans="3:42" x14ac:dyDescent="0.2">
      <c r="C127" s="146"/>
      <c r="D127" s="146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47"/>
      <c r="P127" s="133"/>
      <c r="Q127" s="133"/>
      <c r="R127" s="133"/>
      <c r="S127" s="133"/>
      <c r="T127" s="147"/>
      <c r="U127" s="133"/>
      <c r="V127" s="133"/>
      <c r="W127" s="147"/>
      <c r="X127" s="133"/>
      <c r="Y127" s="133"/>
      <c r="Z127" s="133"/>
      <c r="AA127" s="147"/>
      <c r="AC127" s="133"/>
      <c r="AD127" s="147"/>
      <c r="AF127" s="133"/>
      <c r="AG127" s="147"/>
      <c r="AI127" s="133"/>
      <c r="AJ127" s="147"/>
      <c r="AL127" s="133"/>
      <c r="AM127" s="147"/>
      <c r="AO127" s="133"/>
      <c r="AP127" s="147"/>
    </row>
    <row r="128" spans="3:42" x14ac:dyDescent="0.2">
      <c r="C128" s="146"/>
      <c r="D128" s="146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47"/>
      <c r="P128" s="133"/>
      <c r="Q128" s="133"/>
      <c r="R128" s="133"/>
      <c r="S128" s="133"/>
      <c r="T128" s="147"/>
      <c r="U128" s="133"/>
      <c r="V128" s="133"/>
      <c r="W128" s="147"/>
      <c r="X128" s="133"/>
      <c r="Y128" s="133"/>
      <c r="Z128" s="133"/>
      <c r="AA128" s="147"/>
      <c r="AC128" s="133"/>
      <c r="AD128" s="147"/>
      <c r="AF128" s="133"/>
      <c r="AG128" s="147"/>
      <c r="AI128" s="133"/>
      <c r="AJ128" s="147"/>
      <c r="AL128" s="133"/>
      <c r="AM128" s="147"/>
      <c r="AO128" s="133"/>
      <c r="AP128" s="147"/>
    </row>
    <row r="129" spans="3:42" x14ac:dyDescent="0.2">
      <c r="C129" s="146"/>
      <c r="D129" s="146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47"/>
      <c r="P129" s="133"/>
      <c r="Q129" s="133"/>
      <c r="R129" s="133"/>
      <c r="S129" s="133"/>
      <c r="T129" s="147"/>
      <c r="U129" s="133"/>
      <c r="V129" s="133"/>
      <c r="W129" s="147"/>
      <c r="X129" s="133"/>
      <c r="Y129" s="133"/>
      <c r="Z129" s="133"/>
      <c r="AA129" s="147"/>
      <c r="AC129" s="133"/>
      <c r="AD129" s="147"/>
      <c r="AF129" s="133"/>
      <c r="AG129" s="147"/>
      <c r="AI129" s="133"/>
      <c r="AJ129" s="147"/>
      <c r="AL129" s="133"/>
      <c r="AM129" s="147"/>
      <c r="AO129" s="133"/>
      <c r="AP129" s="147"/>
    </row>
    <row r="130" spans="3:42" x14ac:dyDescent="0.2">
      <c r="C130" s="146"/>
      <c r="D130" s="146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47"/>
      <c r="P130" s="133"/>
      <c r="Q130" s="133"/>
      <c r="R130" s="133"/>
      <c r="S130" s="133"/>
      <c r="T130" s="147"/>
      <c r="U130" s="133"/>
      <c r="V130" s="133"/>
      <c r="W130" s="147"/>
      <c r="X130" s="133"/>
      <c r="Y130" s="133"/>
      <c r="Z130" s="133"/>
      <c r="AA130" s="147"/>
      <c r="AC130" s="133"/>
      <c r="AD130" s="147"/>
      <c r="AF130" s="133"/>
      <c r="AG130" s="147"/>
      <c r="AI130" s="133"/>
      <c r="AJ130" s="147"/>
      <c r="AL130" s="133"/>
      <c r="AM130" s="147"/>
      <c r="AO130" s="133"/>
      <c r="AP130" s="147"/>
    </row>
    <row r="131" spans="3:42" x14ac:dyDescent="0.2">
      <c r="C131" s="146"/>
      <c r="D131" s="146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47"/>
      <c r="P131" s="133"/>
      <c r="Q131" s="133"/>
      <c r="R131" s="133"/>
      <c r="S131" s="133"/>
      <c r="T131" s="147"/>
      <c r="U131" s="133"/>
      <c r="V131" s="133"/>
      <c r="W131" s="147"/>
      <c r="X131" s="133"/>
      <c r="Y131" s="133"/>
      <c r="Z131" s="133"/>
      <c r="AA131" s="147"/>
      <c r="AC131" s="133"/>
      <c r="AD131" s="147"/>
      <c r="AF131" s="133"/>
      <c r="AG131" s="147"/>
      <c r="AI131" s="133"/>
      <c r="AJ131" s="147"/>
      <c r="AL131" s="133"/>
      <c r="AM131" s="147"/>
      <c r="AO131" s="133"/>
      <c r="AP131" s="147"/>
    </row>
    <row r="132" spans="3:42" x14ac:dyDescent="0.2">
      <c r="C132" s="146"/>
      <c r="D132" s="146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47"/>
      <c r="P132" s="133"/>
      <c r="Q132" s="133"/>
      <c r="R132" s="133"/>
      <c r="S132" s="133"/>
      <c r="T132" s="147"/>
      <c r="U132" s="133"/>
      <c r="V132" s="133"/>
      <c r="W132" s="147"/>
      <c r="X132" s="133"/>
      <c r="Y132" s="133"/>
      <c r="Z132" s="133"/>
      <c r="AA132" s="147"/>
      <c r="AC132" s="133"/>
      <c r="AD132" s="147"/>
      <c r="AF132" s="133"/>
      <c r="AG132" s="147"/>
      <c r="AI132" s="133"/>
      <c r="AJ132" s="147"/>
      <c r="AL132" s="133"/>
      <c r="AM132" s="147"/>
      <c r="AO132" s="133"/>
      <c r="AP132" s="147"/>
    </row>
    <row r="133" spans="3:42" x14ac:dyDescent="0.2">
      <c r="C133" s="146"/>
      <c r="D133" s="146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47"/>
      <c r="P133" s="133"/>
      <c r="Q133" s="133"/>
      <c r="R133" s="133"/>
      <c r="S133" s="133"/>
      <c r="T133" s="147"/>
      <c r="U133" s="133"/>
      <c r="V133" s="133"/>
      <c r="W133" s="147"/>
      <c r="X133" s="133"/>
      <c r="Y133" s="133"/>
      <c r="Z133" s="133"/>
      <c r="AA133" s="147"/>
      <c r="AC133" s="133"/>
      <c r="AD133" s="147"/>
      <c r="AF133" s="133"/>
      <c r="AG133" s="147"/>
      <c r="AI133" s="133"/>
      <c r="AJ133" s="147"/>
      <c r="AL133" s="133"/>
      <c r="AM133" s="147"/>
      <c r="AO133" s="133"/>
      <c r="AP133" s="147"/>
    </row>
    <row r="134" spans="3:42" x14ac:dyDescent="0.2">
      <c r="C134" s="146"/>
      <c r="D134" s="146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47"/>
      <c r="P134" s="133"/>
      <c r="Q134" s="133"/>
      <c r="R134" s="133"/>
      <c r="S134" s="133"/>
      <c r="T134" s="147"/>
      <c r="U134" s="133"/>
      <c r="V134" s="133"/>
      <c r="W134" s="147"/>
      <c r="X134" s="133"/>
      <c r="Y134" s="133"/>
      <c r="Z134" s="133"/>
      <c r="AA134" s="147"/>
      <c r="AC134" s="133"/>
      <c r="AD134" s="147"/>
      <c r="AF134" s="133"/>
      <c r="AG134" s="147"/>
      <c r="AI134" s="133"/>
      <c r="AJ134" s="147"/>
      <c r="AL134" s="133"/>
      <c r="AM134" s="147"/>
      <c r="AO134" s="133"/>
      <c r="AP134" s="147"/>
    </row>
    <row r="135" spans="3:42" x14ac:dyDescent="0.2">
      <c r="C135" s="146"/>
      <c r="D135" s="146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47"/>
      <c r="P135" s="133"/>
      <c r="Q135" s="133"/>
      <c r="R135" s="133"/>
      <c r="S135" s="133"/>
      <c r="T135" s="147"/>
      <c r="U135" s="133"/>
      <c r="V135" s="133"/>
      <c r="W135" s="147"/>
      <c r="X135" s="133"/>
      <c r="Y135" s="133"/>
      <c r="Z135" s="133"/>
      <c r="AA135" s="147"/>
      <c r="AC135" s="133"/>
      <c r="AD135" s="147"/>
      <c r="AF135" s="133"/>
      <c r="AG135" s="147"/>
      <c r="AI135" s="133"/>
      <c r="AJ135" s="147"/>
      <c r="AL135" s="133"/>
      <c r="AM135" s="147"/>
      <c r="AO135" s="133"/>
      <c r="AP135" s="147"/>
    </row>
    <row r="136" spans="3:42" x14ac:dyDescent="0.2">
      <c r="C136" s="146"/>
      <c r="D136" s="146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47"/>
      <c r="P136" s="133"/>
      <c r="Q136" s="133"/>
      <c r="R136" s="133"/>
      <c r="S136" s="133"/>
      <c r="T136" s="147"/>
      <c r="U136" s="133"/>
      <c r="V136" s="133"/>
      <c r="W136" s="147"/>
      <c r="X136" s="133"/>
      <c r="Y136" s="133"/>
      <c r="Z136" s="133"/>
      <c r="AA136" s="147"/>
      <c r="AC136" s="133"/>
      <c r="AD136" s="147"/>
      <c r="AF136" s="133"/>
      <c r="AG136" s="147"/>
      <c r="AI136" s="133"/>
      <c r="AJ136" s="147"/>
      <c r="AL136" s="133"/>
      <c r="AM136" s="147"/>
      <c r="AO136" s="133"/>
      <c r="AP136" s="147"/>
    </row>
    <row r="137" spans="3:42" x14ac:dyDescent="0.2">
      <c r="C137" s="146"/>
      <c r="D137" s="146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47"/>
      <c r="P137" s="133"/>
      <c r="Q137" s="133"/>
      <c r="R137" s="133"/>
      <c r="S137" s="133"/>
      <c r="T137" s="147"/>
      <c r="U137" s="133"/>
      <c r="V137" s="133"/>
      <c r="W137" s="147"/>
      <c r="X137" s="133"/>
      <c r="Y137" s="133"/>
      <c r="Z137" s="133"/>
      <c r="AA137" s="147"/>
      <c r="AC137" s="133"/>
      <c r="AD137" s="147"/>
      <c r="AF137" s="133"/>
      <c r="AG137" s="147"/>
      <c r="AI137" s="133"/>
      <c r="AJ137" s="147"/>
      <c r="AL137" s="133"/>
      <c r="AM137" s="147"/>
      <c r="AO137" s="133"/>
      <c r="AP137" s="147"/>
    </row>
    <row r="138" spans="3:42" x14ac:dyDescent="0.2">
      <c r="C138" s="146"/>
      <c r="D138" s="146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47"/>
      <c r="P138" s="133"/>
      <c r="Q138" s="133"/>
      <c r="R138" s="133"/>
      <c r="S138" s="133"/>
      <c r="T138" s="147"/>
      <c r="U138" s="133"/>
      <c r="V138" s="133"/>
      <c r="W138" s="147"/>
      <c r="X138" s="133"/>
      <c r="Y138" s="133"/>
      <c r="Z138" s="133"/>
      <c r="AA138" s="147"/>
      <c r="AC138" s="133"/>
      <c r="AD138" s="147"/>
      <c r="AF138" s="133"/>
      <c r="AG138" s="147"/>
      <c r="AI138" s="133"/>
      <c r="AJ138" s="147"/>
      <c r="AL138" s="133"/>
      <c r="AM138" s="147"/>
      <c r="AO138" s="133"/>
      <c r="AP138" s="147"/>
    </row>
    <row r="139" spans="3:42" x14ac:dyDescent="0.2">
      <c r="C139" s="146"/>
      <c r="D139" s="146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47"/>
      <c r="P139" s="133"/>
      <c r="Q139" s="133"/>
      <c r="R139" s="133"/>
      <c r="S139" s="133"/>
      <c r="T139" s="147"/>
      <c r="U139" s="133"/>
      <c r="V139" s="133"/>
      <c r="W139" s="147"/>
      <c r="X139" s="133"/>
      <c r="Y139" s="133"/>
      <c r="Z139" s="133"/>
      <c r="AA139" s="147"/>
      <c r="AC139" s="133"/>
      <c r="AD139" s="147"/>
      <c r="AF139" s="133"/>
      <c r="AG139" s="147"/>
      <c r="AI139" s="133"/>
      <c r="AJ139" s="147"/>
      <c r="AL139" s="133"/>
      <c r="AM139" s="147"/>
      <c r="AO139" s="133"/>
      <c r="AP139" s="147"/>
    </row>
    <row r="140" spans="3:42" x14ac:dyDescent="0.2">
      <c r="C140" s="146"/>
      <c r="D140" s="146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47"/>
      <c r="P140" s="133"/>
      <c r="Q140" s="133"/>
      <c r="R140" s="133"/>
      <c r="S140" s="133"/>
      <c r="T140" s="147"/>
      <c r="U140" s="133"/>
      <c r="V140" s="133"/>
      <c r="W140" s="147"/>
      <c r="X140" s="133"/>
      <c r="Y140" s="133"/>
      <c r="Z140" s="133"/>
      <c r="AA140" s="147"/>
      <c r="AC140" s="133"/>
      <c r="AD140" s="147"/>
      <c r="AF140" s="133"/>
      <c r="AG140" s="147"/>
      <c r="AI140" s="133"/>
      <c r="AJ140" s="147"/>
      <c r="AL140" s="133"/>
      <c r="AM140" s="147"/>
      <c r="AO140" s="133"/>
      <c r="AP140" s="147"/>
    </row>
    <row r="141" spans="3:42" x14ac:dyDescent="0.2">
      <c r="C141" s="146"/>
      <c r="D141" s="146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47"/>
      <c r="P141" s="133"/>
      <c r="Q141" s="133"/>
      <c r="R141" s="133"/>
      <c r="S141" s="133"/>
      <c r="T141" s="147"/>
      <c r="U141" s="133"/>
      <c r="V141" s="133"/>
      <c r="W141" s="147"/>
      <c r="X141" s="133"/>
      <c r="Y141" s="133"/>
      <c r="Z141" s="133"/>
      <c r="AA141" s="147"/>
      <c r="AC141" s="133"/>
      <c r="AD141" s="147"/>
      <c r="AF141" s="133"/>
      <c r="AG141" s="147"/>
      <c r="AI141" s="133"/>
      <c r="AJ141" s="147"/>
      <c r="AL141" s="133"/>
      <c r="AM141" s="147"/>
      <c r="AO141" s="133"/>
      <c r="AP141" s="147"/>
    </row>
    <row r="142" spans="3:42" x14ac:dyDescent="0.2">
      <c r="C142" s="146"/>
      <c r="D142" s="146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47"/>
      <c r="P142" s="133"/>
      <c r="Q142" s="133"/>
      <c r="R142" s="133"/>
      <c r="S142" s="133"/>
      <c r="T142" s="147"/>
      <c r="U142" s="133"/>
      <c r="V142" s="133"/>
      <c r="W142" s="147"/>
      <c r="X142" s="133"/>
      <c r="Y142" s="133"/>
      <c r="Z142" s="133"/>
      <c r="AA142" s="147"/>
      <c r="AC142" s="133"/>
      <c r="AD142" s="147"/>
      <c r="AF142" s="133"/>
      <c r="AG142" s="147"/>
      <c r="AI142" s="133"/>
      <c r="AJ142" s="147"/>
      <c r="AL142" s="133"/>
      <c r="AM142" s="147"/>
      <c r="AO142" s="133"/>
      <c r="AP142" s="147"/>
    </row>
    <row r="143" spans="3:42" x14ac:dyDescent="0.2">
      <c r="C143" s="146"/>
      <c r="D143" s="146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47"/>
      <c r="P143" s="133"/>
      <c r="Q143" s="133"/>
      <c r="R143" s="133"/>
      <c r="S143" s="133"/>
      <c r="T143" s="147"/>
      <c r="U143" s="133"/>
      <c r="V143" s="133"/>
      <c r="W143" s="147"/>
      <c r="X143" s="133"/>
      <c r="Y143" s="133"/>
      <c r="Z143" s="133"/>
      <c r="AA143" s="147"/>
      <c r="AC143" s="133"/>
      <c r="AD143" s="147"/>
      <c r="AF143" s="133"/>
      <c r="AG143" s="147"/>
      <c r="AI143" s="133"/>
      <c r="AJ143" s="147"/>
      <c r="AL143" s="133"/>
      <c r="AM143" s="147"/>
      <c r="AO143" s="133"/>
      <c r="AP143" s="147"/>
    </row>
    <row r="144" spans="3:42" x14ac:dyDescent="0.2">
      <c r="C144" s="146"/>
      <c r="D144" s="146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47"/>
      <c r="P144" s="133"/>
      <c r="Q144" s="133"/>
      <c r="R144" s="133"/>
      <c r="S144" s="133"/>
      <c r="T144" s="147"/>
      <c r="U144" s="133"/>
      <c r="V144" s="133"/>
      <c r="W144" s="147"/>
      <c r="X144" s="133"/>
      <c r="Y144" s="133"/>
      <c r="Z144" s="133"/>
      <c r="AA144" s="147"/>
      <c r="AC144" s="133"/>
      <c r="AD144" s="147"/>
      <c r="AF144" s="133"/>
      <c r="AG144" s="147"/>
      <c r="AI144" s="133"/>
      <c r="AJ144" s="147"/>
      <c r="AL144" s="133"/>
      <c r="AM144" s="147"/>
      <c r="AO144" s="133"/>
      <c r="AP144" s="147"/>
    </row>
    <row r="145" spans="3:42" x14ac:dyDescent="0.2">
      <c r="C145" s="146"/>
      <c r="D145" s="146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47"/>
      <c r="P145" s="133"/>
      <c r="Q145" s="133"/>
      <c r="R145" s="133"/>
      <c r="S145" s="133"/>
      <c r="T145" s="147"/>
      <c r="U145" s="133"/>
      <c r="V145" s="133"/>
      <c r="W145" s="147"/>
      <c r="X145" s="133"/>
      <c r="Y145" s="133"/>
      <c r="Z145" s="133"/>
      <c r="AA145" s="147"/>
      <c r="AC145" s="133"/>
      <c r="AD145" s="147"/>
      <c r="AF145" s="133"/>
      <c r="AG145" s="147"/>
      <c r="AI145" s="133"/>
      <c r="AJ145" s="147"/>
      <c r="AL145" s="133"/>
      <c r="AM145" s="147"/>
      <c r="AO145" s="133"/>
      <c r="AP145" s="147"/>
    </row>
    <row r="146" spans="3:42" x14ac:dyDescent="0.2">
      <c r="C146" s="146"/>
      <c r="D146" s="146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47"/>
      <c r="P146" s="133"/>
      <c r="Q146" s="133"/>
      <c r="R146" s="133"/>
      <c r="S146" s="133"/>
      <c r="T146" s="147"/>
      <c r="U146" s="133"/>
      <c r="V146" s="133"/>
      <c r="W146" s="147"/>
      <c r="X146" s="133"/>
      <c r="Y146" s="133"/>
      <c r="Z146" s="133"/>
      <c r="AA146" s="147"/>
      <c r="AC146" s="133"/>
      <c r="AD146" s="147"/>
      <c r="AF146" s="133"/>
      <c r="AG146" s="147"/>
      <c r="AI146" s="133"/>
      <c r="AJ146" s="147"/>
      <c r="AL146" s="133"/>
      <c r="AM146" s="147"/>
      <c r="AO146" s="133"/>
      <c r="AP146" s="147"/>
    </row>
    <row r="147" spans="3:42" x14ac:dyDescent="0.2">
      <c r="C147" s="146"/>
      <c r="D147" s="146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47"/>
      <c r="P147" s="133"/>
      <c r="Q147" s="133"/>
      <c r="R147" s="133"/>
      <c r="S147" s="133"/>
      <c r="T147" s="147"/>
      <c r="U147" s="133"/>
      <c r="V147" s="133"/>
      <c r="W147" s="147"/>
      <c r="X147" s="133"/>
      <c r="Y147" s="133"/>
      <c r="Z147" s="133"/>
      <c r="AA147" s="147"/>
      <c r="AC147" s="133"/>
      <c r="AD147" s="147"/>
      <c r="AF147" s="133"/>
      <c r="AG147" s="147"/>
      <c r="AI147" s="133"/>
      <c r="AJ147" s="147"/>
      <c r="AL147" s="133"/>
      <c r="AM147" s="147"/>
      <c r="AO147" s="133"/>
      <c r="AP147" s="147"/>
    </row>
    <row r="148" spans="3:42" x14ac:dyDescent="0.2">
      <c r="C148" s="146"/>
      <c r="D148" s="146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47"/>
      <c r="P148" s="133"/>
      <c r="Q148" s="133"/>
      <c r="R148" s="133"/>
      <c r="S148" s="133"/>
      <c r="T148" s="147"/>
      <c r="U148" s="133"/>
      <c r="V148" s="133"/>
      <c r="W148" s="147"/>
      <c r="X148" s="133"/>
      <c r="Y148" s="133"/>
      <c r="Z148" s="133"/>
      <c r="AA148" s="147"/>
      <c r="AC148" s="133"/>
      <c r="AD148" s="147"/>
      <c r="AF148" s="133"/>
      <c r="AG148" s="147"/>
      <c r="AI148" s="133"/>
      <c r="AJ148" s="147"/>
      <c r="AL148" s="133"/>
      <c r="AM148" s="147"/>
      <c r="AO148" s="133"/>
      <c r="AP148" s="147"/>
    </row>
    <row r="149" spans="3:42" x14ac:dyDescent="0.2">
      <c r="C149" s="146"/>
      <c r="D149" s="146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47"/>
      <c r="P149" s="133"/>
      <c r="Q149" s="133"/>
      <c r="R149" s="133"/>
      <c r="S149" s="133"/>
      <c r="T149" s="147"/>
      <c r="U149" s="133"/>
      <c r="V149" s="133"/>
      <c r="W149" s="147"/>
      <c r="X149" s="133"/>
      <c r="Y149" s="133"/>
      <c r="Z149" s="133"/>
      <c r="AA149" s="147"/>
      <c r="AC149" s="133"/>
      <c r="AD149" s="147"/>
      <c r="AF149" s="133"/>
      <c r="AG149" s="147"/>
      <c r="AI149" s="133"/>
      <c r="AJ149" s="147"/>
      <c r="AL149" s="133"/>
      <c r="AM149" s="147"/>
      <c r="AO149" s="133"/>
      <c r="AP149" s="147"/>
    </row>
    <row r="150" spans="3:42" x14ac:dyDescent="0.2">
      <c r="C150" s="146"/>
      <c r="D150" s="146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47"/>
      <c r="P150" s="133"/>
      <c r="Q150" s="133"/>
      <c r="R150" s="133"/>
      <c r="S150" s="133"/>
      <c r="T150" s="147"/>
      <c r="U150" s="133"/>
      <c r="V150" s="133"/>
      <c r="W150" s="147"/>
      <c r="X150" s="133"/>
      <c r="Y150" s="133"/>
      <c r="Z150" s="133"/>
      <c r="AA150" s="147"/>
      <c r="AC150" s="133"/>
      <c r="AD150" s="147"/>
      <c r="AF150" s="133"/>
      <c r="AG150" s="147"/>
      <c r="AI150" s="133"/>
      <c r="AJ150" s="147"/>
      <c r="AL150" s="133"/>
      <c r="AM150" s="147"/>
      <c r="AO150" s="133"/>
      <c r="AP150" s="147"/>
    </row>
    <row r="151" spans="3:42" x14ac:dyDescent="0.2">
      <c r="C151" s="146"/>
      <c r="D151" s="146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47"/>
      <c r="P151" s="133"/>
      <c r="Q151" s="133"/>
      <c r="R151" s="133"/>
      <c r="S151" s="133"/>
      <c r="T151" s="147"/>
      <c r="U151" s="133"/>
      <c r="V151" s="133"/>
      <c r="W151" s="147"/>
      <c r="X151" s="133"/>
      <c r="Y151" s="133"/>
      <c r="Z151" s="133"/>
      <c r="AA151" s="147"/>
      <c r="AC151" s="133"/>
      <c r="AD151" s="147"/>
      <c r="AF151" s="133"/>
      <c r="AG151" s="147"/>
      <c r="AI151" s="133"/>
      <c r="AJ151" s="147"/>
      <c r="AL151" s="133"/>
      <c r="AM151" s="147"/>
      <c r="AO151" s="133"/>
      <c r="AP151" s="147"/>
    </row>
    <row r="152" spans="3:42" x14ac:dyDescent="0.2">
      <c r="C152" s="146"/>
      <c r="D152" s="146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47"/>
      <c r="P152" s="133"/>
      <c r="Q152" s="133"/>
      <c r="R152" s="133"/>
      <c r="S152" s="133"/>
      <c r="T152" s="147"/>
      <c r="U152" s="133"/>
      <c r="V152" s="133"/>
      <c r="W152" s="147"/>
      <c r="X152" s="133"/>
      <c r="Y152" s="133"/>
      <c r="Z152" s="133"/>
      <c r="AA152" s="147"/>
      <c r="AC152" s="133"/>
      <c r="AD152" s="147"/>
      <c r="AF152" s="133"/>
      <c r="AG152" s="147"/>
      <c r="AI152" s="133"/>
      <c r="AJ152" s="147"/>
      <c r="AL152" s="133"/>
      <c r="AM152" s="147"/>
      <c r="AO152" s="133"/>
      <c r="AP152" s="147"/>
    </row>
    <row r="153" spans="3:42" x14ac:dyDescent="0.2">
      <c r="C153" s="146"/>
      <c r="D153" s="146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47"/>
      <c r="P153" s="133"/>
      <c r="Q153" s="133"/>
      <c r="R153" s="133"/>
      <c r="S153" s="133"/>
      <c r="T153" s="147"/>
      <c r="U153" s="133"/>
      <c r="V153" s="133"/>
      <c r="W153" s="147"/>
      <c r="X153" s="133"/>
      <c r="Y153" s="133"/>
      <c r="Z153" s="133"/>
      <c r="AA153" s="147"/>
      <c r="AC153" s="133"/>
      <c r="AD153" s="147"/>
      <c r="AF153" s="133"/>
      <c r="AG153" s="147"/>
      <c r="AI153" s="133"/>
      <c r="AJ153" s="147"/>
      <c r="AL153" s="133"/>
      <c r="AM153" s="147"/>
      <c r="AO153" s="133"/>
      <c r="AP153" s="147"/>
    </row>
    <row r="154" spans="3:42" x14ac:dyDescent="0.2">
      <c r="C154" s="146"/>
      <c r="D154" s="146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47"/>
      <c r="P154" s="133"/>
      <c r="Q154" s="133"/>
      <c r="R154" s="133"/>
      <c r="S154" s="133"/>
      <c r="T154" s="147"/>
      <c r="U154" s="133"/>
      <c r="V154" s="133"/>
      <c r="W154" s="147"/>
      <c r="X154" s="133"/>
      <c r="Y154" s="133"/>
      <c r="Z154" s="133"/>
      <c r="AA154" s="147"/>
      <c r="AC154" s="133"/>
      <c r="AD154" s="147"/>
      <c r="AF154" s="133"/>
      <c r="AG154" s="147"/>
      <c r="AI154" s="133"/>
      <c r="AJ154" s="147"/>
      <c r="AL154" s="133"/>
      <c r="AM154" s="147"/>
      <c r="AO154" s="133"/>
      <c r="AP154" s="147"/>
    </row>
    <row r="155" spans="3:42" x14ac:dyDescent="0.2">
      <c r="C155" s="146"/>
      <c r="D155" s="146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47"/>
      <c r="P155" s="133"/>
      <c r="Q155" s="133"/>
      <c r="R155" s="133"/>
      <c r="S155" s="133"/>
      <c r="T155" s="147"/>
      <c r="U155" s="133"/>
      <c r="V155" s="133"/>
      <c r="W155" s="147"/>
      <c r="X155" s="133"/>
      <c r="Y155" s="133"/>
      <c r="Z155" s="133"/>
      <c r="AA155" s="147"/>
      <c r="AC155" s="133"/>
      <c r="AD155" s="147"/>
      <c r="AF155" s="133"/>
      <c r="AG155" s="147"/>
      <c r="AI155" s="133"/>
      <c r="AJ155" s="147"/>
      <c r="AL155" s="133"/>
      <c r="AM155" s="147"/>
      <c r="AO155" s="133"/>
      <c r="AP155" s="147"/>
    </row>
    <row r="156" spans="3:42" x14ac:dyDescent="0.2">
      <c r="C156" s="146"/>
      <c r="D156" s="146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47"/>
      <c r="P156" s="133"/>
      <c r="Q156" s="133"/>
      <c r="R156" s="133"/>
      <c r="S156" s="133"/>
      <c r="T156" s="147"/>
      <c r="U156" s="133"/>
      <c r="V156" s="133"/>
      <c r="W156" s="147"/>
      <c r="X156" s="133"/>
      <c r="Y156" s="133"/>
      <c r="Z156" s="133"/>
      <c r="AA156" s="147"/>
      <c r="AC156" s="133"/>
      <c r="AD156" s="147"/>
      <c r="AF156" s="133"/>
      <c r="AG156" s="147"/>
      <c r="AI156" s="133"/>
      <c r="AJ156" s="147"/>
      <c r="AL156" s="133"/>
      <c r="AM156" s="147"/>
      <c r="AO156" s="133"/>
      <c r="AP156" s="147"/>
    </row>
    <row r="157" spans="3:42" x14ac:dyDescent="0.2">
      <c r="C157" s="146"/>
      <c r="D157" s="146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47"/>
      <c r="P157" s="133"/>
      <c r="Q157" s="133"/>
      <c r="R157" s="133"/>
      <c r="S157" s="133"/>
      <c r="T157" s="147"/>
      <c r="U157" s="133"/>
      <c r="V157" s="133"/>
      <c r="W157" s="147"/>
      <c r="X157" s="133"/>
      <c r="Y157" s="133"/>
      <c r="Z157" s="133"/>
      <c r="AA157" s="147"/>
      <c r="AC157" s="133"/>
      <c r="AD157" s="147"/>
      <c r="AF157" s="133"/>
      <c r="AG157" s="147"/>
      <c r="AI157" s="133"/>
      <c r="AJ157" s="147"/>
      <c r="AL157" s="133"/>
      <c r="AM157" s="147"/>
      <c r="AO157" s="133"/>
      <c r="AP157" s="147"/>
    </row>
    <row r="158" spans="3:42" x14ac:dyDescent="0.2">
      <c r="C158" s="146"/>
      <c r="D158" s="146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47"/>
      <c r="P158" s="133"/>
      <c r="Q158" s="133"/>
      <c r="R158" s="133"/>
      <c r="S158" s="133"/>
      <c r="T158" s="147"/>
      <c r="U158" s="133"/>
      <c r="V158" s="133"/>
      <c r="W158" s="147"/>
      <c r="X158" s="133"/>
      <c r="Y158" s="133"/>
      <c r="Z158" s="133"/>
      <c r="AA158" s="147"/>
      <c r="AC158" s="133"/>
      <c r="AD158" s="147"/>
      <c r="AF158" s="133"/>
      <c r="AG158" s="147"/>
      <c r="AI158" s="133"/>
      <c r="AJ158" s="147"/>
      <c r="AL158" s="133"/>
      <c r="AM158" s="147"/>
      <c r="AO158" s="133"/>
      <c r="AP158" s="147"/>
    </row>
    <row r="159" spans="3:42" x14ac:dyDescent="0.2">
      <c r="C159" s="146"/>
      <c r="D159" s="146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47"/>
      <c r="P159" s="133"/>
      <c r="Q159" s="133"/>
      <c r="R159" s="133"/>
      <c r="S159" s="133"/>
      <c r="T159" s="147"/>
      <c r="U159" s="133"/>
      <c r="V159" s="133"/>
      <c r="W159" s="147"/>
      <c r="X159" s="133"/>
      <c r="Y159" s="133"/>
      <c r="Z159" s="133"/>
      <c r="AA159" s="147"/>
      <c r="AC159" s="133"/>
      <c r="AD159" s="147"/>
      <c r="AF159" s="133"/>
      <c r="AG159" s="147"/>
      <c r="AI159" s="133"/>
      <c r="AJ159" s="147"/>
      <c r="AL159" s="133"/>
      <c r="AM159" s="147"/>
      <c r="AO159" s="133"/>
      <c r="AP159" s="147"/>
    </row>
    <row r="160" spans="3:42" x14ac:dyDescent="0.2">
      <c r="C160" s="146"/>
      <c r="D160" s="146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47"/>
      <c r="P160" s="133"/>
      <c r="Q160" s="133"/>
      <c r="R160" s="133"/>
      <c r="S160" s="133"/>
      <c r="T160" s="147"/>
      <c r="U160" s="133"/>
      <c r="V160" s="133"/>
      <c r="W160" s="147"/>
      <c r="X160" s="133"/>
      <c r="Y160" s="133"/>
      <c r="Z160" s="133"/>
      <c r="AA160" s="147"/>
      <c r="AC160" s="133"/>
      <c r="AD160" s="147"/>
      <c r="AF160" s="133"/>
      <c r="AG160" s="147"/>
      <c r="AI160" s="133"/>
      <c r="AJ160" s="147"/>
      <c r="AL160" s="133"/>
      <c r="AM160" s="147"/>
      <c r="AO160" s="133"/>
      <c r="AP160" s="147"/>
    </row>
    <row r="161" spans="3:42" x14ac:dyDescent="0.2">
      <c r="C161" s="146"/>
      <c r="D161" s="146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47"/>
      <c r="P161" s="133"/>
      <c r="Q161" s="133"/>
      <c r="R161" s="133"/>
      <c r="S161" s="133"/>
      <c r="T161" s="147"/>
      <c r="U161" s="133"/>
      <c r="V161" s="133"/>
      <c r="W161" s="147"/>
      <c r="X161" s="133"/>
      <c r="Y161" s="133"/>
      <c r="Z161" s="133"/>
      <c r="AA161" s="147"/>
      <c r="AC161" s="133"/>
      <c r="AD161" s="147"/>
      <c r="AF161" s="133"/>
      <c r="AG161" s="147"/>
      <c r="AI161" s="133"/>
      <c r="AJ161" s="147"/>
      <c r="AL161" s="133"/>
      <c r="AM161" s="147"/>
      <c r="AO161" s="133"/>
      <c r="AP161" s="147"/>
    </row>
    <row r="162" spans="3:42" x14ac:dyDescent="0.2">
      <c r="C162" s="146"/>
      <c r="D162" s="146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47"/>
      <c r="P162" s="133"/>
      <c r="Q162" s="133"/>
      <c r="R162" s="133"/>
      <c r="S162" s="133"/>
      <c r="T162" s="147"/>
      <c r="U162" s="133"/>
      <c r="V162" s="133"/>
      <c r="W162" s="147"/>
      <c r="X162" s="133"/>
      <c r="Y162" s="133"/>
      <c r="Z162" s="133"/>
      <c r="AA162" s="147"/>
      <c r="AC162" s="133"/>
      <c r="AD162" s="147"/>
      <c r="AF162" s="133"/>
      <c r="AG162" s="147"/>
      <c r="AI162" s="133"/>
      <c r="AJ162" s="147"/>
      <c r="AL162" s="133"/>
      <c r="AM162" s="147"/>
      <c r="AO162" s="133"/>
      <c r="AP162" s="147"/>
    </row>
    <row r="163" spans="3:42" x14ac:dyDescent="0.2">
      <c r="C163" s="146"/>
      <c r="D163" s="146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47"/>
      <c r="P163" s="133"/>
      <c r="Q163" s="133"/>
      <c r="R163" s="133"/>
      <c r="S163" s="133"/>
      <c r="T163" s="147"/>
      <c r="U163" s="133"/>
      <c r="V163" s="133"/>
      <c r="W163" s="147"/>
      <c r="X163" s="133"/>
      <c r="Y163" s="133"/>
      <c r="Z163" s="133"/>
      <c r="AA163" s="147"/>
      <c r="AC163" s="133"/>
      <c r="AD163" s="147"/>
      <c r="AF163" s="133"/>
      <c r="AG163" s="147"/>
      <c r="AI163" s="133"/>
      <c r="AJ163" s="147"/>
      <c r="AL163" s="133"/>
      <c r="AM163" s="147"/>
      <c r="AO163" s="133"/>
      <c r="AP163" s="147"/>
    </row>
    <row r="164" spans="3:42" x14ac:dyDescent="0.2">
      <c r="C164" s="146"/>
      <c r="D164" s="146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47"/>
      <c r="P164" s="133"/>
      <c r="Q164" s="133"/>
      <c r="R164" s="133"/>
      <c r="S164" s="133"/>
      <c r="T164" s="147"/>
      <c r="U164" s="133"/>
      <c r="V164" s="133"/>
      <c r="W164" s="147"/>
      <c r="X164" s="133"/>
      <c r="Y164" s="133"/>
      <c r="Z164" s="133"/>
      <c r="AA164" s="147"/>
      <c r="AC164" s="133"/>
      <c r="AD164" s="147"/>
      <c r="AF164" s="133"/>
      <c r="AG164" s="147"/>
      <c r="AI164" s="133"/>
      <c r="AJ164" s="147"/>
      <c r="AL164" s="133"/>
      <c r="AM164" s="147"/>
      <c r="AO164" s="133"/>
      <c r="AP164" s="147"/>
    </row>
    <row r="165" spans="3:42" x14ac:dyDescent="0.2">
      <c r="C165" s="146"/>
      <c r="D165" s="146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47"/>
      <c r="P165" s="133"/>
      <c r="Q165" s="133"/>
      <c r="R165" s="133"/>
      <c r="S165" s="133"/>
      <c r="T165" s="147"/>
      <c r="U165" s="133"/>
      <c r="V165" s="133"/>
      <c r="W165" s="147"/>
      <c r="X165" s="133"/>
      <c r="Y165" s="133"/>
      <c r="Z165" s="133"/>
      <c r="AA165" s="147"/>
      <c r="AC165" s="133"/>
      <c r="AD165" s="147"/>
      <c r="AF165" s="133"/>
      <c r="AG165" s="147"/>
      <c r="AI165" s="133"/>
      <c r="AJ165" s="147"/>
      <c r="AL165" s="133"/>
      <c r="AM165" s="147"/>
      <c r="AO165" s="133"/>
      <c r="AP165" s="147"/>
    </row>
    <row r="166" spans="3:42" x14ac:dyDescent="0.2">
      <c r="C166" s="146"/>
      <c r="D166" s="146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47"/>
      <c r="P166" s="133"/>
      <c r="Q166" s="133"/>
      <c r="R166" s="133"/>
      <c r="S166" s="133"/>
      <c r="T166" s="147"/>
      <c r="U166" s="133"/>
      <c r="V166" s="133"/>
      <c r="W166" s="147"/>
      <c r="X166" s="133"/>
      <c r="Y166" s="133"/>
      <c r="Z166" s="133"/>
      <c r="AA166" s="147"/>
      <c r="AC166" s="133"/>
      <c r="AD166" s="147"/>
      <c r="AF166" s="133"/>
      <c r="AG166" s="147"/>
      <c r="AI166" s="133"/>
      <c r="AJ166" s="147"/>
      <c r="AL166" s="133"/>
      <c r="AM166" s="147"/>
      <c r="AO166" s="133"/>
      <c r="AP166" s="147"/>
    </row>
    <row r="167" spans="3:42" x14ac:dyDescent="0.2">
      <c r="C167" s="146"/>
      <c r="D167" s="146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47"/>
      <c r="P167" s="133"/>
      <c r="Q167" s="133"/>
      <c r="R167" s="133"/>
      <c r="S167" s="133"/>
      <c r="T167" s="147"/>
      <c r="U167" s="133"/>
      <c r="V167" s="133"/>
      <c r="W167" s="147"/>
      <c r="X167" s="133"/>
      <c r="Y167" s="133"/>
      <c r="Z167" s="133"/>
      <c r="AA167" s="147"/>
      <c r="AC167" s="133"/>
      <c r="AD167" s="147"/>
      <c r="AF167" s="133"/>
      <c r="AG167" s="147"/>
      <c r="AI167" s="133"/>
      <c r="AJ167" s="147"/>
      <c r="AL167" s="133"/>
      <c r="AM167" s="147"/>
      <c r="AO167" s="133"/>
      <c r="AP167" s="147"/>
    </row>
    <row r="168" spans="3:42" x14ac:dyDescent="0.2">
      <c r="C168" s="146"/>
      <c r="D168" s="146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47"/>
      <c r="P168" s="133"/>
      <c r="Q168" s="133"/>
      <c r="R168" s="133"/>
      <c r="S168" s="133"/>
      <c r="T168" s="147"/>
      <c r="U168" s="133"/>
      <c r="V168" s="133"/>
      <c r="W168" s="147"/>
      <c r="X168" s="133"/>
      <c r="Y168" s="133"/>
      <c r="Z168" s="133"/>
      <c r="AA168" s="147"/>
      <c r="AC168" s="133"/>
      <c r="AD168" s="147"/>
      <c r="AF168" s="133"/>
      <c r="AG168" s="147"/>
      <c r="AI168" s="133"/>
      <c r="AJ168" s="147"/>
      <c r="AL168" s="133"/>
      <c r="AM168" s="147"/>
      <c r="AO168" s="133"/>
      <c r="AP168" s="147"/>
    </row>
    <row r="169" spans="3:42" x14ac:dyDescent="0.2">
      <c r="C169" s="146"/>
      <c r="D169" s="146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47"/>
      <c r="P169" s="133"/>
      <c r="Q169" s="133"/>
      <c r="R169" s="133"/>
      <c r="S169" s="133"/>
      <c r="T169" s="147"/>
      <c r="U169" s="133"/>
      <c r="V169" s="133"/>
      <c r="W169" s="147"/>
      <c r="X169" s="133"/>
      <c r="Y169" s="133"/>
      <c r="Z169" s="133"/>
      <c r="AA169" s="147"/>
      <c r="AC169" s="133"/>
      <c r="AD169" s="147"/>
      <c r="AF169" s="133"/>
      <c r="AG169" s="147"/>
      <c r="AI169" s="133"/>
      <c r="AJ169" s="147"/>
      <c r="AL169" s="133"/>
      <c r="AM169" s="147"/>
      <c r="AO169" s="133"/>
      <c r="AP169" s="147"/>
    </row>
    <row r="170" spans="3:42" x14ac:dyDescent="0.2">
      <c r="C170" s="146"/>
      <c r="D170" s="146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47"/>
      <c r="P170" s="133"/>
      <c r="Q170" s="133"/>
      <c r="R170" s="133"/>
      <c r="S170" s="133"/>
      <c r="T170" s="147"/>
      <c r="U170" s="133"/>
      <c r="V170" s="133"/>
      <c r="W170" s="147"/>
      <c r="X170" s="133"/>
      <c r="Y170" s="133"/>
      <c r="Z170" s="133"/>
      <c r="AA170" s="147"/>
      <c r="AC170" s="133"/>
      <c r="AD170" s="147"/>
      <c r="AF170" s="133"/>
      <c r="AG170" s="147"/>
      <c r="AI170" s="133"/>
      <c r="AJ170" s="147"/>
      <c r="AL170" s="133"/>
      <c r="AM170" s="147"/>
      <c r="AO170" s="133"/>
      <c r="AP170" s="147"/>
    </row>
    <row r="171" spans="3:42" x14ac:dyDescent="0.2">
      <c r="C171" s="146"/>
      <c r="D171" s="146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47"/>
      <c r="P171" s="133"/>
      <c r="Q171" s="133"/>
      <c r="R171" s="133"/>
      <c r="S171" s="133"/>
      <c r="T171" s="147"/>
      <c r="U171" s="133"/>
      <c r="V171" s="133"/>
      <c r="W171" s="147"/>
      <c r="X171" s="133"/>
      <c r="Y171" s="133"/>
      <c r="Z171" s="133"/>
      <c r="AA171" s="147"/>
      <c r="AC171" s="133"/>
      <c r="AD171" s="147"/>
      <c r="AF171" s="133"/>
      <c r="AG171" s="147"/>
      <c r="AI171" s="133"/>
      <c r="AJ171" s="147"/>
      <c r="AL171" s="133"/>
      <c r="AM171" s="147"/>
      <c r="AO171" s="133"/>
      <c r="AP171" s="147"/>
    </row>
    <row r="172" spans="3:42" x14ac:dyDescent="0.2">
      <c r="C172" s="146"/>
      <c r="D172" s="146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47"/>
      <c r="P172" s="133"/>
      <c r="Q172" s="133"/>
      <c r="R172" s="133"/>
      <c r="S172" s="133"/>
      <c r="T172" s="147"/>
      <c r="U172" s="133"/>
      <c r="V172" s="133"/>
      <c r="W172" s="147"/>
      <c r="X172" s="133"/>
      <c r="Y172" s="133"/>
      <c r="Z172" s="133"/>
      <c r="AA172" s="147"/>
      <c r="AC172" s="133"/>
      <c r="AD172" s="147"/>
      <c r="AF172" s="133"/>
      <c r="AG172" s="147"/>
      <c r="AI172" s="133"/>
      <c r="AJ172" s="147"/>
      <c r="AL172" s="133"/>
      <c r="AM172" s="147"/>
      <c r="AO172" s="133"/>
      <c r="AP172" s="147"/>
    </row>
    <row r="173" spans="3:42" x14ac:dyDescent="0.2">
      <c r="C173" s="146"/>
      <c r="D173" s="146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47"/>
      <c r="P173" s="133"/>
      <c r="Q173" s="133"/>
      <c r="R173" s="133"/>
      <c r="S173" s="133"/>
      <c r="T173" s="147"/>
      <c r="U173" s="133"/>
      <c r="V173" s="133"/>
      <c r="W173" s="147"/>
      <c r="X173" s="133"/>
      <c r="Y173" s="133"/>
      <c r="Z173" s="133"/>
      <c r="AA173" s="147"/>
      <c r="AC173" s="133"/>
      <c r="AD173" s="147"/>
      <c r="AF173" s="133"/>
      <c r="AG173" s="147"/>
      <c r="AI173" s="133"/>
      <c r="AJ173" s="147"/>
      <c r="AL173" s="133"/>
      <c r="AM173" s="147"/>
      <c r="AO173" s="133"/>
      <c r="AP173" s="147"/>
    </row>
    <row r="174" spans="3:42" x14ac:dyDescent="0.2">
      <c r="C174" s="146"/>
      <c r="D174" s="146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47"/>
      <c r="P174" s="133"/>
      <c r="Q174" s="133"/>
      <c r="R174" s="133"/>
      <c r="S174" s="133"/>
      <c r="T174" s="147"/>
      <c r="U174" s="133"/>
      <c r="V174" s="133"/>
      <c r="W174" s="147"/>
      <c r="X174" s="133"/>
      <c r="Y174" s="133"/>
      <c r="Z174" s="133"/>
      <c r="AA174" s="147"/>
      <c r="AC174" s="133"/>
      <c r="AD174" s="147"/>
      <c r="AF174" s="133"/>
      <c r="AG174" s="147"/>
      <c r="AI174" s="133"/>
      <c r="AJ174" s="147"/>
      <c r="AL174" s="133"/>
      <c r="AM174" s="147"/>
      <c r="AO174" s="133"/>
      <c r="AP174" s="147"/>
    </row>
    <row r="175" spans="3:42" x14ac:dyDescent="0.2">
      <c r="C175" s="146"/>
      <c r="D175" s="146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47"/>
      <c r="P175" s="133"/>
      <c r="Q175" s="133"/>
      <c r="R175" s="133"/>
      <c r="S175" s="133"/>
      <c r="T175" s="147"/>
      <c r="U175" s="133"/>
      <c r="V175" s="133"/>
      <c r="W175" s="147"/>
      <c r="X175" s="133"/>
      <c r="Y175" s="133"/>
      <c r="Z175" s="133"/>
      <c r="AA175" s="147"/>
      <c r="AC175" s="133"/>
      <c r="AD175" s="147"/>
      <c r="AF175" s="133"/>
      <c r="AG175" s="147"/>
      <c r="AI175" s="133"/>
      <c r="AJ175" s="147"/>
      <c r="AL175" s="133"/>
      <c r="AM175" s="147"/>
      <c r="AO175" s="133"/>
      <c r="AP175" s="147"/>
    </row>
    <row r="176" spans="3:42" x14ac:dyDescent="0.2">
      <c r="C176" s="146"/>
      <c r="D176" s="146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47"/>
      <c r="P176" s="133"/>
      <c r="Q176" s="133"/>
      <c r="R176" s="133"/>
      <c r="S176" s="133"/>
      <c r="T176" s="147"/>
      <c r="U176" s="133"/>
      <c r="V176" s="133"/>
      <c r="W176" s="147"/>
      <c r="X176" s="133"/>
      <c r="Y176" s="133"/>
      <c r="Z176" s="133"/>
      <c r="AA176" s="147"/>
      <c r="AC176" s="133"/>
      <c r="AD176" s="147"/>
      <c r="AF176" s="133"/>
      <c r="AG176" s="147"/>
      <c r="AI176" s="133"/>
      <c r="AJ176" s="147"/>
      <c r="AL176" s="133"/>
      <c r="AM176" s="147"/>
      <c r="AO176" s="133"/>
      <c r="AP176" s="147"/>
    </row>
    <row r="177" spans="3:42" x14ac:dyDescent="0.2">
      <c r="C177" s="146"/>
      <c r="D177" s="146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47"/>
      <c r="P177" s="133"/>
      <c r="Q177" s="133"/>
      <c r="R177" s="133"/>
      <c r="S177" s="133"/>
      <c r="T177" s="147"/>
      <c r="U177" s="133"/>
      <c r="V177" s="133"/>
      <c r="W177" s="147"/>
      <c r="X177" s="133"/>
      <c r="Y177" s="133"/>
      <c r="Z177" s="133"/>
      <c r="AA177" s="147"/>
      <c r="AC177" s="133"/>
      <c r="AD177" s="147"/>
      <c r="AF177" s="133"/>
      <c r="AG177" s="147"/>
      <c r="AI177" s="133"/>
      <c r="AJ177" s="147"/>
      <c r="AL177" s="133"/>
      <c r="AM177" s="147"/>
      <c r="AO177" s="133"/>
      <c r="AP177" s="147"/>
    </row>
    <row r="178" spans="3:42" x14ac:dyDescent="0.2">
      <c r="C178" s="146"/>
      <c r="D178" s="146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47"/>
      <c r="P178" s="133"/>
      <c r="Q178" s="133"/>
      <c r="R178" s="133"/>
      <c r="S178" s="133"/>
      <c r="T178" s="147"/>
      <c r="U178" s="133"/>
      <c r="V178" s="133"/>
      <c r="W178" s="147"/>
      <c r="X178" s="133"/>
      <c r="Y178" s="133"/>
      <c r="Z178" s="133"/>
      <c r="AA178" s="147"/>
      <c r="AC178" s="133"/>
      <c r="AD178" s="147"/>
      <c r="AF178" s="133"/>
      <c r="AG178" s="147"/>
      <c r="AI178" s="133"/>
      <c r="AJ178" s="147"/>
      <c r="AL178" s="133"/>
      <c r="AM178" s="147"/>
      <c r="AO178" s="133"/>
      <c r="AP178" s="147"/>
    </row>
    <row r="179" spans="3:42" x14ac:dyDescent="0.2">
      <c r="C179" s="146"/>
      <c r="D179" s="146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47"/>
      <c r="P179" s="133"/>
      <c r="Q179" s="133"/>
      <c r="R179" s="133"/>
      <c r="S179" s="133"/>
      <c r="T179" s="147"/>
      <c r="U179" s="133"/>
      <c r="V179" s="133"/>
      <c r="W179" s="147"/>
      <c r="X179" s="133"/>
      <c r="Y179" s="133"/>
      <c r="Z179" s="133"/>
      <c r="AA179" s="147"/>
      <c r="AC179" s="133"/>
      <c r="AD179" s="147"/>
      <c r="AF179" s="133"/>
      <c r="AG179" s="147"/>
      <c r="AI179" s="133"/>
      <c r="AJ179" s="147"/>
      <c r="AL179" s="133"/>
      <c r="AM179" s="147"/>
      <c r="AO179" s="133"/>
      <c r="AP179" s="147"/>
    </row>
    <row r="180" spans="3:42" x14ac:dyDescent="0.2">
      <c r="C180" s="146"/>
      <c r="D180" s="146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47"/>
      <c r="P180" s="133"/>
      <c r="Q180" s="133"/>
      <c r="R180" s="133"/>
      <c r="S180" s="133"/>
      <c r="T180" s="147"/>
      <c r="U180" s="133"/>
      <c r="V180" s="133"/>
      <c r="W180" s="147"/>
      <c r="X180" s="133"/>
      <c r="Y180" s="133"/>
      <c r="Z180" s="133"/>
      <c r="AA180" s="147"/>
      <c r="AC180" s="133"/>
      <c r="AD180" s="147"/>
      <c r="AF180" s="133"/>
      <c r="AG180" s="147"/>
      <c r="AI180" s="133"/>
      <c r="AJ180" s="147"/>
      <c r="AL180" s="133"/>
      <c r="AM180" s="147"/>
      <c r="AO180" s="133"/>
      <c r="AP180" s="147"/>
    </row>
    <row r="181" spans="3:42" x14ac:dyDescent="0.2">
      <c r="C181" s="146"/>
      <c r="D181" s="146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47"/>
      <c r="P181" s="133"/>
      <c r="Q181" s="133"/>
      <c r="R181" s="133"/>
      <c r="S181" s="133"/>
      <c r="T181" s="147"/>
      <c r="U181" s="133"/>
      <c r="V181" s="133"/>
      <c r="W181" s="147"/>
      <c r="X181" s="133"/>
      <c r="Y181" s="133"/>
      <c r="Z181" s="133"/>
      <c r="AA181" s="147"/>
      <c r="AC181" s="133"/>
      <c r="AD181" s="147"/>
      <c r="AF181" s="133"/>
      <c r="AG181" s="147"/>
      <c r="AI181" s="133"/>
      <c r="AJ181" s="147"/>
      <c r="AL181" s="133"/>
      <c r="AM181" s="147"/>
      <c r="AO181" s="133"/>
      <c r="AP181" s="147"/>
    </row>
    <row r="182" spans="3:42" x14ac:dyDescent="0.2">
      <c r="C182" s="146"/>
      <c r="D182" s="146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47"/>
      <c r="P182" s="133"/>
      <c r="Q182" s="133"/>
      <c r="R182" s="133"/>
      <c r="S182" s="133"/>
      <c r="T182" s="147"/>
      <c r="U182" s="133"/>
      <c r="V182" s="133"/>
      <c r="W182" s="147"/>
      <c r="X182" s="133"/>
      <c r="Y182" s="133"/>
      <c r="Z182" s="133"/>
      <c r="AA182" s="147"/>
      <c r="AC182" s="133"/>
      <c r="AD182" s="147"/>
      <c r="AF182" s="133"/>
      <c r="AG182" s="147"/>
      <c r="AI182" s="133"/>
      <c r="AJ182" s="147"/>
      <c r="AL182" s="133"/>
      <c r="AM182" s="147"/>
      <c r="AO182" s="133"/>
      <c r="AP182" s="147"/>
    </row>
    <row r="183" spans="3:42" x14ac:dyDescent="0.2">
      <c r="C183" s="146"/>
      <c r="D183" s="146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47"/>
      <c r="P183" s="133"/>
      <c r="Q183" s="133"/>
      <c r="R183" s="133"/>
      <c r="S183" s="133"/>
      <c r="T183" s="147"/>
      <c r="U183" s="133"/>
      <c r="V183" s="133"/>
      <c r="W183" s="147"/>
      <c r="X183" s="133"/>
      <c r="Y183" s="133"/>
      <c r="Z183" s="133"/>
      <c r="AA183" s="147"/>
      <c r="AC183" s="133"/>
      <c r="AD183" s="147"/>
      <c r="AF183" s="133"/>
      <c r="AG183" s="147"/>
      <c r="AI183" s="133"/>
      <c r="AJ183" s="147"/>
      <c r="AL183" s="133"/>
      <c r="AM183" s="147"/>
      <c r="AO183" s="133"/>
      <c r="AP183" s="147"/>
    </row>
    <row r="184" spans="3:42" x14ac:dyDescent="0.2">
      <c r="C184" s="146"/>
      <c r="D184" s="146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47"/>
      <c r="P184" s="133"/>
      <c r="Q184" s="133"/>
      <c r="R184" s="133"/>
      <c r="S184" s="133"/>
      <c r="T184" s="147"/>
      <c r="U184" s="133"/>
      <c r="V184" s="133"/>
      <c r="W184" s="147"/>
      <c r="X184" s="133"/>
      <c r="Y184" s="133"/>
      <c r="Z184" s="133"/>
      <c r="AA184" s="147"/>
      <c r="AC184" s="133"/>
      <c r="AD184" s="147"/>
      <c r="AF184" s="133"/>
      <c r="AG184" s="147"/>
      <c r="AI184" s="133"/>
      <c r="AJ184" s="147"/>
      <c r="AL184" s="133"/>
      <c r="AM184" s="147"/>
      <c r="AO184" s="133"/>
      <c r="AP184" s="147"/>
    </row>
    <row r="185" spans="3:42" x14ac:dyDescent="0.2">
      <c r="C185" s="146"/>
      <c r="D185" s="146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47"/>
      <c r="P185" s="133"/>
      <c r="Q185" s="133"/>
      <c r="R185" s="133"/>
      <c r="S185" s="133"/>
      <c r="T185" s="147"/>
      <c r="U185" s="133"/>
      <c r="V185" s="133"/>
      <c r="W185" s="147"/>
      <c r="X185" s="133"/>
      <c r="Y185" s="133"/>
      <c r="Z185" s="133"/>
      <c r="AA185" s="147"/>
      <c r="AC185" s="133"/>
      <c r="AD185" s="147"/>
      <c r="AF185" s="133"/>
      <c r="AG185" s="147"/>
      <c r="AI185" s="133"/>
      <c r="AJ185" s="147"/>
      <c r="AL185" s="133"/>
      <c r="AM185" s="147"/>
      <c r="AO185" s="133"/>
      <c r="AP185" s="147"/>
    </row>
    <row r="186" spans="3:42" x14ac:dyDescent="0.2">
      <c r="C186" s="146"/>
      <c r="D186" s="146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47"/>
      <c r="P186" s="133"/>
      <c r="Q186" s="133"/>
      <c r="R186" s="133"/>
      <c r="S186" s="133"/>
      <c r="T186" s="147"/>
      <c r="U186" s="133"/>
      <c r="V186" s="133"/>
      <c r="W186" s="147"/>
      <c r="X186" s="133"/>
      <c r="Y186" s="133"/>
      <c r="Z186" s="133"/>
      <c r="AA186" s="147"/>
      <c r="AC186" s="133"/>
      <c r="AD186" s="147"/>
      <c r="AF186" s="133"/>
      <c r="AG186" s="147"/>
      <c r="AI186" s="133"/>
      <c r="AJ186" s="147"/>
      <c r="AL186" s="133"/>
      <c r="AM186" s="147"/>
      <c r="AO186" s="133"/>
      <c r="AP186" s="147"/>
    </row>
    <row r="187" spans="3:42" x14ac:dyDescent="0.2">
      <c r="C187" s="146"/>
      <c r="D187" s="146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47"/>
      <c r="P187" s="133"/>
      <c r="Q187" s="133"/>
      <c r="R187" s="133"/>
      <c r="S187" s="133"/>
      <c r="T187" s="147"/>
      <c r="U187" s="133"/>
      <c r="V187" s="133"/>
      <c r="W187" s="147"/>
      <c r="X187" s="133"/>
      <c r="Y187" s="133"/>
      <c r="Z187" s="133"/>
      <c r="AA187" s="147"/>
      <c r="AC187" s="133"/>
      <c r="AD187" s="147"/>
      <c r="AF187" s="133"/>
      <c r="AG187" s="147"/>
      <c r="AI187" s="133"/>
      <c r="AJ187" s="147"/>
      <c r="AL187" s="133"/>
      <c r="AM187" s="147"/>
      <c r="AO187" s="133"/>
      <c r="AP187" s="147"/>
    </row>
    <row r="188" spans="3:42" x14ac:dyDescent="0.2">
      <c r="C188" s="146"/>
      <c r="D188" s="146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47"/>
      <c r="P188" s="133"/>
      <c r="Q188" s="133"/>
      <c r="R188" s="133"/>
      <c r="S188" s="133"/>
      <c r="T188" s="147"/>
      <c r="U188" s="133"/>
      <c r="V188" s="133"/>
      <c r="W188" s="147"/>
      <c r="X188" s="133"/>
      <c r="Y188" s="133"/>
      <c r="Z188" s="133"/>
      <c r="AA188" s="147"/>
      <c r="AC188" s="133"/>
      <c r="AD188" s="147"/>
      <c r="AF188" s="133"/>
      <c r="AG188" s="147"/>
      <c r="AI188" s="133"/>
      <c r="AJ188" s="147"/>
      <c r="AL188" s="133"/>
      <c r="AM188" s="147"/>
      <c r="AO188" s="133"/>
      <c r="AP188" s="147"/>
    </row>
    <row r="189" spans="3:42" x14ac:dyDescent="0.2">
      <c r="C189" s="146"/>
      <c r="D189" s="146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47"/>
      <c r="P189" s="133"/>
      <c r="Q189" s="133"/>
      <c r="R189" s="133"/>
      <c r="S189" s="133"/>
      <c r="T189" s="147"/>
      <c r="U189" s="133"/>
      <c r="V189" s="133"/>
      <c r="W189" s="147"/>
      <c r="X189" s="133"/>
      <c r="Y189" s="133"/>
      <c r="Z189" s="133"/>
      <c r="AA189" s="147"/>
      <c r="AC189" s="133"/>
      <c r="AD189" s="147"/>
      <c r="AF189" s="133"/>
      <c r="AG189" s="147"/>
      <c r="AI189" s="133"/>
      <c r="AJ189" s="147"/>
      <c r="AL189" s="133"/>
      <c r="AM189" s="147"/>
      <c r="AO189" s="133"/>
      <c r="AP189" s="147"/>
    </row>
    <row r="190" spans="3:42" x14ac:dyDescent="0.2">
      <c r="C190" s="146"/>
      <c r="D190" s="146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47"/>
      <c r="P190" s="133"/>
      <c r="Q190" s="133"/>
      <c r="R190" s="133"/>
      <c r="S190" s="133"/>
      <c r="T190" s="147"/>
      <c r="U190" s="133"/>
      <c r="V190" s="133"/>
      <c r="W190" s="147"/>
      <c r="X190" s="133"/>
      <c r="Y190" s="133"/>
      <c r="Z190" s="133"/>
      <c r="AA190" s="147"/>
      <c r="AC190" s="133"/>
      <c r="AD190" s="147"/>
      <c r="AF190" s="133"/>
      <c r="AG190" s="147"/>
      <c r="AI190" s="133"/>
      <c r="AJ190" s="147"/>
      <c r="AL190" s="133"/>
      <c r="AM190" s="147"/>
      <c r="AO190" s="133"/>
      <c r="AP190" s="147"/>
    </row>
    <row r="191" spans="3:42" x14ac:dyDescent="0.2">
      <c r="C191" s="146"/>
      <c r="D191" s="146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47"/>
      <c r="P191" s="133"/>
      <c r="Q191" s="133"/>
      <c r="R191" s="133"/>
      <c r="S191" s="133"/>
      <c r="T191" s="147"/>
      <c r="U191" s="133"/>
      <c r="V191" s="133"/>
      <c r="W191" s="147"/>
      <c r="X191" s="133"/>
      <c r="Y191" s="133"/>
      <c r="Z191" s="133"/>
      <c r="AA191" s="147"/>
      <c r="AC191" s="133"/>
      <c r="AD191" s="147"/>
      <c r="AF191" s="133"/>
      <c r="AG191" s="147"/>
      <c r="AI191" s="133"/>
      <c r="AJ191" s="147"/>
      <c r="AL191" s="133"/>
      <c r="AM191" s="147"/>
      <c r="AO191" s="133"/>
      <c r="AP191" s="147"/>
    </row>
    <row r="192" spans="3:42" x14ac:dyDescent="0.2">
      <c r="C192" s="146"/>
      <c r="D192" s="146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47"/>
      <c r="P192" s="133"/>
      <c r="Q192" s="133"/>
      <c r="R192" s="133"/>
      <c r="S192" s="133"/>
      <c r="T192" s="147"/>
      <c r="U192" s="133"/>
      <c r="V192" s="133"/>
      <c r="W192" s="147"/>
      <c r="X192" s="133"/>
      <c r="Y192" s="133"/>
      <c r="Z192" s="133"/>
      <c r="AA192" s="147"/>
      <c r="AC192" s="133"/>
      <c r="AD192" s="147"/>
      <c r="AF192" s="133"/>
      <c r="AG192" s="147"/>
      <c r="AI192" s="133"/>
      <c r="AJ192" s="147"/>
      <c r="AL192" s="133"/>
      <c r="AM192" s="147"/>
      <c r="AO192" s="133"/>
      <c r="AP192" s="147"/>
    </row>
    <row r="193" spans="3:42" x14ac:dyDescent="0.2">
      <c r="C193" s="146"/>
      <c r="D193" s="146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47"/>
      <c r="P193" s="133"/>
      <c r="Q193" s="133"/>
      <c r="R193" s="133"/>
      <c r="S193" s="133"/>
      <c r="T193" s="147"/>
      <c r="U193" s="133"/>
      <c r="V193" s="133"/>
      <c r="W193" s="147"/>
      <c r="X193" s="133"/>
      <c r="Y193" s="133"/>
      <c r="Z193" s="133"/>
      <c r="AA193" s="147"/>
      <c r="AC193" s="133"/>
      <c r="AD193" s="147"/>
      <c r="AF193" s="133"/>
      <c r="AG193" s="147"/>
      <c r="AI193" s="133"/>
      <c r="AJ193" s="147"/>
      <c r="AL193" s="133"/>
      <c r="AM193" s="147"/>
      <c r="AO193" s="133"/>
      <c r="AP193" s="147"/>
    </row>
    <row r="194" spans="3:42" x14ac:dyDescent="0.2">
      <c r="C194" s="146"/>
      <c r="D194" s="146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47"/>
      <c r="P194" s="133"/>
      <c r="Q194" s="133"/>
      <c r="R194" s="133"/>
      <c r="S194" s="133"/>
      <c r="T194" s="147"/>
      <c r="U194" s="133"/>
      <c r="V194" s="133"/>
      <c r="W194" s="147"/>
      <c r="X194" s="133"/>
      <c r="Y194" s="133"/>
      <c r="Z194" s="133"/>
      <c r="AA194" s="147"/>
      <c r="AC194" s="133"/>
      <c r="AD194" s="147"/>
      <c r="AF194" s="133"/>
      <c r="AG194" s="147"/>
      <c r="AI194" s="133"/>
      <c r="AJ194" s="147"/>
      <c r="AL194" s="133"/>
      <c r="AM194" s="147"/>
      <c r="AO194" s="133"/>
      <c r="AP194" s="147"/>
    </row>
    <row r="195" spans="3:42" x14ac:dyDescent="0.2">
      <c r="C195" s="146"/>
      <c r="D195" s="146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47"/>
      <c r="P195" s="133"/>
      <c r="Q195" s="133"/>
      <c r="R195" s="133"/>
      <c r="S195" s="133"/>
      <c r="T195" s="147"/>
      <c r="U195" s="133"/>
      <c r="V195" s="133"/>
      <c r="W195" s="147"/>
      <c r="X195" s="133"/>
      <c r="Y195" s="133"/>
      <c r="Z195" s="133"/>
      <c r="AA195" s="147"/>
      <c r="AC195" s="133"/>
      <c r="AD195" s="147"/>
      <c r="AF195" s="133"/>
      <c r="AG195" s="147"/>
      <c r="AI195" s="133"/>
      <c r="AJ195" s="147"/>
      <c r="AL195" s="133"/>
      <c r="AM195" s="147"/>
      <c r="AO195" s="133"/>
      <c r="AP195" s="147"/>
    </row>
    <row r="196" spans="3:42" x14ac:dyDescent="0.2">
      <c r="C196" s="146"/>
      <c r="D196" s="146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47"/>
      <c r="P196" s="133"/>
      <c r="Q196" s="133"/>
      <c r="R196" s="133"/>
      <c r="S196" s="133"/>
      <c r="T196" s="147"/>
      <c r="U196" s="133"/>
      <c r="V196" s="133"/>
      <c r="W196" s="147"/>
      <c r="X196" s="133"/>
      <c r="Y196" s="133"/>
      <c r="Z196" s="133"/>
      <c r="AA196" s="147"/>
      <c r="AC196" s="133"/>
      <c r="AD196" s="147"/>
      <c r="AF196" s="133"/>
      <c r="AG196" s="147"/>
      <c r="AI196" s="133"/>
      <c r="AJ196" s="147"/>
      <c r="AL196" s="133"/>
      <c r="AM196" s="147"/>
      <c r="AO196" s="133"/>
      <c r="AP196" s="147"/>
    </row>
    <row r="197" spans="3:42" x14ac:dyDescent="0.2">
      <c r="C197" s="146"/>
      <c r="D197" s="146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47"/>
      <c r="P197" s="133"/>
      <c r="Q197" s="133"/>
      <c r="R197" s="133"/>
      <c r="S197" s="133"/>
      <c r="T197" s="147"/>
      <c r="U197" s="133"/>
      <c r="V197" s="133"/>
      <c r="W197" s="147"/>
      <c r="X197" s="133"/>
      <c r="Y197" s="133"/>
      <c r="Z197" s="133"/>
      <c r="AA197" s="147"/>
      <c r="AC197" s="133"/>
      <c r="AD197" s="147"/>
      <c r="AF197" s="133"/>
      <c r="AG197" s="147"/>
      <c r="AI197" s="133"/>
      <c r="AJ197" s="147"/>
      <c r="AL197" s="133"/>
      <c r="AM197" s="147"/>
      <c r="AO197" s="133"/>
      <c r="AP197" s="147"/>
    </row>
    <row r="198" spans="3:42" x14ac:dyDescent="0.2">
      <c r="C198" s="146"/>
      <c r="D198" s="146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47"/>
      <c r="P198" s="133"/>
      <c r="Q198" s="133"/>
      <c r="R198" s="133"/>
      <c r="S198" s="133"/>
      <c r="T198" s="147"/>
      <c r="U198" s="133"/>
      <c r="V198" s="133"/>
      <c r="W198" s="147"/>
      <c r="X198" s="133"/>
      <c r="Y198" s="133"/>
      <c r="Z198" s="133"/>
      <c r="AA198" s="147"/>
      <c r="AC198" s="133"/>
      <c r="AD198" s="147"/>
      <c r="AF198" s="133"/>
      <c r="AG198" s="147"/>
      <c r="AI198" s="133"/>
      <c r="AJ198" s="147"/>
      <c r="AL198" s="133"/>
      <c r="AM198" s="147"/>
      <c r="AO198" s="133"/>
      <c r="AP198" s="147"/>
    </row>
    <row r="199" spans="3:42" x14ac:dyDescent="0.2">
      <c r="C199" s="146"/>
      <c r="D199" s="146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47"/>
      <c r="P199" s="133"/>
      <c r="Q199" s="133"/>
      <c r="R199" s="133"/>
      <c r="S199" s="133"/>
      <c r="T199" s="147"/>
      <c r="U199" s="133"/>
      <c r="V199" s="133"/>
      <c r="W199" s="147"/>
      <c r="X199" s="133"/>
      <c r="Y199" s="133"/>
      <c r="Z199" s="133"/>
      <c r="AA199" s="147"/>
      <c r="AC199" s="133"/>
      <c r="AD199" s="147"/>
      <c r="AF199" s="133"/>
      <c r="AG199" s="147"/>
      <c r="AI199" s="133"/>
      <c r="AJ199" s="147"/>
      <c r="AL199" s="133"/>
      <c r="AM199" s="147"/>
      <c r="AO199" s="133"/>
      <c r="AP199" s="147"/>
    </row>
    <row r="200" spans="3:42" x14ac:dyDescent="0.2">
      <c r="C200" s="146"/>
      <c r="D200" s="146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47"/>
      <c r="P200" s="133"/>
      <c r="Q200" s="133"/>
      <c r="R200" s="133"/>
      <c r="S200" s="133"/>
      <c r="T200" s="147"/>
      <c r="U200" s="133"/>
      <c r="V200" s="133"/>
      <c r="W200" s="147"/>
      <c r="X200" s="133"/>
      <c r="Y200" s="133"/>
      <c r="Z200" s="133"/>
      <c r="AA200" s="147"/>
      <c r="AC200" s="133"/>
      <c r="AD200" s="147"/>
      <c r="AF200" s="133"/>
      <c r="AG200" s="147"/>
      <c r="AI200" s="133"/>
      <c r="AJ200" s="147"/>
      <c r="AL200" s="133"/>
      <c r="AM200" s="147"/>
      <c r="AO200" s="133"/>
      <c r="AP200" s="147"/>
    </row>
    <row r="201" spans="3:42" x14ac:dyDescent="0.2">
      <c r="C201" s="146"/>
      <c r="D201" s="146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47"/>
      <c r="P201" s="133"/>
      <c r="Q201" s="133"/>
      <c r="R201" s="133"/>
      <c r="S201" s="133"/>
      <c r="T201" s="147"/>
      <c r="U201" s="133"/>
      <c r="V201" s="133"/>
      <c r="W201" s="147"/>
      <c r="X201" s="133"/>
      <c r="Y201" s="133"/>
      <c r="Z201" s="133"/>
      <c r="AA201" s="147"/>
      <c r="AC201" s="133"/>
      <c r="AD201" s="147"/>
      <c r="AF201" s="133"/>
      <c r="AG201" s="147"/>
      <c r="AI201" s="133"/>
      <c r="AJ201" s="147"/>
      <c r="AL201" s="133"/>
      <c r="AM201" s="147"/>
      <c r="AO201" s="133"/>
      <c r="AP201" s="147"/>
    </row>
    <row r="202" spans="3:42" x14ac:dyDescent="0.2">
      <c r="C202" s="146"/>
      <c r="D202" s="146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47"/>
      <c r="P202" s="133"/>
      <c r="Q202" s="133"/>
      <c r="R202" s="133"/>
      <c r="S202" s="133"/>
      <c r="T202" s="147"/>
      <c r="U202" s="133"/>
      <c r="V202" s="133"/>
      <c r="W202" s="147"/>
      <c r="X202" s="133"/>
      <c r="Y202" s="133"/>
      <c r="Z202" s="133"/>
      <c r="AA202" s="147"/>
      <c r="AC202" s="133"/>
      <c r="AD202" s="147"/>
      <c r="AF202" s="133"/>
      <c r="AG202" s="147"/>
      <c r="AI202" s="133"/>
      <c r="AJ202" s="147"/>
      <c r="AL202" s="133"/>
      <c r="AM202" s="147"/>
      <c r="AO202" s="133"/>
      <c r="AP202" s="147"/>
    </row>
    <row r="203" spans="3:42" x14ac:dyDescent="0.2">
      <c r="C203" s="146"/>
      <c r="D203" s="146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47"/>
      <c r="P203" s="133"/>
      <c r="Q203" s="133"/>
      <c r="R203" s="133"/>
      <c r="S203" s="133"/>
      <c r="T203" s="147"/>
      <c r="U203" s="133"/>
      <c r="V203" s="133"/>
      <c r="W203" s="147"/>
      <c r="X203" s="133"/>
      <c r="Y203" s="133"/>
      <c r="Z203" s="133"/>
      <c r="AA203" s="147"/>
      <c r="AC203" s="133"/>
      <c r="AD203" s="147"/>
      <c r="AF203" s="133"/>
      <c r="AG203" s="147"/>
      <c r="AI203" s="133"/>
      <c r="AJ203" s="147"/>
      <c r="AL203" s="133"/>
      <c r="AM203" s="147"/>
      <c r="AO203" s="133"/>
      <c r="AP203" s="147"/>
    </row>
    <row r="204" spans="3:42" x14ac:dyDescent="0.2">
      <c r="C204" s="146"/>
      <c r="D204" s="146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47"/>
      <c r="P204" s="133"/>
      <c r="Q204" s="133"/>
      <c r="R204" s="133"/>
      <c r="S204" s="133"/>
      <c r="T204" s="147"/>
      <c r="U204" s="133"/>
      <c r="V204" s="133"/>
      <c r="W204" s="147"/>
      <c r="X204" s="133"/>
      <c r="Y204" s="133"/>
      <c r="Z204" s="133"/>
      <c r="AA204" s="147"/>
      <c r="AC204" s="133"/>
      <c r="AD204" s="147"/>
      <c r="AF204" s="133"/>
      <c r="AG204" s="147"/>
      <c r="AI204" s="133"/>
      <c r="AJ204" s="147"/>
      <c r="AL204" s="133"/>
      <c r="AM204" s="147"/>
      <c r="AO204" s="133"/>
      <c r="AP204" s="147"/>
    </row>
    <row r="205" spans="3:42" x14ac:dyDescent="0.2">
      <c r="C205" s="146"/>
      <c r="D205" s="146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47"/>
      <c r="P205" s="133"/>
      <c r="Q205" s="133"/>
      <c r="R205" s="133"/>
      <c r="S205" s="133"/>
      <c r="T205" s="147"/>
      <c r="U205" s="133"/>
      <c r="V205" s="133"/>
      <c r="W205" s="147"/>
      <c r="X205" s="133"/>
      <c r="Y205" s="133"/>
      <c r="Z205" s="133"/>
      <c r="AA205" s="147"/>
      <c r="AC205" s="133"/>
      <c r="AD205" s="147"/>
      <c r="AF205" s="133"/>
      <c r="AG205" s="147"/>
      <c r="AI205" s="133"/>
      <c r="AJ205" s="147"/>
      <c r="AL205" s="133"/>
      <c r="AM205" s="147"/>
      <c r="AO205" s="133"/>
      <c r="AP205" s="147"/>
    </row>
    <row r="206" spans="3:42" x14ac:dyDescent="0.2">
      <c r="C206" s="146"/>
      <c r="D206" s="146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47"/>
      <c r="P206" s="133"/>
      <c r="Q206" s="133"/>
      <c r="R206" s="133"/>
      <c r="S206" s="133"/>
      <c r="T206" s="147"/>
      <c r="U206" s="133"/>
      <c r="V206" s="133"/>
      <c r="W206" s="147"/>
      <c r="X206" s="133"/>
      <c r="Y206" s="133"/>
      <c r="Z206" s="133"/>
      <c r="AA206" s="147"/>
      <c r="AC206" s="133"/>
      <c r="AD206" s="147"/>
      <c r="AF206" s="133"/>
      <c r="AG206" s="147"/>
      <c r="AI206" s="133"/>
      <c r="AJ206" s="147"/>
      <c r="AL206" s="133"/>
      <c r="AM206" s="147"/>
      <c r="AO206" s="133"/>
      <c r="AP206" s="147"/>
    </row>
    <row r="207" spans="3:42" x14ac:dyDescent="0.2">
      <c r="C207" s="146"/>
      <c r="D207" s="146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47"/>
      <c r="P207" s="133"/>
      <c r="Q207" s="133"/>
      <c r="R207" s="133"/>
      <c r="S207" s="133"/>
      <c r="T207" s="147"/>
      <c r="U207" s="133"/>
      <c r="V207" s="133"/>
      <c r="W207" s="147"/>
      <c r="X207" s="133"/>
      <c r="Y207" s="133"/>
      <c r="Z207" s="133"/>
      <c r="AA207" s="147"/>
      <c r="AC207" s="133"/>
      <c r="AD207" s="147"/>
      <c r="AF207" s="133"/>
      <c r="AG207" s="147"/>
      <c r="AI207" s="133"/>
      <c r="AJ207" s="147"/>
      <c r="AL207" s="133"/>
      <c r="AM207" s="147"/>
      <c r="AO207" s="133"/>
      <c r="AP207" s="147"/>
    </row>
    <row r="208" spans="3:42" x14ac:dyDescent="0.2">
      <c r="C208" s="146"/>
      <c r="D208" s="146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47"/>
      <c r="P208" s="133"/>
      <c r="Q208" s="133"/>
      <c r="R208" s="133"/>
      <c r="S208" s="133"/>
      <c r="T208" s="147"/>
      <c r="U208" s="133"/>
      <c r="V208" s="133"/>
      <c r="W208" s="147"/>
      <c r="X208" s="133"/>
      <c r="Y208" s="133"/>
      <c r="Z208" s="133"/>
      <c r="AA208" s="147"/>
      <c r="AC208" s="133"/>
      <c r="AD208" s="147"/>
      <c r="AF208" s="133"/>
      <c r="AG208" s="147"/>
      <c r="AI208" s="133"/>
      <c r="AJ208" s="147"/>
      <c r="AL208" s="133"/>
      <c r="AM208" s="147"/>
      <c r="AO208" s="133"/>
      <c r="AP208" s="147"/>
    </row>
    <row r="209" spans="3:42" x14ac:dyDescent="0.2">
      <c r="C209" s="146"/>
      <c r="D209" s="146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47"/>
      <c r="P209" s="133"/>
      <c r="Q209" s="133"/>
      <c r="R209" s="133"/>
      <c r="S209" s="133"/>
      <c r="T209" s="147"/>
      <c r="U209" s="133"/>
      <c r="V209" s="133"/>
      <c r="W209" s="147"/>
      <c r="X209" s="133"/>
      <c r="Y209" s="133"/>
      <c r="Z209" s="133"/>
      <c r="AA209" s="147"/>
      <c r="AC209" s="133"/>
      <c r="AD209" s="147"/>
      <c r="AF209" s="133"/>
      <c r="AG209" s="147"/>
      <c r="AI209" s="133"/>
      <c r="AJ209" s="147"/>
      <c r="AL209" s="133"/>
      <c r="AM209" s="147"/>
      <c r="AO209" s="133"/>
      <c r="AP209" s="147"/>
    </row>
    <row r="210" spans="3:42" x14ac:dyDescent="0.2">
      <c r="C210" s="146"/>
      <c r="D210" s="146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47"/>
      <c r="P210" s="133"/>
      <c r="Q210" s="133"/>
      <c r="R210" s="133"/>
      <c r="S210" s="133"/>
      <c r="T210" s="147"/>
      <c r="U210" s="133"/>
      <c r="V210" s="133"/>
      <c r="W210" s="147"/>
      <c r="X210" s="133"/>
      <c r="Y210" s="133"/>
      <c r="Z210" s="133"/>
      <c r="AA210" s="147"/>
      <c r="AC210" s="133"/>
      <c r="AD210" s="147"/>
      <c r="AF210" s="133"/>
      <c r="AG210" s="147"/>
      <c r="AI210" s="133"/>
      <c r="AJ210" s="147"/>
      <c r="AL210" s="133"/>
      <c r="AM210" s="147"/>
      <c r="AO210" s="133"/>
      <c r="AP210" s="147"/>
    </row>
    <row r="211" spans="3:42" x14ac:dyDescent="0.2">
      <c r="C211" s="146"/>
      <c r="D211" s="146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47"/>
      <c r="P211" s="133"/>
      <c r="Q211" s="133"/>
      <c r="R211" s="133"/>
      <c r="S211" s="133"/>
      <c r="T211" s="147"/>
      <c r="U211" s="133"/>
      <c r="V211" s="133"/>
      <c r="W211" s="147"/>
      <c r="X211" s="133"/>
      <c r="Y211" s="133"/>
      <c r="Z211" s="133"/>
      <c r="AA211" s="147"/>
      <c r="AC211" s="133"/>
      <c r="AD211" s="147"/>
      <c r="AF211" s="133"/>
      <c r="AG211" s="147"/>
      <c r="AI211" s="133"/>
      <c r="AJ211" s="147"/>
      <c r="AL211" s="133"/>
      <c r="AM211" s="147"/>
      <c r="AO211" s="133"/>
      <c r="AP211" s="147"/>
    </row>
    <row r="212" spans="3:42" x14ac:dyDescent="0.2">
      <c r="C212" s="146"/>
      <c r="D212" s="146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47"/>
      <c r="P212" s="133"/>
      <c r="Q212" s="133"/>
      <c r="R212" s="133"/>
      <c r="S212" s="133"/>
      <c r="T212" s="147"/>
      <c r="U212" s="133"/>
      <c r="V212" s="133"/>
      <c r="W212" s="147"/>
      <c r="X212" s="133"/>
      <c r="Y212" s="133"/>
      <c r="Z212" s="133"/>
      <c r="AA212" s="147"/>
      <c r="AC212" s="133"/>
      <c r="AD212" s="147"/>
      <c r="AF212" s="133"/>
      <c r="AG212" s="147"/>
      <c r="AI212" s="133"/>
      <c r="AJ212" s="147"/>
      <c r="AL212" s="133"/>
      <c r="AM212" s="147"/>
      <c r="AO212" s="133"/>
      <c r="AP212" s="147"/>
    </row>
    <row r="213" spans="3:42" x14ac:dyDescent="0.2">
      <c r="C213" s="146"/>
      <c r="D213" s="146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47"/>
      <c r="P213" s="133"/>
      <c r="Q213" s="133"/>
      <c r="R213" s="133"/>
      <c r="S213" s="133"/>
      <c r="T213" s="147"/>
      <c r="U213" s="133"/>
      <c r="V213" s="133"/>
      <c r="W213" s="147"/>
      <c r="X213" s="133"/>
      <c r="Y213" s="133"/>
      <c r="Z213" s="133"/>
      <c r="AA213" s="147"/>
      <c r="AC213" s="133"/>
      <c r="AD213" s="147"/>
      <c r="AF213" s="133"/>
      <c r="AG213" s="147"/>
      <c r="AI213" s="133"/>
      <c r="AJ213" s="147"/>
      <c r="AL213" s="133"/>
      <c r="AM213" s="147"/>
      <c r="AO213" s="133"/>
      <c r="AP213" s="147"/>
    </row>
    <row r="214" spans="3:42" x14ac:dyDescent="0.2">
      <c r="C214" s="146"/>
      <c r="D214" s="146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47"/>
      <c r="P214" s="133"/>
      <c r="Q214" s="133"/>
      <c r="R214" s="133"/>
      <c r="S214" s="133"/>
      <c r="T214" s="147"/>
      <c r="U214" s="133"/>
      <c r="V214" s="133"/>
      <c r="W214" s="147"/>
      <c r="X214" s="133"/>
      <c r="Y214" s="133"/>
      <c r="Z214" s="133"/>
      <c r="AA214" s="147"/>
      <c r="AC214" s="133"/>
      <c r="AD214" s="147"/>
      <c r="AF214" s="133"/>
      <c r="AG214" s="147"/>
      <c r="AI214" s="133"/>
      <c r="AJ214" s="147"/>
      <c r="AL214" s="133"/>
      <c r="AM214" s="147"/>
      <c r="AO214" s="133"/>
      <c r="AP214" s="147"/>
    </row>
    <row r="215" spans="3:42" x14ac:dyDescent="0.2">
      <c r="C215" s="146"/>
      <c r="D215" s="146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47"/>
      <c r="P215" s="133"/>
      <c r="Q215" s="133"/>
      <c r="R215" s="133"/>
      <c r="S215" s="133"/>
      <c r="T215" s="147"/>
      <c r="U215" s="133"/>
      <c r="V215" s="133"/>
      <c r="W215" s="147"/>
      <c r="X215" s="133"/>
      <c r="Y215" s="133"/>
      <c r="Z215" s="133"/>
      <c r="AA215" s="147"/>
      <c r="AC215" s="133"/>
      <c r="AD215" s="147"/>
      <c r="AF215" s="133"/>
      <c r="AG215" s="147"/>
      <c r="AI215" s="133"/>
      <c r="AJ215" s="147"/>
      <c r="AL215" s="133"/>
      <c r="AM215" s="147"/>
      <c r="AO215" s="133"/>
      <c r="AP215" s="147"/>
    </row>
    <row r="216" spans="3:42" x14ac:dyDescent="0.2">
      <c r="C216" s="146"/>
      <c r="D216" s="146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47"/>
      <c r="P216" s="133"/>
      <c r="Q216" s="133"/>
      <c r="R216" s="133"/>
      <c r="S216" s="133"/>
      <c r="T216" s="147"/>
      <c r="U216" s="133"/>
      <c r="V216" s="133"/>
      <c r="W216" s="147"/>
      <c r="X216" s="133"/>
      <c r="Y216" s="133"/>
      <c r="Z216" s="133"/>
      <c r="AA216" s="147"/>
      <c r="AC216" s="133"/>
      <c r="AD216" s="147"/>
      <c r="AF216" s="133"/>
      <c r="AG216" s="147"/>
      <c r="AI216" s="133"/>
      <c r="AJ216" s="147"/>
      <c r="AL216" s="133"/>
      <c r="AM216" s="147"/>
      <c r="AO216" s="133"/>
      <c r="AP216" s="147"/>
    </row>
    <row r="217" spans="3:42" x14ac:dyDescent="0.2">
      <c r="C217" s="146"/>
      <c r="D217" s="146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47"/>
      <c r="P217" s="133"/>
      <c r="Q217" s="133"/>
      <c r="R217" s="133"/>
      <c r="S217" s="133"/>
      <c r="T217" s="147"/>
      <c r="U217" s="133"/>
      <c r="V217" s="133"/>
      <c r="W217" s="147"/>
      <c r="X217" s="133"/>
      <c r="Y217" s="133"/>
      <c r="Z217" s="133"/>
      <c r="AA217" s="147"/>
      <c r="AC217" s="133"/>
      <c r="AD217" s="147"/>
      <c r="AF217" s="133"/>
      <c r="AG217" s="147"/>
      <c r="AI217" s="133"/>
      <c r="AJ217" s="147"/>
      <c r="AL217" s="133"/>
      <c r="AM217" s="147"/>
      <c r="AO217" s="133"/>
      <c r="AP217" s="147"/>
    </row>
    <row r="218" spans="3:42" x14ac:dyDescent="0.2">
      <c r="C218" s="146"/>
      <c r="D218" s="146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47"/>
      <c r="P218" s="133"/>
      <c r="Q218" s="133"/>
      <c r="R218" s="133"/>
      <c r="S218" s="133"/>
      <c r="T218" s="147"/>
      <c r="U218" s="133"/>
      <c r="V218" s="133"/>
      <c r="W218" s="147"/>
      <c r="X218" s="133"/>
      <c r="Y218" s="133"/>
      <c r="Z218" s="133"/>
      <c r="AA218" s="147"/>
      <c r="AC218" s="133"/>
      <c r="AD218" s="147"/>
      <c r="AF218" s="133"/>
      <c r="AG218" s="147"/>
      <c r="AI218" s="133"/>
      <c r="AJ218" s="147"/>
      <c r="AL218" s="133"/>
      <c r="AM218" s="147"/>
      <c r="AO218" s="133"/>
      <c r="AP218" s="147"/>
    </row>
    <row r="219" spans="3:42" x14ac:dyDescent="0.2">
      <c r="C219" s="146"/>
      <c r="D219" s="146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47"/>
      <c r="P219" s="133"/>
      <c r="Q219" s="133"/>
      <c r="R219" s="133"/>
      <c r="S219" s="133"/>
      <c r="T219" s="147"/>
      <c r="U219" s="133"/>
      <c r="V219" s="133"/>
      <c r="W219" s="147"/>
      <c r="X219" s="133"/>
      <c r="Y219" s="133"/>
      <c r="Z219" s="133"/>
      <c r="AA219" s="147"/>
      <c r="AC219" s="133"/>
      <c r="AD219" s="147"/>
      <c r="AF219" s="133"/>
      <c r="AG219" s="147"/>
      <c r="AI219" s="133"/>
      <c r="AJ219" s="147"/>
      <c r="AL219" s="133"/>
      <c r="AM219" s="147"/>
      <c r="AO219" s="133"/>
      <c r="AP219" s="147"/>
    </row>
    <row r="220" spans="3:42" x14ac:dyDescent="0.2">
      <c r="C220" s="146"/>
      <c r="D220" s="146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47"/>
      <c r="P220" s="133"/>
      <c r="Q220" s="133"/>
      <c r="R220" s="133"/>
      <c r="S220" s="133"/>
      <c r="T220" s="147"/>
      <c r="U220" s="133"/>
      <c r="V220" s="133"/>
      <c r="W220" s="147"/>
      <c r="X220" s="133"/>
      <c r="Y220" s="133"/>
      <c r="Z220" s="133"/>
      <c r="AA220" s="147"/>
      <c r="AC220" s="133"/>
      <c r="AD220" s="147"/>
      <c r="AF220" s="133"/>
      <c r="AG220" s="147"/>
      <c r="AI220" s="133"/>
      <c r="AJ220" s="147"/>
      <c r="AL220" s="133"/>
      <c r="AM220" s="147"/>
      <c r="AO220" s="133"/>
      <c r="AP220" s="147"/>
    </row>
    <row r="221" spans="3:42" x14ac:dyDescent="0.2">
      <c r="C221" s="146"/>
      <c r="D221" s="146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47"/>
      <c r="P221" s="133"/>
      <c r="Q221" s="133"/>
      <c r="R221" s="133"/>
      <c r="S221" s="133"/>
      <c r="T221" s="147"/>
      <c r="U221" s="133"/>
      <c r="V221" s="133"/>
      <c r="W221" s="147"/>
      <c r="X221" s="133"/>
      <c r="Y221" s="133"/>
      <c r="Z221" s="133"/>
      <c r="AA221" s="147"/>
      <c r="AC221" s="133"/>
      <c r="AD221" s="147"/>
      <c r="AF221" s="133"/>
      <c r="AG221" s="147"/>
      <c r="AI221" s="133"/>
      <c r="AJ221" s="147"/>
      <c r="AL221" s="133"/>
      <c r="AM221" s="147"/>
      <c r="AO221" s="133"/>
      <c r="AP221" s="147"/>
    </row>
    <row r="222" spans="3:42" x14ac:dyDescent="0.2">
      <c r="C222" s="146"/>
      <c r="D222" s="146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47"/>
      <c r="P222" s="133"/>
      <c r="Q222" s="133"/>
      <c r="R222" s="133"/>
      <c r="S222" s="133"/>
      <c r="T222" s="147"/>
      <c r="U222" s="133"/>
      <c r="V222" s="133"/>
      <c r="W222" s="147"/>
      <c r="X222" s="133"/>
      <c r="Y222" s="133"/>
      <c r="Z222" s="133"/>
      <c r="AA222" s="147"/>
      <c r="AC222" s="133"/>
      <c r="AD222" s="147"/>
      <c r="AF222" s="133"/>
      <c r="AG222" s="147"/>
      <c r="AI222" s="133"/>
      <c r="AJ222" s="147"/>
      <c r="AL222" s="133"/>
      <c r="AM222" s="147"/>
      <c r="AO222" s="133"/>
      <c r="AP222" s="147"/>
    </row>
    <row r="223" spans="3:42" x14ac:dyDescent="0.2">
      <c r="C223" s="146"/>
      <c r="D223" s="146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47"/>
      <c r="P223" s="133"/>
      <c r="Q223" s="133"/>
      <c r="R223" s="133"/>
      <c r="S223" s="133"/>
      <c r="T223" s="147"/>
      <c r="U223" s="133"/>
      <c r="V223" s="133"/>
      <c r="W223" s="147"/>
      <c r="X223" s="133"/>
      <c r="Y223" s="133"/>
      <c r="Z223" s="133"/>
      <c r="AA223" s="147"/>
      <c r="AC223" s="133"/>
      <c r="AD223" s="147"/>
      <c r="AF223" s="133"/>
      <c r="AG223" s="147"/>
      <c r="AI223" s="133"/>
      <c r="AJ223" s="147"/>
      <c r="AL223" s="133"/>
      <c r="AM223" s="147"/>
      <c r="AO223" s="133"/>
      <c r="AP223" s="147"/>
    </row>
    <row r="224" spans="3:42" x14ac:dyDescent="0.2">
      <c r="C224" s="146"/>
      <c r="D224" s="146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47"/>
      <c r="P224" s="133"/>
      <c r="Q224" s="133"/>
      <c r="R224" s="133"/>
      <c r="S224" s="133"/>
      <c r="T224" s="147"/>
      <c r="U224" s="133"/>
      <c r="V224" s="133"/>
      <c r="W224" s="147"/>
      <c r="X224" s="133"/>
      <c r="Y224" s="133"/>
      <c r="Z224" s="133"/>
      <c r="AA224" s="147"/>
      <c r="AC224" s="133"/>
      <c r="AD224" s="147"/>
      <c r="AF224" s="133"/>
      <c r="AG224" s="147"/>
      <c r="AI224" s="133"/>
      <c r="AJ224" s="147"/>
      <c r="AL224" s="133"/>
      <c r="AM224" s="147"/>
      <c r="AO224" s="133"/>
      <c r="AP224" s="147"/>
    </row>
    <row r="225" spans="3:42" x14ac:dyDescent="0.2">
      <c r="C225" s="146"/>
      <c r="D225" s="146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47"/>
      <c r="P225" s="133"/>
      <c r="Q225" s="133"/>
      <c r="R225" s="133"/>
      <c r="S225" s="133"/>
      <c r="T225" s="147"/>
      <c r="U225" s="133"/>
      <c r="V225" s="133"/>
      <c r="W225" s="147"/>
      <c r="X225" s="133"/>
      <c r="Y225" s="133"/>
      <c r="Z225" s="133"/>
      <c r="AA225" s="147"/>
      <c r="AC225" s="133"/>
      <c r="AD225" s="147"/>
      <c r="AF225" s="133"/>
      <c r="AG225" s="147"/>
      <c r="AI225" s="133"/>
      <c r="AJ225" s="147"/>
      <c r="AL225" s="133"/>
      <c r="AM225" s="147"/>
      <c r="AO225" s="133"/>
      <c r="AP225" s="147"/>
    </row>
    <row r="226" spans="3:42" x14ac:dyDescent="0.2">
      <c r="C226" s="146"/>
      <c r="D226" s="146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47"/>
      <c r="P226" s="133"/>
      <c r="Q226" s="133"/>
      <c r="R226" s="133"/>
      <c r="S226" s="133"/>
      <c r="T226" s="147"/>
      <c r="U226" s="133"/>
      <c r="V226" s="133"/>
      <c r="W226" s="147"/>
      <c r="X226" s="133"/>
      <c r="Y226" s="133"/>
      <c r="Z226" s="133"/>
      <c r="AA226" s="147"/>
      <c r="AC226" s="133"/>
      <c r="AD226" s="147"/>
      <c r="AF226" s="133"/>
      <c r="AG226" s="147"/>
      <c r="AI226" s="133"/>
      <c r="AJ226" s="147"/>
      <c r="AL226" s="133"/>
      <c r="AM226" s="147"/>
      <c r="AO226" s="133"/>
      <c r="AP226" s="147"/>
    </row>
    <row r="227" spans="3:42" x14ac:dyDescent="0.2">
      <c r="C227" s="146"/>
      <c r="D227" s="146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47"/>
      <c r="P227" s="133"/>
      <c r="Q227" s="133"/>
      <c r="R227" s="133"/>
      <c r="S227" s="133"/>
      <c r="T227" s="147"/>
      <c r="U227" s="133"/>
      <c r="V227" s="133"/>
      <c r="W227" s="147"/>
      <c r="X227" s="133"/>
      <c r="Y227" s="133"/>
      <c r="Z227" s="133"/>
      <c r="AA227" s="147"/>
      <c r="AC227" s="133"/>
      <c r="AD227" s="147"/>
      <c r="AF227" s="133"/>
      <c r="AG227" s="147"/>
      <c r="AI227" s="133"/>
      <c r="AJ227" s="147"/>
      <c r="AL227" s="133"/>
      <c r="AM227" s="147"/>
      <c r="AO227" s="133"/>
      <c r="AP227" s="147"/>
    </row>
    <row r="228" spans="3:42" x14ac:dyDescent="0.2">
      <c r="C228" s="146"/>
      <c r="D228" s="146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47"/>
      <c r="P228" s="133"/>
      <c r="Q228" s="133"/>
      <c r="R228" s="133"/>
      <c r="S228" s="133"/>
      <c r="T228" s="147"/>
      <c r="U228" s="133"/>
      <c r="V228" s="133"/>
      <c r="W228" s="147"/>
      <c r="X228" s="133"/>
      <c r="Y228" s="133"/>
      <c r="Z228" s="133"/>
      <c r="AA228" s="147"/>
      <c r="AC228" s="133"/>
      <c r="AD228" s="147"/>
      <c r="AF228" s="133"/>
      <c r="AG228" s="147"/>
      <c r="AI228" s="133"/>
      <c r="AJ228" s="147"/>
      <c r="AL228" s="133"/>
      <c r="AM228" s="147"/>
      <c r="AO228" s="133"/>
      <c r="AP228" s="147"/>
    </row>
    <row r="229" spans="3:42" x14ac:dyDescent="0.2">
      <c r="C229" s="146"/>
      <c r="D229" s="146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47"/>
      <c r="P229" s="133"/>
      <c r="Q229" s="133"/>
      <c r="R229" s="133"/>
      <c r="S229" s="133"/>
      <c r="T229" s="147"/>
      <c r="U229" s="133"/>
      <c r="V229" s="133"/>
      <c r="W229" s="147"/>
      <c r="X229" s="133"/>
      <c r="Y229" s="133"/>
      <c r="Z229" s="133"/>
      <c r="AA229" s="147"/>
      <c r="AC229" s="133"/>
      <c r="AD229" s="147"/>
      <c r="AF229" s="133"/>
      <c r="AG229" s="147"/>
      <c r="AI229" s="133"/>
      <c r="AJ229" s="147"/>
      <c r="AL229" s="133"/>
      <c r="AM229" s="147"/>
      <c r="AO229" s="133"/>
      <c r="AP229" s="147"/>
    </row>
    <row r="230" spans="3:42" x14ac:dyDescent="0.2">
      <c r="C230" s="146"/>
      <c r="D230" s="146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47"/>
      <c r="P230" s="133"/>
      <c r="Q230" s="133"/>
      <c r="R230" s="133"/>
      <c r="S230" s="133"/>
      <c r="T230" s="147"/>
      <c r="U230" s="133"/>
      <c r="V230" s="133"/>
      <c r="W230" s="147"/>
      <c r="X230" s="133"/>
      <c r="Y230" s="133"/>
      <c r="Z230" s="133"/>
      <c r="AA230" s="147"/>
      <c r="AC230" s="133"/>
      <c r="AD230" s="147"/>
      <c r="AF230" s="133"/>
      <c r="AG230" s="147"/>
      <c r="AI230" s="133"/>
      <c r="AJ230" s="147"/>
      <c r="AL230" s="133"/>
      <c r="AM230" s="147"/>
      <c r="AO230" s="133"/>
      <c r="AP230" s="147"/>
    </row>
    <row r="231" spans="3:42" x14ac:dyDescent="0.2">
      <c r="C231" s="146"/>
      <c r="D231" s="146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47"/>
      <c r="P231" s="133"/>
      <c r="Q231" s="133"/>
      <c r="R231" s="133"/>
      <c r="S231" s="133"/>
      <c r="T231" s="147"/>
      <c r="U231" s="133"/>
      <c r="V231" s="133"/>
      <c r="W231" s="147"/>
      <c r="X231" s="133"/>
      <c r="Y231" s="133"/>
      <c r="Z231" s="133"/>
      <c r="AA231" s="147"/>
      <c r="AC231" s="133"/>
      <c r="AD231" s="147"/>
      <c r="AF231" s="133"/>
      <c r="AG231" s="147"/>
      <c r="AI231" s="133"/>
      <c r="AJ231" s="147"/>
      <c r="AL231" s="133"/>
      <c r="AM231" s="147"/>
      <c r="AO231" s="133"/>
      <c r="AP231" s="147"/>
    </row>
    <row r="232" spans="3:42" x14ac:dyDescent="0.2">
      <c r="C232" s="146"/>
      <c r="D232" s="146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47"/>
      <c r="P232" s="133"/>
      <c r="Q232" s="133"/>
      <c r="R232" s="133"/>
      <c r="S232" s="133"/>
      <c r="T232" s="147"/>
      <c r="U232" s="133"/>
      <c r="V232" s="133"/>
      <c r="W232" s="147"/>
      <c r="X232" s="133"/>
      <c r="Y232" s="133"/>
      <c r="Z232" s="133"/>
      <c r="AA232" s="147"/>
      <c r="AC232" s="133"/>
      <c r="AD232" s="147"/>
      <c r="AF232" s="133"/>
      <c r="AG232" s="147"/>
      <c r="AI232" s="133"/>
      <c r="AJ232" s="147"/>
      <c r="AL232" s="133"/>
      <c r="AM232" s="147"/>
      <c r="AO232" s="133"/>
      <c r="AP232" s="147"/>
    </row>
    <row r="233" spans="3:42" x14ac:dyDescent="0.2">
      <c r="C233" s="146"/>
      <c r="D233" s="146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47"/>
      <c r="P233" s="133"/>
      <c r="Q233" s="133"/>
      <c r="R233" s="133"/>
      <c r="S233" s="133"/>
      <c r="T233" s="147"/>
      <c r="U233" s="133"/>
      <c r="V233" s="133"/>
      <c r="W233" s="147"/>
      <c r="X233" s="133"/>
      <c r="Y233" s="133"/>
      <c r="Z233" s="133"/>
      <c r="AA233" s="147"/>
      <c r="AC233" s="133"/>
      <c r="AD233" s="147"/>
      <c r="AF233" s="133"/>
      <c r="AG233" s="147"/>
      <c r="AI233" s="133"/>
      <c r="AJ233" s="147"/>
      <c r="AL233" s="133"/>
      <c r="AM233" s="147"/>
      <c r="AO233" s="133"/>
      <c r="AP233" s="147"/>
    </row>
    <row r="234" spans="3:42" x14ac:dyDescent="0.2">
      <c r="C234" s="146"/>
      <c r="D234" s="146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47"/>
      <c r="P234" s="133"/>
      <c r="Q234" s="133"/>
      <c r="R234" s="133"/>
      <c r="S234" s="133"/>
      <c r="T234" s="147"/>
      <c r="U234" s="133"/>
      <c r="V234" s="133"/>
      <c r="W234" s="147"/>
      <c r="X234" s="133"/>
      <c r="Y234" s="133"/>
      <c r="Z234" s="133"/>
      <c r="AA234" s="147"/>
      <c r="AC234" s="133"/>
      <c r="AD234" s="147"/>
      <c r="AF234" s="133"/>
      <c r="AG234" s="147"/>
      <c r="AI234" s="133"/>
      <c r="AJ234" s="147"/>
      <c r="AL234" s="133"/>
      <c r="AM234" s="147"/>
      <c r="AO234" s="133"/>
      <c r="AP234" s="147"/>
    </row>
    <row r="235" spans="3:42" x14ac:dyDescent="0.2">
      <c r="C235" s="146"/>
      <c r="D235" s="146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47"/>
      <c r="P235" s="133"/>
      <c r="Q235" s="133"/>
      <c r="R235" s="133"/>
      <c r="S235" s="133"/>
      <c r="T235" s="147"/>
      <c r="U235" s="133"/>
      <c r="V235" s="133"/>
      <c r="W235" s="147"/>
      <c r="X235" s="133"/>
      <c r="Y235" s="133"/>
      <c r="Z235" s="133"/>
      <c r="AA235" s="147"/>
      <c r="AC235" s="133"/>
      <c r="AD235" s="147"/>
      <c r="AF235" s="133"/>
      <c r="AG235" s="147"/>
      <c r="AI235" s="133"/>
      <c r="AJ235" s="147"/>
      <c r="AL235" s="133"/>
      <c r="AM235" s="147"/>
      <c r="AO235" s="133"/>
      <c r="AP235" s="147"/>
    </row>
    <row r="236" spans="3:42" x14ac:dyDescent="0.2">
      <c r="C236" s="146"/>
      <c r="D236" s="146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47"/>
      <c r="P236" s="133"/>
      <c r="Q236" s="133"/>
      <c r="R236" s="133"/>
      <c r="S236" s="133"/>
      <c r="T236" s="147"/>
      <c r="U236" s="133"/>
      <c r="V236" s="133"/>
      <c r="W236" s="147"/>
      <c r="X236" s="133"/>
      <c r="Y236" s="133"/>
      <c r="Z236" s="133"/>
      <c r="AA236" s="147"/>
      <c r="AC236" s="133"/>
      <c r="AD236" s="147"/>
      <c r="AF236" s="133"/>
      <c r="AG236" s="147"/>
      <c r="AI236" s="133"/>
      <c r="AJ236" s="147"/>
      <c r="AL236" s="133"/>
      <c r="AM236" s="147"/>
      <c r="AO236" s="133"/>
      <c r="AP236" s="147"/>
    </row>
    <row r="237" spans="3:42" x14ac:dyDescent="0.2">
      <c r="C237" s="146"/>
      <c r="D237" s="146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47"/>
      <c r="P237" s="133"/>
      <c r="Q237" s="133"/>
      <c r="R237" s="133"/>
      <c r="S237" s="133"/>
      <c r="T237" s="147"/>
      <c r="U237" s="133"/>
      <c r="V237" s="133"/>
      <c r="W237" s="147"/>
      <c r="X237" s="133"/>
      <c r="Y237" s="133"/>
      <c r="Z237" s="133"/>
      <c r="AA237" s="147"/>
      <c r="AC237" s="133"/>
      <c r="AD237" s="147"/>
      <c r="AF237" s="133"/>
      <c r="AG237" s="147"/>
      <c r="AI237" s="133"/>
      <c r="AJ237" s="147"/>
      <c r="AL237" s="133"/>
      <c r="AM237" s="147"/>
      <c r="AO237" s="133"/>
      <c r="AP237" s="147"/>
    </row>
    <row r="238" spans="3:42" x14ac:dyDescent="0.2">
      <c r="C238" s="146"/>
      <c r="D238" s="146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47"/>
      <c r="P238" s="133"/>
      <c r="Q238" s="133"/>
      <c r="R238" s="133"/>
      <c r="S238" s="133"/>
      <c r="T238" s="147"/>
      <c r="U238" s="133"/>
      <c r="V238" s="133"/>
      <c r="W238" s="147"/>
      <c r="X238" s="133"/>
      <c r="Y238" s="133"/>
      <c r="Z238" s="133"/>
      <c r="AA238" s="147"/>
      <c r="AC238" s="133"/>
      <c r="AD238" s="147"/>
      <c r="AF238" s="133"/>
      <c r="AG238" s="147"/>
      <c r="AI238" s="133"/>
      <c r="AJ238" s="147"/>
      <c r="AL238" s="133"/>
      <c r="AM238" s="147"/>
      <c r="AO238" s="133"/>
      <c r="AP238" s="147"/>
    </row>
    <row r="239" spans="3:42" x14ac:dyDescent="0.2">
      <c r="C239" s="146"/>
      <c r="D239" s="146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47"/>
      <c r="P239" s="133"/>
      <c r="Q239" s="133"/>
      <c r="R239" s="133"/>
      <c r="S239" s="133"/>
      <c r="T239" s="147"/>
      <c r="U239" s="133"/>
      <c r="V239" s="133"/>
      <c r="W239" s="147"/>
      <c r="X239" s="133"/>
      <c r="Y239" s="133"/>
      <c r="Z239" s="133"/>
      <c r="AA239" s="147"/>
      <c r="AC239" s="133"/>
      <c r="AD239" s="147"/>
      <c r="AF239" s="133"/>
      <c r="AG239" s="147"/>
      <c r="AI239" s="133"/>
      <c r="AJ239" s="147"/>
      <c r="AL239" s="133"/>
      <c r="AM239" s="147"/>
      <c r="AO239" s="133"/>
      <c r="AP239" s="147"/>
    </row>
    <row r="240" spans="3:42" x14ac:dyDescent="0.2">
      <c r="C240" s="146"/>
      <c r="D240" s="146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47"/>
      <c r="P240" s="133"/>
      <c r="Q240" s="133"/>
      <c r="R240" s="133"/>
      <c r="S240" s="133"/>
      <c r="T240" s="147"/>
      <c r="U240" s="133"/>
      <c r="V240" s="133"/>
      <c r="W240" s="147"/>
      <c r="X240" s="133"/>
      <c r="Y240" s="133"/>
      <c r="Z240" s="133"/>
      <c r="AA240" s="147"/>
      <c r="AC240" s="133"/>
      <c r="AD240" s="147"/>
      <c r="AF240" s="133"/>
      <c r="AG240" s="147"/>
      <c r="AI240" s="133"/>
      <c r="AJ240" s="147"/>
      <c r="AL240" s="133"/>
      <c r="AM240" s="147"/>
      <c r="AO240" s="133"/>
      <c r="AP240" s="147"/>
    </row>
    <row r="241" spans="3:42" x14ac:dyDescent="0.2">
      <c r="C241" s="146"/>
      <c r="D241" s="146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47"/>
      <c r="P241" s="133"/>
      <c r="Q241" s="133"/>
      <c r="R241" s="133"/>
      <c r="S241" s="133"/>
      <c r="T241" s="147"/>
      <c r="U241" s="133"/>
      <c r="V241" s="133"/>
      <c r="W241" s="147"/>
      <c r="X241" s="133"/>
      <c r="Y241" s="133"/>
      <c r="Z241" s="133"/>
      <c r="AA241" s="147"/>
      <c r="AC241" s="133"/>
      <c r="AD241" s="147"/>
      <c r="AF241" s="133"/>
      <c r="AG241" s="147"/>
      <c r="AI241" s="133"/>
      <c r="AJ241" s="147"/>
      <c r="AL241" s="133"/>
      <c r="AM241" s="147"/>
      <c r="AO241" s="133"/>
      <c r="AP241" s="147"/>
    </row>
    <row r="242" spans="3:42" x14ac:dyDescent="0.2">
      <c r="C242" s="146"/>
      <c r="D242" s="146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47"/>
      <c r="P242" s="133"/>
      <c r="Q242" s="133"/>
      <c r="R242" s="133"/>
      <c r="S242" s="133"/>
      <c r="T242" s="147"/>
      <c r="U242" s="133"/>
      <c r="V242" s="133"/>
      <c r="W242" s="147"/>
      <c r="X242" s="133"/>
      <c r="Y242" s="133"/>
      <c r="Z242" s="133"/>
      <c r="AA242" s="147"/>
      <c r="AC242" s="133"/>
      <c r="AD242" s="147"/>
      <c r="AF242" s="133"/>
      <c r="AG242" s="147"/>
      <c r="AI242" s="133"/>
      <c r="AJ242" s="147"/>
      <c r="AL242" s="133"/>
      <c r="AM242" s="147"/>
      <c r="AO242" s="133"/>
      <c r="AP242" s="147"/>
    </row>
    <row r="243" spans="3:42" x14ac:dyDescent="0.2">
      <c r="C243" s="146"/>
      <c r="D243" s="146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47"/>
      <c r="P243" s="133"/>
      <c r="Q243" s="133"/>
      <c r="R243" s="133"/>
      <c r="S243" s="133"/>
      <c r="T243" s="147"/>
      <c r="U243" s="133"/>
      <c r="V243" s="133"/>
      <c r="W243" s="147"/>
      <c r="X243" s="133"/>
      <c r="Y243" s="133"/>
      <c r="Z243" s="133"/>
      <c r="AA243" s="147"/>
      <c r="AC243" s="133"/>
      <c r="AD243" s="147"/>
      <c r="AF243" s="133"/>
      <c r="AG243" s="147"/>
      <c r="AI243" s="133"/>
      <c r="AJ243" s="147"/>
      <c r="AL243" s="133"/>
      <c r="AM243" s="147"/>
      <c r="AO243" s="133"/>
      <c r="AP243" s="147"/>
    </row>
    <row r="244" spans="3:42" x14ac:dyDescent="0.2">
      <c r="C244" s="146"/>
      <c r="D244" s="146"/>
      <c r="E244" s="133"/>
      <c r="F244" s="133"/>
      <c r="G244" s="133"/>
      <c r="H244" s="133"/>
      <c r="J244" s="133"/>
      <c r="K244" s="133"/>
      <c r="L244" s="133"/>
      <c r="M244" s="133"/>
      <c r="N244" s="133"/>
      <c r="O244" s="147"/>
      <c r="P244" s="133"/>
      <c r="Q244" s="133"/>
      <c r="R244" s="133"/>
      <c r="S244" s="133"/>
      <c r="T244" s="147"/>
      <c r="U244" s="133"/>
      <c r="V244" s="133"/>
      <c r="W244" s="147"/>
      <c r="X244" s="133"/>
      <c r="Y244" s="133"/>
      <c r="Z244" s="133"/>
      <c r="AA244" s="147"/>
      <c r="AC244" s="133"/>
      <c r="AD244" s="147"/>
      <c r="AF244" s="133"/>
      <c r="AG244" s="147"/>
      <c r="AI244" s="133"/>
      <c r="AJ244" s="147"/>
      <c r="AL244" s="133"/>
      <c r="AM244" s="147"/>
      <c r="AO244" s="133"/>
      <c r="AP244" s="147"/>
    </row>
  </sheetData>
  <mergeCells count="8">
    <mergeCell ref="R38:Y38"/>
    <mergeCell ref="AK38:AS38"/>
    <mergeCell ref="C2:AT2"/>
    <mergeCell ref="B4:C4"/>
    <mergeCell ref="R35:Y35"/>
    <mergeCell ref="AK35:AS35"/>
    <mergeCell ref="R37:Y37"/>
    <mergeCell ref="AK37:AS37"/>
  </mergeCells>
  <printOptions horizontalCentered="1" verticalCentered="1"/>
  <pageMargins left="0" right="7.874015748031496E-2" top="0.78740157480314965" bottom="0.19685039370078741" header="0.39370078740157483" footer="0"/>
  <pageSetup paperSize="256" scale="70" orientation="landscape" r:id="rId1"/>
  <headerFooter differentOddEven="1">
    <oddFooter xml:space="preserve"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4"/>
  <sheetViews>
    <sheetView zoomScale="70" zoomScaleNormal="7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" sqref="C2:AT2"/>
    </sheetView>
  </sheetViews>
  <sheetFormatPr baseColWidth="10" defaultRowHeight="11.25" x14ac:dyDescent="0.2"/>
  <cols>
    <col min="1" max="1" width="8" style="81" customWidth="1"/>
    <col min="2" max="2" width="5.7109375" style="81" hidden="1" customWidth="1"/>
    <col min="3" max="3" width="4" style="156" hidden="1" customWidth="1"/>
    <col min="4" max="4" width="39.5703125" style="156" customWidth="1"/>
    <col min="5" max="6" width="5.7109375" style="81" hidden="1" customWidth="1"/>
    <col min="7" max="8" width="14.28515625" style="81" hidden="1" customWidth="1"/>
    <col min="9" max="9" width="36.7109375" style="81" customWidth="1"/>
    <col min="10" max="10" width="14.140625" style="81" customWidth="1"/>
    <col min="11" max="11" width="5.7109375" style="81" hidden="1" customWidth="1"/>
    <col min="12" max="12" width="7" style="81" hidden="1" customWidth="1"/>
    <col min="13" max="13" width="16" style="81" bestFit="1" customWidth="1"/>
    <col min="14" max="14" width="5.85546875" style="81" hidden="1" customWidth="1"/>
    <col min="15" max="15" width="11.28515625" style="157" hidden="1" customWidth="1"/>
    <col min="16" max="16" width="17.42578125" style="81" customWidth="1"/>
    <col min="17" max="17" width="14" style="81" bestFit="1" customWidth="1"/>
    <col min="18" max="18" width="14.140625" style="81" customWidth="1"/>
    <col min="19" max="19" width="5.7109375" style="81" hidden="1" customWidth="1"/>
    <col min="20" max="20" width="11.28515625" style="157" hidden="1" customWidth="1"/>
    <col min="21" max="21" width="13.85546875" style="81" customWidth="1"/>
    <col min="22" max="22" width="5.7109375" style="81" hidden="1" customWidth="1"/>
    <col min="23" max="23" width="11.28515625" style="157" hidden="1" customWidth="1"/>
    <col min="24" max="24" width="20.5703125" style="81" hidden="1" customWidth="1"/>
    <col min="25" max="25" width="19.140625" style="81" customWidth="1"/>
    <col min="26" max="26" width="5.7109375" style="81" hidden="1" customWidth="1"/>
    <col min="27" max="27" width="11.28515625" style="157" hidden="1" customWidth="1"/>
    <col min="28" max="28" width="14.28515625" style="81" customWidth="1"/>
    <col min="29" max="29" width="5.7109375" style="81" hidden="1" customWidth="1"/>
    <col min="30" max="30" width="11.28515625" style="157" hidden="1" customWidth="1"/>
    <col min="31" max="31" width="18.140625" style="139" customWidth="1"/>
    <col min="32" max="32" width="7.7109375" style="81" hidden="1" customWidth="1"/>
    <col min="33" max="33" width="11.28515625" style="157" hidden="1" customWidth="1"/>
    <col min="34" max="34" width="13.85546875" style="81" customWidth="1"/>
    <col min="35" max="35" width="5.85546875" style="81" hidden="1" customWidth="1"/>
    <col min="36" max="36" width="5.85546875" style="157" hidden="1" customWidth="1"/>
    <col min="37" max="37" width="13" style="139" customWidth="1"/>
    <col min="38" max="38" width="5.7109375" style="81" hidden="1" customWidth="1"/>
    <col min="39" max="39" width="11.28515625" style="157" hidden="1" customWidth="1"/>
    <col min="40" max="40" width="14.85546875" style="81" hidden="1" customWidth="1"/>
    <col min="41" max="41" width="5.7109375" style="81" hidden="1" customWidth="1"/>
    <col min="42" max="42" width="11.28515625" style="157" hidden="1" customWidth="1"/>
    <col min="43" max="43" width="15.5703125" style="81" hidden="1" customWidth="1"/>
    <col min="44" max="44" width="18.5703125" style="81" customWidth="1"/>
    <col min="45" max="45" width="20.140625" style="81" customWidth="1"/>
    <col min="46" max="46" width="46.28515625" style="81" customWidth="1"/>
    <col min="47" max="47" width="14" style="81" hidden="1" customWidth="1"/>
    <col min="48" max="48" width="11.42578125" style="81" hidden="1" customWidth="1"/>
    <col min="49" max="49" width="15.28515625" style="81" hidden="1" customWidth="1"/>
    <col min="50" max="59" width="11.42578125" style="81" hidden="1" customWidth="1"/>
    <col min="60" max="60" width="10" style="81" hidden="1" customWidth="1"/>
    <col min="61" max="61" width="45.85546875" style="81" customWidth="1"/>
    <col min="62" max="64" width="11.42578125" style="81" customWidth="1"/>
    <col min="65" max="16384" width="11.42578125" style="81"/>
  </cols>
  <sheetData>
    <row r="1" spans="1:61" ht="15.75" x14ac:dyDescent="0.2">
      <c r="M1" s="138"/>
      <c r="N1" s="138"/>
      <c r="O1" s="158"/>
      <c r="P1" s="138"/>
      <c r="Q1" s="138"/>
    </row>
    <row r="2" spans="1:61" ht="35.25" customHeight="1" x14ac:dyDescent="0.2">
      <c r="C2" s="174" t="s">
        <v>139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61" s="82" customFormat="1" ht="9" thickBot="1" x14ac:dyDescent="0.25">
      <c r="A3" s="82">
        <v>1</v>
      </c>
      <c r="B3" s="82">
        <f>+A3+1</f>
        <v>2</v>
      </c>
      <c r="C3" s="82">
        <f t="shared" ref="C3:AS3" si="0">+B3+1</f>
        <v>3</v>
      </c>
      <c r="D3" s="82">
        <f t="shared" si="0"/>
        <v>4</v>
      </c>
      <c r="E3" s="82" t="e">
        <f>+#REF!+1</f>
        <v>#REF!</v>
      </c>
      <c r="F3" s="82" t="e">
        <f t="shared" si="0"/>
        <v>#REF!</v>
      </c>
      <c r="G3" s="82" t="e">
        <f t="shared" si="0"/>
        <v>#REF!</v>
      </c>
      <c r="H3" s="82" t="e">
        <f t="shared" si="0"/>
        <v>#REF!</v>
      </c>
      <c r="J3" s="82" t="e">
        <f>+H3+1</f>
        <v>#REF!</v>
      </c>
      <c r="K3" s="82" t="e">
        <f t="shared" si="0"/>
        <v>#REF!</v>
      </c>
      <c r="L3" s="82" t="e">
        <f t="shared" si="0"/>
        <v>#REF!</v>
      </c>
      <c r="M3" s="82" t="e">
        <f t="shared" si="0"/>
        <v>#REF!</v>
      </c>
      <c r="N3" s="82" t="e">
        <f t="shared" si="0"/>
        <v>#REF!</v>
      </c>
      <c r="O3" s="82" t="e">
        <f t="shared" si="0"/>
        <v>#REF!</v>
      </c>
      <c r="P3" s="82" t="e">
        <f t="shared" si="0"/>
        <v>#REF!</v>
      </c>
      <c r="Q3" s="82" t="e">
        <f t="shared" si="0"/>
        <v>#REF!</v>
      </c>
      <c r="R3" s="82" t="e">
        <f t="shared" si="0"/>
        <v>#REF!</v>
      </c>
      <c r="S3" s="82" t="e">
        <f t="shared" si="0"/>
        <v>#REF!</v>
      </c>
      <c r="T3" s="82" t="e">
        <f t="shared" si="0"/>
        <v>#REF!</v>
      </c>
      <c r="U3" s="82" t="e">
        <f t="shared" si="0"/>
        <v>#REF!</v>
      </c>
      <c r="V3" s="82" t="e">
        <f t="shared" si="0"/>
        <v>#REF!</v>
      </c>
      <c r="W3" s="82" t="e">
        <f t="shared" si="0"/>
        <v>#REF!</v>
      </c>
      <c r="X3" s="82" t="e">
        <f t="shared" si="0"/>
        <v>#REF!</v>
      </c>
      <c r="Y3" s="82" t="e">
        <f t="shared" si="0"/>
        <v>#REF!</v>
      </c>
      <c r="Z3" s="82" t="e">
        <f t="shared" si="0"/>
        <v>#REF!</v>
      </c>
      <c r="AA3" s="82" t="e">
        <f t="shared" si="0"/>
        <v>#REF!</v>
      </c>
      <c r="AB3" s="82" t="e">
        <f t="shared" si="0"/>
        <v>#REF!</v>
      </c>
      <c r="AC3" s="82" t="e">
        <f t="shared" si="0"/>
        <v>#REF!</v>
      </c>
      <c r="AD3" s="82" t="e">
        <f t="shared" si="0"/>
        <v>#REF!</v>
      </c>
      <c r="AE3" s="83" t="e">
        <f t="shared" si="0"/>
        <v>#REF!</v>
      </c>
      <c r="AF3" s="82" t="e">
        <f t="shared" si="0"/>
        <v>#REF!</v>
      </c>
      <c r="AG3" s="82" t="e">
        <f t="shared" si="0"/>
        <v>#REF!</v>
      </c>
      <c r="AH3" s="82" t="e">
        <f t="shared" si="0"/>
        <v>#REF!</v>
      </c>
      <c r="AI3" s="82" t="e">
        <f t="shared" si="0"/>
        <v>#REF!</v>
      </c>
      <c r="AJ3" s="82" t="e">
        <f t="shared" si="0"/>
        <v>#REF!</v>
      </c>
      <c r="AK3" s="83" t="e">
        <f t="shared" si="0"/>
        <v>#REF!</v>
      </c>
      <c r="AL3" s="82" t="e">
        <f t="shared" si="0"/>
        <v>#REF!</v>
      </c>
      <c r="AM3" s="82" t="e">
        <f t="shared" si="0"/>
        <v>#REF!</v>
      </c>
      <c r="AN3" s="82" t="e">
        <f t="shared" si="0"/>
        <v>#REF!</v>
      </c>
      <c r="AO3" s="82" t="e">
        <f t="shared" si="0"/>
        <v>#REF!</v>
      </c>
      <c r="AP3" s="82" t="e">
        <f t="shared" si="0"/>
        <v>#REF!</v>
      </c>
      <c r="AQ3" s="82" t="e">
        <f t="shared" si="0"/>
        <v>#REF!</v>
      </c>
      <c r="AR3" s="82" t="e">
        <f t="shared" si="0"/>
        <v>#REF!</v>
      </c>
      <c r="AS3" s="82" t="e">
        <f t="shared" si="0"/>
        <v>#REF!</v>
      </c>
    </row>
    <row r="4" spans="1:61" s="84" customFormat="1" ht="44.25" customHeight="1" thickBot="1" x14ac:dyDescent="0.25">
      <c r="A4" s="84" t="s">
        <v>1</v>
      </c>
      <c r="B4" s="175" t="s">
        <v>1</v>
      </c>
      <c r="C4" s="176"/>
      <c r="D4" s="85" t="s">
        <v>2</v>
      </c>
      <c r="E4" s="87" t="s">
        <v>5</v>
      </c>
      <c r="F4" s="87" t="s">
        <v>6</v>
      </c>
      <c r="G4" s="87" t="s">
        <v>7</v>
      </c>
      <c r="H4" s="87" t="s">
        <v>8</v>
      </c>
      <c r="I4" s="7" t="s">
        <v>145</v>
      </c>
      <c r="J4" s="87" t="s">
        <v>9</v>
      </c>
      <c r="K4" s="87" t="s">
        <v>5</v>
      </c>
      <c r="L4" s="87" t="s">
        <v>6</v>
      </c>
      <c r="M4" s="88" t="s">
        <v>10</v>
      </c>
      <c r="N4" s="88" t="s">
        <v>5</v>
      </c>
      <c r="O4" s="89" t="s">
        <v>6</v>
      </c>
      <c r="P4" s="88" t="s">
        <v>11</v>
      </c>
      <c r="Q4" s="88" t="s">
        <v>12</v>
      </c>
      <c r="R4" s="88" t="s">
        <v>13</v>
      </c>
      <c r="S4" s="87" t="s">
        <v>5</v>
      </c>
      <c r="T4" s="90" t="s">
        <v>6</v>
      </c>
      <c r="U4" s="87" t="s">
        <v>14</v>
      </c>
      <c r="V4" s="91" t="s">
        <v>5</v>
      </c>
      <c r="W4" s="92" t="s">
        <v>6</v>
      </c>
      <c r="X4" s="88" t="s">
        <v>15</v>
      </c>
      <c r="Y4" s="7" t="s">
        <v>152</v>
      </c>
      <c r="Z4" s="87" t="s">
        <v>5</v>
      </c>
      <c r="AA4" s="90" t="s">
        <v>6</v>
      </c>
      <c r="AB4" s="87" t="s">
        <v>16</v>
      </c>
      <c r="AC4" s="87" t="s">
        <v>5</v>
      </c>
      <c r="AD4" s="90" t="s">
        <v>6</v>
      </c>
      <c r="AE4" s="88" t="s">
        <v>21</v>
      </c>
      <c r="AF4" s="87" t="s">
        <v>5</v>
      </c>
      <c r="AG4" s="90" t="s">
        <v>6</v>
      </c>
      <c r="AH4" s="87" t="s">
        <v>18</v>
      </c>
      <c r="AI4" s="87" t="s">
        <v>5</v>
      </c>
      <c r="AJ4" s="90" t="s">
        <v>6</v>
      </c>
      <c r="AK4" s="88" t="s">
        <v>19</v>
      </c>
      <c r="AL4" s="87" t="s">
        <v>5</v>
      </c>
      <c r="AM4" s="90" t="s">
        <v>6</v>
      </c>
      <c r="AN4" s="87" t="s">
        <v>20</v>
      </c>
      <c r="AO4" s="91" t="s">
        <v>5</v>
      </c>
      <c r="AP4" s="92" t="s">
        <v>6</v>
      </c>
      <c r="AQ4" s="88" t="s">
        <v>21</v>
      </c>
      <c r="AR4" s="7" t="s">
        <v>153</v>
      </c>
      <c r="AS4" s="7" t="s">
        <v>154</v>
      </c>
      <c r="AT4" s="93" t="s">
        <v>22</v>
      </c>
      <c r="AV4" s="94"/>
      <c r="AW4" s="94" t="s">
        <v>23</v>
      </c>
      <c r="AX4" s="95" t="s">
        <v>24</v>
      </c>
      <c r="AY4" s="95" t="s">
        <v>25</v>
      </c>
      <c r="AZ4" s="95" t="s">
        <v>26</v>
      </c>
      <c r="BA4" s="95" t="s">
        <v>27</v>
      </c>
      <c r="BB4" s="95" t="s">
        <v>28</v>
      </c>
      <c r="BC4" s="95" t="s">
        <v>29</v>
      </c>
      <c r="BD4" s="95" t="s">
        <v>30</v>
      </c>
      <c r="BE4" s="96"/>
      <c r="BF4" s="96"/>
      <c r="BG4" s="96"/>
      <c r="BH4" s="94"/>
      <c r="BI4" s="93" t="s">
        <v>31</v>
      </c>
    </row>
    <row r="5" spans="1:61" s="111" customFormat="1" ht="30" customHeight="1" x14ac:dyDescent="0.2">
      <c r="A5" s="97" t="str">
        <f t="shared" ref="A5:A32" si="1">B5&amp;" "&amp;C5</f>
        <v>SEI 004</v>
      </c>
      <c r="B5" s="98" t="s">
        <v>32</v>
      </c>
      <c r="C5" s="99" t="s">
        <v>33</v>
      </c>
      <c r="D5" s="100" t="s">
        <v>34</v>
      </c>
      <c r="E5" s="101" t="s">
        <v>37</v>
      </c>
      <c r="F5" s="101" t="s">
        <v>38</v>
      </c>
      <c r="G5" s="101">
        <v>15</v>
      </c>
      <c r="H5" s="101">
        <v>421.49</v>
      </c>
      <c r="I5" s="160" t="s">
        <v>146</v>
      </c>
      <c r="J5" s="101">
        <v>6572.35</v>
      </c>
      <c r="K5" s="101" t="s">
        <v>37</v>
      </c>
      <c r="L5" s="102">
        <v>1311</v>
      </c>
      <c r="M5" s="103">
        <f>134.58+33.65</f>
        <v>168.23000000000002</v>
      </c>
      <c r="N5" s="101" t="s">
        <v>37</v>
      </c>
      <c r="O5" s="102">
        <v>1713</v>
      </c>
      <c r="P5" s="101">
        <v>351.5</v>
      </c>
      <c r="Q5" s="103">
        <v>406.32</v>
      </c>
      <c r="R5" s="103">
        <f t="shared" ref="R5:R32" si="2">(J5*3%)</f>
        <v>197.1705</v>
      </c>
      <c r="S5" s="101" t="s">
        <v>37</v>
      </c>
      <c r="T5" s="102">
        <v>1712</v>
      </c>
      <c r="U5" s="104">
        <f t="shared" ref="U5:U32" si="3">(Q5+R5)</f>
        <v>603.4905</v>
      </c>
      <c r="V5" s="101" t="s">
        <v>37</v>
      </c>
      <c r="W5" s="102">
        <v>1345</v>
      </c>
      <c r="X5" s="104">
        <v>0</v>
      </c>
      <c r="Y5" s="104">
        <f t="shared" ref="Y5:Y32" si="4">J5+M5+P5+U5+X5</f>
        <v>7695.5704999999998</v>
      </c>
      <c r="Z5" s="101" t="s">
        <v>39</v>
      </c>
      <c r="AA5" s="102">
        <v>1431</v>
      </c>
      <c r="AB5" s="104">
        <f t="shared" ref="AB5:AB32" si="5">(J5*9.5%)</f>
        <v>624.3732500000001</v>
      </c>
      <c r="AC5" s="101" t="s">
        <v>39</v>
      </c>
      <c r="AD5" s="105" t="s">
        <v>40</v>
      </c>
      <c r="AE5" s="103">
        <v>395.77</v>
      </c>
      <c r="AF5" s="101" t="s">
        <v>39</v>
      </c>
      <c r="AG5" s="105" t="s">
        <v>41</v>
      </c>
      <c r="AH5" s="103">
        <f t="shared" ref="AH5:AH32" si="6">+BD5</f>
        <v>1096.58</v>
      </c>
      <c r="AI5" s="101" t="s">
        <v>39</v>
      </c>
      <c r="AJ5" s="105" t="s">
        <v>42</v>
      </c>
      <c r="AK5" s="103">
        <f t="shared" ref="AK5:AK10" si="7">(J5*1%)</f>
        <v>65.723500000000001</v>
      </c>
      <c r="AL5" s="101" t="s">
        <v>39</v>
      </c>
      <c r="AM5" s="105" t="s">
        <v>43</v>
      </c>
      <c r="AN5" s="103">
        <v>0</v>
      </c>
      <c r="AO5" s="101" t="s">
        <v>39</v>
      </c>
      <c r="AP5" s="105">
        <v>1431</v>
      </c>
      <c r="AQ5" s="103">
        <v>0</v>
      </c>
      <c r="AR5" s="104">
        <f t="shared" ref="AR5:AR32" si="8">(AB5+AE5+AH5+AK5+AN5+AQ5)</f>
        <v>2182.4467500000001</v>
      </c>
      <c r="AS5" s="106">
        <f t="shared" ref="AS5:AS32" si="9">(Y5-AR5)</f>
        <v>5513.1237499999997</v>
      </c>
      <c r="AT5" s="107"/>
      <c r="AU5" s="108"/>
      <c r="AV5" s="109">
        <f>+G5</f>
        <v>15</v>
      </c>
      <c r="AW5" s="109">
        <f>+J5+R5+M5+P5+Q5+X5</f>
        <v>7695.5704999999998</v>
      </c>
      <c r="AX5" s="110">
        <f>IFERROR(+AW5/AV5,0)*AV5</f>
        <v>7695.5705000000007</v>
      </c>
      <c r="AY5" s="110">
        <f>IFERROR(+LOOKUP(AX5,[11]TARIFAS!$A$4:$B$14,[11]TARIFAS!$A$4:$A$14),0)</f>
        <v>5081.41</v>
      </c>
      <c r="AZ5" s="110">
        <f>+AX5-AY5</f>
        <v>2614.1605000000009</v>
      </c>
      <c r="BA5" s="110">
        <f>IFERROR(+LOOKUP(AX5,[11]TARIFAS!$A$4:$B$14,[11]TARIFAS!$D$4:$D$14),0)</f>
        <v>21.36</v>
      </c>
      <c r="BB5" s="110">
        <f>(+AZ5*BA5)/100</f>
        <v>558.38468280000018</v>
      </c>
      <c r="BC5" s="110">
        <f>IFERROR(+LOOKUP(AX5,[11]TARIFAS!$A$4:$B$14,[11]TARIFAS!$C$4:$C$14),0)</f>
        <v>538.20000000000005</v>
      </c>
      <c r="BD5" s="110">
        <f>ROUND(+BB5+BC5,2)</f>
        <v>1096.58</v>
      </c>
      <c r="BE5" s="110"/>
      <c r="BF5" s="110"/>
      <c r="BG5" s="110"/>
      <c r="BH5" s="109"/>
    </row>
    <row r="6" spans="1:61" s="111" customFormat="1" ht="29.25" customHeight="1" x14ac:dyDescent="0.2">
      <c r="A6" s="97" t="str">
        <f t="shared" si="1"/>
        <v>SEI 006</v>
      </c>
      <c r="B6" s="97" t="s">
        <v>32</v>
      </c>
      <c r="C6" s="112" t="s">
        <v>45</v>
      </c>
      <c r="D6" s="100" t="s">
        <v>46</v>
      </c>
      <c r="E6" s="101" t="s">
        <v>37</v>
      </c>
      <c r="F6" s="101" t="s">
        <v>38</v>
      </c>
      <c r="G6" s="101">
        <v>15</v>
      </c>
      <c r="H6" s="101">
        <v>421.49</v>
      </c>
      <c r="I6" s="160" t="s">
        <v>147</v>
      </c>
      <c r="J6" s="101">
        <v>6572.35</v>
      </c>
      <c r="K6" s="101" t="s">
        <v>37</v>
      </c>
      <c r="L6" s="102">
        <v>1311</v>
      </c>
      <c r="M6" s="103">
        <v>168.22500000000002</v>
      </c>
      <c r="N6" s="101" t="s">
        <v>37</v>
      </c>
      <c r="O6" s="102">
        <v>1713</v>
      </c>
      <c r="P6" s="101">
        <v>351.5</v>
      </c>
      <c r="Q6" s="103">
        <v>406.32</v>
      </c>
      <c r="R6" s="103">
        <f t="shared" si="2"/>
        <v>197.1705</v>
      </c>
      <c r="S6" s="101" t="s">
        <v>37</v>
      </c>
      <c r="T6" s="102">
        <v>1712</v>
      </c>
      <c r="U6" s="104">
        <f t="shared" si="3"/>
        <v>603.4905</v>
      </c>
      <c r="V6" s="101"/>
      <c r="W6" s="102"/>
      <c r="X6" s="104"/>
      <c r="Y6" s="104">
        <f t="shared" si="4"/>
        <v>7695.5655000000006</v>
      </c>
      <c r="Z6" s="101" t="s">
        <v>39</v>
      </c>
      <c r="AA6" s="102">
        <v>1431</v>
      </c>
      <c r="AB6" s="104">
        <f t="shared" si="5"/>
        <v>624.3732500000001</v>
      </c>
      <c r="AC6" s="101" t="s">
        <v>39</v>
      </c>
      <c r="AD6" s="105" t="s">
        <v>40</v>
      </c>
      <c r="AE6" s="103">
        <v>2529</v>
      </c>
      <c r="AF6" s="101" t="s">
        <v>39</v>
      </c>
      <c r="AG6" s="105" t="s">
        <v>41</v>
      </c>
      <c r="AH6" s="103">
        <f t="shared" si="6"/>
        <v>1096.58</v>
      </c>
      <c r="AI6" s="101" t="s">
        <v>39</v>
      </c>
      <c r="AJ6" s="105" t="s">
        <v>42</v>
      </c>
      <c r="AK6" s="103">
        <f t="shared" si="7"/>
        <v>65.723500000000001</v>
      </c>
      <c r="AL6" s="101" t="s">
        <v>39</v>
      </c>
      <c r="AM6" s="105" t="s">
        <v>43</v>
      </c>
      <c r="AN6" s="103">
        <v>0</v>
      </c>
      <c r="AO6" s="101" t="s">
        <v>39</v>
      </c>
      <c r="AP6" s="105">
        <v>1431</v>
      </c>
      <c r="AQ6" s="103">
        <v>0</v>
      </c>
      <c r="AR6" s="104">
        <f t="shared" si="8"/>
        <v>4315.6767500000005</v>
      </c>
      <c r="AS6" s="106">
        <f t="shared" si="9"/>
        <v>3379.8887500000001</v>
      </c>
      <c r="AT6" s="113"/>
      <c r="AU6" s="108"/>
      <c r="AV6" s="109">
        <f t="shared" ref="AV6:AV32" si="10">+G6</f>
        <v>15</v>
      </c>
      <c r="AW6" s="109">
        <f t="shared" ref="AW6:AW32" si="11">+J6+R6+M6+P6+Q6+X6</f>
        <v>7695.5655000000006</v>
      </c>
      <c r="AX6" s="110">
        <f t="shared" ref="AX6:AX32" si="12">IFERROR(+AW6/AV6,0)*AV6</f>
        <v>7695.5655000000015</v>
      </c>
      <c r="AY6" s="110">
        <f>IFERROR(+LOOKUP(AX6,[11]TARIFAS!$A$4:$B$14,[11]TARIFAS!$A$4:$A$14),0)</f>
        <v>5081.41</v>
      </c>
      <c r="AZ6" s="110">
        <f t="shared" ref="AZ6:AZ32" si="13">+AX6-AY6</f>
        <v>2614.1555000000017</v>
      </c>
      <c r="BA6" s="110">
        <f>IFERROR(+LOOKUP(AX6,[11]TARIFAS!$A$4:$B$14,[11]TARIFAS!$D$4:$D$14),0)</f>
        <v>21.36</v>
      </c>
      <c r="BB6" s="110">
        <f t="shared" ref="BB6:BB32" si="14">(+AZ6*BA6)/100</f>
        <v>558.38361480000037</v>
      </c>
      <c r="BC6" s="110">
        <f>IFERROR(+LOOKUP(AX6,[11]TARIFAS!$A$4:$B$14,[11]TARIFAS!$C$4:$C$14),0)</f>
        <v>538.20000000000005</v>
      </c>
      <c r="BD6" s="110">
        <f t="shared" ref="BD6:BD32" si="15">ROUND(+BB6+BC6,2)</f>
        <v>1096.58</v>
      </c>
      <c r="BE6" s="110"/>
      <c r="BF6" s="110"/>
      <c r="BG6" s="110"/>
      <c r="BH6" s="109"/>
    </row>
    <row r="7" spans="1:61" s="111" customFormat="1" ht="30" customHeight="1" x14ac:dyDescent="0.2">
      <c r="A7" s="97" t="str">
        <f t="shared" si="1"/>
        <v>SEI 007</v>
      </c>
      <c r="B7" s="97" t="s">
        <v>32</v>
      </c>
      <c r="C7" s="112" t="s">
        <v>48</v>
      </c>
      <c r="D7" s="100" t="s">
        <v>49</v>
      </c>
      <c r="E7" s="101" t="s">
        <v>37</v>
      </c>
      <c r="F7" s="101" t="s">
        <v>38</v>
      </c>
      <c r="G7" s="101">
        <v>15</v>
      </c>
      <c r="H7" s="101">
        <v>504.21533333333332</v>
      </c>
      <c r="I7" s="160" t="s">
        <v>147</v>
      </c>
      <c r="J7" s="101">
        <v>7713.23</v>
      </c>
      <c r="K7" s="101" t="s">
        <v>37</v>
      </c>
      <c r="L7" s="102">
        <v>1311</v>
      </c>
      <c r="M7" s="103">
        <v>168.22500000000002</v>
      </c>
      <c r="N7" s="101" t="s">
        <v>37</v>
      </c>
      <c r="O7" s="102">
        <v>1713</v>
      </c>
      <c r="P7" s="101">
        <v>282.08999999999997</v>
      </c>
      <c r="Q7" s="103">
        <v>418.44</v>
      </c>
      <c r="R7" s="103">
        <f t="shared" si="2"/>
        <v>231.39689999999999</v>
      </c>
      <c r="S7" s="101" t="s">
        <v>37</v>
      </c>
      <c r="T7" s="102">
        <v>1712</v>
      </c>
      <c r="U7" s="104">
        <f t="shared" si="3"/>
        <v>649.83690000000001</v>
      </c>
      <c r="V7" s="101"/>
      <c r="W7" s="102"/>
      <c r="X7" s="104"/>
      <c r="Y7" s="104">
        <f t="shared" si="4"/>
        <v>8813.3819000000003</v>
      </c>
      <c r="Z7" s="101" t="s">
        <v>39</v>
      </c>
      <c r="AA7" s="102">
        <v>1431</v>
      </c>
      <c r="AB7" s="104">
        <f t="shared" si="5"/>
        <v>732.75684999999999</v>
      </c>
      <c r="AC7" s="101" t="s">
        <v>39</v>
      </c>
      <c r="AD7" s="105" t="s">
        <v>40</v>
      </c>
      <c r="AE7" s="103">
        <v>1158.5</v>
      </c>
      <c r="AF7" s="101" t="s">
        <v>39</v>
      </c>
      <c r="AG7" s="105" t="s">
        <v>41</v>
      </c>
      <c r="AH7" s="103">
        <f t="shared" si="6"/>
        <v>1335.35</v>
      </c>
      <c r="AI7" s="101" t="s">
        <v>39</v>
      </c>
      <c r="AJ7" s="105" t="s">
        <v>42</v>
      </c>
      <c r="AK7" s="103">
        <f t="shared" si="7"/>
        <v>77.132300000000001</v>
      </c>
      <c r="AL7" s="101" t="s">
        <v>39</v>
      </c>
      <c r="AM7" s="105" t="s">
        <v>43</v>
      </c>
      <c r="AN7" s="103">
        <v>0</v>
      </c>
      <c r="AO7" s="101" t="s">
        <v>39</v>
      </c>
      <c r="AP7" s="105">
        <v>1431</v>
      </c>
      <c r="AQ7" s="103">
        <v>0</v>
      </c>
      <c r="AR7" s="104">
        <f t="shared" si="8"/>
        <v>3303.7391500000003</v>
      </c>
      <c r="AS7" s="106">
        <f t="shared" si="9"/>
        <v>5509.64275</v>
      </c>
      <c r="AT7" s="113"/>
      <c r="AU7" s="108"/>
      <c r="AV7" s="109">
        <f t="shared" si="10"/>
        <v>15</v>
      </c>
      <c r="AW7" s="109">
        <f t="shared" si="11"/>
        <v>8813.3819000000003</v>
      </c>
      <c r="AX7" s="110">
        <f t="shared" si="12"/>
        <v>8813.3819000000003</v>
      </c>
      <c r="AY7" s="110">
        <f>IFERROR(+LOOKUP(AX7,[11]TARIFAS!$A$4:$B$14,[11]TARIFAS!$A$4:$A$14),0)</f>
        <v>5081.41</v>
      </c>
      <c r="AZ7" s="110">
        <f t="shared" si="13"/>
        <v>3731.9719000000005</v>
      </c>
      <c r="BA7" s="110">
        <f>IFERROR(+LOOKUP(AX7,[11]TARIFAS!$A$4:$B$14,[11]TARIFAS!$D$4:$D$14),0)</f>
        <v>21.36</v>
      </c>
      <c r="BB7" s="110">
        <f t="shared" si="14"/>
        <v>797.14919784000017</v>
      </c>
      <c r="BC7" s="110">
        <f>IFERROR(+LOOKUP(AX7,[11]TARIFAS!$A$4:$B$14,[11]TARIFAS!$C$4:$C$14),0)</f>
        <v>538.20000000000005</v>
      </c>
      <c r="BD7" s="110">
        <f t="shared" si="15"/>
        <v>1335.35</v>
      </c>
      <c r="BE7" s="110"/>
      <c r="BF7" s="110"/>
      <c r="BG7" s="110"/>
      <c r="BH7" s="109"/>
    </row>
    <row r="8" spans="1:61" s="111" customFormat="1" ht="30" customHeight="1" x14ac:dyDescent="0.2">
      <c r="A8" s="97" t="str">
        <f t="shared" si="1"/>
        <v>SEI 008</v>
      </c>
      <c r="B8" s="97" t="s">
        <v>32</v>
      </c>
      <c r="C8" s="112" t="s">
        <v>51</v>
      </c>
      <c r="D8" s="100" t="s">
        <v>52</v>
      </c>
      <c r="E8" s="101" t="s">
        <v>37</v>
      </c>
      <c r="F8" s="101" t="s">
        <v>38</v>
      </c>
      <c r="G8" s="101">
        <v>15</v>
      </c>
      <c r="H8" s="101">
        <v>421.49</v>
      </c>
      <c r="I8" s="160" t="s">
        <v>148</v>
      </c>
      <c r="J8" s="101">
        <v>6572.35</v>
      </c>
      <c r="K8" s="101" t="s">
        <v>37</v>
      </c>
      <c r="L8" s="102">
        <v>1311</v>
      </c>
      <c r="M8" s="103">
        <v>201.87</v>
      </c>
      <c r="N8" s="101" t="s">
        <v>37</v>
      </c>
      <c r="O8" s="102">
        <v>1713</v>
      </c>
      <c r="P8" s="101">
        <v>351.5</v>
      </c>
      <c r="Q8" s="103">
        <v>406.32</v>
      </c>
      <c r="R8" s="103">
        <f t="shared" si="2"/>
        <v>197.1705</v>
      </c>
      <c r="S8" s="101" t="s">
        <v>37</v>
      </c>
      <c r="T8" s="102">
        <v>1712</v>
      </c>
      <c r="U8" s="104">
        <f t="shared" si="3"/>
        <v>603.4905</v>
      </c>
      <c r="V8" s="101"/>
      <c r="W8" s="102"/>
      <c r="X8" s="104"/>
      <c r="Y8" s="104">
        <f t="shared" si="4"/>
        <v>7729.2105000000001</v>
      </c>
      <c r="Z8" s="101" t="s">
        <v>39</v>
      </c>
      <c r="AA8" s="102">
        <v>1431</v>
      </c>
      <c r="AB8" s="104">
        <f t="shared" si="5"/>
        <v>624.3732500000001</v>
      </c>
      <c r="AC8" s="101" t="s">
        <v>39</v>
      </c>
      <c r="AD8" s="105" t="s">
        <v>40</v>
      </c>
      <c r="AE8" s="103">
        <v>1634.46</v>
      </c>
      <c r="AF8" s="101" t="s">
        <v>39</v>
      </c>
      <c r="AG8" s="105" t="s">
        <v>41</v>
      </c>
      <c r="AH8" s="103">
        <f t="shared" si="6"/>
        <v>1103.77</v>
      </c>
      <c r="AI8" s="101" t="s">
        <v>39</v>
      </c>
      <c r="AJ8" s="105" t="s">
        <v>42</v>
      </c>
      <c r="AK8" s="103">
        <f t="shared" si="7"/>
        <v>65.723500000000001</v>
      </c>
      <c r="AL8" s="101" t="s">
        <v>39</v>
      </c>
      <c r="AM8" s="105" t="s">
        <v>43</v>
      </c>
      <c r="AN8" s="103">
        <v>0</v>
      </c>
      <c r="AO8" s="101" t="s">
        <v>39</v>
      </c>
      <c r="AP8" s="105">
        <v>1431</v>
      </c>
      <c r="AQ8" s="103">
        <v>0</v>
      </c>
      <c r="AR8" s="104">
        <f t="shared" si="8"/>
        <v>3428.3267500000002</v>
      </c>
      <c r="AS8" s="106">
        <f t="shared" si="9"/>
        <v>4300.88375</v>
      </c>
      <c r="AT8" s="113"/>
      <c r="AU8" s="108"/>
      <c r="AV8" s="109">
        <f t="shared" si="10"/>
        <v>15</v>
      </c>
      <c r="AW8" s="109">
        <f t="shared" si="11"/>
        <v>7729.2105000000001</v>
      </c>
      <c r="AX8" s="110">
        <f>IFERROR(+AW8/AV8,0)*AV8</f>
        <v>7729.2105000000001</v>
      </c>
      <c r="AY8" s="110">
        <f>IFERROR(+LOOKUP(AX8,[11]TARIFAS!$A$4:$B$14,[11]TARIFAS!$A$4:$A$14),0)</f>
        <v>5081.41</v>
      </c>
      <c r="AZ8" s="110">
        <f t="shared" si="13"/>
        <v>2647.8005000000003</v>
      </c>
      <c r="BA8" s="110">
        <f>IFERROR(+LOOKUP(AX8,[11]TARIFAS!$A$4:$B$14,[11]TARIFAS!$D$4:$D$14),0)</f>
        <v>21.36</v>
      </c>
      <c r="BB8" s="110">
        <f t="shared" si="14"/>
        <v>565.57018679999999</v>
      </c>
      <c r="BC8" s="110">
        <f>IFERROR(+LOOKUP(AX8,[11]TARIFAS!$A$4:$B$14,[11]TARIFAS!$C$4:$C$14),0)</f>
        <v>538.20000000000005</v>
      </c>
      <c r="BD8" s="110">
        <f t="shared" si="15"/>
        <v>1103.77</v>
      </c>
      <c r="BE8" s="110"/>
      <c r="BF8" s="110"/>
      <c r="BG8" s="110"/>
      <c r="BH8" s="109"/>
    </row>
    <row r="9" spans="1:61" s="111" customFormat="1" ht="30" customHeight="1" x14ac:dyDescent="0.2">
      <c r="A9" s="97" t="str">
        <f t="shared" si="1"/>
        <v>SEI 009</v>
      </c>
      <c r="B9" s="97" t="s">
        <v>32</v>
      </c>
      <c r="C9" s="112" t="s">
        <v>54</v>
      </c>
      <c r="D9" s="100" t="s">
        <v>55</v>
      </c>
      <c r="E9" s="101" t="s">
        <v>37</v>
      </c>
      <c r="F9" s="101" t="s">
        <v>38</v>
      </c>
      <c r="G9" s="101">
        <v>15</v>
      </c>
      <c r="H9" s="101">
        <v>504.21533333333332</v>
      </c>
      <c r="I9" s="160" t="s">
        <v>147</v>
      </c>
      <c r="J9" s="101">
        <v>7713.23</v>
      </c>
      <c r="K9" s="101" t="s">
        <v>37</v>
      </c>
      <c r="L9" s="102">
        <v>1311</v>
      </c>
      <c r="M9" s="103">
        <v>168.22500000000002</v>
      </c>
      <c r="N9" s="101" t="s">
        <v>37</v>
      </c>
      <c r="O9" s="102">
        <v>1713</v>
      </c>
      <c r="P9" s="101">
        <v>282.08999999999997</v>
      </c>
      <c r="Q9" s="103">
        <v>418.44</v>
      </c>
      <c r="R9" s="103">
        <f t="shared" si="2"/>
        <v>231.39689999999999</v>
      </c>
      <c r="S9" s="101" t="s">
        <v>37</v>
      </c>
      <c r="T9" s="102">
        <v>1712</v>
      </c>
      <c r="U9" s="104">
        <f t="shared" si="3"/>
        <v>649.83690000000001</v>
      </c>
      <c r="V9" s="101"/>
      <c r="W9" s="102"/>
      <c r="X9" s="104"/>
      <c r="Y9" s="104">
        <f t="shared" si="4"/>
        <v>8813.3819000000003</v>
      </c>
      <c r="Z9" s="101" t="s">
        <v>39</v>
      </c>
      <c r="AA9" s="102">
        <v>1431</v>
      </c>
      <c r="AB9" s="104">
        <f t="shared" si="5"/>
        <v>732.75684999999999</v>
      </c>
      <c r="AC9" s="101" t="s">
        <v>39</v>
      </c>
      <c r="AD9" s="105" t="s">
        <v>40</v>
      </c>
      <c r="AE9" s="103">
        <v>0</v>
      </c>
      <c r="AF9" s="101" t="s">
        <v>39</v>
      </c>
      <c r="AG9" s="105" t="s">
        <v>41</v>
      </c>
      <c r="AH9" s="103">
        <f t="shared" si="6"/>
        <v>1335.35</v>
      </c>
      <c r="AI9" s="101" t="s">
        <v>39</v>
      </c>
      <c r="AJ9" s="105" t="s">
        <v>42</v>
      </c>
      <c r="AK9" s="103">
        <f t="shared" si="7"/>
        <v>77.132300000000001</v>
      </c>
      <c r="AL9" s="101" t="s">
        <v>39</v>
      </c>
      <c r="AM9" s="105" t="s">
        <v>43</v>
      </c>
      <c r="AN9" s="103">
        <v>0</v>
      </c>
      <c r="AO9" s="101" t="s">
        <v>39</v>
      </c>
      <c r="AP9" s="105">
        <v>1431</v>
      </c>
      <c r="AQ9" s="103">
        <v>0</v>
      </c>
      <c r="AR9" s="104">
        <f t="shared" si="8"/>
        <v>2145.2391500000003</v>
      </c>
      <c r="AS9" s="106">
        <f t="shared" si="9"/>
        <v>6668.14275</v>
      </c>
      <c r="AT9" s="113"/>
      <c r="AU9" s="108"/>
      <c r="AV9" s="109">
        <f t="shared" si="10"/>
        <v>15</v>
      </c>
      <c r="AW9" s="109">
        <f t="shared" si="11"/>
        <v>8813.3819000000003</v>
      </c>
      <c r="AX9" s="110">
        <f>IFERROR(+AW9/AV9,0)*AV9</f>
        <v>8813.3819000000003</v>
      </c>
      <c r="AY9" s="110">
        <f>IFERROR(+LOOKUP(AX9,[11]TARIFAS!$A$4:$B$14,[11]TARIFAS!$A$4:$A$14),0)</f>
        <v>5081.41</v>
      </c>
      <c r="AZ9" s="110">
        <f t="shared" si="13"/>
        <v>3731.9719000000005</v>
      </c>
      <c r="BA9" s="110">
        <f>IFERROR(+LOOKUP(AX9,[11]TARIFAS!$A$4:$B$14,[11]TARIFAS!$D$4:$D$14),0)</f>
        <v>21.36</v>
      </c>
      <c r="BB9" s="110">
        <f t="shared" si="14"/>
        <v>797.14919784000017</v>
      </c>
      <c r="BC9" s="110">
        <f>IFERROR(+LOOKUP(AX9,[11]TARIFAS!$A$4:$B$14,[11]TARIFAS!$C$4:$C$14),0)</f>
        <v>538.20000000000005</v>
      </c>
      <c r="BD9" s="110">
        <f t="shared" si="15"/>
        <v>1335.35</v>
      </c>
      <c r="BE9" s="110"/>
      <c r="BF9" s="110"/>
      <c r="BG9" s="110"/>
      <c r="BH9" s="109"/>
    </row>
    <row r="10" spans="1:61" s="111" customFormat="1" ht="30" customHeight="1" x14ac:dyDescent="0.2">
      <c r="A10" s="97" t="str">
        <f t="shared" si="1"/>
        <v>SEI 010</v>
      </c>
      <c r="B10" s="97" t="s">
        <v>32</v>
      </c>
      <c r="C10" s="112" t="s">
        <v>56</v>
      </c>
      <c r="D10" s="100" t="s">
        <v>57</v>
      </c>
      <c r="E10" s="101" t="s">
        <v>37</v>
      </c>
      <c r="F10" s="101" t="s">
        <v>38</v>
      </c>
      <c r="G10" s="101">
        <v>15</v>
      </c>
      <c r="H10" s="101">
        <v>421.49</v>
      </c>
      <c r="I10" s="160" t="s">
        <v>147</v>
      </c>
      <c r="J10" s="101">
        <v>6572.35</v>
      </c>
      <c r="K10" s="101" t="s">
        <v>37</v>
      </c>
      <c r="L10" s="102">
        <v>1311</v>
      </c>
      <c r="M10" s="103">
        <v>201.87</v>
      </c>
      <c r="N10" s="101" t="s">
        <v>37</v>
      </c>
      <c r="O10" s="102">
        <v>1713</v>
      </c>
      <c r="P10" s="101">
        <v>351.5</v>
      </c>
      <c r="Q10" s="103">
        <v>406.32</v>
      </c>
      <c r="R10" s="103">
        <f t="shared" si="2"/>
        <v>197.1705</v>
      </c>
      <c r="S10" s="101" t="s">
        <v>37</v>
      </c>
      <c r="T10" s="102">
        <v>1712</v>
      </c>
      <c r="U10" s="104">
        <f t="shared" si="3"/>
        <v>603.4905</v>
      </c>
      <c r="V10" s="101"/>
      <c r="W10" s="102"/>
      <c r="X10" s="104"/>
      <c r="Y10" s="104">
        <f t="shared" si="4"/>
        <v>7729.2105000000001</v>
      </c>
      <c r="Z10" s="101" t="s">
        <v>39</v>
      </c>
      <c r="AA10" s="102">
        <v>1431</v>
      </c>
      <c r="AB10" s="104">
        <f t="shared" si="5"/>
        <v>624.3732500000001</v>
      </c>
      <c r="AC10" s="101" t="s">
        <v>39</v>
      </c>
      <c r="AD10" s="105" t="s">
        <v>40</v>
      </c>
      <c r="AE10" s="103">
        <v>2108</v>
      </c>
      <c r="AF10" s="101" t="s">
        <v>39</v>
      </c>
      <c r="AG10" s="105" t="s">
        <v>41</v>
      </c>
      <c r="AH10" s="103">
        <f t="shared" si="6"/>
        <v>1103.77</v>
      </c>
      <c r="AI10" s="101" t="s">
        <v>39</v>
      </c>
      <c r="AJ10" s="105" t="s">
        <v>42</v>
      </c>
      <c r="AK10" s="103">
        <f t="shared" si="7"/>
        <v>65.723500000000001</v>
      </c>
      <c r="AL10" s="101" t="s">
        <v>39</v>
      </c>
      <c r="AM10" s="105" t="s">
        <v>43</v>
      </c>
      <c r="AN10" s="103">
        <v>0</v>
      </c>
      <c r="AO10" s="101" t="s">
        <v>39</v>
      </c>
      <c r="AP10" s="105">
        <v>1431</v>
      </c>
      <c r="AQ10" s="103">
        <v>0</v>
      </c>
      <c r="AR10" s="104">
        <f t="shared" si="8"/>
        <v>3901.8667500000001</v>
      </c>
      <c r="AS10" s="106">
        <f t="shared" si="9"/>
        <v>3827.34375</v>
      </c>
      <c r="AT10" s="113"/>
      <c r="AU10" s="108"/>
      <c r="AV10" s="109">
        <f t="shared" si="10"/>
        <v>15</v>
      </c>
      <c r="AW10" s="109">
        <f t="shared" si="11"/>
        <v>7729.2105000000001</v>
      </c>
      <c r="AX10" s="110">
        <f>IFERROR(+AW10/AV10,0)*AV10</f>
        <v>7729.2105000000001</v>
      </c>
      <c r="AY10" s="110">
        <f>IFERROR(+LOOKUP(AX10,[11]TARIFAS!$A$4:$B$14,[11]TARIFAS!$A$4:$A$14),0)</f>
        <v>5081.41</v>
      </c>
      <c r="AZ10" s="110">
        <f t="shared" si="13"/>
        <v>2647.8005000000003</v>
      </c>
      <c r="BA10" s="110">
        <f>IFERROR(+LOOKUP(AX10,[11]TARIFAS!$A$4:$B$14,[11]TARIFAS!$D$4:$D$14),0)</f>
        <v>21.36</v>
      </c>
      <c r="BB10" s="110">
        <f t="shared" si="14"/>
        <v>565.57018679999999</v>
      </c>
      <c r="BC10" s="110">
        <f>IFERROR(+LOOKUP(AX10,[11]TARIFAS!$A$4:$B$14,[11]TARIFAS!$C$4:$C$14),0)</f>
        <v>538.20000000000005</v>
      </c>
      <c r="BD10" s="110">
        <f t="shared" si="15"/>
        <v>1103.77</v>
      </c>
      <c r="BE10" s="110"/>
      <c r="BF10" s="110"/>
      <c r="BG10" s="110"/>
      <c r="BH10" s="109"/>
    </row>
    <row r="11" spans="1:61" s="111" customFormat="1" ht="30" customHeight="1" x14ac:dyDescent="0.2">
      <c r="A11" s="97" t="str">
        <f t="shared" si="1"/>
        <v>SEI 013</v>
      </c>
      <c r="B11" s="97" t="s">
        <v>32</v>
      </c>
      <c r="C11" s="112" t="s">
        <v>58</v>
      </c>
      <c r="D11" s="100" t="s">
        <v>59</v>
      </c>
      <c r="E11" s="101" t="s">
        <v>37</v>
      </c>
      <c r="F11" s="101" t="s">
        <v>38</v>
      </c>
      <c r="G11" s="101">
        <v>15</v>
      </c>
      <c r="H11" s="101">
        <v>325.036</v>
      </c>
      <c r="I11" s="160" t="s">
        <v>149</v>
      </c>
      <c r="J11" s="101">
        <v>5063.04</v>
      </c>
      <c r="K11" s="101" t="s">
        <v>37</v>
      </c>
      <c r="L11" s="102">
        <v>1311</v>
      </c>
      <c r="M11" s="103">
        <v>235.51499999999999</v>
      </c>
      <c r="N11" s="101" t="s">
        <v>37</v>
      </c>
      <c r="O11" s="102">
        <v>1713</v>
      </c>
      <c r="P11" s="101">
        <v>207.91</v>
      </c>
      <c r="Q11" s="103">
        <v>371.02</v>
      </c>
      <c r="R11" s="103">
        <f t="shared" si="2"/>
        <v>151.8912</v>
      </c>
      <c r="S11" s="101" t="s">
        <v>37</v>
      </c>
      <c r="T11" s="102">
        <v>1712</v>
      </c>
      <c r="U11" s="104">
        <f t="shared" si="3"/>
        <v>522.91120000000001</v>
      </c>
      <c r="V11" s="101"/>
      <c r="W11" s="102"/>
      <c r="X11" s="104"/>
      <c r="Y11" s="104">
        <f t="shared" si="4"/>
        <v>6029.3762000000006</v>
      </c>
      <c r="Z11" s="101" t="s">
        <v>39</v>
      </c>
      <c r="AA11" s="102">
        <v>1431</v>
      </c>
      <c r="AB11" s="104">
        <f t="shared" si="5"/>
        <v>480.98880000000003</v>
      </c>
      <c r="AC11" s="101" t="s">
        <v>39</v>
      </c>
      <c r="AD11" s="105" t="s">
        <v>40</v>
      </c>
      <c r="AE11" s="103">
        <v>0</v>
      </c>
      <c r="AF11" s="101" t="s">
        <v>39</v>
      </c>
      <c r="AG11" s="105" t="s">
        <v>41</v>
      </c>
      <c r="AH11" s="103">
        <f t="shared" si="6"/>
        <v>740.69</v>
      </c>
      <c r="AI11" s="101" t="s">
        <v>39</v>
      </c>
      <c r="AJ11" s="105" t="s">
        <v>42</v>
      </c>
      <c r="AK11" s="103">
        <v>0</v>
      </c>
      <c r="AL11" s="101" t="s">
        <v>39</v>
      </c>
      <c r="AM11" s="105" t="s">
        <v>43</v>
      </c>
      <c r="AN11" s="103">
        <v>0</v>
      </c>
      <c r="AO11" s="101" t="s">
        <v>39</v>
      </c>
      <c r="AP11" s="105">
        <v>1431</v>
      </c>
      <c r="AQ11" s="103">
        <v>0</v>
      </c>
      <c r="AR11" s="104">
        <f t="shared" si="8"/>
        <v>1221.6788000000001</v>
      </c>
      <c r="AS11" s="106">
        <f t="shared" si="9"/>
        <v>4807.6974000000009</v>
      </c>
      <c r="AT11" s="113"/>
      <c r="AU11" s="108"/>
      <c r="AV11" s="109">
        <f t="shared" si="10"/>
        <v>15</v>
      </c>
      <c r="AW11" s="109">
        <f t="shared" si="11"/>
        <v>6029.3762000000006</v>
      </c>
      <c r="AX11" s="110">
        <f t="shared" si="12"/>
        <v>6029.3762000000006</v>
      </c>
      <c r="AY11" s="110">
        <f>IFERROR(+LOOKUP(AX11,[11]TARIFAS!$A$4:$B$14,[11]TARIFAS!$A$4:$A$14),0)</f>
        <v>5081.41</v>
      </c>
      <c r="AZ11" s="110">
        <f t="shared" si="13"/>
        <v>947.96620000000075</v>
      </c>
      <c r="BA11" s="110">
        <f>IFERROR(+LOOKUP(AX11,[11]TARIFAS!$A$4:$B$14,[11]TARIFAS!$D$4:$D$14),0)</f>
        <v>21.36</v>
      </c>
      <c r="BB11" s="110">
        <f t="shared" si="14"/>
        <v>202.48558032000017</v>
      </c>
      <c r="BC11" s="110">
        <f>IFERROR(+LOOKUP(AX11,[11]TARIFAS!$A$4:$B$14,[11]TARIFAS!$C$4:$C$14),0)</f>
        <v>538.20000000000005</v>
      </c>
      <c r="BD11" s="110">
        <f t="shared" si="15"/>
        <v>740.69</v>
      </c>
      <c r="BE11" s="110"/>
      <c r="BF11" s="110"/>
      <c r="BG11" s="110"/>
      <c r="BH11" s="109"/>
    </row>
    <row r="12" spans="1:61" s="111" customFormat="1" ht="30" customHeight="1" x14ac:dyDescent="0.2">
      <c r="A12" s="97" t="str">
        <f t="shared" si="1"/>
        <v>SEI 016</v>
      </c>
      <c r="B12" s="97" t="s">
        <v>32</v>
      </c>
      <c r="C12" s="112" t="s">
        <v>61</v>
      </c>
      <c r="D12" s="100" t="s">
        <v>62</v>
      </c>
      <c r="E12" s="101" t="s">
        <v>37</v>
      </c>
      <c r="F12" s="101" t="s">
        <v>38</v>
      </c>
      <c r="G12" s="101">
        <v>15</v>
      </c>
      <c r="H12" s="101">
        <v>325.036</v>
      </c>
      <c r="I12" s="160" t="s">
        <v>149</v>
      </c>
      <c r="J12" s="101">
        <v>5063.04</v>
      </c>
      <c r="K12" s="101" t="s">
        <v>37</v>
      </c>
      <c r="L12" s="102">
        <v>1311</v>
      </c>
      <c r="M12" s="103">
        <v>201.87</v>
      </c>
      <c r="N12" s="101" t="s">
        <v>37</v>
      </c>
      <c r="O12" s="102">
        <v>1713</v>
      </c>
      <c r="P12" s="101">
        <v>207.91</v>
      </c>
      <c r="Q12" s="103">
        <v>371.02</v>
      </c>
      <c r="R12" s="103">
        <f t="shared" si="2"/>
        <v>151.8912</v>
      </c>
      <c r="S12" s="101" t="s">
        <v>37</v>
      </c>
      <c r="T12" s="102">
        <v>1712</v>
      </c>
      <c r="U12" s="104">
        <f t="shared" si="3"/>
        <v>522.91120000000001</v>
      </c>
      <c r="V12" s="101"/>
      <c r="W12" s="102"/>
      <c r="X12" s="104"/>
      <c r="Y12" s="104">
        <f t="shared" si="4"/>
        <v>5995.7312000000002</v>
      </c>
      <c r="Z12" s="101" t="s">
        <v>39</v>
      </c>
      <c r="AA12" s="102">
        <v>1431</v>
      </c>
      <c r="AB12" s="104">
        <f t="shared" si="5"/>
        <v>480.98880000000003</v>
      </c>
      <c r="AC12" s="101" t="s">
        <v>39</v>
      </c>
      <c r="AD12" s="105" t="s">
        <v>40</v>
      </c>
      <c r="AE12" s="103">
        <v>0</v>
      </c>
      <c r="AF12" s="101" t="s">
        <v>39</v>
      </c>
      <c r="AG12" s="105" t="s">
        <v>41</v>
      </c>
      <c r="AH12" s="103">
        <f t="shared" si="6"/>
        <v>733.5</v>
      </c>
      <c r="AI12" s="101" t="s">
        <v>39</v>
      </c>
      <c r="AJ12" s="105" t="s">
        <v>42</v>
      </c>
      <c r="AK12" s="103">
        <v>0</v>
      </c>
      <c r="AL12" s="101" t="s">
        <v>39</v>
      </c>
      <c r="AM12" s="105" t="s">
        <v>43</v>
      </c>
      <c r="AN12" s="103">
        <v>0</v>
      </c>
      <c r="AO12" s="101" t="s">
        <v>39</v>
      </c>
      <c r="AP12" s="105">
        <v>1431</v>
      </c>
      <c r="AQ12" s="103">
        <v>0</v>
      </c>
      <c r="AR12" s="104">
        <f t="shared" si="8"/>
        <v>1214.4888000000001</v>
      </c>
      <c r="AS12" s="106">
        <f t="shared" si="9"/>
        <v>4781.2424000000001</v>
      </c>
      <c r="AT12" s="113"/>
      <c r="AU12" s="108"/>
      <c r="AV12" s="109">
        <f t="shared" si="10"/>
        <v>15</v>
      </c>
      <c r="AW12" s="109">
        <f t="shared" si="11"/>
        <v>5995.7312000000002</v>
      </c>
      <c r="AX12" s="110">
        <f t="shared" si="12"/>
        <v>5995.7312000000002</v>
      </c>
      <c r="AY12" s="110">
        <f>IFERROR(+LOOKUP(AX12,[11]TARIFAS!$A$4:$B$14,[11]TARIFAS!$A$4:$A$14),0)</f>
        <v>5081.41</v>
      </c>
      <c r="AZ12" s="110">
        <f t="shared" si="13"/>
        <v>914.32120000000032</v>
      </c>
      <c r="BA12" s="110">
        <f>IFERROR(+LOOKUP(AX12,[11]TARIFAS!$A$4:$B$14,[11]TARIFAS!$D$4:$D$14),0)</f>
        <v>21.36</v>
      </c>
      <c r="BB12" s="110">
        <f t="shared" si="14"/>
        <v>195.29900832000007</v>
      </c>
      <c r="BC12" s="110">
        <f>IFERROR(+LOOKUP(AX12,[11]TARIFAS!$A$4:$B$14,[11]TARIFAS!$C$4:$C$14),0)</f>
        <v>538.20000000000005</v>
      </c>
      <c r="BD12" s="110">
        <f t="shared" si="15"/>
        <v>733.5</v>
      </c>
      <c r="BE12" s="110"/>
      <c r="BF12" s="110"/>
      <c r="BG12" s="110"/>
      <c r="BH12" s="109"/>
    </row>
    <row r="13" spans="1:61" s="111" customFormat="1" ht="30" customHeight="1" x14ac:dyDescent="0.2">
      <c r="A13" s="97" t="str">
        <f t="shared" si="1"/>
        <v>SEI 017</v>
      </c>
      <c r="B13" s="97" t="s">
        <v>32</v>
      </c>
      <c r="C13" s="112" t="s">
        <v>63</v>
      </c>
      <c r="D13" s="100" t="s">
        <v>64</v>
      </c>
      <c r="E13" s="101" t="s">
        <v>37</v>
      </c>
      <c r="F13" s="101" t="s">
        <v>38</v>
      </c>
      <c r="G13" s="101">
        <v>15</v>
      </c>
      <c r="H13" s="101">
        <v>421.49</v>
      </c>
      <c r="I13" s="160" t="s">
        <v>149</v>
      </c>
      <c r="J13" s="101">
        <v>6572.35</v>
      </c>
      <c r="K13" s="101" t="s">
        <v>37</v>
      </c>
      <c r="L13" s="102">
        <v>1311</v>
      </c>
      <c r="M13" s="103">
        <v>235.51499999999999</v>
      </c>
      <c r="N13" s="101" t="s">
        <v>37</v>
      </c>
      <c r="O13" s="102">
        <v>1713</v>
      </c>
      <c r="P13" s="101">
        <v>351.5</v>
      </c>
      <c r="Q13" s="103">
        <v>406.32</v>
      </c>
      <c r="R13" s="103">
        <f t="shared" si="2"/>
        <v>197.1705</v>
      </c>
      <c r="S13" s="101" t="s">
        <v>37</v>
      </c>
      <c r="T13" s="102">
        <v>1712</v>
      </c>
      <c r="U13" s="104">
        <f t="shared" si="3"/>
        <v>603.4905</v>
      </c>
      <c r="V13" s="101"/>
      <c r="W13" s="102"/>
      <c r="X13" s="104"/>
      <c r="Y13" s="104">
        <f t="shared" si="4"/>
        <v>7762.8555000000006</v>
      </c>
      <c r="Z13" s="101" t="s">
        <v>39</v>
      </c>
      <c r="AA13" s="102">
        <v>1431</v>
      </c>
      <c r="AB13" s="104">
        <f t="shared" si="5"/>
        <v>624.3732500000001</v>
      </c>
      <c r="AC13" s="101" t="s">
        <v>39</v>
      </c>
      <c r="AD13" s="105" t="s">
        <v>40</v>
      </c>
      <c r="AE13" s="103">
        <v>0</v>
      </c>
      <c r="AF13" s="101" t="s">
        <v>39</v>
      </c>
      <c r="AG13" s="105" t="s">
        <v>41</v>
      </c>
      <c r="AH13" s="103">
        <f t="shared" si="6"/>
        <v>1110.96</v>
      </c>
      <c r="AI13" s="101" t="s">
        <v>39</v>
      </c>
      <c r="AJ13" s="105" t="s">
        <v>42</v>
      </c>
      <c r="AK13" s="103">
        <v>0</v>
      </c>
      <c r="AL13" s="101" t="s">
        <v>39</v>
      </c>
      <c r="AM13" s="105" t="s">
        <v>43</v>
      </c>
      <c r="AN13" s="103">
        <v>0</v>
      </c>
      <c r="AO13" s="101" t="s">
        <v>39</v>
      </c>
      <c r="AP13" s="105">
        <v>1431</v>
      </c>
      <c r="AQ13" s="103">
        <v>0</v>
      </c>
      <c r="AR13" s="104">
        <f t="shared" si="8"/>
        <v>1735.3332500000001</v>
      </c>
      <c r="AS13" s="106">
        <f t="shared" si="9"/>
        <v>6027.52225</v>
      </c>
      <c r="AT13" s="113"/>
      <c r="AU13" s="108"/>
      <c r="AV13" s="109">
        <f t="shared" si="10"/>
        <v>15</v>
      </c>
      <c r="AW13" s="109">
        <f t="shared" si="11"/>
        <v>7762.8555000000006</v>
      </c>
      <c r="AX13" s="110">
        <f t="shared" si="12"/>
        <v>7762.8555000000015</v>
      </c>
      <c r="AY13" s="110">
        <f>IFERROR(+LOOKUP(AX13,[11]TARIFAS!$A$4:$B$14,[11]TARIFAS!$A$4:$A$14),0)</f>
        <v>5081.41</v>
      </c>
      <c r="AZ13" s="110">
        <f t="shared" si="13"/>
        <v>2681.4455000000016</v>
      </c>
      <c r="BA13" s="110">
        <f>IFERROR(+LOOKUP(AX13,[11]TARIFAS!$A$4:$B$14,[11]TARIFAS!$D$4:$D$14),0)</f>
        <v>21.36</v>
      </c>
      <c r="BB13" s="110">
        <f t="shared" si="14"/>
        <v>572.75675880000028</v>
      </c>
      <c r="BC13" s="110">
        <f>IFERROR(+LOOKUP(AX13,[11]TARIFAS!$A$4:$B$14,[11]TARIFAS!$C$4:$C$14),0)</f>
        <v>538.20000000000005</v>
      </c>
      <c r="BD13" s="110">
        <f t="shared" si="15"/>
        <v>1110.96</v>
      </c>
      <c r="BE13" s="110"/>
      <c r="BF13" s="110"/>
      <c r="BG13" s="110"/>
      <c r="BH13" s="109"/>
    </row>
    <row r="14" spans="1:61" s="111" customFormat="1" ht="30" customHeight="1" x14ac:dyDescent="0.2">
      <c r="A14" s="97" t="str">
        <f t="shared" si="1"/>
        <v>SEI 030</v>
      </c>
      <c r="B14" s="97" t="s">
        <v>32</v>
      </c>
      <c r="C14" s="112" t="s">
        <v>65</v>
      </c>
      <c r="D14" s="100" t="s">
        <v>66</v>
      </c>
      <c r="E14" s="101" t="s">
        <v>37</v>
      </c>
      <c r="F14" s="101" t="s">
        <v>38</v>
      </c>
      <c r="G14" s="101">
        <v>15</v>
      </c>
      <c r="H14" s="101">
        <v>1029.4333333333334</v>
      </c>
      <c r="I14" s="160" t="s">
        <v>147</v>
      </c>
      <c r="J14" s="101">
        <v>15441.5</v>
      </c>
      <c r="K14" s="101" t="s">
        <v>37</v>
      </c>
      <c r="L14" s="102">
        <v>1311</v>
      </c>
      <c r="M14" s="103">
        <v>0</v>
      </c>
      <c r="N14" s="101" t="s">
        <v>37</v>
      </c>
      <c r="O14" s="102">
        <v>1713</v>
      </c>
      <c r="P14" s="103">
        <v>566.5</v>
      </c>
      <c r="Q14" s="103">
        <v>835.5</v>
      </c>
      <c r="R14" s="103">
        <f t="shared" si="2"/>
        <v>463.245</v>
      </c>
      <c r="S14" s="101" t="s">
        <v>37</v>
      </c>
      <c r="T14" s="102">
        <v>1712</v>
      </c>
      <c r="U14" s="104">
        <f t="shared" si="3"/>
        <v>1298.7449999999999</v>
      </c>
      <c r="V14" s="101"/>
      <c r="W14" s="102"/>
      <c r="X14" s="104"/>
      <c r="Y14" s="104">
        <f t="shared" si="4"/>
        <v>17306.744999999999</v>
      </c>
      <c r="Z14" s="101" t="s">
        <v>39</v>
      </c>
      <c r="AA14" s="102">
        <v>1431</v>
      </c>
      <c r="AB14" s="104">
        <f t="shared" si="5"/>
        <v>1466.9425000000001</v>
      </c>
      <c r="AC14" s="101" t="s">
        <v>39</v>
      </c>
      <c r="AD14" s="105" t="s">
        <v>40</v>
      </c>
      <c r="AE14" s="103">
        <v>0</v>
      </c>
      <c r="AF14" s="101" t="s">
        <v>39</v>
      </c>
      <c r="AG14" s="105" t="s">
        <v>41</v>
      </c>
      <c r="AH14" s="103">
        <f t="shared" si="6"/>
        <v>3376.71</v>
      </c>
      <c r="AI14" s="101" t="s">
        <v>39</v>
      </c>
      <c r="AJ14" s="105" t="s">
        <v>42</v>
      </c>
      <c r="AK14" s="103">
        <v>0</v>
      </c>
      <c r="AL14" s="101" t="s">
        <v>39</v>
      </c>
      <c r="AM14" s="105" t="s">
        <v>43</v>
      </c>
      <c r="AN14" s="103">
        <v>0</v>
      </c>
      <c r="AO14" s="101" t="s">
        <v>39</v>
      </c>
      <c r="AP14" s="105">
        <v>1431</v>
      </c>
      <c r="AQ14" s="103">
        <v>0</v>
      </c>
      <c r="AR14" s="104">
        <f t="shared" si="8"/>
        <v>4843.6525000000001</v>
      </c>
      <c r="AS14" s="106">
        <f t="shared" si="9"/>
        <v>12463.092499999999</v>
      </c>
      <c r="AT14" s="113"/>
      <c r="AU14" s="108"/>
      <c r="AV14" s="109">
        <f t="shared" si="10"/>
        <v>15</v>
      </c>
      <c r="AW14" s="109">
        <f t="shared" si="11"/>
        <v>17306.745000000003</v>
      </c>
      <c r="AX14" s="110">
        <f t="shared" si="12"/>
        <v>17306.745000000003</v>
      </c>
      <c r="AY14" s="110">
        <f>IFERROR(+LOOKUP(AX14,[11]TARIFAS!$A$4:$B$14,[11]TARIFAS!$A$4:$A$14),0)</f>
        <v>16153.06</v>
      </c>
      <c r="AZ14" s="110">
        <f t="shared" si="13"/>
        <v>1153.6850000000031</v>
      </c>
      <c r="BA14" s="110">
        <f>IFERROR(+LOOKUP(AX14,[11]TARIFAS!$A$4:$B$14,[11]TARIFAS!$D$4:$D$14),0)</f>
        <v>30</v>
      </c>
      <c r="BB14" s="110">
        <f t="shared" si="14"/>
        <v>346.10550000000092</v>
      </c>
      <c r="BC14" s="110">
        <f>IFERROR(+LOOKUP(AX14,[11]TARIFAS!$A$4:$B$14,[11]TARIFAS!$C$4:$C$14),0)</f>
        <v>3030.6</v>
      </c>
      <c r="BD14" s="110">
        <f t="shared" si="15"/>
        <v>3376.71</v>
      </c>
      <c r="BE14" s="110"/>
      <c r="BF14" s="110"/>
      <c r="BG14" s="110"/>
      <c r="BH14" s="109"/>
    </row>
    <row r="15" spans="1:61" s="111" customFormat="1" ht="30" customHeight="1" x14ac:dyDescent="0.2">
      <c r="A15" s="97" t="str">
        <f t="shared" si="1"/>
        <v>SEI 034</v>
      </c>
      <c r="B15" s="97" t="s">
        <v>32</v>
      </c>
      <c r="C15" s="112" t="s">
        <v>68</v>
      </c>
      <c r="D15" s="114" t="s">
        <v>69</v>
      </c>
      <c r="E15" s="101" t="s">
        <v>37</v>
      </c>
      <c r="F15" s="101" t="s">
        <v>38</v>
      </c>
      <c r="G15" s="101">
        <v>15</v>
      </c>
      <c r="H15" s="101">
        <v>325.036</v>
      </c>
      <c r="I15" s="160" t="s">
        <v>147</v>
      </c>
      <c r="J15" s="101">
        <v>5063.04</v>
      </c>
      <c r="K15" s="101" t="s">
        <v>37</v>
      </c>
      <c r="L15" s="102">
        <v>1311</v>
      </c>
      <c r="M15" s="115">
        <v>100.935</v>
      </c>
      <c r="N15" s="101" t="s">
        <v>37</v>
      </c>
      <c r="O15" s="102">
        <v>1713</v>
      </c>
      <c r="P15" s="116">
        <v>207.91</v>
      </c>
      <c r="Q15" s="115">
        <v>371.02</v>
      </c>
      <c r="R15" s="103">
        <f t="shared" si="2"/>
        <v>151.8912</v>
      </c>
      <c r="S15" s="101" t="s">
        <v>37</v>
      </c>
      <c r="T15" s="102">
        <v>1712</v>
      </c>
      <c r="U15" s="104">
        <f t="shared" si="3"/>
        <v>522.91120000000001</v>
      </c>
      <c r="V15" s="101"/>
      <c r="W15" s="102"/>
      <c r="X15" s="104"/>
      <c r="Y15" s="104">
        <f t="shared" si="4"/>
        <v>5894.7962000000007</v>
      </c>
      <c r="Z15" s="101" t="s">
        <v>39</v>
      </c>
      <c r="AA15" s="102">
        <v>1431</v>
      </c>
      <c r="AB15" s="104">
        <f t="shared" si="5"/>
        <v>480.98880000000003</v>
      </c>
      <c r="AC15" s="101" t="s">
        <v>39</v>
      </c>
      <c r="AD15" s="105" t="s">
        <v>40</v>
      </c>
      <c r="AE15" s="115">
        <v>0</v>
      </c>
      <c r="AF15" s="101" t="s">
        <v>39</v>
      </c>
      <c r="AG15" s="105" t="s">
        <v>41</v>
      </c>
      <c r="AH15" s="103">
        <f t="shared" si="6"/>
        <v>711.94</v>
      </c>
      <c r="AI15" s="101" t="s">
        <v>39</v>
      </c>
      <c r="AJ15" s="105" t="s">
        <v>42</v>
      </c>
      <c r="AK15" s="103">
        <f t="shared" ref="AK15:AK20" si="16">(J15*1%)</f>
        <v>50.630400000000002</v>
      </c>
      <c r="AL15" s="101" t="s">
        <v>39</v>
      </c>
      <c r="AM15" s="105" t="s">
        <v>43</v>
      </c>
      <c r="AN15" s="115">
        <v>0</v>
      </c>
      <c r="AO15" s="101" t="s">
        <v>39</v>
      </c>
      <c r="AP15" s="105">
        <v>1431</v>
      </c>
      <c r="AQ15" s="103">
        <v>0</v>
      </c>
      <c r="AR15" s="104">
        <f t="shared" si="8"/>
        <v>1243.5592000000001</v>
      </c>
      <c r="AS15" s="106">
        <f t="shared" si="9"/>
        <v>4651.237000000001</v>
      </c>
      <c r="AT15" s="117"/>
      <c r="AU15" s="108"/>
      <c r="AV15" s="109">
        <f t="shared" si="10"/>
        <v>15</v>
      </c>
      <c r="AW15" s="109">
        <f t="shared" si="11"/>
        <v>5894.7962000000007</v>
      </c>
      <c r="AX15" s="110">
        <f t="shared" si="12"/>
        <v>5894.7962000000007</v>
      </c>
      <c r="AY15" s="110">
        <f>IFERROR(+LOOKUP(AX15,[11]TARIFAS!$A$4:$B$14,[11]TARIFAS!$A$4:$A$14),0)</f>
        <v>5081.41</v>
      </c>
      <c r="AZ15" s="110">
        <f t="shared" si="13"/>
        <v>813.38620000000083</v>
      </c>
      <c r="BA15" s="110">
        <f>IFERROR(+LOOKUP(AX15,[11]TARIFAS!$A$4:$B$14,[11]TARIFAS!$D$4:$D$14),0)</f>
        <v>21.36</v>
      </c>
      <c r="BB15" s="110">
        <f t="shared" si="14"/>
        <v>173.73929232000017</v>
      </c>
      <c r="BC15" s="110">
        <f>IFERROR(+LOOKUP(AX15,[11]TARIFAS!$A$4:$B$14,[11]TARIFAS!$C$4:$C$14),0)</f>
        <v>538.20000000000005</v>
      </c>
      <c r="BD15" s="110">
        <f t="shared" si="15"/>
        <v>711.94</v>
      </c>
      <c r="BE15" s="110"/>
      <c r="BF15" s="110"/>
      <c r="BG15" s="110"/>
      <c r="BH15" s="109"/>
    </row>
    <row r="16" spans="1:61" s="111" customFormat="1" ht="30" customHeight="1" x14ac:dyDescent="0.2">
      <c r="A16" s="97" t="str">
        <f t="shared" si="1"/>
        <v>SEI 040</v>
      </c>
      <c r="B16" s="97" t="s">
        <v>32</v>
      </c>
      <c r="C16" s="112" t="s">
        <v>70</v>
      </c>
      <c r="D16" s="100" t="s">
        <v>71</v>
      </c>
      <c r="E16" s="101" t="s">
        <v>37</v>
      </c>
      <c r="F16" s="101" t="s">
        <v>38</v>
      </c>
      <c r="G16" s="101">
        <v>15</v>
      </c>
      <c r="H16" s="101">
        <v>421.49</v>
      </c>
      <c r="I16" s="160" t="s">
        <v>147</v>
      </c>
      <c r="J16" s="101">
        <v>6572.35</v>
      </c>
      <c r="K16" s="101" t="s">
        <v>37</v>
      </c>
      <c r="L16" s="102">
        <v>1311</v>
      </c>
      <c r="M16" s="103">
        <v>100.935</v>
      </c>
      <c r="N16" s="101" t="s">
        <v>37</v>
      </c>
      <c r="O16" s="102">
        <v>1713</v>
      </c>
      <c r="P16" s="101">
        <v>351.5</v>
      </c>
      <c r="Q16" s="103">
        <v>406.32</v>
      </c>
      <c r="R16" s="103">
        <f t="shared" si="2"/>
        <v>197.1705</v>
      </c>
      <c r="S16" s="101" t="s">
        <v>37</v>
      </c>
      <c r="T16" s="102">
        <v>1712</v>
      </c>
      <c r="U16" s="104">
        <f t="shared" si="3"/>
        <v>603.4905</v>
      </c>
      <c r="V16" s="101"/>
      <c r="W16" s="102"/>
      <c r="X16" s="104"/>
      <c r="Y16" s="104">
        <f t="shared" si="4"/>
        <v>7628.2755000000006</v>
      </c>
      <c r="Z16" s="101" t="s">
        <v>39</v>
      </c>
      <c r="AA16" s="102">
        <v>1431</v>
      </c>
      <c r="AB16" s="104">
        <f t="shared" si="5"/>
        <v>624.3732500000001</v>
      </c>
      <c r="AC16" s="101" t="s">
        <v>39</v>
      </c>
      <c r="AD16" s="105" t="s">
        <v>40</v>
      </c>
      <c r="AE16" s="103">
        <v>411</v>
      </c>
      <c r="AF16" s="101" t="s">
        <v>39</v>
      </c>
      <c r="AG16" s="105" t="s">
        <v>41</v>
      </c>
      <c r="AH16" s="103">
        <f t="shared" si="6"/>
        <v>1082.21</v>
      </c>
      <c r="AI16" s="101" t="s">
        <v>39</v>
      </c>
      <c r="AJ16" s="105" t="s">
        <v>42</v>
      </c>
      <c r="AK16" s="103">
        <f t="shared" si="16"/>
        <v>65.723500000000001</v>
      </c>
      <c r="AL16" s="101" t="s">
        <v>39</v>
      </c>
      <c r="AM16" s="105" t="s">
        <v>43</v>
      </c>
      <c r="AN16" s="103">
        <v>0</v>
      </c>
      <c r="AO16" s="101" t="s">
        <v>39</v>
      </c>
      <c r="AP16" s="105">
        <v>1431</v>
      </c>
      <c r="AQ16" s="103">
        <v>0</v>
      </c>
      <c r="AR16" s="104">
        <f t="shared" si="8"/>
        <v>2183.3067500000002</v>
      </c>
      <c r="AS16" s="106">
        <f t="shared" si="9"/>
        <v>5444.96875</v>
      </c>
      <c r="AT16" s="113"/>
      <c r="AU16" s="108"/>
      <c r="AV16" s="109">
        <f t="shared" si="10"/>
        <v>15</v>
      </c>
      <c r="AW16" s="109">
        <f t="shared" si="11"/>
        <v>7628.2755000000006</v>
      </c>
      <c r="AX16" s="110">
        <f t="shared" si="12"/>
        <v>7628.2755000000006</v>
      </c>
      <c r="AY16" s="110">
        <f>IFERROR(+LOOKUP(AX16,[11]TARIFAS!$A$4:$B$14,[11]TARIFAS!$A$4:$A$14),0)</f>
        <v>5081.41</v>
      </c>
      <c r="AZ16" s="110">
        <f t="shared" si="13"/>
        <v>2546.8655000000008</v>
      </c>
      <c r="BA16" s="110">
        <f>IFERROR(+LOOKUP(AX16,[11]TARIFAS!$A$4:$B$14,[11]TARIFAS!$D$4:$D$14),0)</f>
        <v>21.36</v>
      </c>
      <c r="BB16" s="110">
        <f t="shared" si="14"/>
        <v>544.01047080000023</v>
      </c>
      <c r="BC16" s="110">
        <f>IFERROR(+LOOKUP(AX16,[11]TARIFAS!$A$4:$B$14,[11]TARIFAS!$C$4:$C$14),0)</f>
        <v>538.20000000000005</v>
      </c>
      <c r="BD16" s="110">
        <f t="shared" si="15"/>
        <v>1082.21</v>
      </c>
      <c r="BE16" s="110"/>
      <c r="BF16" s="110"/>
      <c r="BG16" s="110"/>
      <c r="BH16" s="109"/>
    </row>
    <row r="17" spans="1:61" s="111" customFormat="1" ht="30" customHeight="1" x14ac:dyDescent="0.2">
      <c r="A17" s="97" t="str">
        <f t="shared" si="1"/>
        <v>SEI 048</v>
      </c>
      <c r="B17" s="97" t="s">
        <v>32</v>
      </c>
      <c r="C17" s="112" t="s">
        <v>72</v>
      </c>
      <c r="D17" s="118" t="s">
        <v>73</v>
      </c>
      <c r="E17" s="101" t="s">
        <v>37</v>
      </c>
      <c r="F17" s="101" t="s">
        <v>38</v>
      </c>
      <c r="G17" s="101">
        <v>15</v>
      </c>
      <c r="H17" s="101">
        <v>421.49</v>
      </c>
      <c r="I17" s="160" t="s">
        <v>149</v>
      </c>
      <c r="J17" s="101">
        <v>4732.12</v>
      </c>
      <c r="K17" s="101" t="s">
        <v>37</v>
      </c>
      <c r="L17" s="102">
        <v>1311</v>
      </c>
      <c r="M17" s="103">
        <v>72.739999999999995</v>
      </c>
      <c r="N17" s="101" t="s">
        <v>37</v>
      </c>
      <c r="O17" s="102">
        <v>1713</v>
      </c>
      <c r="P17" s="101">
        <v>253.1</v>
      </c>
      <c r="Q17" s="103">
        <v>292.58999999999997</v>
      </c>
      <c r="R17" s="103">
        <f t="shared" si="2"/>
        <v>141.96359999999999</v>
      </c>
      <c r="S17" s="101" t="s">
        <v>37</v>
      </c>
      <c r="T17" s="102">
        <v>1712</v>
      </c>
      <c r="U17" s="104">
        <f t="shared" si="3"/>
        <v>434.55359999999996</v>
      </c>
      <c r="V17" s="101"/>
      <c r="W17" s="102"/>
      <c r="X17" s="104"/>
      <c r="Y17" s="104">
        <f t="shared" si="4"/>
        <v>5492.5136000000002</v>
      </c>
      <c r="Z17" s="101" t="s">
        <v>39</v>
      </c>
      <c r="AA17" s="102">
        <v>1431</v>
      </c>
      <c r="AB17" s="104">
        <f t="shared" si="5"/>
        <v>449.5514</v>
      </c>
      <c r="AC17" s="101" t="s">
        <v>39</v>
      </c>
      <c r="AD17" s="105" t="s">
        <v>40</v>
      </c>
      <c r="AE17" s="103">
        <v>0</v>
      </c>
      <c r="AF17" s="101" t="s">
        <v>39</v>
      </c>
      <c r="AG17" s="105" t="s">
        <v>41</v>
      </c>
      <c r="AH17" s="103">
        <f t="shared" si="6"/>
        <v>626.01</v>
      </c>
      <c r="AI17" s="101" t="s">
        <v>39</v>
      </c>
      <c r="AJ17" s="105" t="s">
        <v>42</v>
      </c>
      <c r="AK17" s="103">
        <f t="shared" si="16"/>
        <v>47.321199999999997</v>
      </c>
      <c r="AL17" s="101" t="s">
        <v>39</v>
      </c>
      <c r="AM17" s="105" t="s">
        <v>43</v>
      </c>
      <c r="AN17" s="103">
        <v>0</v>
      </c>
      <c r="AO17" s="101" t="s">
        <v>39</v>
      </c>
      <c r="AP17" s="105">
        <v>1431</v>
      </c>
      <c r="AQ17" s="103">
        <v>0</v>
      </c>
      <c r="AR17" s="104">
        <f t="shared" si="8"/>
        <v>1122.8826000000001</v>
      </c>
      <c r="AS17" s="106">
        <f t="shared" si="9"/>
        <v>4369.6310000000003</v>
      </c>
      <c r="AT17" s="113"/>
      <c r="AU17" s="108"/>
      <c r="AV17" s="109">
        <f t="shared" si="10"/>
        <v>15</v>
      </c>
      <c r="AW17" s="109">
        <f t="shared" si="11"/>
        <v>5492.5136000000002</v>
      </c>
      <c r="AX17" s="110">
        <f t="shared" si="12"/>
        <v>5492.5136000000002</v>
      </c>
      <c r="AY17" s="110">
        <f>IFERROR(+LOOKUP(AX17,[11]TARIFAS!$A$4:$B$14,[11]TARIFAS!$A$4:$A$14),0)</f>
        <v>5081.41</v>
      </c>
      <c r="AZ17" s="110">
        <f t="shared" si="13"/>
        <v>411.10360000000037</v>
      </c>
      <c r="BA17" s="110">
        <f>IFERROR(+LOOKUP(AX17,[11]TARIFAS!$A$4:$B$14,[11]TARIFAS!$D$4:$D$14),0)</f>
        <v>21.36</v>
      </c>
      <c r="BB17" s="110">
        <f t="shared" si="14"/>
        <v>87.811728960000067</v>
      </c>
      <c r="BC17" s="110">
        <f>IFERROR(+LOOKUP(AX17,[11]TARIFAS!$A$4:$B$14,[11]TARIFAS!$C$4:$C$14),0)</f>
        <v>538.20000000000005</v>
      </c>
      <c r="BD17" s="110">
        <f t="shared" si="15"/>
        <v>626.01</v>
      </c>
      <c r="BE17" s="110"/>
      <c r="BF17" s="110"/>
      <c r="BG17" s="110"/>
      <c r="BH17" s="109"/>
    </row>
    <row r="18" spans="1:61" s="111" customFormat="1" ht="30" customHeight="1" x14ac:dyDescent="0.2">
      <c r="A18" s="97" t="str">
        <f t="shared" si="1"/>
        <v>SEI 053</v>
      </c>
      <c r="B18" s="97" t="s">
        <v>32</v>
      </c>
      <c r="C18" s="112" t="s">
        <v>76</v>
      </c>
      <c r="D18" s="100" t="s">
        <v>77</v>
      </c>
      <c r="E18" s="101" t="s">
        <v>37</v>
      </c>
      <c r="F18" s="101" t="s">
        <v>38</v>
      </c>
      <c r="G18" s="101">
        <v>15</v>
      </c>
      <c r="H18" s="101">
        <v>504.21533333333332</v>
      </c>
      <c r="I18" s="160" t="s">
        <v>150</v>
      </c>
      <c r="J18" s="101">
        <v>7713.23</v>
      </c>
      <c r="K18" s="101" t="s">
        <v>37</v>
      </c>
      <c r="L18" s="102">
        <v>1311</v>
      </c>
      <c r="M18" s="103">
        <v>100.935</v>
      </c>
      <c r="N18" s="101" t="s">
        <v>37</v>
      </c>
      <c r="O18" s="102">
        <v>1713</v>
      </c>
      <c r="P18" s="103">
        <v>282.08999999999997</v>
      </c>
      <c r="Q18" s="103">
        <v>418.44</v>
      </c>
      <c r="R18" s="103">
        <f t="shared" si="2"/>
        <v>231.39689999999999</v>
      </c>
      <c r="S18" s="101" t="s">
        <v>37</v>
      </c>
      <c r="T18" s="102">
        <v>1712</v>
      </c>
      <c r="U18" s="104">
        <f t="shared" si="3"/>
        <v>649.83690000000001</v>
      </c>
      <c r="V18" s="101"/>
      <c r="W18" s="102"/>
      <c r="X18" s="104"/>
      <c r="Y18" s="104">
        <f t="shared" si="4"/>
        <v>8746.0918999999994</v>
      </c>
      <c r="Z18" s="101" t="s">
        <v>39</v>
      </c>
      <c r="AA18" s="102">
        <v>1431</v>
      </c>
      <c r="AB18" s="104">
        <f t="shared" si="5"/>
        <v>732.75684999999999</v>
      </c>
      <c r="AC18" s="101" t="s">
        <v>39</v>
      </c>
      <c r="AD18" s="105" t="s">
        <v>40</v>
      </c>
      <c r="AE18" s="104">
        <f>523.61+10.13+3666.74+151.2</f>
        <v>4351.6799999999994</v>
      </c>
      <c r="AF18" s="101" t="s">
        <v>39</v>
      </c>
      <c r="AG18" s="105" t="s">
        <v>41</v>
      </c>
      <c r="AH18" s="103">
        <f t="shared" si="6"/>
        <v>1320.98</v>
      </c>
      <c r="AI18" s="101" t="s">
        <v>39</v>
      </c>
      <c r="AJ18" s="105" t="s">
        <v>42</v>
      </c>
      <c r="AK18" s="103">
        <f t="shared" si="16"/>
        <v>77.132300000000001</v>
      </c>
      <c r="AL18" s="101" t="s">
        <v>39</v>
      </c>
      <c r="AM18" s="105" t="s">
        <v>43</v>
      </c>
      <c r="AN18" s="103">
        <v>0</v>
      </c>
      <c r="AO18" s="101" t="s">
        <v>39</v>
      </c>
      <c r="AP18" s="105">
        <v>1431</v>
      </c>
      <c r="AQ18" s="103">
        <v>0</v>
      </c>
      <c r="AR18" s="104">
        <f t="shared" si="8"/>
        <v>6482.5491499999998</v>
      </c>
      <c r="AS18" s="106">
        <f t="shared" si="9"/>
        <v>2263.5427499999996</v>
      </c>
      <c r="AT18" s="113"/>
      <c r="AU18" s="108"/>
      <c r="AV18" s="109">
        <f t="shared" si="10"/>
        <v>15</v>
      </c>
      <c r="AW18" s="109">
        <f t="shared" si="11"/>
        <v>8746.0918999999994</v>
      </c>
      <c r="AX18" s="110">
        <f t="shared" si="12"/>
        <v>8746.0918999999994</v>
      </c>
      <c r="AY18" s="110">
        <f>IFERROR(+LOOKUP(AX18,[11]TARIFAS!$A$4:$B$14,[11]TARIFAS!$A$4:$A$14),0)</f>
        <v>5081.41</v>
      </c>
      <c r="AZ18" s="110">
        <f t="shared" si="13"/>
        <v>3664.6818999999996</v>
      </c>
      <c r="BA18" s="110">
        <f>IFERROR(+LOOKUP(AX18,[11]TARIFAS!$A$4:$B$14,[11]TARIFAS!$D$4:$D$14),0)</f>
        <v>21.36</v>
      </c>
      <c r="BB18" s="110">
        <f t="shared" si="14"/>
        <v>782.77605383999992</v>
      </c>
      <c r="BC18" s="110">
        <f>IFERROR(+LOOKUP(AX18,[11]TARIFAS!$A$4:$B$14,[11]TARIFAS!$C$4:$C$14),0)</f>
        <v>538.20000000000005</v>
      </c>
      <c r="BD18" s="110">
        <f t="shared" si="15"/>
        <v>1320.98</v>
      </c>
      <c r="BE18" s="110"/>
      <c r="BF18" s="110"/>
      <c r="BG18" s="110"/>
      <c r="BH18" s="109"/>
    </row>
    <row r="19" spans="1:61" s="111" customFormat="1" ht="30" customHeight="1" x14ac:dyDescent="0.2">
      <c r="A19" s="97" t="str">
        <f t="shared" si="1"/>
        <v>SEI 056</v>
      </c>
      <c r="B19" s="97" t="s">
        <v>32</v>
      </c>
      <c r="C19" s="112" t="s">
        <v>79</v>
      </c>
      <c r="D19" s="100" t="s">
        <v>80</v>
      </c>
      <c r="E19" s="101" t="s">
        <v>37</v>
      </c>
      <c r="F19" s="101" t="s">
        <v>38</v>
      </c>
      <c r="G19" s="101">
        <v>15</v>
      </c>
      <c r="H19" s="101">
        <v>421.49</v>
      </c>
      <c r="I19" s="160" t="s">
        <v>146</v>
      </c>
      <c r="J19" s="101">
        <v>6572.35</v>
      </c>
      <c r="K19" s="101" t="s">
        <v>37</v>
      </c>
      <c r="L19" s="102">
        <v>1311</v>
      </c>
      <c r="M19" s="103">
        <v>67.290000000000006</v>
      </c>
      <c r="N19" s="101" t="s">
        <v>37</v>
      </c>
      <c r="O19" s="102">
        <v>1713</v>
      </c>
      <c r="P19" s="103">
        <v>351.5</v>
      </c>
      <c r="Q19" s="103">
        <v>406.32</v>
      </c>
      <c r="R19" s="103">
        <f t="shared" si="2"/>
        <v>197.1705</v>
      </c>
      <c r="S19" s="101" t="s">
        <v>37</v>
      </c>
      <c r="T19" s="102">
        <v>1712</v>
      </c>
      <c r="U19" s="104">
        <f t="shared" si="3"/>
        <v>603.4905</v>
      </c>
      <c r="V19" s="101"/>
      <c r="W19" s="102"/>
      <c r="X19" s="104"/>
      <c r="Y19" s="104">
        <f t="shared" si="4"/>
        <v>7594.6305000000002</v>
      </c>
      <c r="Z19" s="101" t="s">
        <v>39</v>
      </c>
      <c r="AA19" s="102">
        <v>1431</v>
      </c>
      <c r="AB19" s="104">
        <f t="shared" si="5"/>
        <v>624.3732500000001</v>
      </c>
      <c r="AC19" s="101" t="s">
        <v>39</v>
      </c>
      <c r="AD19" s="105" t="s">
        <v>40</v>
      </c>
      <c r="AE19" s="103">
        <v>402</v>
      </c>
      <c r="AF19" s="101" t="s">
        <v>39</v>
      </c>
      <c r="AG19" s="105" t="s">
        <v>41</v>
      </c>
      <c r="AH19" s="103">
        <f t="shared" si="6"/>
        <v>1075.02</v>
      </c>
      <c r="AI19" s="101" t="s">
        <v>39</v>
      </c>
      <c r="AJ19" s="105" t="s">
        <v>42</v>
      </c>
      <c r="AK19" s="103">
        <f t="shared" si="16"/>
        <v>65.723500000000001</v>
      </c>
      <c r="AL19" s="101" t="s">
        <v>39</v>
      </c>
      <c r="AM19" s="105" t="s">
        <v>43</v>
      </c>
      <c r="AN19" s="103">
        <v>0</v>
      </c>
      <c r="AO19" s="101" t="s">
        <v>39</v>
      </c>
      <c r="AP19" s="105">
        <v>1431</v>
      </c>
      <c r="AQ19" s="103">
        <v>0</v>
      </c>
      <c r="AR19" s="104">
        <f t="shared" si="8"/>
        <v>2167.1167500000001</v>
      </c>
      <c r="AS19" s="106">
        <f t="shared" si="9"/>
        <v>5427.5137500000001</v>
      </c>
      <c r="AT19" s="113"/>
      <c r="AU19" s="108"/>
      <c r="AV19" s="109">
        <f t="shared" si="10"/>
        <v>15</v>
      </c>
      <c r="AW19" s="109">
        <f t="shared" si="11"/>
        <v>7594.6305000000002</v>
      </c>
      <c r="AX19" s="110">
        <f t="shared" si="12"/>
        <v>7594.6305000000002</v>
      </c>
      <c r="AY19" s="110">
        <f>IFERROR(+LOOKUP(AX19,[11]TARIFAS!$A$4:$B$14,[11]TARIFAS!$A$4:$A$14),0)</f>
        <v>5081.41</v>
      </c>
      <c r="AZ19" s="110">
        <f t="shared" si="13"/>
        <v>2513.2205000000004</v>
      </c>
      <c r="BA19" s="110">
        <f>IFERROR(+LOOKUP(AX19,[11]TARIFAS!$A$4:$B$14,[11]TARIFAS!$D$4:$D$14),0)</f>
        <v>21.36</v>
      </c>
      <c r="BB19" s="110">
        <f t="shared" si="14"/>
        <v>536.82389880000005</v>
      </c>
      <c r="BC19" s="110">
        <f>IFERROR(+LOOKUP(AX19,[11]TARIFAS!$A$4:$B$14,[11]TARIFAS!$C$4:$C$14),0)</f>
        <v>538.20000000000005</v>
      </c>
      <c r="BD19" s="110">
        <f t="shared" si="15"/>
        <v>1075.02</v>
      </c>
      <c r="BE19" s="110"/>
      <c r="BF19" s="110"/>
      <c r="BG19" s="110"/>
      <c r="BH19" s="109"/>
    </row>
    <row r="20" spans="1:61" s="111" customFormat="1" ht="30" customHeight="1" x14ac:dyDescent="0.2">
      <c r="A20" s="97" t="str">
        <f t="shared" si="1"/>
        <v>SEI 061</v>
      </c>
      <c r="B20" s="97" t="s">
        <v>32</v>
      </c>
      <c r="C20" s="112" t="s">
        <v>81</v>
      </c>
      <c r="D20" s="100" t="s">
        <v>82</v>
      </c>
      <c r="E20" s="101" t="s">
        <v>37</v>
      </c>
      <c r="F20" s="101" t="s">
        <v>38</v>
      </c>
      <c r="G20" s="101">
        <v>15</v>
      </c>
      <c r="H20" s="101">
        <v>353.488</v>
      </c>
      <c r="I20" s="160" t="s">
        <v>150</v>
      </c>
      <c r="J20" s="101">
        <v>5414.82</v>
      </c>
      <c r="K20" s="101" t="s">
        <v>37</v>
      </c>
      <c r="L20" s="102">
        <v>1311</v>
      </c>
      <c r="M20" s="103">
        <v>67.290000000000006</v>
      </c>
      <c r="N20" s="101" t="s">
        <v>37</v>
      </c>
      <c r="O20" s="102">
        <v>1713</v>
      </c>
      <c r="P20" s="103">
        <v>211.44</v>
      </c>
      <c r="Q20" s="103">
        <v>378.6</v>
      </c>
      <c r="R20" s="103">
        <f t="shared" si="2"/>
        <v>162.44459999999998</v>
      </c>
      <c r="S20" s="101" t="s">
        <v>37</v>
      </c>
      <c r="T20" s="102">
        <v>1712</v>
      </c>
      <c r="U20" s="104">
        <f t="shared" si="3"/>
        <v>541.04459999999995</v>
      </c>
      <c r="V20" s="101"/>
      <c r="W20" s="102"/>
      <c r="X20" s="104"/>
      <c r="Y20" s="104">
        <f t="shared" si="4"/>
        <v>6234.5945999999994</v>
      </c>
      <c r="Z20" s="101" t="s">
        <v>39</v>
      </c>
      <c r="AA20" s="102">
        <v>1431</v>
      </c>
      <c r="AB20" s="104">
        <f t="shared" si="5"/>
        <v>514.40789999999993</v>
      </c>
      <c r="AC20" s="101" t="s">
        <v>39</v>
      </c>
      <c r="AD20" s="105" t="s">
        <v>40</v>
      </c>
      <c r="AE20" s="103">
        <v>0</v>
      </c>
      <c r="AF20" s="101" t="s">
        <v>39</v>
      </c>
      <c r="AG20" s="105" t="s">
        <v>41</v>
      </c>
      <c r="AH20" s="103">
        <f t="shared" si="6"/>
        <v>784.52</v>
      </c>
      <c r="AI20" s="101" t="s">
        <v>39</v>
      </c>
      <c r="AJ20" s="105" t="s">
        <v>42</v>
      </c>
      <c r="AK20" s="103">
        <f t="shared" si="16"/>
        <v>54.148199999999996</v>
      </c>
      <c r="AL20" s="101" t="s">
        <v>39</v>
      </c>
      <c r="AM20" s="105" t="s">
        <v>43</v>
      </c>
      <c r="AN20" s="103">
        <v>0</v>
      </c>
      <c r="AO20" s="101" t="s">
        <v>39</v>
      </c>
      <c r="AP20" s="105">
        <v>1431</v>
      </c>
      <c r="AQ20" s="103">
        <v>0</v>
      </c>
      <c r="AR20" s="104">
        <f t="shared" si="8"/>
        <v>1353.0761</v>
      </c>
      <c r="AS20" s="106">
        <f t="shared" si="9"/>
        <v>4881.5184999999992</v>
      </c>
      <c r="AT20" s="113"/>
      <c r="AU20" s="108"/>
      <c r="AV20" s="109">
        <f t="shared" si="10"/>
        <v>15</v>
      </c>
      <c r="AW20" s="109">
        <f t="shared" si="11"/>
        <v>6234.5945999999994</v>
      </c>
      <c r="AX20" s="110">
        <f t="shared" si="12"/>
        <v>6234.5945999999994</v>
      </c>
      <c r="AY20" s="110">
        <f>IFERROR(+LOOKUP(AX20,[11]TARIFAS!$A$4:$B$14,[11]TARIFAS!$A$4:$A$14),0)</f>
        <v>5081.41</v>
      </c>
      <c r="AZ20" s="110">
        <f t="shared" si="13"/>
        <v>1153.1845999999996</v>
      </c>
      <c r="BA20" s="110">
        <f>IFERROR(+LOOKUP(AX20,[11]TARIFAS!$A$4:$B$14,[11]TARIFAS!$D$4:$D$14),0)</f>
        <v>21.36</v>
      </c>
      <c r="BB20" s="110">
        <f t="shared" si="14"/>
        <v>246.32023055999991</v>
      </c>
      <c r="BC20" s="110">
        <f>IFERROR(+LOOKUP(AX20,[11]TARIFAS!$A$4:$B$14,[11]TARIFAS!$C$4:$C$14),0)</f>
        <v>538.20000000000005</v>
      </c>
      <c r="BD20" s="110">
        <f t="shared" si="15"/>
        <v>784.52</v>
      </c>
      <c r="BE20" s="110"/>
      <c r="BF20" s="110"/>
      <c r="BG20" s="110"/>
      <c r="BH20" s="109"/>
    </row>
    <row r="21" spans="1:61" s="111" customFormat="1" ht="30" customHeight="1" x14ac:dyDescent="0.2">
      <c r="A21" s="97" t="str">
        <f t="shared" si="1"/>
        <v>SEI 062</v>
      </c>
      <c r="B21" s="97" t="s">
        <v>32</v>
      </c>
      <c r="C21" s="112" t="s">
        <v>83</v>
      </c>
      <c r="D21" s="114" t="s">
        <v>84</v>
      </c>
      <c r="E21" s="101" t="s">
        <v>37</v>
      </c>
      <c r="F21" s="101" t="s">
        <v>38</v>
      </c>
      <c r="G21" s="101">
        <v>15</v>
      </c>
      <c r="H21" s="101">
        <v>421.49</v>
      </c>
      <c r="I21" s="160" t="s">
        <v>149</v>
      </c>
      <c r="J21" s="101">
        <v>6572.35</v>
      </c>
      <c r="K21" s="101" t="s">
        <v>37</v>
      </c>
      <c r="L21" s="102">
        <v>1311</v>
      </c>
      <c r="M21" s="115">
        <v>100.935</v>
      </c>
      <c r="N21" s="101" t="s">
        <v>37</v>
      </c>
      <c r="O21" s="102">
        <v>1713</v>
      </c>
      <c r="P21" s="115">
        <v>351.5</v>
      </c>
      <c r="Q21" s="115">
        <v>406.32</v>
      </c>
      <c r="R21" s="103">
        <f t="shared" si="2"/>
        <v>197.1705</v>
      </c>
      <c r="S21" s="101" t="s">
        <v>37</v>
      </c>
      <c r="T21" s="102">
        <v>1712</v>
      </c>
      <c r="U21" s="104">
        <f t="shared" si="3"/>
        <v>603.4905</v>
      </c>
      <c r="V21" s="101"/>
      <c r="W21" s="102"/>
      <c r="X21" s="104"/>
      <c r="Y21" s="104">
        <f t="shared" si="4"/>
        <v>7628.2755000000006</v>
      </c>
      <c r="Z21" s="101" t="s">
        <v>39</v>
      </c>
      <c r="AA21" s="102">
        <v>1431</v>
      </c>
      <c r="AB21" s="104">
        <f t="shared" si="5"/>
        <v>624.3732500000001</v>
      </c>
      <c r="AC21" s="101" t="s">
        <v>39</v>
      </c>
      <c r="AD21" s="105" t="s">
        <v>40</v>
      </c>
      <c r="AE21" s="115">
        <v>1405</v>
      </c>
      <c r="AF21" s="101" t="s">
        <v>39</v>
      </c>
      <c r="AG21" s="105" t="s">
        <v>41</v>
      </c>
      <c r="AH21" s="103">
        <f t="shared" si="6"/>
        <v>1082.21</v>
      </c>
      <c r="AI21" s="101" t="s">
        <v>39</v>
      </c>
      <c r="AJ21" s="105" t="s">
        <v>42</v>
      </c>
      <c r="AK21" s="103">
        <v>0</v>
      </c>
      <c r="AL21" s="101" t="s">
        <v>39</v>
      </c>
      <c r="AM21" s="105" t="s">
        <v>43</v>
      </c>
      <c r="AN21" s="115">
        <v>0</v>
      </c>
      <c r="AO21" s="101" t="s">
        <v>39</v>
      </c>
      <c r="AP21" s="105">
        <v>1431</v>
      </c>
      <c r="AQ21" s="103">
        <v>0</v>
      </c>
      <c r="AR21" s="104">
        <f t="shared" si="8"/>
        <v>3111.5832500000001</v>
      </c>
      <c r="AS21" s="106">
        <f t="shared" si="9"/>
        <v>4516.6922500000001</v>
      </c>
      <c r="AT21" s="113"/>
      <c r="AU21" s="108"/>
      <c r="AV21" s="109">
        <f t="shared" si="10"/>
        <v>15</v>
      </c>
      <c r="AW21" s="109">
        <f t="shared" si="11"/>
        <v>7628.2755000000006</v>
      </c>
      <c r="AX21" s="110">
        <f t="shared" si="12"/>
        <v>7628.2755000000006</v>
      </c>
      <c r="AY21" s="110">
        <f>IFERROR(+LOOKUP(AX21,[11]TARIFAS!$A$4:$B$14,[11]TARIFAS!$A$4:$A$14),0)</f>
        <v>5081.41</v>
      </c>
      <c r="AZ21" s="110">
        <f t="shared" si="13"/>
        <v>2546.8655000000008</v>
      </c>
      <c r="BA21" s="110">
        <f>IFERROR(+LOOKUP(AX21,[11]TARIFAS!$A$4:$B$14,[11]TARIFAS!$D$4:$D$14),0)</f>
        <v>21.36</v>
      </c>
      <c r="BB21" s="110">
        <f t="shared" si="14"/>
        <v>544.01047080000023</v>
      </c>
      <c r="BC21" s="110">
        <f>IFERROR(+LOOKUP(AX21,[11]TARIFAS!$A$4:$B$14,[11]TARIFAS!$C$4:$C$14),0)</f>
        <v>538.20000000000005</v>
      </c>
      <c r="BD21" s="110">
        <f t="shared" si="15"/>
        <v>1082.21</v>
      </c>
      <c r="BE21" s="110"/>
      <c r="BF21" s="110"/>
      <c r="BG21" s="110"/>
      <c r="BH21" s="109"/>
    </row>
    <row r="22" spans="1:61" s="111" customFormat="1" ht="30" customHeight="1" x14ac:dyDescent="0.2">
      <c r="A22" s="97" t="str">
        <f t="shared" si="1"/>
        <v>SEI 063</v>
      </c>
      <c r="B22" s="97" t="s">
        <v>32</v>
      </c>
      <c r="C22" s="112" t="s">
        <v>85</v>
      </c>
      <c r="D22" s="114" t="s">
        <v>86</v>
      </c>
      <c r="E22" s="101" t="s">
        <v>37</v>
      </c>
      <c r="F22" s="101" t="s">
        <v>38</v>
      </c>
      <c r="G22" s="101">
        <v>15</v>
      </c>
      <c r="H22" s="101">
        <v>421.49</v>
      </c>
      <c r="I22" s="160" t="s">
        <v>151</v>
      </c>
      <c r="J22" s="101">
        <v>6572.35</v>
      </c>
      <c r="K22" s="101" t="s">
        <v>37</v>
      </c>
      <c r="L22" s="102">
        <v>1311</v>
      </c>
      <c r="M22" s="115">
        <v>67.290000000000006</v>
      </c>
      <c r="N22" s="101" t="s">
        <v>37</v>
      </c>
      <c r="O22" s="102">
        <v>1713</v>
      </c>
      <c r="P22" s="115">
        <v>351.5</v>
      </c>
      <c r="Q22" s="115">
        <v>406.32</v>
      </c>
      <c r="R22" s="103">
        <f t="shared" si="2"/>
        <v>197.1705</v>
      </c>
      <c r="S22" s="101" t="s">
        <v>37</v>
      </c>
      <c r="T22" s="102">
        <v>1712</v>
      </c>
      <c r="U22" s="104">
        <f t="shared" si="3"/>
        <v>603.4905</v>
      </c>
      <c r="V22" s="101"/>
      <c r="W22" s="102"/>
      <c r="X22" s="104"/>
      <c r="Y22" s="104">
        <f t="shared" si="4"/>
        <v>7594.6305000000002</v>
      </c>
      <c r="Z22" s="101" t="s">
        <v>39</v>
      </c>
      <c r="AA22" s="102">
        <v>1431</v>
      </c>
      <c r="AB22" s="104">
        <f t="shared" si="5"/>
        <v>624.3732500000001</v>
      </c>
      <c r="AC22" s="101" t="s">
        <v>39</v>
      </c>
      <c r="AD22" s="105" t="s">
        <v>40</v>
      </c>
      <c r="AE22" s="115">
        <v>2108</v>
      </c>
      <c r="AF22" s="101" t="s">
        <v>39</v>
      </c>
      <c r="AG22" s="105" t="s">
        <v>41</v>
      </c>
      <c r="AH22" s="103">
        <f t="shared" si="6"/>
        <v>1075.02</v>
      </c>
      <c r="AI22" s="101" t="s">
        <v>39</v>
      </c>
      <c r="AJ22" s="105" t="s">
        <v>42</v>
      </c>
      <c r="AK22" s="103">
        <f>(J22*1%)</f>
        <v>65.723500000000001</v>
      </c>
      <c r="AL22" s="101" t="s">
        <v>39</v>
      </c>
      <c r="AM22" s="105" t="s">
        <v>43</v>
      </c>
      <c r="AN22" s="115">
        <v>0</v>
      </c>
      <c r="AO22" s="101" t="s">
        <v>39</v>
      </c>
      <c r="AP22" s="105">
        <v>1431</v>
      </c>
      <c r="AQ22" s="103">
        <v>0</v>
      </c>
      <c r="AR22" s="104">
        <f t="shared" si="8"/>
        <v>3873.1167500000001</v>
      </c>
      <c r="AS22" s="106">
        <f t="shared" si="9"/>
        <v>3721.5137500000001</v>
      </c>
      <c r="AT22" s="113"/>
      <c r="AU22" s="108"/>
      <c r="AV22" s="109">
        <f t="shared" si="10"/>
        <v>15</v>
      </c>
      <c r="AW22" s="109">
        <f t="shared" si="11"/>
        <v>7594.6305000000002</v>
      </c>
      <c r="AX22" s="110">
        <f t="shared" si="12"/>
        <v>7594.6305000000002</v>
      </c>
      <c r="AY22" s="110">
        <f>IFERROR(+LOOKUP(AX22,[11]TARIFAS!$A$4:$B$14,[11]TARIFAS!$A$4:$A$14),0)</f>
        <v>5081.41</v>
      </c>
      <c r="AZ22" s="110">
        <f t="shared" si="13"/>
        <v>2513.2205000000004</v>
      </c>
      <c r="BA22" s="110">
        <f>IFERROR(+LOOKUP(AX22,[11]TARIFAS!$A$4:$B$14,[11]TARIFAS!$D$4:$D$14),0)</f>
        <v>21.36</v>
      </c>
      <c r="BB22" s="110">
        <f t="shared" si="14"/>
        <v>536.82389880000005</v>
      </c>
      <c r="BC22" s="110">
        <f>IFERROR(+LOOKUP(AX22,[11]TARIFAS!$A$4:$B$14,[11]TARIFAS!$C$4:$C$14),0)</f>
        <v>538.20000000000005</v>
      </c>
      <c r="BD22" s="110">
        <f t="shared" si="15"/>
        <v>1075.02</v>
      </c>
      <c r="BE22" s="110"/>
      <c r="BF22" s="110"/>
      <c r="BG22" s="110"/>
      <c r="BH22" s="109"/>
    </row>
    <row r="23" spans="1:61" s="111" customFormat="1" ht="30" customHeight="1" x14ac:dyDescent="0.2">
      <c r="A23" s="97" t="str">
        <f t="shared" si="1"/>
        <v>SEI 067</v>
      </c>
      <c r="B23" s="97" t="s">
        <v>32</v>
      </c>
      <c r="C23" s="112" t="s">
        <v>88</v>
      </c>
      <c r="D23" s="114" t="s">
        <v>89</v>
      </c>
      <c r="E23" s="101" t="s">
        <v>37</v>
      </c>
      <c r="F23" s="101" t="s">
        <v>38</v>
      </c>
      <c r="G23" s="101">
        <v>15</v>
      </c>
      <c r="H23" s="101">
        <v>421.49</v>
      </c>
      <c r="I23" s="160" t="s">
        <v>149</v>
      </c>
      <c r="J23" s="101">
        <v>6572.35</v>
      </c>
      <c r="K23" s="101" t="s">
        <v>37</v>
      </c>
      <c r="L23" s="102">
        <v>1311</v>
      </c>
      <c r="M23" s="115">
        <v>0</v>
      </c>
      <c r="N23" s="101" t="s">
        <v>37</v>
      </c>
      <c r="O23" s="102">
        <v>1713</v>
      </c>
      <c r="P23" s="115">
        <v>351.5</v>
      </c>
      <c r="Q23" s="115">
        <v>406.32</v>
      </c>
      <c r="R23" s="103">
        <f t="shared" si="2"/>
        <v>197.1705</v>
      </c>
      <c r="S23" s="101" t="s">
        <v>37</v>
      </c>
      <c r="T23" s="102">
        <v>1712</v>
      </c>
      <c r="U23" s="104">
        <f t="shared" si="3"/>
        <v>603.4905</v>
      </c>
      <c r="V23" s="101"/>
      <c r="W23" s="102"/>
      <c r="X23" s="104"/>
      <c r="Y23" s="104">
        <f t="shared" si="4"/>
        <v>7527.3405000000002</v>
      </c>
      <c r="Z23" s="101" t="s">
        <v>39</v>
      </c>
      <c r="AA23" s="102">
        <v>1431</v>
      </c>
      <c r="AB23" s="104">
        <f t="shared" si="5"/>
        <v>624.3732500000001</v>
      </c>
      <c r="AC23" s="101" t="s">
        <v>39</v>
      </c>
      <c r="AD23" s="105" t="s">
        <v>40</v>
      </c>
      <c r="AE23" s="115">
        <v>0</v>
      </c>
      <c r="AF23" s="101" t="s">
        <v>39</v>
      </c>
      <c r="AG23" s="105" t="s">
        <v>41</v>
      </c>
      <c r="AH23" s="103">
        <f t="shared" si="6"/>
        <v>1060.6500000000001</v>
      </c>
      <c r="AI23" s="101" t="s">
        <v>39</v>
      </c>
      <c r="AJ23" s="105" t="s">
        <v>42</v>
      </c>
      <c r="AK23" s="103">
        <f>(J23*1%)</f>
        <v>65.723500000000001</v>
      </c>
      <c r="AL23" s="101" t="s">
        <v>39</v>
      </c>
      <c r="AM23" s="105" t="s">
        <v>43</v>
      </c>
      <c r="AN23" s="115">
        <v>0</v>
      </c>
      <c r="AO23" s="101" t="s">
        <v>39</v>
      </c>
      <c r="AP23" s="105">
        <v>1431</v>
      </c>
      <c r="AQ23" s="103">
        <v>0</v>
      </c>
      <c r="AR23" s="104">
        <f t="shared" si="8"/>
        <v>1750.7467500000002</v>
      </c>
      <c r="AS23" s="106">
        <f t="shared" si="9"/>
        <v>5776.59375</v>
      </c>
      <c r="AT23" s="113"/>
      <c r="AU23" s="108"/>
      <c r="AV23" s="109">
        <f t="shared" si="10"/>
        <v>15</v>
      </c>
      <c r="AW23" s="109">
        <f t="shared" si="11"/>
        <v>7527.3405000000002</v>
      </c>
      <c r="AX23" s="110">
        <f t="shared" si="12"/>
        <v>7527.3405000000002</v>
      </c>
      <c r="AY23" s="110">
        <f>IFERROR(+LOOKUP(AX23,[11]TARIFAS!$A$4:$B$14,[11]TARIFAS!$A$4:$A$14),0)</f>
        <v>5081.41</v>
      </c>
      <c r="AZ23" s="110">
        <f t="shared" si="13"/>
        <v>2445.9305000000004</v>
      </c>
      <c r="BA23" s="110">
        <f>IFERROR(+LOOKUP(AX23,[11]TARIFAS!$A$4:$B$14,[11]TARIFAS!$D$4:$D$14),0)</f>
        <v>21.36</v>
      </c>
      <c r="BB23" s="110">
        <f t="shared" si="14"/>
        <v>522.45075480000003</v>
      </c>
      <c r="BC23" s="110">
        <f>IFERROR(+LOOKUP(AX23,[11]TARIFAS!$A$4:$B$14,[11]TARIFAS!$C$4:$C$14),0)</f>
        <v>538.20000000000005</v>
      </c>
      <c r="BD23" s="110">
        <f t="shared" si="15"/>
        <v>1060.6500000000001</v>
      </c>
      <c r="BE23" s="110"/>
      <c r="BF23" s="110"/>
      <c r="BG23" s="110"/>
      <c r="BH23" s="109"/>
    </row>
    <row r="24" spans="1:61" s="111" customFormat="1" ht="30" customHeight="1" x14ac:dyDescent="0.2">
      <c r="A24" s="97" t="str">
        <f t="shared" si="1"/>
        <v>SEI 068</v>
      </c>
      <c r="B24" s="97" t="s">
        <v>32</v>
      </c>
      <c r="C24" s="112" t="s">
        <v>90</v>
      </c>
      <c r="D24" s="114" t="s">
        <v>91</v>
      </c>
      <c r="E24" s="101" t="s">
        <v>37</v>
      </c>
      <c r="F24" s="101" t="s">
        <v>38</v>
      </c>
      <c r="G24" s="101">
        <v>15</v>
      </c>
      <c r="H24" s="101">
        <v>325.036</v>
      </c>
      <c r="I24" s="160" t="s">
        <v>150</v>
      </c>
      <c r="J24" s="101">
        <v>5063.04</v>
      </c>
      <c r="K24" s="101" t="s">
        <v>37</v>
      </c>
      <c r="L24" s="102">
        <v>1311</v>
      </c>
      <c r="M24" s="115">
        <v>0</v>
      </c>
      <c r="N24" s="101" t="s">
        <v>37</v>
      </c>
      <c r="O24" s="102">
        <v>1713</v>
      </c>
      <c r="P24" s="115">
        <v>207.91</v>
      </c>
      <c r="Q24" s="115">
        <v>371.02</v>
      </c>
      <c r="R24" s="103">
        <f t="shared" si="2"/>
        <v>151.8912</v>
      </c>
      <c r="S24" s="101" t="s">
        <v>37</v>
      </c>
      <c r="T24" s="102">
        <v>1712</v>
      </c>
      <c r="U24" s="104">
        <f t="shared" si="3"/>
        <v>522.91120000000001</v>
      </c>
      <c r="V24" s="101"/>
      <c r="W24" s="102"/>
      <c r="X24" s="104"/>
      <c r="Y24" s="104">
        <f t="shared" si="4"/>
        <v>5793.8611999999994</v>
      </c>
      <c r="Z24" s="101" t="s">
        <v>39</v>
      </c>
      <c r="AA24" s="102">
        <v>1431</v>
      </c>
      <c r="AB24" s="104">
        <f t="shared" si="5"/>
        <v>480.98880000000003</v>
      </c>
      <c r="AC24" s="101" t="s">
        <v>39</v>
      </c>
      <c r="AD24" s="105" t="s">
        <v>40</v>
      </c>
      <c r="AE24" s="115">
        <v>0</v>
      </c>
      <c r="AF24" s="101" t="s">
        <v>39</v>
      </c>
      <c r="AG24" s="105" t="s">
        <v>41</v>
      </c>
      <c r="AH24" s="103">
        <f t="shared" si="6"/>
        <v>690.38</v>
      </c>
      <c r="AI24" s="101" t="s">
        <v>39</v>
      </c>
      <c r="AJ24" s="105" t="s">
        <v>42</v>
      </c>
      <c r="AK24" s="103">
        <f>(J24*1%)</f>
        <v>50.630400000000002</v>
      </c>
      <c r="AL24" s="101" t="s">
        <v>39</v>
      </c>
      <c r="AM24" s="105" t="s">
        <v>43</v>
      </c>
      <c r="AN24" s="115">
        <v>0</v>
      </c>
      <c r="AO24" s="101" t="s">
        <v>39</v>
      </c>
      <c r="AP24" s="105">
        <v>1431</v>
      </c>
      <c r="AQ24" s="103">
        <v>0</v>
      </c>
      <c r="AR24" s="104">
        <f t="shared" si="8"/>
        <v>1221.9992</v>
      </c>
      <c r="AS24" s="106">
        <f t="shared" si="9"/>
        <v>4571.8619999999992</v>
      </c>
      <c r="AT24" s="113"/>
      <c r="AU24" s="108"/>
      <c r="AV24" s="109">
        <f t="shared" si="10"/>
        <v>15</v>
      </c>
      <c r="AW24" s="109">
        <f t="shared" si="11"/>
        <v>5793.8611999999994</v>
      </c>
      <c r="AX24" s="110">
        <f t="shared" si="12"/>
        <v>5793.8611999999994</v>
      </c>
      <c r="AY24" s="110">
        <f>IFERROR(+LOOKUP(AX24,[11]TARIFAS!$A$4:$B$14,[11]TARIFAS!$A$4:$A$14),0)</f>
        <v>5081.41</v>
      </c>
      <c r="AZ24" s="110">
        <f t="shared" si="13"/>
        <v>712.45119999999952</v>
      </c>
      <c r="BA24" s="110">
        <f>IFERROR(+LOOKUP(AX24,[11]TARIFAS!$A$4:$B$14,[11]TARIFAS!$D$4:$D$14),0)</f>
        <v>21.36</v>
      </c>
      <c r="BB24" s="110">
        <f t="shared" si="14"/>
        <v>152.17957631999988</v>
      </c>
      <c r="BC24" s="110">
        <f>IFERROR(+LOOKUP(AX24,[11]TARIFAS!$A$4:$B$14,[11]TARIFAS!$C$4:$C$14),0)</f>
        <v>538.20000000000005</v>
      </c>
      <c r="BD24" s="110">
        <f t="shared" si="15"/>
        <v>690.38</v>
      </c>
      <c r="BE24" s="110"/>
      <c r="BF24" s="110"/>
      <c r="BG24" s="110"/>
      <c r="BH24" s="109"/>
    </row>
    <row r="25" spans="1:61" s="111" customFormat="1" ht="30" customHeight="1" x14ac:dyDescent="0.2">
      <c r="A25" s="97" t="str">
        <f t="shared" si="1"/>
        <v>SEI 069</v>
      </c>
      <c r="B25" s="97" t="s">
        <v>32</v>
      </c>
      <c r="C25" s="112" t="s">
        <v>92</v>
      </c>
      <c r="D25" s="114" t="s">
        <v>93</v>
      </c>
      <c r="E25" s="101" t="s">
        <v>37</v>
      </c>
      <c r="F25" s="101" t="s">
        <v>38</v>
      </c>
      <c r="G25" s="101">
        <v>15</v>
      </c>
      <c r="H25" s="101">
        <v>421.49</v>
      </c>
      <c r="I25" s="160" t="s">
        <v>151</v>
      </c>
      <c r="J25" s="101">
        <v>6572.35</v>
      </c>
      <c r="K25" s="101" t="s">
        <v>37</v>
      </c>
      <c r="L25" s="102">
        <v>1311</v>
      </c>
      <c r="M25" s="115">
        <v>0</v>
      </c>
      <c r="N25" s="101" t="s">
        <v>37</v>
      </c>
      <c r="O25" s="102">
        <v>1713</v>
      </c>
      <c r="P25" s="115">
        <v>351.5</v>
      </c>
      <c r="Q25" s="115">
        <v>406.32</v>
      </c>
      <c r="R25" s="103">
        <f t="shared" si="2"/>
        <v>197.1705</v>
      </c>
      <c r="S25" s="101" t="s">
        <v>37</v>
      </c>
      <c r="T25" s="102">
        <v>1712</v>
      </c>
      <c r="U25" s="104">
        <f t="shared" si="3"/>
        <v>603.4905</v>
      </c>
      <c r="V25" s="101"/>
      <c r="W25" s="102"/>
      <c r="X25" s="104"/>
      <c r="Y25" s="104">
        <f t="shared" si="4"/>
        <v>7527.3405000000002</v>
      </c>
      <c r="Z25" s="101" t="s">
        <v>39</v>
      </c>
      <c r="AA25" s="102">
        <v>1431</v>
      </c>
      <c r="AB25" s="104">
        <f t="shared" si="5"/>
        <v>624.3732500000001</v>
      </c>
      <c r="AC25" s="101" t="s">
        <v>39</v>
      </c>
      <c r="AD25" s="105" t="s">
        <v>40</v>
      </c>
      <c r="AE25" s="115">
        <v>0</v>
      </c>
      <c r="AF25" s="101" t="s">
        <v>39</v>
      </c>
      <c r="AG25" s="105" t="s">
        <v>41</v>
      </c>
      <c r="AH25" s="103">
        <f t="shared" si="6"/>
        <v>1060.6500000000001</v>
      </c>
      <c r="AI25" s="101" t="s">
        <v>39</v>
      </c>
      <c r="AJ25" s="105" t="s">
        <v>42</v>
      </c>
      <c r="AK25" s="103">
        <f>(J25*1%)</f>
        <v>65.723500000000001</v>
      </c>
      <c r="AL25" s="101" t="s">
        <v>39</v>
      </c>
      <c r="AM25" s="105" t="s">
        <v>43</v>
      </c>
      <c r="AN25" s="115">
        <v>0</v>
      </c>
      <c r="AO25" s="101" t="s">
        <v>39</v>
      </c>
      <c r="AP25" s="105">
        <v>1431</v>
      </c>
      <c r="AQ25" s="103">
        <v>0</v>
      </c>
      <c r="AR25" s="104">
        <f t="shared" si="8"/>
        <v>1750.7467500000002</v>
      </c>
      <c r="AS25" s="106">
        <f t="shared" si="9"/>
        <v>5776.59375</v>
      </c>
      <c r="AT25" s="113"/>
      <c r="AU25" s="108"/>
      <c r="AV25" s="109">
        <f t="shared" si="10"/>
        <v>15</v>
      </c>
      <c r="AW25" s="109">
        <f t="shared" si="11"/>
        <v>7527.3405000000002</v>
      </c>
      <c r="AX25" s="110">
        <f t="shared" si="12"/>
        <v>7527.3405000000002</v>
      </c>
      <c r="AY25" s="110">
        <f>IFERROR(+LOOKUP(AX25,[11]TARIFAS!$A$4:$B$14,[11]TARIFAS!$A$4:$A$14),0)</f>
        <v>5081.41</v>
      </c>
      <c r="AZ25" s="110">
        <f t="shared" si="13"/>
        <v>2445.9305000000004</v>
      </c>
      <c r="BA25" s="110">
        <f>IFERROR(+LOOKUP(AX25,[11]TARIFAS!$A$4:$B$14,[11]TARIFAS!$D$4:$D$14),0)</f>
        <v>21.36</v>
      </c>
      <c r="BB25" s="110">
        <f t="shared" si="14"/>
        <v>522.45075480000003</v>
      </c>
      <c r="BC25" s="110">
        <f>IFERROR(+LOOKUP(AX25,[11]TARIFAS!$A$4:$B$14,[11]TARIFAS!$C$4:$C$14),0)</f>
        <v>538.20000000000005</v>
      </c>
      <c r="BD25" s="110">
        <f t="shared" si="15"/>
        <v>1060.6500000000001</v>
      </c>
      <c r="BE25" s="110"/>
      <c r="BF25" s="110"/>
      <c r="BG25" s="110"/>
      <c r="BH25" s="109"/>
    </row>
    <row r="26" spans="1:61" s="111" customFormat="1" ht="30" customHeight="1" x14ac:dyDescent="0.2">
      <c r="A26" s="97" t="str">
        <f t="shared" si="1"/>
        <v>SEI 070</v>
      </c>
      <c r="B26" s="97" t="s">
        <v>32</v>
      </c>
      <c r="C26" s="112" t="s">
        <v>94</v>
      </c>
      <c r="D26" s="114" t="s">
        <v>95</v>
      </c>
      <c r="E26" s="101" t="s">
        <v>37</v>
      </c>
      <c r="F26" s="101" t="s">
        <v>38</v>
      </c>
      <c r="G26" s="101">
        <v>15</v>
      </c>
      <c r="H26" s="101">
        <v>325.036</v>
      </c>
      <c r="I26" s="160" t="s">
        <v>149</v>
      </c>
      <c r="J26" s="101">
        <v>5063.04</v>
      </c>
      <c r="K26" s="101" t="s">
        <v>37</v>
      </c>
      <c r="L26" s="102">
        <v>1311</v>
      </c>
      <c r="M26" s="115">
        <v>0</v>
      </c>
      <c r="N26" s="101" t="s">
        <v>37</v>
      </c>
      <c r="O26" s="102">
        <v>1713</v>
      </c>
      <c r="P26" s="115">
        <v>207.91</v>
      </c>
      <c r="Q26" s="115">
        <v>371.02</v>
      </c>
      <c r="R26" s="103">
        <f t="shared" si="2"/>
        <v>151.8912</v>
      </c>
      <c r="S26" s="101" t="s">
        <v>37</v>
      </c>
      <c r="T26" s="102">
        <v>1712</v>
      </c>
      <c r="U26" s="104">
        <f t="shared" si="3"/>
        <v>522.91120000000001</v>
      </c>
      <c r="V26" s="101"/>
      <c r="W26" s="102"/>
      <c r="X26" s="104"/>
      <c r="Y26" s="104">
        <f t="shared" si="4"/>
        <v>5793.8611999999994</v>
      </c>
      <c r="Z26" s="101" t="s">
        <v>39</v>
      </c>
      <c r="AA26" s="102">
        <v>1431</v>
      </c>
      <c r="AB26" s="104">
        <f t="shared" si="5"/>
        <v>480.98880000000003</v>
      </c>
      <c r="AC26" s="101" t="s">
        <v>39</v>
      </c>
      <c r="AD26" s="105" t="s">
        <v>40</v>
      </c>
      <c r="AE26" s="115">
        <v>0</v>
      </c>
      <c r="AF26" s="101" t="s">
        <v>39</v>
      </c>
      <c r="AG26" s="105" t="s">
        <v>41</v>
      </c>
      <c r="AH26" s="103">
        <f t="shared" si="6"/>
        <v>690.38</v>
      </c>
      <c r="AI26" s="101" t="s">
        <v>39</v>
      </c>
      <c r="AJ26" s="105" t="s">
        <v>42</v>
      </c>
      <c r="AK26" s="103">
        <f>(J26*1%)</f>
        <v>50.630400000000002</v>
      </c>
      <c r="AL26" s="101" t="s">
        <v>39</v>
      </c>
      <c r="AM26" s="105" t="s">
        <v>43</v>
      </c>
      <c r="AN26" s="115">
        <v>0</v>
      </c>
      <c r="AO26" s="101" t="s">
        <v>39</v>
      </c>
      <c r="AP26" s="105">
        <v>1431</v>
      </c>
      <c r="AQ26" s="103">
        <v>0</v>
      </c>
      <c r="AR26" s="104">
        <f t="shared" si="8"/>
        <v>1221.9992</v>
      </c>
      <c r="AS26" s="106">
        <f t="shared" si="9"/>
        <v>4571.8619999999992</v>
      </c>
      <c r="AT26" s="113"/>
      <c r="AU26" s="108"/>
      <c r="AV26" s="109">
        <f t="shared" si="10"/>
        <v>15</v>
      </c>
      <c r="AW26" s="109">
        <f t="shared" si="11"/>
        <v>5793.8611999999994</v>
      </c>
      <c r="AX26" s="110">
        <f t="shared" si="12"/>
        <v>5793.8611999999994</v>
      </c>
      <c r="AY26" s="110">
        <f>IFERROR(+LOOKUP(AX26,[11]TARIFAS!$A$4:$B$14,[11]TARIFAS!$A$4:$A$14),0)</f>
        <v>5081.41</v>
      </c>
      <c r="AZ26" s="110">
        <f t="shared" si="13"/>
        <v>712.45119999999952</v>
      </c>
      <c r="BA26" s="110">
        <f>IFERROR(+LOOKUP(AX26,[11]TARIFAS!$A$4:$B$14,[11]TARIFAS!$D$4:$D$14),0)</f>
        <v>21.36</v>
      </c>
      <c r="BB26" s="110">
        <f t="shared" si="14"/>
        <v>152.17957631999988</v>
      </c>
      <c r="BC26" s="110">
        <f>IFERROR(+LOOKUP(AX26,[11]TARIFAS!$A$4:$B$14,[11]TARIFAS!$C$4:$C$14),0)</f>
        <v>538.20000000000005</v>
      </c>
      <c r="BD26" s="110">
        <f t="shared" si="15"/>
        <v>690.38</v>
      </c>
      <c r="BE26" s="110"/>
      <c r="BF26" s="110"/>
      <c r="BG26" s="110"/>
      <c r="BH26" s="109"/>
    </row>
    <row r="27" spans="1:61" s="111" customFormat="1" ht="30" customHeight="1" x14ac:dyDescent="0.2">
      <c r="A27" s="97" t="str">
        <f t="shared" si="1"/>
        <v>SEI 073</v>
      </c>
      <c r="B27" s="97" t="s">
        <v>32</v>
      </c>
      <c r="C27" s="112" t="s">
        <v>101</v>
      </c>
      <c r="D27" s="114" t="s">
        <v>102</v>
      </c>
      <c r="E27" s="101" t="s">
        <v>37</v>
      </c>
      <c r="F27" s="101" t="s">
        <v>38</v>
      </c>
      <c r="G27" s="101">
        <v>15</v>
      </c>
      <c r="H27" s="101">
        <v>1029.4333333333334</v>
      </c>
      <c r="I27" s="160" t="s">
        <v>146</v>
      </c>
      <c r="J27" s="101">
        <v>15441.5</v>
      </c>
      <c r="K27" s="101" t="s">
        <v>37</v>
      </c>
      <c r="L27" s="102">
        <v>1311</v>
      </c>
      <c r="M27" s="115">
        <v>0</v>
      </c>
      <c r="N27" s="101" t="s">
        <v>37</v>
      </c>
      <c r="O27" s="102">
        <v>1713</v>
      </c>
      <c r="P27" s="115">
        <v>566.5</v>
      </c>
      <c r="Q27" s="115">
        <v>835.5</v>
      </c>
      <c r="R27" s="103">
        <f t="shared" si="2"/>
        <v>463.245</v>
      </c>
      <c r="S27" s="101" t="s">
        <v>37</v>
      </c>
      <c r="T27" s="102">
        <v>1712</v>
      </c>
      <c r="U27" s="104">
        <f t="shared" si="3"/>
        <v>1298.7449999999999</v>
      </c>
      <c r="V27" s="101"/>
      <c r="W27" s="102"/>
      <c r="X27" s="104"/>
      <c r="Y27" s="104">
        <f t="shared" si="4"/>
        <v>17306.744999999999</v>
      </c>
      <c r="Z27" s="101" t="s">
        <v>39</v>
      </c>
      <c r="AA27" s="102">
        <v>1431</v>
      </c>
      <c r="AB27" s="104">
        <f t="shared" si="5"/>
        <v>1466.9425000000001</v>
      </c>
      <c r="AC27" s="101" t="s">
        <v>39</v>
      </c>
      <c r="AD27" s="105" t="s">
        <v>40</v>
      </c>
      <c r="AE27" s="115">
        <v>0</v>
      </c>
      <c r="AF27" s="101" t="s">
        <v>39</v>
      </c>
      <c r="AG27" s="105" t="s">
        <v>41</v>
      </c>
      <c r="AH27" s="103">
        <f t="shared" si="6"/>
        <v>3376.71</v>
      </c>
      <c r="AI27" s="101" t="s">
        <v>39</v>
      </c>
      <c r="AJ27" s="105" t="s">
        <v>42</v>
      </c>
      <c r="AK27" s="103">
        <v>0</v>
      </c>
      <c r="AL27" s="101" t="s">
        <v>39</v>
      </c>
      <c r="AM27" s="105" t="s">
        <v>43</v>
      </c>
      <c r="AN27" s="115">
        <v>0</v>
      </c>
      <c r="AO27" s="101" t="s">
        <v>39</v>
      </c>
      <c r="AP27" s="105">
        <v>1431</v>
      </c>
      <c r="AQ27" s="103">
        <v>0</v>
      </c>
      <c r="AR27" s="104">
        <f t="shared" si="8"/>
        <v>4843.6525000000001</v>
      </c>
      <c r="AS27" s="106">
        <f t="shared" si="9"/>
        <v>12463.092499999999</v>
      </c>
      <c r="AT27" s="113"/>
      <c r="AU27" s="108"/>
      <c r="AV27" s="111">
        <f t="shared" si="10"/>
        <v>15</v>
      </c>
      <c r="AW27" s="109">
        <f t="shared" si="11"/>
        <v>17306.745000000003</v>
      </c>
      <c r="AX27" s="119">
        <f>IFERROR(+AW27/AV27,0)*AV27</f>
        <v>17306.745000000003</v>
      </c>
      <c r="AY27" s="119">
        <f>IFERROR(+LOOKUP(AX27,[11]TARIFAS!$A$4:$B$14,[11]TARIFAS!$A$4:$A$14),0)</f>
        <v>16153.06</v>
      </c>
      <c r="AZ27" s="119">
        <f>+AX27-AY27</f>
        <v>1153.6850000000031</v>
      </c>
      <c r="BA27" s="119">
        <f>IFERROR(+LOOKUP(AX27,[11]TARIFAS!$A$4:$B$14,[11]TARIFAS!$D$4:$D$14),0)</f>
        <v>30</v>
      </c>
      <c r="BB27" s="119">
        <f>(+AZ27*BA27)/100</f>
        <v>346.10550000000092</v>
      </c>
      <c r="BC27" s="119">
        <f>IFERROR(+LOOKUP(AX27,[11]TARIFAS!$A$4:$B$14,[11]TARIFAS!$C$4:$C$14),0)</f>
        <v>3030.6</v>
      </c>
      <c r="BD27" s="119">
        <f>ROUND(+BB27+BC27,2)</f>
        <v>3376.71</v>
      </c>
      <c r="BE27" s="119"/>
      <c r="BF27" s="119"/>
      <c r="BG27" s="119"/>
      <c r="BI27" s="120"/>
    </row>
    <row r="28" spans="1:61" s="111" customFormat="1" ht="30" customHeight="1" x14ac:dyDescent="0.2">
      <c r="A28" s="97" t="str">
        <f t="shared" si="1"/>
        <v>SEI 074</v>
      </c>
      <c r="B28" s="97" t="s">
        <v>32</v>
      </c>
      <c r="C28" s="112" t="s">
        <v>103</v>
      </c>
      <c r="D28" s="114" t="s">
        <v>104</v>
      </c>
      <c r="E28" s="101" t="s">
        <v>37</v>
      </c>
      <c r="F28" s="101" t="s">
        <v>38</v>
      </c>
      <c r="G28" s="101">
        <v>15</v>
      </c>
      <c r="H28" s="101">
        <v>1958.6333333333334</v>
      </c>
      <c r="I28" s="160" t="s">
        <v>148</v>
      </c>
      <c r="J28" s="101">
        <v>29379.5</v>
      </c>
      <c r="K28" s="101" t="s">
        <v>37</v>
      </c>
      <c r="L28" s="102">
        <v>1311</v>
      </c>
      <c r="M28" s="115">
        <v>0</v>
      </c>
      <c r="N28" s="101" t="s">
        <v>37</v>
      </c>
      <c r="O28" s="102">
        <v>1713</v>
      </c>
      <c r="P28" s="116">
        <v>808.5</v>
      </c>
      <c r="Q28" s="115">
        <v>1144</v>
      </c>
      <c r="R28" s="103">
        <f t="shared" si="2"/>
        <v>881.38499999999999</v>
      </c>
      <c r="S28" s="101" t="s">
        <v>37</v>
      </c>
      <c r="T28" s="102">
        <v>1712</v>
      </c>
      <c r="U28" s="104">
        <f t="shared" si="3"/>
        <v>2025.385</v>
      </c>
      <c r="V28" s="101"/>
      <c r="W28" s="102"/>
      <c r="X28" s="104"/>
      <c r="Y28" s="104">
        <f t="shared" si="4"/>
        <v>32213.384999999998</v>
      </c>
      <c r="Z28" s="101" t="s">
        <v>39</v>
      </c>
      <c r="AA28" s="102">
        <v>1431</v>
      </c>
      <c r="AB28" s="104">
        <f t="shared" si="5"/>
        <v>2791.0525000000002</v>
      </c>
      <c r="AC28" s="101" t="s">
        <v>39</v>
      </c>
      <c r="AD28" s="105" t="s">
        <v>40</v>
      </c>
      <c r="AE28" s="115">
        <v>4897</v>
      </c>
      <c r="AF28" s="101" t="s">
        <v>39</v>
      </c>
      <c r="AG28" s="105" t="s">
        <v>41</v>
      </c>
      <c r="AH28" s="103">
        <f t="shared" si="6"/>
        <v>7876.11</v>
      </c>
      <c r="AI28" s="101" t="s">
        <v>39</v>
      </c>
      <c r="AJ28" s="105" t="s">
        <v>42</v>
      </c>
      <c r="AK28" s="103">
        <v>0</v>
      </c>
      <c r="AL28" s="101" t="s">
        <v>39</v>
      </c>
      <c r="AM28" s="105" t="s">
        <v>43</v>
      </c>
      <c r="AN28" s="115">
        <v>0</v>
      </c>
      <c r="AO28" s="101" t="s">
        <v>39</v>
      </c>
      <c r="AP28" s="105">
        <v>1431</v>
      </c>
      <c r="AQ28" s="103">
        <v>0</v>
      </c>
      <c r="AR28" s="104">
        <f t="shared" si="8"/>
        <v>15564.162499999999</v>
      </c>
      <c r="AS28" s="106">
        <f t="shared" si="9"/>
        <v>16649.2225</v>
      </c>
      <c r="AT28" s="113"/>
      <c r="AU28" s="108"/>
      <c r="AV28" s="109">
        <f t="shared" si="10"/>
        <v>15</v>
      </c>
      <c r="AW28" s="109">
        <f t="shared" si="11"/>
        <v>32213.384999999998</v>
      </c>
      <c r="AX28" s="110">
        <f t="shared" si="12"/>
        <v>32213.384999999995</v>
      </c>
      <c r="AY28" s="110">
        <f>IFERROR(+LOOKUP(AX28,[11]TARIFAS!$A$4:$B$14,[11]TARIFAS!$A$4:$A$14),0)</f>
        <v>30838.81</v>
      </c>
      <c r="AZ28" s="110">
        <f t="shared" si="13"/>
        <v>1374.5749999999935</v>
      </c>
      <c r="BA28" s="110">
        <f>IFERROR(+LOOKUP(AX28,[11]TARIFAS!$A$4:$B$14,[11]TARIFAS!$D$4:$D$14),0)</f>
        <v>32</v>
      </c>
      <c r="BB28" s="110">
        <f t="shared" si="14"/>
        <v>439.86399999999793</v>
      </c>
      <c r="BC28" s="110">
        <f>IFERROR(+LOOKUP(AX28,[11]TARIFAS!$A$4:$B$14,[11]TARIFAS!$C$4:$C$14),0)</f>
        <v>7436.25</v>
      </c>
      <c r="BD28" s="110">
        <f t="shared" si="15"/>
        <v>7876.11</v>
      </c>
      <c r="BE28" s="110"/>
      <c r="BF28" s="110"/>
      <c r="BG28" s="110"/>
      <c r="BH28" s="109"/>
    </row>
    <row r="29" spans="1:61" s="111" customFormat="1" ht="30" customHeight="1" x14ac:dyDescent="0.2">
      <c r="A29" s="97" t="str">
        <f t="shared" si="1"/>
        <v>SEI 077</v>
      </c>
      <c r="B29" s="97" t="s">
        <v>32</v>
      </c>
      <c r="C29" s="112" t="s">
        <v>108</v>
      </c>
      <c r="D29" s="114" t="s">
        <v>109</v>
      </c>
      <c r="E29" s="101" t="s">
        <v>37</v>
      </c>
      <c r="F29" s="101" t="s">
        <v>38</v>
      </c>
      <c r="G29" s="101">
        <v>15</v>
      </c>
      <c r="H29" s="101">
        <v>421.49</v>
      </c>
      <c r="I29" s="160" t="s">
        <v>151</v>
      </c>
      <c r="J29" s="101">
        <v>6572.35</v>
      </c>
      <c r="K29" s="101" t="s">
        <v>37</v>
      </c>
      <c r="L29" s="102">
        <v>1311</v>
      </c>
      <c r="M29" s="115">
        <v>0</v>
      </c>
      <c r="N29" s="101" t="s">
        <v>37</v>
      </c>
      <c r="O29" s="102">
        <v>1713</v>
      </c>
      <c r="P29" s="116">
        <v>351.5</v>
      </c>
      <c r="Q29" s="115">
        <v>406.32</v>
      </c>
      <c r="R29" s="103">
        <f t="shared" si="2"/>
        <v>197.1705</v>
      </c>
      <c r="S29" s="101" t="s">
        <v>37</v>
      </c>
      <c r="T29" s="102">
        <v>1712</v>
      </c>
      <c r="U29" s="104">
        <f t="shared" si="3"/>
        <v>603.4905</v>
      </c>
      <c r="V29" s="101"/>
      <c r="W29" s="102"/>
      <c r="X29" s="104"/>
      <c r="Y29" s="104">
        <f t="shared" si="4"/>
        <v>7527.3405000000002</v>
      </c>
      <c r="Z29" s="101" t="s">
        <v>39</v>
      </c>
      <c r="AA29" s="102">
        <v>1431</v>
      </c>
      <c r="AB29" s="104">
        <f t="shared" si="5"/>
        <v>624.3732500000001</v>
      </c>
      <c r="AC29" s="101" t="s">
        <v>39</v>
      </c>
      <c r="AD29" s="105" t="s">
        <v>40</v>
      </c>
      <c r="AE29" s="115">
        <v>96.05</v>
      </c>
      <c r="AF29" s="101" t="s">
        <v>39</v>
      </c>
      <c r="AG29" s="105" t="s">
        <v>41</v>
      </c>
      <c r="AH29" s="103">
        <f t="shared" si="6"/>
        <v>1060.6500000000001</v>
      </c>
      <c r="AI29" s="101" t="s">
        <v>39</v>
      </c>
      <c r="AJ29" s="105" t="s">
        <v>42</v>
      </c>
      <c r="AK29" s="103">
        <v>0</v>
      </c>
      <c r="AL29" s="101" t="s">
        <v>39</v>
      </c>
      <c r="AM29" s="105" t="s">
        <v>43</v>
      </c>
      <c r="AN29" s="115">
        <v>0</v>
      </c>
      <c r="AO29" s="101" t="s">
        <v>39</v>
      </c>
      <c r="AP29" s="105">
        <v>1431</v>
      </c>
      <c r="AQ29" s="103">
        <v>0</v>
      </c>
      <c r="AR29" s="104">
        <f t="shared" si="8"/>
        <v>1781.0732500000001</v>
      </c>
      <c r="AS29" s="106">
        <f t="shared" si="9"/>
        <v>5746.2672499999999</v>
      </c>
      <c r="AT29" s="113"/>
      <c r="AU29" s="108"/>
      <c r="AV29" s="109">
        <f t="shared" si="10"/>
        <v>15</v>
      </c>
      <c r="AW29" s="109">
        <f t="shared" si="11"/>
        <v>7527.3405000000002</v>
      </c>
      <c r="AX29" s="110">
        <f t="shared" si="12"/>
        <v>7527.3405000000002</v>
      </c>
      <c r="AY29" s="110">
        <f>IFERROR(+LOOKUP(AX29,[11]TARIFAS!$A$4:$B$14,[11]TARIFAS!$A$4:$A$14),0)</f>
        <v>5081.41</v>
      </c>
      <c r="AZ29" s="110">
        <f t="shared" si="13"/>
        <v>2445.9305000000004</v>
      </c>
      <c r="BA29" s="110">
        <f>IFERROR(+LOOKUP(AX29,[11]TARIFAS!$A$4:$B$14,[11]TARIFAS!$D$4:$D$14),0)</f>
        <v>21.36</v>
      </c>
      <c r="BB29" s="110">
        <f t="shared" si="14"/>
        <v>522.45075480000003</v>
      </c>
      <c r="BC29" s="110">
        <f>IFERROR(+LOOKUP(AX29,[11]TARIFAS!$A$4:$B$14,[11]TARIFAS!$C$4:$C$14),0)</f>
        <v>538.20000000000005</v>
      </c>
      <c r="BD29" s="110">
        <f>ROUND(+BB29+BC29,2)</f>
        <v>1060.6500000000001</v>
      </c>
      <c r="BE29" s="110"/>
      <c r="BF29" s="110"/>
      <c r="BG29" s="110"/>
      <c r="BH29" s="109"/>
    </row>
    <row r="30" spans="1:61" s="111" customFormat="1" ht="30" customHeight="1" x14ac:dyDescent="0.2">
      <c r="A30" s="97" t="str">
        <f t="shared" si="1"/>
        <v>SEI 078</v>
      </c>
      <c r="B30" s="97" t="s">
        <v>32</v>
      </c>
      <c r="C30" s="112" t="s">
        <v>106</v>
      </c>
      <c r="D30" s="114" t="s">
        <v>107</v>
      </c>
      <c r="E30" s="101" t="s">
        <v>37</v>
      </c>
      <c r="F30" s="101" t="s">
        <v>38</v>
      </c>
      <c r="G30" s="101">
        <v>15</v>
      </c>
      <c r="H30" s="101">
        <v>1029.4333333333334</v>
      </c>
      <c r="I30" s="160" t="s">
        <v>151</v>
      </c>
      <c r="J30" s="101">
        <v>15441.5</v>
      </c>
      <c r="K30" s="101" t="s">
        <v>37</v>
      </c>
      <c r="L30" s="102">
        <v>1311</v>
      </c>
      <c r="M30" s="103">
        <f>67.29</f>
        <v>67.290000000000006</v>
      </c>
      <c r="N30" s="101" t="s">
        <v>37</v>
      </c>
      <c r="O30" s="102">
        <v>1713</v>
      </c>
      <c r="P30" s="103">
        <v>566.5</v>
      </c>
      <c r="Q30" s="103">
        <v>835.5</v>
      </c>
      <c r="R30" s="103">
        <f t="shared" si="2"/>
        <v>463.245</v>
      </c>
      <c r="S30" s="101" t="s">
        <v>37</v>
      </c>
      <c r="T30" s="102">
        <v>1712</v>
      </c>
      <c r="U30" s="104">
        <f t="shared" si="3"/>
        <v>1298.7449999999999</v>
      </c>
      <c r="V30" s="101"/>
      <c r="W30" s="102"/>
      <c r="X30" s="104"/>
      <c r="Y30" s="104">
        <f t="shared" si="4"/>
        <v>17374.035</v>
      </c>
      <c r="Z30" s="101" t="s">
        <v>39</v>
      </c>
      <c r="AA30" s="102">
        <v>1431</v>
      </c>
      <c r="AB30" s="104">
        <f t="shared" si="5"/>
        <v>1466.9425000000001</v>
      </c>
      <c r="AC30" s="101" t="s">
        <v>39</v>
      </c>
      <c r="AD30" s="105" t="s">
        <v>40</v>
      </c>
      <c r="AE30" s="115">
        <v>0</v>
      </c>
      <c r="AF30" s="101" t="s">
        <v>39</v>
      </c>
      <c r="AG30" s="105" t="s">
        <v>41</v>
      </c>
      <c r="AH30" s="103">
        <f t="shared" si="6"/>
        <v>3396.89</v>
      </c>
      <c r="AI30" s="101" t="s">
        <v>39</v>
      </c>
      <c r="AJ30" s="105" t="s">
        <v>42</v>
      </c>
      <c r="AK30" s="103">
        <v>0</v>
      </c>
      <c r="AL30" s="101" t="s">
        <v>39</v>
      </c>
      <c r="AM30" s="105" t="s">
        <v>43</v>
      </c>
      <c r="AN30" s="115">
        <v>0</v>
      </c>
      <c r="AO30" s="101" t="s">
        <v>39</v>
      </c>
      <c r="AP30" s="105">
        <v>1431</v>
      </c>
      <c r="AQ30" s="103">
        <v>0</v>
      </c>
      <c r="AR30" s="104">
        <f t="shared" si="8"/>
        <v>4863.8325000000004</v>
      </c>
      <c r="AS30" s="106">
        <f t="shared" si="9"/>
        <v>12510.202499999999</v>
      </c>
      <c r="AT30" s="113"/>
      <c r="AU30" s="108"/>
      <c r="AV30" s="109">
        <f t="shared" si="10"/>
        <v>15</v>
      </c>
      <c r="AW30" s="109">
        <f t="shared" si="11"/>
        <v>17374.035000000003</v>
      </c>
      <c r="AX30" s="110">
        <f t="shared" si="12"/>
        <v>17374.035000000003</v>
      </c>
      <c r="AY30" s="110">
        <f>IFERROR(+LOOKUP(AX30,[11]TARIFAS!$A$4:$B$14,[11]TARIFAS!$A$4:$A$14),0)</f>
        <v>16153.06</v>
      </c>
      <c r="AZ30" s="110">
        <f t="shared" si="13"/>
        <v>1220.975000000004</v>
      </c>
      <c r="BA30" s="110">
        <f>IFERROR(+LOOKUP(AX30,[11]TARIFAS!$A$4:$B$14,[11]TARIFAS!$D$4:$D$14),0)</f>
        <v>30</v>
      </c>
      <c r="BB30" s="110">
        <f t="shared" si="14"/>
        <v>366.29250000000116</v>
      </c>
      <c r="BC30" s="110">
        <f>IFERROR(+LOOKUP(AX30,[11]TARIFAS!$A$4:$B$14,[11]TARIFAS!$C$4:$C$14),0)</f>
        <v>3030.6</v>
      </c>
      <c r="BD30" s="110">
        <f t="shared" si="15"/>
        <v>3396.89</v>
      </c>
      <c r="BE30" s="110"/>
      <c r="BF30" s="110"/>
      <c r="BG30" s="110"/>
      <c r="BH30" s="109"/>
    </row>
    <row r="31" spans="1:61" s="111" customFormat="1" ht="30" customHeight="1" x14ac:dyDescent="0.2">
      <c r="A31" s="97" t="str">
        <f t="shared" si="1"/>
        <v>SEI 079</v>
      </c>
      <c r="B31" s="97" t="s">
        <v>32</v>
      </c>
      <c r="C31" s="112" t="s">
        <v>124</v>
      </c>
      <c r="D31" s="114" t="s">
        <v>125</v>
      </c>
      <c r="E31" s="101" t="s">
        <v>37</v>
      </c>
      <c r="F31" s="101" t="s">
        <v>38</v>
      </c>
      <c r="G31" s="101">
        <v>15</v>
      </c>
      <c r="H31" s="101">
        <v>325.036</v>
      </c>
      <c r="I31" s="163" t="s">
        <v>150</v>
      </c>
      <c r="J31" s="101">
        <v>5063.04</v>
      </c>
      <c r="K31" s="101" t="s">
        <v>37</v>
      </c>
      <c r="L31" s="102">
        <v>1311</v>
      </c>
      <c r="M31" s="115">
        <v>0</v>
      </c>
      <c r="N31" s="101" t="s">
        <v>37</v>
      </c>
      <c r="O31" s="102">
        <v>1713</v>
      </c>
      <c r="P31" s="115">
        <v>207.91</v>
      </c>
      <c r="Q31" s="115">
        <v>371.02</v>
      </c>
      <c r="R31" s="103">
        <f t="shared" si="2"/>
        <v>151.8912</v>
      </c>
      <c r="S31" s="101" t="s">
        <v>37</v>
      </c>
      <c r="T31" s="102">
        <v>1712</v>
      </c>
      <c r="U31" s="104">
        <f t="shared" si="3"/>
        <v>522.91120000000001</v>
      </c>
      <c r="V31" s="101"/>
      <c r="W31" s="102"/>
      <c r="X31" s="104"/>
      <c r="Y31" s="104">
        <f t="shared" si="4"/>
        <v>5793.8611999999994</v>
      </c>
      <c r="Z31" s="101" t="s">
        <v>39</v>
      </c>
      <c r="AA31" s="102">
        <v>1431</v>
      </c>
      <c r="AB31" s="104">
        <f t="shared" si="5"/>
        <v>480.98880000000003</v>
      </c>
      <c r="AC31" s="101" t="s">
        <v>39</v>
      </c>
      <c r="AD31" s="105" t="s">
        <v>40</v>
      </c>
      <c r="AE31" s="115">
        <v>0</v>
      </c>
      <c r="AF31" s="101" t="s">
        <v>39</v>
      </c>
      <c r="AG31" s="105" t="s">
        <v>41</v>
      </c>
      <c r="AH31" s="103">
        <f t="shared" si="6"/>
        <v>690.38</v>
      </c>
      <c r="AI31" s="101" t="s">
        <v>39</v>
      </c>
      <c r="AJ31" s="105" t="s">
        <v>42</v>
      </c>
      <c r="AK31" s="103">
        <v>0</v>
      </c>
      <c r="AL31" s="101" t="s">
        <v>39</v>
      </c>
      <c r="AM31" s="105" t="s">
        <v>43</v>
      </c>
      <c r="AN31" s="115">
        <v>0</v>
      </c>
      <c r="AO31" s="101" t="s">
        <v>39</v>
      </c>
      <c r="AP31" s="105">
        <v>1431</v>
      </c>
      <c r="AQ31" s="103">
        <v>0</v>
      </c>
      <c r="AR31" s="104">
        <f t="shared" si="8"/>
        <v>1171.3688</v>
      </c>
      <c r="AS31" s="106">
        <f t="shared" si="9"/>
        <v>4622.4923999999992</v>
      </c>
      <c r="AT31" s="113"/>
      <c r="AU31" s="108"/>
      <c r="AV31" s="109">
        <f>+G31</f>
        <v>15</v>
      </c>
      <c r="AW31" s="109">
        <f>+J31+R31+M31+P31+Q31+X31</f>
        <v>5793.8611999999994</v>
      </c>
      <c r="AX31" s="110">
        <f>IFERROR(+AW31/AV31,0)*AV31</f>
        <v>5793.8611999999994</v>
      </c>
      <c r="AY31" s="110">
        <f>IFERROR(+LOOKUP(AX31,[11]TARIFAS!$A$4:$B$14,[11]TARIFAS!$A$4:$A$14),0)</f>
        <v>5081.41</v>
      </c>
      <c r="AZ31" s="110">
        <f>+AX31-AY31</f>
        <v>712.45119999999952</v>
      </c>
      <c r="BA31" s="110">
        <f>IFERROR(+LOOKUP(AX31,[11]TARIFAS!$A$4:$B$14,[11]TARIFAS!$D$4:$D$14),0)</f>
        <v>21.36</v>
      </c>
      <c r="BB31" s="110">
        <f>(+AZ31*BA31)/100</f>
        <v>152.17957631999988</v>
      </c>
      <c r="BC31" s="110">
        <f>IFERROR(+LOOKUP(AX31,[11]TARIFAS!$A$4:$B$14,[11]TARIFAS!$C$4:$C$14),0)</f>
        <v>538.20000000000005</v>
      </c>
      <c r="BD31" s="110">
        <f>ROUND(+BB31+BC31,2)</f>
        <v>690.38</v>
      </c>
      <c r="BE31" s="110"/>
      <c r="BF31" s="110"/>
      <c r="BG31" s="110"/>
      <c r="BH31" s="109"/>
    </row>
    <row r="32" spans="1:61" s="111" customFormat="1" ht="30" customHeight="1" thickBot="1" x14ac:dyDescent="0.25">
      <c r="A32" s="97" t="str">
        <f t="shared" si="1"/>
        <v>SEI 080</v>
      </c>
      <c r="B32" s="97" t="s">
        <v>32</v>
      </c>
      <c r="C32" s="112" t="s">
        <v>128</v>
      </c>
      <c r="D32" s="114" t="s">
        <v>129</v>
      </c>
      <c r="E32" s="101" t="s">
        <v>37</v>
      </c>
      <c r="F32" s="101" t="s">
        <v>38</v>
      </c>
      <c r="G32" s="101">
        <v>11</v>
      </c>
      <c r="H32" s="101">
        <v>421.49</v>
      </c>
      <c r="I32" s="163" t="s">
        <v>147</v>
      </c>
      <c r="J32" s="101">
        <v>6572.35</v>
      </c>
      <c r="K32" s="101" t="s">
        <v>37</v>
      </c>
      <c r="L32" s="102">
        <v>1311</v>
      </c>
      <c r="M32" s="115">
        <v>0</v>
      </c>
      <c r="N32" s="101" t="s">
        <v>37</v>
      </c>
      <c r="O32" s="102">
        <v>1713</v>
      </c>
      <c r="P32" s="116">
        <f>23.43*15</f>
        <v>351.45</v>
      </c>
      <c r="Q32" s="115">
        <f>27.09*15</f>
        <v>406.35</v>
      </c>
      <c r="R32" s="103">
        <f t="shared" si="2"/>
        <v>197.1705</v>
      </c>
      <c r="S32" s="101" t="s">
        <v>37</v>
      </c>
      <c r="T32" s="102">
        <v>1712</v>
      </c>
      <c r="U32" s="104">
        <f t="shared" si="3"/>
        <v>603.52050000000008</v>
      </c>
      <c r="V32" s="101"/>
      <c r="W32" s="102"/>
      <c r="X32" s="104"/>
      <c r="Y32" s="104">
        <f t="shared" si="4"/>
        <v>7527.3204999999998</v>
      </c>
      <c r="Z32" s="101" t="s">
        <v>39</v>
      </c>
      <c r="AA32" s="102">
        <v>1431</v>
      </c>
      <c r="AB32" s="104">
        <f t="shared" si="5"/>
        <v>624.3732500000001</v>
      </c>
      <c r="AC32" s="101" t="s">
        <v>39</v>
      </c>
      <c r="AD32" s="105" t="s">
        <v>40</v>
      </c>
      <c r="AE32" s="115">
        <v>0</v>
      </c>
      <c r="AF32" s="101" t="s">
        <v>39</v>
      </c>
      <c r="AG32" s="105" t="s">
        <v>41</v>
      </c>
      <c r="AH32" s="103">
        <f t="shared" si="6"/>
        <v>1060.6500000000001</v>
      </c>
      <c r="AI32" s="101" t="s">
        <v>39</v>
      </c>
      <c r="AJ32" s="105" t="s">
        <v>42</v>
      </c>
      <c r="AK32" s="103">
        <v>0</v>
      </c>
      <c r="AL32" s="101" t="s">
        <v>39</v>
      </c>
      <c r="AM32" s="105" t="s">
        <v>43</v>
      </c>
      <c r="AN32" s="115">
        <v>0</v>
      </c>
      <c r="AO32" s="101" t="s">
        <v>39</v>
      </c>
      <c r="AP32" s="105">
        <v>1431</v>
      </c>
      <c r="AQ32" s="103">
        <v>0</v>
      </c>
      <c r="AR32" s="104">
        <f t="shared" si="8"/>
        <v>1685.0232500000002</v>
      </c>
      <c r="AS32" s="106">
        <f t="shared" si="9"/>
        <v>5842.2972499999996</v>
      </c>
      <c r="AT32" s="113"/>
      <c r="AU32" s="108"/>
      <c r="AV32" s="109">
        <f t="shared" si="10"/>
        <v>11</v>
      </c>
      <c r="AW32" s="109">
        <f t="shared" si="11"/>
        <v>7527.3205000000007</v>
      </c>
      <c r="AX32" s="110">
        <f t="shared" si="12"/>
        <v>7527.3205000000007</v>
      </c>
      <c r="AY32" s="110">
        <f>IFERROR(+LOOKUP(AX32,[11]TARIFAS!$A$4:$B$14,[11]TARIFAS!$A$4:$A$14),0)</f>
        <v>5081.41</v>
      </c>
      <c r="AZ32" s="110">
        <f t="shared" si="13"/>
        <v>2445.9105000000009</v>
      </c>
      <c r="BA32" s="110">
        <f>IFERROR(+LOOKUP(AX32,[11]TARIFAS!$A$4:$B$14,[11]TARIFAS!$D$4:$D$14),0)</f>
        <v>21.36</v>
      </c>
      <c r="BB32" s="110">
        <f t="shared" si="14"/>
        <v>522.44648280000013</v>
      </c>
      <c r="BC32" s="110">
        <f>IFERROR(+LOOKUP(AX32,[11]TARIFAS!$A$4:$B$14,[11]TARIFAS!$C$4:$C$14),0)</f>
        <v>538.20000000000005</v>
      </c>
      <c r="BD32" s="110">
        <f t="shared" si="15"/>
        <v>1060.6500000000001</v>
      </c>
      <c r="BE32" s="110"/>
      <c r="BF32" s="110"/>
      <c r="BG32" s="110"/>
      <c r="BH32" s="109"/>
    </row>
    <row r="33" spans="1:46" s="128" customFormat="1" ht="21" customHeight="1" thickBot="1" x14ac:dyDescent="0.25">
      <c r="A33" s="121"/>
      <c r="B33" s="122"/>
      <c r="C33" s="123"/>
      <c r="D33" s="123" t="s">
        <v>110</v>
      </c>
      <c r="E33" s="124"/>
      <c r="F33" s="124"/>
      <c r="G33" s="124"/>
      <c r="H33" s="124"/>
      <c r="I33" s="124"/>
      <c r="J33" s="124">
        <f>SUM(J5:J32)</f>
        <v>224809.42000000004</v>
      </c>
      <c r="K33" s="124"/>
      <c r="L33" s="124"/>
      <c r="M33" s="124">
        <f>SUM(M5:M32)</f>
        <v>2495.1849999999995</v>
      </c>
      <c r="N33" s="124"/>
      <c r="O33" s="124"/>
      <c r="P33" s="124">
        <f>SUM(P5:P32)</f>
        <v>9635.7199999999993</v>
      </c>
      <c r="Q33" s="124">
        <f>SUM(Q5:Q32)</f>
        <v>13085.32</v>
      </c>
      <c r="R33" s="124">
        <f>SUM(R5:R32)</f>
        <v>6744.2826000000014</v>
      </c>
      <c r="S33" s="124"/>
      <c r="T33" s="124"/>
      <c r="U33" s="124">
        <f>SUM(U5:U32)</f>
        <v>19829.602599999995</v>
      </c>
      <c r="V33" s="124"/>
      <c r="W33" s="125"/>
      <c r="X33" s="124">
        <f>SUM(X5:X30)</f>
        <v>0</v>
      </c>
      <c r="Y33" s="124">
        <f>SUM(Y5:Y32)</f>
        <v>256769.92759999997</v>
      </c>
      <c r="Z33" s="124"/>
      <c r="AA33" s="125"/>
      <c r="AB33" s="124">
        <f>SUM(AB5:AB32)</f>
        <v>21356.894900000007</v>
      </c>
      <c r="AC33" s="124"/>
      <c r="AD33" s="125"/>
      <c r="AE33" s="126">
        <f>SUM(AE5:AE32)</f>
        <v>21496.46</v>
      </c>
      <c r="AF33" s="124"/>
      <c r="AG33" s="125"/>
      <c r="AH33" s="124">
        <f>SUM(AH5:AH32)</f>
        <v>41754.620000000003</v>
      </c>
      <c r="AI33" s="124"/>
      <c r="AJ33" s="125"/>
      <c r="AK33" s="126">
        <f>SUM(AK5:AK32)</f>
        <v>1076.269</v>
      </c>
      <c r="AL33" s="124"/>
      <c r="AM33" s="125"/>
      <c r="AN33" s="124">
        <f>SUM(AN5:AN32)</f>
        <v>0</v>
      </c>
      <c r="AO33" s="124"/>
      <c r="AP33" s="125"/>
      <c r="AQ33" s="124">
        <f>SUM(AQ5:AQ32)</f>
        <v>0</v>
      </c>
      <c r="AR33" s="124">
        <f>SUM(AR5:AR32)</f>
        <v>85684.243900000001</v>
      </c>
      <c r="AS33" s="124">
        <f>SUM(AS5:AS32)</f>
        <v>171085.68369999999</v>
      </c>
      <c r="AT33" s="127"/>
    </row>
    <row r="34" spans="1:46" s="128" customFormat="1" ht="21" customHeight="1" x14ac:dyDescent="0.2">
      <c r="A34" s="129"/>
      <c r="B34" s="129"/>
      <c r="C34" s="130"/>
      <c r="D34" s="130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1"/>
      <c r="X34" s="129"/>
      <c r="Y34" s="129"/>
      <c r="Z34" s="129"/>
      <c r="AA34" s="131"/>
      <c r="AB34" s="129"/>
      <c r="AC34" s="129"/>
      <c r="AD34" s="131"/>
      <c r="AE34" s="132"/>
      <c r="AF34" s="129"/>
      <c r="AG34" s="131"/>
      <c r="AH34" s="129"/>
      <c r="AI34" s="129"/>
      <c r="AJ34" s="131"/>
      <c r="AK34" s="132"/>
      <c r="AL34" s="129"/>
      <c r="AM34" s="131"/>
      <c r="AN34" s="129"/>
      <c r="AO34" s="129"/>
      <c r="AP34" s="131"/>
      <c r="AQ34" s="129"/>
      <c r="AR34" s="129"/>
      <c r="AS34" s="129"/>
      <c r="AT34" s="129"/>
    </row>
    <row r="35" spans="1:46" ht="15.75" x14ac:dyDescent="0.2">
      <c r="A35" s="133"/>
      <c r="B35" s="133"/>
      <c r="C35" s="134"/>
      <c r="D35" s="173" t="s">
        <v>111</v>
      </c>
      <c r="E35" s="173"/>
      <c r="F35" s="173"/>
      <c r="G35" s="173"/>
      <c r="H35" s="173"/>
      <c r="I35" s="173"/>
      <c r="J35" s="173"/>
      <c r="K35" s="135"/>
      <c r="L35" s="135"/>
      <c r="N35" s="135"/>
      <c r="O35" s="136"/>
      <c r="P35" s="137"/>
      <c r="Q35" s="138"/>
      <c r="R35" s="173"/>
      <c r="S35" s="173"/>
      <c r="T35" s="173"/>
      <c r="U35" s="173"/>
      <c r="V35" s="173"/>
      <c r="W35" s="173"/>
      <c r="X35" s="173"/>
      <c r="Y35" s="173"/>
      <c r="Z35" s="133"/>
      <c r="AA35" s="133"/>
      <c r="AB35" s="133"/>
      <c r="AC35" s="133"/>
      <c r="AD35" s="133"/>
      <c r="AF35" s="133"/>
      <c r="AG35" s="133"/>
      <c r="AH35" s="133"/>
      <c r="AI35" s="133"/>
      <c r="AJ35" s="133"/>
      <c r="AK35" s="173" t="s">
        <v>113</v>
      </c>
      <c r="AL35" s="173"/>
      <c r="AM35" s="173"/>
      <c r="AN35" s="173"/>
      <c r="AO35" s="173"/>
      <c r="AP35" s="173"/>
      <c r="AQ35" s="173"/>
      <c r="AR35" s="173"/>
      <c r="AS35" s="173"/>
    </row>
    <row r="36" spans="1:46" ht="22.5" customHeight="1" x14ac:dyDescent="0.2">
      <c r="A36" s="133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N36" s="141"/>
      <c r="O36" s="142"/>
      <c r="P36" s="141"/>
      <c r="Q36" s="138"/>
      <c r="R36" s="138"/>
      <c r="S36" s="141"/>
      <c r="T36" s="142"/>
      <c r="V36" s="141"/>
      <c r="W36" s="142"/>
      <c r="Y36" s="138"/>
      <c r="Z36" s="141"/>
      <c r="AA36" s="142"/>
      <c r="AB36" s="143"/>
      <c r="AC36" s="141"/>
      <c r="AD36" s="142"/>
      <c r="AE36" s="144"/>
      <c r="AF36" s="141"/>
      <c r="AG36" s="142"/>
      <c r="AH36" s="133"/>
      <c r="AI36" s="141"/>
      <c r="AJ36" s="142"/>
      <c r="AK36" s="145"/>
      <c r="AL36" s="141"/>
      <c r="AM36" s="142"/>
      <c r="AN36" s="133"/>
      <c r="AO36" s="141"/>
      <c r="AP36" s="142"/>
      <c r="AQ36" s="133"/>
      <c r="AS36" s="133"/>
    </row>
    <row r="37" spans="1:46" ht="15.75" x14ac:dyDescent="0.2">
      <c r="A37" s="133"/>
      <c r="B37" s="133"/>
      <c r="C37" s="146"/>
      <c r="D37" s="173" t="s">
        <v>114</v>
      </c>
      <c r="E37" s="173"/>
      <c r="F37" s="173"/>
      <c r="G37" s="173"/>
      <c r="H37" s="173"/>
      <c r="I37" s="173"/>
      <c r="J37" s="173"/>
      <c r="K37" s="135"/>
      <c r="L37" s="135"/>
      <c r="N37" s="135"/>
      <c r="O37" s="136"/>
      <c r="P37" s="138"/>
      <c r="Q37" s="138"/>
      <c r="R37" s="173"/>
      <c r="S37" s="173"/>
      <c r="T37" s="173"/>
      <c r="U37" s="173"/>
      <c r="V37" s="173"/>
      <c r="W37" s="173"/>
      <c r="X37" s="173"/>
      <c r="Y37" s="173"/>
      <c r="Z37" s="133"/>
      <c r="AA37" s="133"/>
      <c r="AB37" s="133"/>
      <c r="AC37" s="133"/>
      <c r="AD37" s="133"/>
      <c r="AF37" s="133"/>
      <c r="AG37" s="133"/>
      <c r="AI37" s="133"/>
      <c r="AJ37" s="133"/>
      <c r="AK37" s="173" t="s">
        <v>115</v>
      </c>
      <c r="AL37" s="173"/>
      <c r="AM37" s="173"/>
      <c r="AN37" s="173"/>
      <c r="AO37" s="173"/>
      <c r="AP37" s="173"/>
      <c r="AQ37" s="173"/>
      <c r="AR37" s="173"/>
      <c r="AS37" s="173"/>
      <c r="AT37" s="133"/>
    </row>
    <row r="38" spans="1:46" ht="15.75" x14ac:dyDescent="0.2">
      <c r="A38" s="133"/>
      <c r="B38" s="133"/>
      <c r="C38" s="146"/>
      <c r="D38" s="173" t="s">
        <v>117</v>
      </c>
      <c r="E38" s="173"/>
      <c r="F38" s="173"/>
      <c r="G38" s="173"/>
      <c r="H38" s="173"/>
      <c r="I38" s="173"/>
      <c r="J38" s="173"/>
      <c r="K38" s="135"/>
      <c r="L38" s="135"/>
      <c r="N38" s="135"/>
      <c r="O38" s="136"/>
      <c r="P38" s="138"/>
      <c r="Q38" s="138"/>
      <c r="R38" s="173"/>
      <c r="S38" s="173"/>
      <c r="T38" s="173"/>
      <c r="U38" s="173"/>
      <c r="V38" s="173"/>
      <c r="W38" s="173"/>
      <c r="X38" s="173"/>
      <c r="Y38" s="173"/>
      <c r="Z38" s="133"/>
      <c r="AA38" s="133"/>
      <c r="AB38" s="133"/>
      <c r="AC38" s="133"/>
      <c r="AD38" s="133"/>
      <c r="AF38" s="133"/>
      <c r="AG38" s="133"/>
      <c r="AI38" s="133"/>
      <c r="AJ38" s="133"/>
      <c r="AK38" s="173" t="s">
        <v>133</v>
      </c>
      <c r="AL38" s="173"/>
      <c r="AM38" s="173"/>
      <c r="AN38" s="173"/>
      <c r="AO38" s="173"/>
      <c r="AP38" s="173"/>
      <c r="AQ38" s="173"/>
      <c r="AR38" s="173"/>
      <c r="AS38" s="173"/>
      <c r="AT38" s="133"/>
    </row>
    <row r="39" spans="1:46" x14ac:dyDescent="0.2">
      <c r="A39" s="133"/>
      <c r="B39" s="133"/>
      <c r="C39" s="146"/>
      <c r="D39" s="146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47"/>
      <c r="P39" s="133"/>
      <c r="S39" s="133"/>
      <c r="T39" s="147"/>
      <c r="V39" s="133"/>
      <c r="W39" s="147"/>
      <c r="Y39" s="133"/>
      <c r="Z39" s="133"/>
      <c r="AA39" s="147"/>
      <c r="AB39" s="133"/>
      <c r="AC39" s="133"/>
      <c r="AD39" s="147"/>
      <c r="AE39" s="148"/>
      <c r="AF39" s="133"/>
      <c r="AG39" s="147"/>
      <c r="AI39" s="133"/>
      <c r="AJ39" s="147"/>
      <c r="AL39" s="133"/>
      <c r="AM39" s="147"/>
      <c r="AO39" s="133"/>
      <c r="AP39" s="147"/>
      <c r="AR39" s="133"/>
      <c r="AS39" s="133"/>
      <c r="AT39" s="133"/>
    </row>
    <row r="40" spans="1:46" x14ac:dyDescent="0.2">
      <c r="C40" s="146"/>
      <c r="D40" s="146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47"/>
      <c r="P40" s="133"/>
      <c r="Q40" s="133"/>
      <c r="R40" s="133"/>
      <c r="S40" s="133"/>
      <c r="T40" s="147"/>
      <c r="U40" s="149"/>
      <c r="V40" s="133"/>
      <c r="W40" s="147"/>
      <c r="X40" s="149"/>
      <c r="Y40" s="133"/>
      <c r="Z40" s="133"/>
      <c r="AA40" s="147"/>
      <c r="AB40" s="133"/>
      <c r="AC40" s="133"/>
      <c r="AD40" s="147"/>
      <c r="AE40" s="150"/>
      <c r="AF40" s="133"/>
      <c r="AG40" s="147"/>
      <c r="AH40" s="133"/>
      <c r="AI40" s="133"/>
      <c r="AJ40" s="147"/>
      <c r="AK40" s="150"/>
      <c r="AL40" s="133"/>
      <c r="AM40" s="147"/>
      <c r="AN40" s="133"/>
      <c r="AO40" s="133"/>
      <c r="AP40" s="147"/>
      <c r="AQ40" s="133"/>
      <c r="AR40" s="133"/>
    </row>
    <row r="41" spans="1:46" x14ac:dyDescent="0.2">
      <c r="C41" s="146"/>
      <c r="D41" s="146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47"/>
      <c r="P41" s="133"/>
      <c r="Q41" s="133"/>
      <c r="R41" s="133"/>
      <c r="S41" s="133"/>
      <c r="T41" s="147"/>
      <c r="U41" s="149"/>
      <c r="V41" s="133"/>
      <c r="W41" s="147"/>
      <c r="X41" s="149"/>
      <c r="Y41" s="133"/>
      <c r="Z41" s="133"/>
      <c r="AA41" s="147"/>
      <c r="AB41" s="133"/>
      <c r="AC41" s="133"/>
      <c r="AD41" s="147"/>
      <c r="AE41" s="150"/>
      <c r="AF41" s="133"/>
      <c r="AG41" s="147"/>
      <c r="AH41" s="133"/>
      <c r="AI41" s="133"/>
      <c r="AJ41" s="147"/>
      <c r="AK41" s="150"/>
      <c r="AL41" s="133"/>
      <c r="AM41" s="147"/>
      <c r="AN41" s="133"/>
      <c r="AO41" s="133"/>
      <c r="AP41" s="147"/>
      <c r="AQ41" s="133"/>
      <c r="AR41" s="133"/>
    </row>
    <row r="42" spans="1:46" x14ac:dyDescent="0.2">
      <c r="C42" s="146"/>
      <c r="D42" s="146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47"/>
      <c r="P42" s="133"/>
      <c r="Q42" s="133"/>
      <c r="R42" s="133"/>
      <c r="S42" s="133"/>
      <c r="T42" s="147"/>
      <c r="U42" s="149"/>
      <c r="V42" s="133"/>
      <c r="W42" s="147"/>
      <c r="X42" s="149"/>
      <c r="Y42" s="133"/>
      <c r="Z42" s="133"/>
      <c r="AA42" s="147"/>
      <c r="AB42" s="133"/>
      <c r="AC42" s="133"/>
      <c r="AD42" s="147"/>
      <c r="AE42" s="150"/>
      <c r="AF42" s="133"/>
      <c r="AG42" s="147"/>
      <c r="AH42" s="133"/>
      <c r="AI42" s="133"/>
      <c r="AJ42" s="147"/>
      <c r="AK42" s="150"/>
      <c r="AL42" s="133"/>
      <c r="AM42" s="147"/>
      <c r="AN42" s="133"/>
      <c r="AO42" s="133"/>
      <c r="AP42" s="147"/>
      <c r="AQ42" s="133"/>
      <c r="AR42" s="133"/>
      <c r="AS42" s="133"/>
    </row>
    <row r="43" spans="1:46" x14ac:dyDescent="0.2">
      <c r="C43" s="146"/>
      <c r="D43" s="146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47"/>
      <c r="P43" s="133"/>
      <c r="Q43" s="133"/>
      <c r="R43" s="133"/>
      <c r="S43" s="133"/>
      <c r="T43" s="147"/>
      <c r="U43" s="149"/>
      <c r="V43" s="133"/>
      <c r="W43" s="147"/>
      <c r="X43" s="149"/>
      <c r="Y43" s="133"/>
      <c r="Z43" s="133"/>
      <c r="AA43" s="147"/>
      <c r="AB43" s="133"/>
      <c r="AC43" s="133"/>
      <c r="AD43" s="147"/>
      <c r="AE43" s="150"/>
      <c r="AF43" s="133"/>
      <c r="AG43" s="147"/>
      <c r="AH43" s="133"/>
      <c r="AI43" s="133"/>
      <c r="AJ43" s="147"/>
      <c r="AK43" s="150"/>
      <c r="AL43" s="133"/>
      <c r="AM43" s="147"/>
      <c r="AN43" s="133"/>
      <c r="AO43" s="133"/>
      <c r="AP43" s="147"/>
      <c r="AQ43" s="133"/>
      <c r="AR43" s="133"/>
      <c r="AS43" s="133"/>
    </row>
    <row r="44" spans="1:46" x14ac:dyDescent="0.2">
      <c r="C44" s="146"/>
      <c r="D44" s="146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47"/>
      <c r="P44" s="133"/>
      <c r="Q44" s="133"/>
      <c r="R44" s="133"/>
      <c r="S44" s="133"/>
      <c r="T44" s="147"/>
      <c r="U44" s="149"/>
      <c r="V44" s="133"/>
      <c r="W44" s="147"/>
      <c r="X44" s="149"/>
      <c r="Y44" s="133"/>
      <c r="Z44" s="133"/>
      <c r="AA44" s="147"/>
      <c r="AB44" s="133"/>
      <c r="AC44" s="133"/>
      <c r="AD44" s="147"/>
      <c r="AE44" s="150"/>
      <c r="AF44" s="133"/>
      <c r="AG44" s="147"/>
      <c r="AH44" s="133"/>
      <c r="AI44" s="133"/>
      <c r="AJ44" s="147"/>
      <c r="AK44" s="150"/>
      <c r="AL44" s="133"/>
      <c r="AM44" s="147"/>
      <c r="AN44" s="133"/>
      <c r="AO44" s="133"/>
      <c r="AP44" s="147"/>
      <c r="AQ44" s="133"/>
      <c r="AR44" s="133"/>
      <c r="AS44" s="133"/>
    </row>
    <row r="45" spans="1:46" x14ac:dyDescent="0.2">
      <c r="C45" s="146"/>
      <c r="D45" s="146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47"/>
      <c r="P45" s="133"/>
      <c r="Q45" s="133"/>
      <c r="R45" s="133"/>
      <c r="S45" s="133"/>
      <c r="T45" s="147"/>
      <c r="U45" s="149"/>
      <c r="V45" s="133"/>
      <c r="W45" s="147"/>
      <c r="X45" s="149"/>
      <c r="Y45" s="133"/>
      <c r="Z45" s="133"/>
      <c r="AA45" s="147"/>
      <c r="AB45" s="133"/>
      <c r="AC45" s="133"/>
      <c r="AD45" s="147"/>
      <c r="AE45" s="150"/>
      <c r="AF45" s="133"/>
      <c r="AG45" s="147"/>
      <c r="AH45" s="133"/>
      <c r="AI45" s="133"/>
      <c r="AJ45" s="147"/>
      <c r="AK45" s="150"/>
      <c r="AL45" s="133"/>
      <c r="AM45" s="147"/>
      <c r="AN45" s="133"/>
      <c r="AO45" s="133"/>
      <c r="AP45" s="147"/>
      <c r="AQ45" s="133"/>
      <c r="AR45" s="133"/>
      <c r="AS45" s="133"/>
    </row>
    <row r="46" spans="1:46" x14ac:dyDescent="0.2">
      <c r="C46" s="146"/>
      <c r="D46" s="146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47"/>
      <c r="P46" s="133"/>
      <c r="Q46" s="133"/>
      <c r="R46" s="133"/>
      <c r="S46" s="133"/>
      <c r="T46" s="147"/>
      <c r="U46" s="149"/>
      <c r="V46" s="133"/>
      <c r="W46" s="147"/>
      <c r="X46" s="149"/>
      <c r="Y46" s="133"/>
      <c r="Z46" s="133"/>
      <c r="AA46" s="147"/>
      <c r="AB46" s="133"/>
      <c r="AC46" s="133"/>
      <c r="AD46" s="147"/>
      <c r="AE46" s="150"/>
      <c r="AF46" s="133"/>
      <c r="AG46" s="147"/>
      <c r="AH46" s="133"/>
      <c r="AI46" s="133"/>
      <c r="AJ46" s="147"/>
      <c r="AK46" s="150"/>
      <c r="AL46" s="133"/>
      <c r="AM46" s="147"/>
      <c r="AN46" s="133"/>
      <c r="AO46" s="133"/>
      <c r="AP46" s="147"/>
      <c r="AQ46" s="133"/>
      <c r="AR46" s="133"/>
    </row>
    <row r="47" spans="1:46" x14ac:dyDescent="0.2">
      <c r="C47" s="146"/>
      <c r="D47" s="146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47"/>
      <c r="P47" s="133"/>
      <c r="Q47" s="133"/>
      <c r="R47" s="133"/>
      <c r="S47" s="133"/>
      <c r="T47" s="147"/>
      <c r="U47" s="149"/>
      <c r="V47" s="133"/>
      <c r="W47" s="147"/>
      <c r="X47" s="149"/>
      <c r="Y47" s="133"/>
      <c r="Z47" s="133"/>
      <c r="AA47" s="147"/>
      <c r="AB47" s="133"/>
      <c r="AC47" s="133"/>
      <c r="AD47" s="147"/>
      <c r="AE47" s="150"/>
      <c r="AF47" s="133"/>
      <c r="AG47" s="147"/>
      <c r="AH47" s="133"/>
      <c r="AI47" s="133"/>
      <c r="AJ47" s="147"/>
      <c r="AK47" s="150"/>
      <c r="AL47" s="133"/>
      <c r="AM47" s="147"/>
      <c r="AN47" s="133"/>
      <c r="AO47" s="133"/>
      <c r="AP47" s="147"/>
      <c r="AQ47" s="133"/>
      <c r="AR47" s="133"/>
    </row>
    <row r="48" spans="1:46" x14ac:dyDescent="0.2">
      <c r="C48" s="146"/>
      <c r="D48" s="146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47"/>
      <c r="P48" s="133"/>
      <c r="Q48" s="133"/>
      <c r="R48" s="133"/>
      <c r="S48" s="133"/>
      <c r="T48" s="147"/>
      <c r="U48" s="149"/>
      <c r="V48" s="133"/>
      <c r="W48" s="147"/>
      <c r="X48" s="149"/>
      <c r="Y48" s="133"/>
      <c r="Z48" s="133"/>
      <c r="AA48" s="147"/>
      <c r="AB48" s="133"/>
      <c r="AC48" s="133"/>
      <c r="AD48" s="147"/>
      <c r="AE48" s="150"/>
      <c r="AF48" s="133"/>
      <c r="AG48" s="147"/>
      <c r="AH48" s="133"/>
      <c r="AI48" s="133"/>
      <c r="AJ48" s="147"/>
      <c r="AK48" s="150"/>
      <c r="AL48" s="133"/>
      <c r="AM48" s="147"/>
      <c r="AN48" s="133"/>
      <c r="AO48" s="133"/>
      <c r="AP48" s="147"/>
      <c r="AQ48" s="133"/>
      <c r="AR48" s="133"/>
    </row>
    <row r="49" spans="3:44" x14ac:dyDescent="0.2">
      <c r="C49" s="146"/>
      <c r="D49" s="146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47"/>
      <c r="P49" s="133"/>
      <c r="Q49" s="133"/>
      <c r="R49" s="133"/>
      <c r="S49" s="133"/>
      <c r="T49" s="147"/>
      <c r="U49" s="149"/>
      <c r="V49" s="133"/>
      <c r="W49" s="147"/>
      <c r="X49" s="149"/>
      <c r="Y49" s="133"/>
      <c r="Z49" s="133"/>
      <c r="AA49" s="147"/>
      <c r="AB49" s="133"/>
      <c r="AC49" s="133"/>
      <c r="AD49" s="147"/>
      <c r="AE49" s="150"/>
      <c r="AF49" s="133"/>
      <c r="AG49" s="147"/>
      <c r="AH49" s="133"/>
      <c r="AI49" s="133"/>
      <c r="AJ49" s="147"/>
      <c r="AK49" s="150"/>
      <c r="AL49" s="133"/>
      <c r="AM49" s="147"/>
      <c r="AN49" s="133"/>
      <c r="AO49" s="133"/>
      <c r="AP49" s="147"/>
      <c r="AQ49" s="133"/>
      <c r="AR49" s="133"/>
    </row>
    <row r="50" spans="3:44" x14ac:dyDescent="0.2">
      <c r="C50" s="146"/>
      <c r="D50" s="146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47"/>
      <c r="P50" s="133"/>
      <c r="Q50" s="133"/>
      <c r="R50" s="133"/>
      <c r="S50" s="133"/>
      <c r="T50" s="147"/>
      <c r="U50" s="149"/>
      <c r="V50" s="133"/>
      <c r="W50" s="147"/>
      <c r="X50" s="149"/>
      <c r="Y50" s="133"/>
      <c r="Z50" s="133"/>
      <c r="AA50" s="147"/>
      <c r="AB50" s="133"/>
      <c r="AC50" s="133"/>
      <c r="AD50" s="147"/>
      <c r="AE50" s="150"/>
      <c r="AF50" s="133"/>
      <c r="AG50" s="147"/>
      <c r="AH50" s="133"/>
      <c r="AI50" s="133"/>
      <c r="AJ50" s="147"/>
      <c r="AK50" s="150"/>
      <c r="AL50" s="133"/>
      <c r="AM50" s="147"/>
      <c r="AN50" s="133"/>
      <c r="AO50" s="133"/>
      <c r="AP50" s="147"/>
      <c r="AQ50" s="133"/>
      <c r="AR50" s="133"/>
    </row>
    <row r="51" spans="3:44" x14ac:dyDescent="0.2">
      <c r="C51" s="146"/>
      <c r="D51" s="146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47"/>
      <c r="P51" s="133"/>
      <c r="Q51" s="133"/>
      <c r="R51" s="133"/>
      <c r="S51" s="133"/>
      <c r="T51" s="147"/>
      <c r="U51" s="149"/>
      <c r="V51" s="133"/>
      <c r="W51" s="147"/>
      <c r="X51" s="149"/>
      <c r="Y51" s="133"/>
      <c r="Z51" s="133"/>
      <c r="AA51" s="147"/>
      <c r="AB51" s="133"/>
      <c r="AC51" s="133"/>
      <c r="AD51" s="147"/>
      <c r="AE51" s="150"/>
      <c r="AF51" s="133"/>
      <c r="AG51" s="147"/>
      <c r="AH51" s="133"/>
      <c r="AI51" s="133"/>
      <c r="AJ51" s="147"/>
      <c r="AK51" s="150"/>
      <c r="AL51" s="133"/>
      <c r="AM51" s="147"/>
      <c r="AN51" s="133"/>
      <c r="AO51" s="133"/>
      <c r="AP51" s="147"/>
      <c r="AQ51" s="133"/>
      <c r="AR51" s="133"/>
    </row>
    <row r="52" spans="3:44" x14ac:dyDescent="0.2">
      <c r="C52" s="146"/>
      <c r="D52" s="146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47"/>
      <c r="P52" s="133"/>
      <c r="Q52" s="133"/>
      <c r="R52" s="133"/>
      <c r="S52" s="133"/>
      <c r="T52" s="147"/>
      <c r="U52" s="149"/>
      <c r="V52" s="133"/>
      <c r="W52" s="147"/>
      <c r="X52" s="149"/>
      <c r="Y52" s="133"/>
      <c r="Z52" s="133"/>
      <c r="AA52" s="147"/>
      <c r="AB52" s="133"/>
      <c r="AC52" s="133"/>
      <c r="AD52" s="147"/>
      <c r="AE52" s="150"/>
      <c r="AF52" s="133"/>
      <c r="AG52" s="147"/>
      <c r="AH52" s="133"/>
      <c r="AI52" s="133"/>
      <c r="AJ52" s="147"/>
      <c r="AK52" s="150"/>
      <c r="AL52" s="133"/>
      <c r="AM52" s="147"/>
      <c r="AN52" s="133"/>
      <c r="AO52" s="133"/>
      <c r="AP52" s="147"/>
      <c r="AQ52" s="133"/>
      <c r="AR52" s="133"/>
    </row>
    <row r="53" spans="3:44" x14ac:dyDescent="0.2">
      <c r="C53" s="146"/>
      <c r="D53" s="146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47"/>
      <c r="P53" s="133"/>
      <c r="Q53" s="133"/>
      <c r="R53" s="133"/>
      <c r="S53" s="133"/>
      <c r="T53" s="147"/>
      <c r="U53" s="149"/>
      <c r="V53" s="133"/>
      <c r="W53" s="147"/>
      <c r="X53" s="149"/>
      <c r="Y53" s="133"/>
      <c r="Z53" s="133"/>
      <c r="AA53" s="147"/>
      <c r="AB53" s="133"/>
      <c r="AC53" s="133"/>
      <c r="AD53" s="147"/>
      <c r="AE53" s="150"/>
      <c r="AF53" s="133"/>
      <c r="AG53" s="147"/>
      <c r="AH53" s="133"/>
      <c r="AI53" s="133"/>
      <c r="AJ53" s="147"/>
      <c r="AK53" s="150"/>
      <c r="AL53" s="133"/>
      <c r="AM53" s="147"/>
      <c r="AN53" s="133"/>
      <c r="AO53" s="133"/>
      <c r="AP53" s="147"/>
      <c r="AQ53" s="133"/>
      <c r="AR53" s="133"/>
    </row>
    <row r="54" spans="3:44" x14ac:dyDescent="0.2">
      <c r="C54" s="146"/>
      <c r="D54" s="146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47"/>
      <c r="P54" s="133"/>
      <c r="Q54" s="133"/>
      <c r="R54" s="133"/>
      <c r="S54" s="133"/>
      <c r="T54" s="147"/>
      <c r="U54" s="149"/>
      <c r="V54" s="133"/>
      <c r="W54" s="147"/>
      <c r="X54" s="149"/>
      <c r="Y54" s="133"/>
      <c r="Z54" s="133"/>
      <c r="AA54" s="147"/>
      <c r="AB54" s="133"/>
      <c r="AC54" s="133"/>
      <c r="AD54" s="147"/>
      <c r="AE54" s="150"/>
      <c r="AF54" s="133"/>
      <c r="AG54" s="147"/>
      <c r="AH54" s="133"/>
      <c r="AI54" s="133"/>
      <c r="AJ54" s="147"/>
      <c r="AK54" s="150"/>
      <c r="AL54" s="133"/>
      <c r="AM54" s="147"/>
      <c r="AN54" s="133"/>
      <c r="AO54" s="133"/>
      <c r="AP54" s="147"/>
      <c r="AQ54" s="133"/>
      <c r="AR54" s="133"/>
    </row>
    <row r="55" spans="3:44" x14ac:dyDescent="0.2">
      <c r="C55" s="134"/>
      <c r="D55" s="151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47"/>
      <c r="P55" s="133"/>
      <c r="Q55" s="133"/>
      <c r="R55" s="133"/>
      <c r="S55" s="133"/>
      <c r="T55" s="147"/>
      <c r="U55" s="149"/>
      <c r="V55" s="133"/>
      <c r="W55" s="147"/>
      <c r="X55" s="149"/>
      <c r="Y55" s="133"/>
      <c r="Z55" s="133"/>
      <c r="AA55" s="147"/>
      <c r="AB55" s="133"/>
      <c r="AC55" s="133"/>
      <c r="AD55" s="147"/>
      <c r="AE55" s="150"/>
      <c r="AF55" s="133"/>
      <c r="AG55" s="147"/>
      <c r="AH55" s="133"/>
      <c r="AI55" s="133"/>
      <c r="AJ55" s="147"/>
      <c r="AK55" s="150"/>
      <c r="AL55" s="133"/>
      <c r="AM55" s="147"/>
      <c r="AN55" s="133"/>
      <c r="AO55" s="133"/>
      <c r="AP55" s="147"/>
      <c r="AQ55" s="133"/>
      <c r="AR55" s="133"/>
    </row>
    <row r="56" spans="3:44" x14ac:dyDescent="0.2">
      <c r="C56" s="134"/>
      <c r="D56" s="151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47"/>
      <c r="P56" s="133"/>
      <c r="Q56" s="133"/>
      <c r="R56" s="133"/>
      <c r="S56" s="133"/>
      <c r="T56" s="147"/>
      <c r="U56" s="149"/>
      <c r="V56" s="133"/>
      <c r="W56" s="147"/>
      <c r="X56" s="149"/>
      <c r="Y56" s="133"/>
      <c r="Z56" s="133"/>
      <c r="AA56" s="147"/>
      <c r="AB56" s="133"/>
      <c r="AC56" s="133"/>
      <c r="AD56" s="147"/>
      <c r="AE56" s="150"/>
      <c r="AF56" s="133"/>
      <c r="AG56" s="147"/>
      <c r="AH56" s="133"/>
      <c r="AI56" s="133"/>
      <c r="AJ56" s="147"/>
      <c r="AK56" s="150"/>
      <c r="AL56" s="133"/>
      <c r="AM56" s="147"/>
      <c r="AN56" s="133"/>
      <c r="AO56" s="133"/>
      <c r="AP56" s="147"/>
      <c r="AQ56" s="133"/>
      <c r="AR56" s="133"/>
    </row>
    <row r="57" spans="3:44" x14ac:dyDescent="0.2">
      <c r="C57" s="134"/>
      <c r="D57" s="151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47"/>
      <c r="P57" s="133"/>
      <c r="Q57" s="133"/>
      <c r="R57" s="133"/>
      <c r="S57" s="133"/>
      <c r="T57" s="147"/>
      <c r="U57" s="149"/>
      <c r="V57" s="133"/>
      <c r="W57" s="147"/>
      <c r="X57" s="149"/>
      <c r="Y57" s="133"/>
      <c r="Z57" s="133"/>
      <c r="AA57" s="147"/>
      <c r="AB57" s="133"/>
      <c r="AC57" s="133"/>
      <c r="AD57" s="147"/>
      <c r="AE57" s="150"/>
      <c r="AF57" s="133"/>
      <c r="AG57" s="147"/>
      <c r="AH57" s="133"/>
      <c r="AI57" s="133"/>
      <c r="AJ57" s="147"/>
      <c r="AK57" s="150"/>
      <c r="AL57" s="133"/>
      <c r="AM57" s="147"/>
      <c r="AN57" s="133"/>
      <c r="AO57" s="133"/>
      <c r="AP57" s="147"/>
      <c r="AQ57" s="133"/>
      <c r="AR57" s="133"/>
    </row>
    <row r="58" spans="3:44" x14ac:dyDescent="0.2">
      <c r="C58" s="134"/>
      <c r="D58" s="151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47"/>
      <c r="P58" s="133"/>
      <c r="Q58" s="133"/>
      <c r="R58" s="133"/>
      <c r="S58" s="133"/>
      <c r="T58" s="147"/>
      <c r="U58" s="149"/>
      <c r="V58" s="133"/>
      <c r="W58" s="147"/>
      <c r="X58" s="149"/>
      <c r="Y58" s="133"/>
      <c r="Z58" s="133"/>
      <c r="AA58" s="147"/>
      <c r="AB58" s="133"/>
      <c r="AC58" s="133"/>
      <c r="AD58" s="147"/>
      <c r="AE58" s="150"/>
      <c r="AF58" s="133"/>
      <c r="AG58" s="147"/>
      <c r="AH58" s="133"/>
      <c r="AI58" s="133"/>
      <c r="AJ58" s="147"/>
      <c r="AK58" s="150"/>
      <c r="AL58" s="133"/>
      <c r="AM58" s="147"/>
      <c r="AN58" s="133"/>
      <c r="AO58" s="133"/>
      <c r="AP58" s="147"/>
      <c r="AQ58" s="133"/>
      <c r="AR58" s="133"/>
    </row>
    <row r="59" spans="3:44" x14ac:dyDescent="0.2">
      <c r="C59" s="146"/>
      <c r="D59" s="146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47"/>
      <c r="P59" s="133"/>
      <c r="Q59" s="133"/>
      <c r="R59" s="133"/>
      <c r="S59" s="133"/>
      <c r="T59" s="147"/>
      <c r="U59" s="149"/>
      <c r="V59" s="133"/>
      <c r="W59" s="147"/>
      <c r="X59" s="149"/>
      <c r="Y59" s="133"/>
      <c r="Z59" s="133"/>
      <c r="AA59" s="147"/>
      <c r="AC59" s="133"/>
      <c r="AD59" s="147"/>
      <c r="AF59" s="133"/>
      <c r="AG59" s="147"/>
      <c r="AI59" s="133"/>
      <c r="AJ59" s="147"/>
      <c r="AL59" s="133"/>
      <c r="AM59" s="147"/>
      <c r="AO59" s="133"/>
      <c r="AP59" s="147"/>
    </row>
    <row r="60" spans="3:44" x14ac:dyDescent="0.2">
      <c r="C60" s="146"/>
      <c r="D60" s="146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47"/>
      <c r="P60" s="133"/>
      <c r="Q60" s="133"/>
      <c r="R60" s="133"/>
      <c r="S60" s="133"/>
      <c r="T60" s="147"/>
      <c r="U60" s="149"/>
      <c r="V60" s="133"/>
      <c r="W60" s="147"/>
      <c r="X60" s="149"/>
      <c r="Y60" s="133"/>
      <c r="Z60" s="133"/>
      <c r="AA60" s="147"/>
      <c r="AC60" s="133"/>
      <c r="AD60" s="147"/>
      <c r="AF60" s="133"/>
      <c r="AG60" s="147"/>
      <c r="AI60" s="133"/>
      <c r="AJ60" s="147"/>
      <c r="AL60" s="133"/>
      <c r="AM60" s="147"/>
      <c r="AO60" s="133"/>
      <c r="AP60" s="147"/>
    </row>
    <row r="61" spans="3:44" x14ac:dyDescent="0.2">
      <c r="C61" s="146"/>
      <c r="D61" s="146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47"/>
      <c r="P61" s="133"/>
      <c r="Q61" s="133"/>
      <c r="R61" s="133"/>
      <c r="S61" s="133"/>
      <c r="T61" s="147"/>
      <c r="U61" s="149"/>
      <c r="V61" s="133"/>
      <c r="W61" s="147"/>
      <c r="X61" s="149"/>
      <c r="Y61" s="133"/>
      <c r="Z61" s="133"/>
      <c r="AA61" s="147"/>
      <c r="AC61" s="133"/>
      <c r="AD61" s="147"/>
      <c r="AF61" s="133"/>
      <c r="AG61" s="147"/>
      <c r="AI61" s="133"/>
      <c r="AJ61" s="147"/>
      <c r="AL61" s="133"/>
      <c r="AM61" s="147"/>
      <c r="AO61" s="133"/>
      <c r="AP61" s="147"/>
    </row>
    <row r="62" spans="3:44" x14ac:dyDescent="0.2">
      <c r="C62" s="146"/>
      <c r="D62" s="146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47"/>
      <c r="P62" s="133"/>
      <c r="Q62" s="133"/>
      <c r="R62" s="133"/>
      <c r="S62" s="133"/>
      <c r="T62" s="147"/>
      <c r="U62" s="149"/>
      <c r="V62" s="133"/>
      <c r="W62" s="147"/>
      <c r="X62" s="149"/>
      <c r="Y62" s="133"/>
      <c r="Z62" s="133"/>
      <c r="AA62" s="147"/>
      <c r="AC62" s="133"/>
      <c r="AD62" s="147"/>
      <c r="AF62" s="133"/>
      <c r="AG62" s="147"/>
      <c r="AI62" s="133"/>
      <c r="AJ62" s="147"/>
      <c r="AL62" s="133"/>
      <c r="AM62" s="147"/>
      <c r="AO62" s="133"/>
      <c r="AP62" s="147"/>
    </row>
    <row r="63" spans="3:44" x14ac:dyDescent="0.2">
      <c r="C63" s="146"/>
      <c r="D63" s="146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47"/>
      <c r="P63" s="133"/>
      <c r="Q63" s="133"/>
      <c r="R63" s="133"/>
      <c r="S63" s="133"/>
      <c r="T63" s="147"/>
      <c r="U63" s="149"/>
      <c r="V63" s="133"/>
      <c r="W63" s="147"/>
      <c r="X63" s="149"/>
      <c r="Y63" s="133"/>
      <c r="Z63" s="133"/>
      <c r="AA63" s="147"/>
      <c r="AC63" s="133"/>
      <c r="AD63" s="147"/>
      <c r="AF63" s="133"/>
      <c r="AG63" s="147"/>
      <c r="AI63" s="133"/>
      <c r="AJ63" s="147"/>
      <c r="AL63" s="133"/>
      <c r="AM63" s="147"/>
      <c r="AO63" s="133"/>
      <c r="AP63" s="147"/>
    </row>
    <row r="64" spans="3:44" x14ac:dyDescent="0.2">
      <c r="C64" s="146"/>
      <c r="D64" s="146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47"/>
      <c r="P64" s="133"/>
      <c r="Q64" s="133"/>
      <c r="R64" s="133"/>
      <c r="S64" s="133"/>
      <c r="T64" s="147"/>
      <c r="U64" s="149"/>
      <c r="V64" s="133"/>
      <c r="W64" s="147"/>
      <c r="X64" s="149"/>
      <c r="Y64" s="133"/>
      <c r="Z64" s="133"/>
      <c r="AA64" s="147"/>
      <c r="AC64" s="133"/>
      <c r="AD64" s="147"/>
      <c r="AF64" s="133"/>
      <c r="AG64" s="147"/>
      <c r="AI64" s="133"/>
      <c r="AJ64" s="147"/>
      <c r="AL64" s="133"/>
      <c r="AM64" s="147"/>
      <c r="AO64" s="133"/>
      <c r="AP64" s="147"/>
    </row>
    <row r="65" spans="3:45" x14ac:dyDescent="0.2">
      <c r="C65" s="140"/>
      <c r="D65" s="140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47"/>
      <c r="P65" s="149"/>
      <c r="Q65" s="133"/>
      <c r="R65" s="149"/>
      <c r="S65" s="133"/>
      <c r="T65" s="147"/>
      <c r="U65" s="149"/>
      <c r="V65" s="133"/>
      <c r="W65" s="147"/>
      <c r="X65" s="149"/>
      <c r="Y65" s="133"/>
      <c r="Z65" s="133"/>
      <c r="AA65" s="147"/>
      <c r="AB65" s="133"/>
      <c r="AC65" s="133"/>
      <c r="AD65" s="147"/>
      <c r="AE65" s="150"/>
      <c r="AF65" s="133"/>
      <c r="AG65" s="147"/>
      <c r="AH65" s="133"/>
      <c r="AI65" s="133"/>
      <c r="AJ65" s="147"/>
      <c r="AK65" s="150"/>
      <c r="AL65" s="133"/>
      <c r="AM65" s="147"/>
      <c r="AN65" s="133"/>
      <c r="AO65" s="133"/>
      <c r="AP65" s="147"/>
      <c r="AQ65" s="133"/>
      <c r="AR65" s="133"/>
    </row>
    <row r="66" spans="3:45" x14ac:dyDescent="0.2">
      <c r="C66" s="146"/>
      <c r="D66" s="146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47"/>
      <c r="P66" s="133"/>
      <c r="Q66" s="133"/>
      <c r="R66" s="133"/>
      <c r="S66" s="133"/>
      <c r="T66" s="147"/>
      <c r="U66" s="133"/>
      <c r="V66" s="133"/>
      <c r="W66" s="147"/>
      <c r="X66" s="133"/>
      <c r="Y66" s="133"/>
      <c r="Z66" s="133"/>
      <c r="AA66" s="147"/>
      <c r="AB66" s="133"/>
      <c r="AC66" s="133"/>
      <c r="AD66" s="147"/>
      <c r="AE66" s="150"/>
      <c r="AF66" s="133"/>
      <c r="AG66" s="147"/>
      <c r="AH66" s="133"/>
      <c r="AI66" s="133"/>
      <c r="AJ66" s="147"/>
      <c r="AK66" s="150"/>
      <c r="AL66" s="133"/>
      <c r="AM66" s="147"/>
      <c r="AN66" s="133"/>
      <c r="AO66" s="133"/>
      <c r="AP66" s="147"/>
      <c r="AQ66" s="133"/>
      <c r="AR66" s="133"/>
    </row>
    <row r="67" spans="3:45" x14ac:dyDescent="0.2">
      <c r="C67" s="134"/>
      <c r="D67" s="146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47"/>
      <c r="P67" s="133"/>
      <c r="Q67" s="133"/>
      <c r="R67" s="133"/>
      <c r="S67" s="133"/>
      <c r="T67" s="147"/>
      <c r="U67" s="133"/>
      <c r="V67" s="133"/>
      <c r="W67" s="147"/>
      <c r="X67" s="133"/>
      <c r="Y67" s="133"/>
      <c r="Z67" s="133"/>
      <c r="AA67" s="147"/>
      <c r="AB67" s="133"/>
      <c r="AC67" s="133"/>
      <c r="AD67" s="147"/>
      <c r="AE67" s="150"/>
      <c r="AF67" s="133"/>
      <c r="AG67" s="147"/>
      <c r="AH67" s="133"/>
      <c r="AI67" s="133"/>
      <c r="AJ67" s="147"/>
      <c r="AK67" s="150"/>
      <c r="AL67" s="133"/>
      <c r="AM67" s="147"/>
      <c r="AN67" s="133"/>
      <c r="AO67" s="133"/>
      <c r="AP67" s="147"/>
      <c r="AQ67" s="133"/>
      <c r="AR67" s="133"/>
    </row>
    <row r="68" spans="3:45" x14ac:dyDescent="0.2">
      <c r="C68" s="146"/>
      <c r="D68" s="146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47"/>
      <c r="P68" s="133"/>
      <c r="Q68" s="133"/>
      <c r="R68" s="133"/>
      <c r="S68" s="133"/>
      <c r="T68" s="147"/>
      <c r="U68" s="133"/>
      <c r="V68" s="133"/>
      <c r="W68" s="147"/>
      <c r="X68" s="133"/>
      <c r="Y68" s="133"/>
      <c r="Z68" s="133"/>
      <c r="AA68" s="147"/>
      <c r="AB68" s="133"/>
      <c r="AC68" s="133"/>
      <c r="AD68" s="147"/>
      <c r="AE68" s="150"/>
      <c r="AF68" s="133"/>
      <c r="AG68" s="147"/>
      <c r="AH68" s="133"/>
      <c r="AI68" s="133"/>
      <c r="AJ68" s="147"/>
      <c r="AK68" s="150"/>
      <c r="AL68" s="133"/>
      <c r="AM68" s="147"/>
      <c r="AN68" s="133"/>
      <c r="AO68" s="133"/>
      <c r="AP68" s="147"/>
      <c r="AQ68" s="133"/>
      <c r="AR68" s="133"/>
    </row>
    <row r="69" spans="3:45" x14ac:dyDescent="0.2">
      <c r="C69" s="146"/>
      <c r="D69" s="146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47"/>
      <c r="P69" s="133"/>
      <c r="Q69" s="133"/>
      <c r="R69" s="133"/>
      <c r="S69" s="133"/>
      <c r="T69" s="147"/>
      <c r="U69" s="133"/>
      <c r="V69" s="133"/>
      <c r="W69" s="147"/>
      <c r="X69" s="133"/>
      <c r="Y69" s="133"/>
      <c r="Z69" s="133"/>
      <c r="AA69" s="147"/>
      <c r="AB69" s="133"/>
      <c r="AC69" s="133"/>
      <c r="AD69" s="147"/>
      <c r="AE69" s="150"/>
      <c r="AF69" s="133"/>
      <c r="AG69" s="147"/>
      <c r="AH69" s="133"/>
      <c r="AI69" s="133"/>
      <c r="AJ69" s="147"/>
      <c r="AK69" s="150"/>
      <c r="AL69" s="133"/>
      <c r="AM69" s="147"/>
      <c r="AN69" s="133"/>
      <c r="AO69" s="133"/>
      <c r="AP69" s="147"/>
      <c r="AQ69" s="133"/>
      <c r="AR69" s="133"/>
    </row>
    <row r="70" spans="3:45" x14ac:dyDescent="0.2">
      <c r="C70" s="146"/>
      <c r="D70" s="146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47"/>
      <c r="P70" s="133"/>
      <c r="Q70" s="133"/>
      <c r="R70" s="133"/>
      <c r="S70" s="133"/>
      <c r="T70" s="147"/>
      <c r="U70" s="133"/>
      <c r="V70" s="133"/>
      <c r="W70" s="147"/>
      <c r="X70" s="133"/>
      <c r="Y70" s="133"/>
      <c r="Z70" s="133"/>
      <c r="AA70" s="147"/>
      <c r="AB70" s="133"/>
      <c r="AC70" s="133"/>
      <c r="AD70" s="147"/>
      <c r="AE70" s="150"/>
      <c r="AF70" s="133"/>
      <c r="AG70" s="147"/>
      <c r="AH70" s="133"/>
      <c r="AI70" s="133"/>
      <c r="AJ70" s="147"/>
      <c r="AK70" s="150"/>
      <c r="AL70" s="133"/>
      <c r="AM70" s="147"/>
      <c r="AN70" s="133"/>
      <c r="AO70" s="133"/>
      <c r="AP70" s="147"/>
      <c r="AQ70" s="133"/>
      <c r="AR70" s="133"/>
    </row>
    <row r="71" spans="3:45" x14ac:dyDescent="0.2">
      <c r="C71" s="146"/>
      <c r="D71" s="146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47"/>
      <c r="P71" s="133"/>
      <c r="Q71" s="152"/>
      <c r="R71" s="133"/>
      <c r="S71" s="133"/>
      <c r="T71" s="147"/>
      <c r="U71" s="133"/>
      <c r="V71" s="133"/>
      <c r="W71" s="147"/>
      <c r="X71" s="133"/>
      <c r="Y71" s="133"/>
      <c r="Z71" s="133"/>
      <c r="AA71" s="147"/>
      <c r="AB71" s="133"/>
      <c r="AC71" s="133"/>
      <c r="AD71" s="147"/>
      <c r="AE71" s="150"/>
      <c r="AF71" s="133"/>
      <c r="AG71" s="147"/>
      <c r="AH71" s="133"/>
      <c r="AI71" s="133"/>
      <c r="AJ71" s="147"/>
      <c r="AK71" s="150"/>
      <c r="AL71" s="133"/>
      <c r="AM71" s="147"/>
      <c r="AN71" s="133"/>
      <c r="AO71" s="133"/>
      <c r="AP71" s="147"/>
      <c r="AQ71" s="133"/>
      <c r="AR71" s="133"/>
    </row>
    <row r="72" spans="3:45" x14ac:dyDescent="0.2">
      <c r="C72" s="146"/>
      <c r="D72" s="146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47"/>
      <c r="P72" s="133"/>
      <c r="Q72" s="152"/>
      <c r="R72" s="133"/>
      <c r="S72" s="133"/>
      <c r="T72" s="147"/>
      <c r="U72" s="133"/>
      <c r="V72" s="133"/>
      <c r="W72" s="147"/>
      <c r="X72" s="133"/>
      <c r="Y72" s="133"/>
      <c r="Z72" s="133"/>
      <c r="AA72" s="147"/>
      <c r="AB72" s="133"/>
      <c r="AC72" s="133"/>
      <c r="AD72" s="147"/>
      <c r="AE72" s="150"/>
      <c r="AF72" s="133"/>
      <c r="AG72" s="147"/>
      <c r="AH72" s="133"/>
      <c r="AI72" s="133"/>
      <c r="AJ72" s="147"/>
      <c r="AK72" s="150"/>
      <c r="AL72" s="133"/>
      <c r="AM72" s="147"/>
      <c r="AN72" s="133"/>
      <c r="AO72" s="133"/>
      <c r="AP72" s="147"/>
      <c r="AQ72" s="133"/>
      <c r="AR72" s="133"/>
    </row>
    <row r="73" spans="3:45" x14ac:dyDescent="0.2">
      <c r="C73" s="146"/>
      <c r="D73" s="146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47"/>
      <c r="P73" s="133"/>
      <c r="Q73" s="152"/>
      <c r="R73" s="133"/>
      <c r="S73" s="133"/>
      <c r="T73" s="147"/>
      <c r="U73" s="133"/>
      <c r="V73" s="133"/>
      <c r="W73" s="147"/>
      <c r="X73" s="133"/>
      <c r="Y73" s="133"/>
      <c r="Z73" s="133"/>
      <c r="AA73" s="147"/>
      <c r="AB73" s="133"/>
      <c r="AC73" s="133"/>
      <c r="AD73" s="147"/>
      <c r="AE73" s="150"/>
      <c r="AF73" s="133"/>
      <c r="AG73" s="147"/>
      <c r="AH73" s="133"/>
      <c r="AI73" s="133"/>
      <c r="AJ73" s="147"/>
      <c r="AK73" s="150"/>
      <c r="AL73" s="133"/>
      <c r="AM73" s="147"/>
      <c r="AN73" s="133"/>
      <c r="AO73" s="133"/>
      <c r="AP73" s="147"/>
      <c r="AQ73" s="133"/>
      <c r="AR73" s="133"/>
    </row>
    <row r="74" spans="3:45" x14ac:dyDescent="0.2">
      <c r="C74" s="146"/>
      <c r="D74" s="146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47"/>
      <c r="P74" s="133"/>
      <c r="Q74" s="152"/>
      <c r="R74" s="133"/>
      <c r="S74" s="133"/>
      <c r="T74" s="147"/>
      <c r="U74" s="133"/>
      <c r="V74" s="133"/>
      <c r="W74" s="147"/>
      <c r="X74" s="133"/>
      <c r="Y74" s="133"/>
      <c r="Z74" s="133"/>
      <c r="AA74" s="147"/>
      <c r="AB74" s="133"/>
      <c r="AC74" s="133"/>
      <c r="AD74" s="147"/>
      <c r="AE74" s="150"/>
      <c r="AF74" s="133"/>
      <c r="AG74" s="147"/>
      <c r="AH74" s="133"/>
      <c r="AI74" s="133"/>
      <c r="AJ74" s="147"/>
      <c r="AK74" s="150"/>
      <c r="AL74" s="133"/>
      <c r="AM74" s="147"/>
      <c r="AN74" s="133"/>
      <c r="AO74" s="133"/>
      <c r="AP74" s="147"/>
      <c r="AQ74" s="133"/>
      <c r="AR74" s="133"/>
      <c r="AS74" s="133"/>
    </row>
    <row r="75" spans="3:45" x14ac:dyDescent="0.2">
      <c r="C75" s="146"/>
      <c r="D75" s="146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47"/>
      <c r="P75" s="133"/>
      <c r="Q75" s="152"/>
      <c r="R75" s="133"/>
      <c r="S75" s="133"/>
      <c r="T75" s="147"/>
      <c r="U75" s="133"/>
      <c r="V75" s="133"/>
      <c r="W75" s="147"/>
      <c r="X75" s="133"/>
      <c r="Y75" s="133"/>
      <c r="Z75" s="133"/>
      <c r="AA75" s="147"/>
      <c r="AB75" s="133"/>
      <c r="AC75" s="133"/>
      <c r="AD75" s="147"/>
      <c r="AE75" s="150"/>
      <c r="AF75" s="133"/>
      <c r="AG75" s="147"/>
      <c r="AH75" s="133"/>
      <c r="AI75" s="133"/>
      <c r="AJ75" s="147"/>
      <c r="AK75" s="150"/>
      <c r="AL75" s="133"/>
      <c r="AM75" s="147"/>
      <c r="AN75" s="133"/>
      <c r="AO75" s="133"/>
      <c r="AP75" s="147"/>
      <c r="AQ75" s="133"/>
      <c r="AR75" s="133"/>
      <c r="AS75" s="133"/>
    </row>
    <row r="76" spans="3:45" x14ac:dyDescent="0.2">
      <c r="C76" s="146"/>
      <c r="D76" s="146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47"/>
      <c r="P76" s="133"/>
      <c r="Q76" s="152"/>
      <c r="R76" s="133"/>
      <c r="S76" s="133"/>
      <c r="T76" s="147"/>
      <c r="U76" s="133"/>
      <c r="V76" s="133"/>
      <c r="W76" s="147"/>
      <c r="X76" s="133"/>
      <c r="Y76" s="133"/>
      <c r="Z76" s="133"/>
      <c r="AA76" s="147"/>
      <c r="AC76" s="133"/>
      <c r="AD76" s="147"/>
      <c r="AF76" s="133"/>
      <c r="AG76" s="147"/>
      <c r="AI76" s="133"/>
      <c r="AJ76" s="147"/>
      <c r="AL76" s="133"/>
      <c r="AM76" s="147"/>
      <c r="AO76" s="133"/>
      <c r="AP76" s="147"/>
      <c r="AS76" s="133"/>
    </row>
    <row r="77" spans="3:45" x14ac:dyDescent="0.2">
      <c r="C77" s="146"/>
      <c r="D77" s="146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47"/>
      <c r="P77" s="133"/>
      <c r="Q77" s="152"/>
      <c r="R77" s="133"/>
      <c r="S77" s="133"/>
      <c r="T77" s="147"/>
      <c r="U77" s="133"/>
      <c r="V77" s="133"/>
      <c r="W77" s="147"/>
      <c r="X77" s="133"/>
      <c r="Y77" s="133"/>
      <c r="Z77" s="133"/>
      <c r="AA77" s="147"/>
      <c r="AC77" s="133"/>
      <c r="AD77" s="147"/>
      <c r="AF77" s="133"/>
      <c r="AG77" s="147"/>
      <c r="AI77" s="133"/>
      <c r="AJ77" s="147"/>
      <c r="AL77" s="133"/>
      <c r="AM77" s="147"/>
      <c r="AO77" s="133"/>
      <c r="AP77" s="147"/>
      <c r="AS77" s="133"/>
    </row>
    <row r="78" spans="3:45" x14ac:dyDescent="0.2">
      <c r="C78" s="146"/>
      <c r="D78" s="146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47"/>
      <c r="P78" s="133"/>
      <c r="Q78" s="152"/>
      <c r="R78" s="133"/>
      <c r="S78" s="133"/>
      <c r="T78" s="147"/>
      <c r="U78" s="133"/>
      <c r="V78" s="133"/>
      <c r="W78" s="147"/>
      <c r="X78" s="133"/>
      <c r="Y78" s="133"/>
      <c r="Z78" s="133"/>
      <c r="AA78" s="147"/>
      <c r="AC78" s="133"/>
      <c r="AD78" s="147"/>
      <c r="AF78" s="133"/>
      <c r="AG78" s="147"/>
      <c r="AI78" s="133"/>
      <c r="AJ78" s="147"/>
      <c r="AL78" s="133"/>
      <c r="AM78" s="147"/>
      <c r="AO78" s="133"/>
      <c r="AP78" s="147"/>
    </row>
    <row r="79" spans="3:45" x14ac:dyDescent="0.2">
      <c r="C79" s="146"/>
      <c r="D79" s="146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47"/>
      <c r="P79" s="133"/>
      <c r="Q79" s="152"/>
      <c r="R79" s="133"/>
      <c r="S79" s="133"/>
      <c r="T79" s="147"/>
      <c r="U79" s="133"/>
      <c r="V79" s="133"/>
      <c r="W79" s="147"/>
      <c r="X79" s="133"/>
      <c r="Y79" s="153"/>
      <c r="Z79" s="133"/>
      <c r="AA79" s="147"/>
      <c r="AB79" s="153"/>
      <c r="AC79" s="133"/>
      <c r="AD79" s="147"/>
      <c r="AE79" s="154"/>
      <c r="AF79" s="133"/>
      <c r="AG79" s="147"/>
      <c r="AH79" s="153"/>
      <c r="AI79" s="133"/>
      <c r="AJ79" s="147"/>
      <c r="AK79" s="154"/>
      <c r="AL79" s="133"/>
      <c r="AM79" s="147"/>
      <c r="AN79" s="153"/>
      <c r="AO79" s="133"/>
      <c r="AP79" s="147"/>
      <c r="AQ79" s="153"/>
      <c r="AR79" s="153"/>
      <c r="AS79" s="153"/>
    </row>
    <row r="80" spans="3:45" x14ac:dyDescent="0.2">
      <c r="C80" s="146"/>
      <c r="D80" s="146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47"/>
      <c r="P80" s="133"/>
      <c r="Q80" s="152"/>
      <c r="R80" s="133"/>
      <c r="S80" s="133"/>
      <c r="T80" s="147"/>
      <c r="U80" s="133"/>
      <c r="V80" s="133"/>
      <c r="W80" s="147"/>
      <c r="X80" s="133"/>
      <c r="Y80" s="133"/>
      <c r="Z80" s="133"/>
      <c r="AA80" s="147"/>
      <c r="AB80" s="133"/>
      <c r="AC80" s="133"/>
      <c r="AD80" s="147"/>
      <c r="AE80" s="150"/>
      <c r="AF80" s="133"/>
      <c r="AG80" s="147"/>
      <c r="AH80" s="133"/>
      <c r="AI80" s="133"/>
      <c r="AJ80" s="147"/>
      <c r="AK80" s="150"/>
      <c r="AL80" s="133"/>
      <c r="AM80" s="147"/>
      <c r="AN80" s="133"/>
      <c r="AO80" s="133"/>
      <c r="AP80" s="147"/>
      <c r="AQ80" s="133"/>
      <c r="AR80" s="133"/>
      <c r="AS80" s="133"/>
    </row>
    <row r="81" spans="3:46" x14ac:dyDescent="0.2">
      <c r="C81" s="140"/>
      <c r="D81" s="140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47"/>
      <c r="P81" s="133"/>
      <c r="Q81" s="152"/>
      <c r="R81" s="133"/>
      <c r="S81" s="133"/>
      <c r="T81" s="147"/>
      <c r="U81" s="133"/>
      <c r="V81" s="133"/>
      <c r="W81" s="147"/>
      <c r="X81" s="133"/>
      <c r="Y81" s="133"/>
      <c r="Z81" s="133"/>
      <c r="AA81" s="147"/>
      <c r="AB81" s="133"/>
      <c r="AC81" s="133"/>
      <c r="AD81" s="147"/>
      <c r="AE81" s="150"/>
      <c r="AF81" s="133"/>
      <c r="AG81" s="147"/>
      <c r="AH81" s="133"/>
      <c r="AI81" s="133"/>
      <c r="AJ81" s="147"/>
      <c r="AK81" s="150"/>
      <c r="AL81" s="133"/>
      <c r="AM81" s="147"/>
      <c r="AN81" s="133"/>
      <c r="AO81" s="133"/>
      <c r="AP81" s="147"/>
      <c r="AQ81" s="133"/>
      <c r="AR81" s="133"/>
      <c r="AS81" s="133"/>
    </row>
    <row r="82" spans="3:46" x14ac:dyDescent="0.2">
      <c r="C82" s="146"/>
      <c r="D82" s="146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47"/>
      <c r="P82" s="133"/>
      <c r="Q82" s="152"/>
      <c r="R82" s="133"/>
      <c r="S82" s="133"/>
      <c r="T82" s="147"/>
      <c r="U82" s="133"/>
      <c r="V82" s="133"/>
      <c r="W82" s="147"/>
      <c r="X82" s="133"/>
      <c r="Y82" s="133"/>
      <c r="Z82" s="133"/>
      <c r="AA82" s="147"/>
      <c r="AB82" s="133"/>
      <c r="AC82" s="133"/>
      <c r="AD82" s="147"/>
      <c r="AE82" s="150"/>
      <c r="AF82" s="133"/>
      <c r="AG82" s="147"/>
      <c r="AH82" s="133"/>
      <c r="AI82" s="133"/>
      <c r="AJ82" s="147"/>
      <c r="AK82" s="150"/>
      <c r="AL82" s="133"/>
      <c r="AM82" s="147"/>
      <c r="AN82" s="133"/>
      <c r="AO82" s="133"/>
      <c r="AP82" s="147"/>
      <c r="AQ82" s="133"/>
      <c r="AR82" s="133"/>
      <c r="AS82" s="133"/>
    </row>
    <row r="83" spans="3:46" x14ac:dyDescent="0.2">
      <c r="C83" s="146"/>
      <c r="D83" s="146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47"/>
      <c r="P83" s="133"/>
      <c r="Q83" s="152"/>
      <c r="R83" s="133"/>
      <c r="S83" s="133"/>
      <c r="T83" s="147"/>
      <c r="U83" s="133"/>
      <c r="V83" s="133"/>
      <c r="W83" s="147"/>
      <c r="X83" s="133"/>
      <c r="Y83" s="133"/>
      <c r="Z83" s="133"/>
      <c r="AA83" s="147"/>
      <c r="AB83" s="133"/>
      <c r="AC83" s="133"/>
      <c r="AD83" s="147"/>
      <c r="AE83" s="150"/>
      <c r="AF83" s="133"/>
      <c r="AG83" s="147"/>
      <c r="AH83" s="133"/>
      <c r="AI83" s="133"/>
      <c r="AJ83" s="147"/>
      <c r="AK83" s="150"/>
      <c r="AL83" s="133"/>
      <c r="AM83" s="147"/>
      <c r="AN83" s="133"/>
      <c r="AO83" s="133"/>
      <c r="AP83" s="147"/>
      <c r="AQ83" s="133"/>
      <c r="AR83" s="133"/>
      <c r="AS83" s="133"/>
    </row>
    <row r="84" spans="3:46" x14ac:dyDescent="0.2">
      <c r="C84" s="146"/>
      <c r="D84" s="146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47"/>
      <c r="P84" s="133"/>
      <c r="Q84" s="152"/>
      <c r="R84" s="133"/>
      <c r="S84" s="133"/>
      <c r="T84" s="147"/>
      <c r="U84" s="133"/>
      <c r="V84" s="133"/>
      <c r="W84" s="147"/>
      <c r="X84" s="133"/>
      <c r="Y84" s="133"/>
      <c r="Z84" s="133"/>
      <c r="AA84" s="147"/>
      <c r="AB84" s="133"/>
      <c r="AC84" s="133"/>
      <c r="AD84" s="147"/>
      <c r="AE84" s="150"/>
      <c r="AF84" s="133"/>
      <c r="AG84" s="147"/>
      <c r="AH84" s="133"/>
      <c r="AI84" s="133"/>
      <c r="AJ84" s="147"/>
      <c r="AK84" s="150"/>
      <c r="AL84" s="133"/>
      <c r="AM84" s="147"/>
      <c r="AN84" s="133"/>
      <c r="AO84" s="133"/>
      <c r="AP84" s="147"/>
      <c r="AQ84" s="133"/>
      <c r="AR84" s="133"/>
      <c r="AS84" s="133"/>
    </row>
    <row r="85" spans="3:46" x14ac:dyDescent="0.2">
      <c r="C85" s="146"/>
      <c r="D85" s="146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47"/>
      <c r="P85" s="133"/>
      <c r="Q85" s="152"/>
      <c r="R85" s="133"/>
      <c r="S85" s="133"/>
      <c r="T85" s="147"/>
      <c r="U85" s="133"/>
      <c r="V85" s="133"/>
      <c r="W85" s="147"/>
      <c r="X85" s="133"/>
      <c r="Y85" s="133"/>
      <c r="Z85" s="133"/>
      <c r="AA85" s="147"/>
      <c r="AB85" s="133"/>
      <c r="AC85" s="133"/>
      <c r="AD85" s="147"/>
      <c r="AE85" s="150"/>
      <c r="AF85" s="133"/>
      <c r="AG85" s="147"/>
      <c r="AH85" s="133"/>
      <c r="AI85" s="133"/>
      <c r="AJ85" s="147"/>
      <c r="AK85" s="150"/>
      <c r="AL85" s="133"/>
      <c r="AM85" s="147"/>
      <c r="AN85" s="133"/>
      <c r="AO85" s="133"/>
      <c r="AP85" s="147"/>
      <c r="AQ85" s="133"/>
      <c r="AR85" s="133"/>
      <c r="AS85" s="133"/>
    </row>
    <row r="86" spans="3:46" x14ac:dyDescent="0.2">
      <c r="C86" s="146"/>
      <c r="D86" s="146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47"/>
      <c r="P86" s="133"/>
      <c r="Q86" s="152"/>
      <c r="R86" s="133"/>
      <c r="S86" s="133"/>
      <c r="T86" s="147"/>
      <c r="U86" s="133"/>
      <c r="V86" s="133"/>
      <c r="W86" s="147"/>
      <c r="X86" s="133"/>
      <c r="Y86" s="133"/>
      <c r="Z86" s="133"/>
      <c r="AA86" s="147"/>
      <c r="AB86" s="133"/>
      <c r="AC86" s="133"/>
      <c r="AD86" s="147"/>
      <c r="AE86" s="150"/>
      <c r="AF86" s="133"/>
      <c r="AG86" s="147"/>
      <c r="AH86" s="133"/>
      <c r="AI86" s="133"/>
      <c r="AJ86" s="147"/>
      <c r="AK86" s="150"/>
      <c r="AL86" s="133"/>
      <c r="AM86" s="147"/>
      <c r="AN86" s="133"/>
      <c r="AO86" s="133"/>
      <c r="AP86" s="147"/>
      <c r="AQ86" s="133"/>
      <c r="AR86" s="133"/>
      <c r="AS86" s="133"/>
    </row>
    <row r="87" spans="3:46" x14ac:dyDescent="0.2">
      <c r="C87" s="146"/>
      <c r="D87" s="146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47"/>
      <c r="P87" s="133"/>
      <c r="Q87" s="152"/>
      <c r="R87" s="133"/>
      <c r="S87" s="133"/>
      <c r="T87" s="147"/>
      <c r="U87" s="133"/>
      <c r="V87" s="133"/>
      <c r="W87" s="147"/>
      <c r="X87" s="133"/>
      <c r="Y87" s="133"/>
      <c r="Z87" s="133"/>
      <c r="AA87" s="147"/>
      <c r="AB87" s="133"/>
      <c r="AC87" s="133"/>
      <c r="AD87" s="147"/>
      <c r="AE87" s="150"/>
      <c r="AF87" s="133"/>
      <c r="AG87" s="147"/>
      <c r="AH87" s="133"/>
      <c r="AI87" s="133"/>
      <c r="AJ87" s="147"/>
      <c r="AK87" s="150"/>
      <c r="AL87" s="133"/>
      <c r="AM87" s="147"/>
      <c r="AN87" s="133"/>
      <c r="AO87" s="133"/>
      <c r="AP87" s="147"/>
      <c r="AQ87" s="133"/>
      <c r="AR87" s="133"/>
      <c r="AS87" s="133"/>
    </row>
    <row r="88" spans="3:46" x14ac:dyDescent="0.2">
      <c r="C88" s="146"/>
      <c r="D88" s="146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47"/>
      <c r="P88" s="133"/>
      <c r="Q88" s="152"/>
      <c r="R88" s="133"/>
      <c r="S88" s="133"/>
      <c r="T88" s="147"/>
      <c r="U88" s="133"/>
      <c r="V88" s="133"/>
      <c r="W88" s="147"/>
      <c r="X88" s="133"/>
      <c r="Y88" s="133"/>
      <c r="Z88" s="133"/>
      <c r="AA88" s="147"/>
      <c r="AB88" s="133"/>
      <c r="AC88" s="133"/>
      <c r="AD88" s="147"/>
      <c r="AE88" s="150"/>
      <c r="AF88" s="133"/>
      <c r="AG88" s="147"/>
      <c r="AH88" s="133"/>
      <c r="AI88" s="133"/>
      <c r="AJ88" s="147"/>
      <c r="AK88" s="150"/>
      <c r="AL88" s="133"/>
      <c r="AM88" s="147"/>
      <c r="AN88" s="133"/>
      <c r="AO88" s="133"/>
      <c r="AP88" s="147"/>
      <c r="AQ88" s="133"/>
      <c r="AR88" s="133"/>
      <c r="AS88" s="133"/>
    </row>
    <row r="89" spans="3:46" x14ac:dyDescent="0.2">
      <c r="C89" s="146"/>
      <c r="D89" s="146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47"/>
      <c r="P89" s="133"/>
      <c r="Q89" s="152"/>
      <c r="R89" s="133"/>
      <c r="S89" s="133"/>
      <c r="T89" s="147"/>
      <c r="U89" s="133"/>
      <c r="V89" s="133"/>
      <c r="W89" s="147"/>
      <c r="X89" s="133"/>
      <c r="Y89" s="133"/>
      <c r="Z89" s="133"/>
      <c r="AA89" s="147"/>
      <c r="AB89" s="133"/>
      <c r="AC89" s="133"/>
      <c r="AD89" s="147"/>
      <c r="AE89" s="150"/>
      <c r="AF89" s="133"/>
      <c r="AG89" s="147"/>
      <c r="AH89" s="133"/>
      <c r="AI89" s="133"/>
      <c r="AJ89" s="147"/>
      <c r="AK89" s="150"/>
      <c r="AL89" s="133"/>
      <c r="AM89" s="147"/>
      <c r="AN89" s="133"/>
      <c r="AO89" s="133"/>
      <c r="AP89" s="147"/>
      <c r="AQ89" s="133"/>
      <c r="AR89" s="133"/>
      <c r="AS89" s="133"/>
    </row>
    <row r="90" spans="3:46" x14ac:dyDescent="0.2">
      <c r="C90" s="146"/>
      <c r="D90" s="146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47"/>
      <c r="P90" s="133"/>
      <c r="Q90" s="152"/>
      <c r="R90" s="133"/>
      <c r="S90" s="133"/>
      <c r="T90" s="147"/>
      <c r="U90" s="133"/>
      <c r="V90" s="133"/>
      <c r="W90" s="147"/>
      <c r="X90" s="133"/>
      <c r="Y90" s="133"/>
      <c r="Z90" s="133"/>
      <c r="AA90" s="147"/>
      <c r="AB90" s="133"/>
      <c r="AC90" s="133"/>
      <c r="AD90" s="147"/>
      <c r="AE90" s="150"/>
      <c r="AF90" s="133"/>
      <c r="AG90" s="147"/>
      <c r="AH90" s="133"/>
      <c r="AI90" s="133"/>
      <c r="AJ90" s="147"/>
      <c r="AK90" s="150"/>
      <c r="AL90" s="133"/>
      <c r="AM90" s="147"/>
      <c r="AN90" s="133"/>
      <c r="AO90" s="133"/>
      <c r="AP90" s="147"/>
      <c r="AQ90" s="133"/>
      <c r="AR90" s="133"/>
      <c r="AS90" s="133"/>
    </row>
    <row r="91" spans="3:46" x14ac:dyDescent="0.2">
      <c r="C91" s="146"/>
      <c r="D91" s="146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47"/>
      <c r="P91" s="133"/>
      <c r="Q91" s="152"/>
      <c r="R91" s="133"/>
      <c r="S91" s="133"/>
      <c r="T91" s="147"/>
      <c r="U91" s="133"/>
      <c r="V91" s="133"/>
      <c r="W91" s="147"/>
      <c r="X91" s="133"/>
      <c r="Y91" s="133"/>
      <c r="Z91" s="133"/>
      <c r="AA91" s="147"/>
      <c r="AB91" s="133"/>
      <c r="AC91" s="133"/>
      <c r="AD91" s="147"/>
      <c r="AE91" s="150"/>
      <c r="AF91" s="133"/>
      <c r="AG91" s="147"/>
      <c r="AH91" s="133"/>
      <c r="AI91" s="133"/>
      <c r="AJ91" s="147"/>
      <c r="AK91" s="150"/>
      <c r="AL91" s="133"/>
      <c r="AM91" s="147"/>
      <c r="AN91" s="133"/>
      <c r="AO91" s="133"/>
      <c r="AP91" s="147"/>
      <c r="AQ91" s="133"/>
      <c r="AR91" s="133"/>
      <c r="AS91" s="133"/>
    </row>
    <row r="92" spans="3:46" x14ac:dyDescent="0.2">
      <c r="C92" s="146"/>
      <c r="D92" s="146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47"/>
      <c r="P92" s="133"/>
      <c r="Q92" s="152"/>
      <c r="R92" s="133"/>
      <c r="S92" s="133"/>
      <c r="T92" s="147"/>
      <c r="U92" s="133"/>
      <c r="V92" s="133"/>
      <c r="W92" s="147"/>
      <c r="X92" s="133"/>
      <c r="Y92" s="133"/>
      <c r="Z92" s="133"/>
      <c r="AA92" s="147"/>
      <c r="AB92" s="133"/>
      <c r="AC92" s="133"/>
      <c r="AD92" s="147"/>
      <c r="AE92" s="150"/>
      <c r="AF92" s="133"/>
      <c r="AG92" s="147"/>
      <c r="AH92" s="133"/>
      <c r="AI92" s="133"/>
      <c r="AJ92" s="147"/>
      <c r="AK92" s="150"/>
      <c r="AL92" s="133"/>
      <c r="AM92" s="147"/>
      <c r="AN92" s="133"/>
      <c r="AO92" s="133"/>
      <c r="AP92" s="147"/>
      <c r="AQ92" s="133"/>
      <c r="AR92" s="133"/>
      <c r="AS92" s="133"/>
    </row>
    <row r="93" spans="3:46" x14ac:dyDescent="0.2">
      <c r="C93" s="146"/>
      <c r="D93" s="146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47"/>
      <c r="P93" s="133"/>
      <c r="Q93" s="133"/>
      <c r="R93" s="133"/>
      <c r="S93" s="133"/>
      <c r="T93" s="147"/>
      <c r="U93" s="133"/>
      <c r="V93" s="133"/>
      <c r="W93" s="147"/>
      <c r="X93" s="133"/>
      <c r="Y93" s="133"/>
      <c r="Z93" s="133"/>
      <c r="AA93" s="147"/>
      <c r="AB93" s="133"/>
      <c r="AC93" s="133"/>
      <c r="AD93" s="147"/>
      <c r="AE93" s="150"/>
      <c r="AF93" s="133"/>
      <c r="AG93" s="147"/>
      <c r="AH93" s="133"/>
      <c r="AI93" s="133"/>
      <c r="AJ93" s="147"/>
      <c r="AK93" s="150"/>
      <c r="AL93" s="133"/>
      <c r="AM93" s="147"/>
      <c r="AN93" s="133"/>
      <c r="AO93" s="133"/>
      <c r="AP93" s="147"/>
      <c r="AQ93" s="133"/>
      <c r="AR93" s="133"/>
      <c r="AS93" s="133"/>
    </row>
    <row r="94" spans="3:46" x14ac:dyDescent="0.2">
      <c r="C94" s="146"/>
      <c r="D94" s="146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47"/>
      <c r="P94" s="133"/>
      <c r="Q94" s="133"/>
      <c r="R94" s="133"/>
      <c r="S94" s="133"/>
      <c r="T94" s="147"/>
      <c r="U94" s="133"/>
      <c r="V94" s="133"/>
      <c r="W94" s="147"/>
      <c r="X94" s="133"/>
      <c r="Y94" s="133"/>
      <c r="Z94" s="133"/>
      <c r="AA94" s="147"/>
      <c r="AB94" s="133"/>
      <c r="AC94" s="133"/>
      <c r="AD94" s="147"/>
      <c r="AE94" s="150"/>
      <c r="AF94" s="133"/>
      <c r="AG94" s="147"/>
      <c r="AH94" s="133"/>
      <c r="AI94" s="133"/>
      <c r="AJ94" s="147"/>
      <c r="AK94" s="150"/>
      <c r="AL94" s="133"/>
      <c r="AM94" s="147"/>
      <c r="AN94" s="133"/>
      <c r="AO94" s="133"/>
      <c r="AP94" s="147"/>
      <c r="AQ94" s="133"/>
      <c r="AR94" s="133"/>
      <c r="AS94" s="133"/>
    </row>
    <row r="95" spans="3:46" x14ac:dyDescent="0.2">
      <c r="C95" s="146"/>
      <c r="D95" s="146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47"/>
      <c r="P95" s="133"/>
      <c r="Q95" s="133"/>
      <c r="R95" s="133"/>
      <c r="S95" s="133"/>
      <c r="T95" s="147"/>
      <c r="U95" s="133"/>
      <c r="V95" s="133"/>
      <c r="W95" s="147"/>
      <c r="X95" s="133"/>
      <c r="Y95" s="133"/>
      <c r="Z95" s="133"/>
      <c r="AA95" s="147"/>
      <c r="AB95" s="133"/>
      <c r="AC95" s="133"/>
      <c r="AD95" s="147"/>
      <c r="AE95" s="150"/>
      <c r="AF95" s="133"/>
      <c r="AG95" s="147"/>
      <c r="AH95" s="133"/>
      <c r="AI95" s="133"/>
      <c r="AJ95" s="147"/>
      <c r="AK95" s="150"/>
      <c r="AL95" s="133"/>
      <c r="AM95" s="147"/>
      <c r="AN95" s="133"/>
      <c r="AO95" s="133"/>
      <c r="AP95" s="147"/>
      <c r="AQ95" s="133"/>
      <c r="AR95" s="133"/>
      <c r="AS95" s="133"/>
    </row>
    <row r="96" spans="3:46" x14ac:dyDescent="0.2">
      <c r="C96" s="146"/>
      <c r="D96" s="146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47"/>
      <c r="P96" s="133"/>
      <c r="Q96" s="133"/>
      <c r="R96" s="133"/>
      <c r="S96" s="133"/>
      <c r="T96" s="147"/>
      <c r="U96" s="133"/>
      <c r="V96" s="133"/>
      <c r="W96" s="147"/>
      <c r="X96" s="133"/>
      <c r="Y96" s="133"/>
      <c r="Z96" s="133"/>
      <c r="AA96" s="147"/>
      <c r="AB96" s="133"/>
      <c r="AC96" s="133"/>
      <c r="AD96" s="147"/>
      <c r="AE96" s="150"/>
      <c r="AF96" s="133"/>
      <c r="AG96" s="147"/>
      <c r="AH96" s="133"/>
      <c r="AI96" s="133"/>
      <c r="AJ96" s="147"/>
      <c r="AK96" s="150"/>
      <c r="AL96" s="133"/>
      <c r="AM96" s="147"/>
      <c r="AN96" s="133"/>
      <c r="AO96" s="133"/>
      <c r="AP96" s="147"/>
      <c r="AQ96" s="133"/>
      <c r="AR96" s="133"/>
      <c r="AS96" s="133"/>
      <c r="AT96" s="155"/>
    </row>
    <row r="97" spans="1:47" x14ac:dyDescent="0.2">
      <c r="C97" s="146"/>
      <c r="D97" s="146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47"/>
      <c r="P97" s="133"/>
      <c r="Q97" s="133"/>
      <c r="R97" s="133"/>
      <c r="S97" s="133"/>
      <c r="T97" s="147"/>
      <c r="U97" s="133"/>
      <c r="V97" s="133"/>
      <c r="W97" s="147"/>
      <c r="X97" s="133"/>
      <c r="Y97" s="133"/>
      <c r="Z97" s="133"/>
      <c r="AA97" s="147"/>
      <c r="AB97" s="133"/>
      <c r="AC97" s="133"/>
      <c r="AD97" s="147"/>
      <c r="AE97" s="150"/>
      <c r="AF97" s="133"/>
      <c r="AG97" s="147"/>
      <c r="AH97" s="133"/>
      <c r="AI97" s="133"/>
      <c r="AJ97" s="147"/>
      <c r="AK97" s="150"/>
      <c r="AL97" s="133"/>
      <c r="AM97" s="147"/>
      <c r="AN97" s="133"/>
      <c r="AO97" s="133"/>
      <c r="AP97" s="147"/>
      <c r="AQ97" s="133"/>
      <c r="AR97" s="133"/>
      <c r="AS97" s="133"/>
    </row>
    <row r="98" spans="1:47" x14ac:dyDescent="0.2">
      <c r="C98" s="146"/>
      <c r="D98" s="146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47"/>
      <c r="P98" s="133"/>
      <c r="Q98" s="133"/>
      <c r="R98" s="133"/>
      <c r="S98" s="133"/>
      <c r="T98" s="147"/>
      <c r="U98" s="133"/>
      <c r="V98" s="133"/>
      <c r="W98" s="147"/>
      <c r="X98" s="133"/>
      <c r="Y98" s="133"/>
      <c r="Z98" s="133"/>
      <c r="AA98" s="147"/>
      <c r="AB98" s="133"/>
      <c r="AC98" s="133"/>
      <c r="AD98" s="147"/>
      <c r="AE98" s="150"/>
      <c r="AF98" s="133"/>
      <c r="AG98" s="147"/>
      <c r="AH98" s="133"/>
      <c r="AI98" s="133"/>
      <c r="AJ98" s="147"/>
      <c r="AK98" s="150"/>
      <c r="AL98" s="133"/>
      <c r="AM98" s="147"/>
      <c r="AN98" s="133"/>
      <c r="AO98" s="133"/>
      <c r="AP98" s="147"/>
      <c r="AQ98" s="133"/>
      <c r="AR98" s="133"/>
      <c r="AS98" s="133"/>
    </row>
    <row r="99" spans="1:47" x14ac:dyDescent="0.2">
      <c r="C99" s="146"/>
      <c r="D99" s="146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47"/>
      <c r="P99" s="133"/>
      <c r="Q99" s="133"/>
      <c r="R99" s="133"/>
      <c r="S99" s="133"/>
      <c r="T99" s="147"/>
      <c r="U99" s="133"/>
      <c r="V99" s="133"/>
      <c r="W99" s="147"/>
      <c r="X99" s="133"/>
      <c r="Y99" s="133"/>
      <c r="Z99" s="133"/>
      <c r="AA99" s="147"/>
      <c r="AB99" s="133"/>
      <c r="AC99" s="133"/>
      <c r="AD99" s="147"/>
      <c r="AE99" s="150"/>
      <c r="AF99" s="133"/>
      <c r="AG99" s="147"/>
      <c r="AH99" s="133"/>
      <c r="AI99" s="133"/>
      <c r="AJ99" s="147"/>
      <c r="AK99" s="150"/>
      <c r="AL99" s="133"/>
      <c r="AM99" s="147"/>
      <c r="AN99" s="133"/>
      <c r="AO99" s="133"/>
      <c r="AP99" s="147"/>
      <c r="AQ99" s="133"/>
      <c r="AR99" s="133"/>
      <c r="AS99" s="133"/>
    </row>
    <row r="100" spans="1:47" x14ac:dyDescent="0.2">
      <c r="C100" s="146"/>
      <c r="D100" s="146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47"/>
      <c r="P100" s="133"/>
      <c r="Q100" s="133"/>
      <c r="R100" s="133"/>
      <c r="S100" s="133"/>
      <c r="T100" s="147"/>
      <c r="U100" s="133"/>
      <c r="V100" s="133"/>
      <c r="W100" s="147"/>
      <c r="X100" s="133"/>
      <c r="Y100" s="133"/>
      <c r="Z100" s="133"/>
      <c r="AA100" s="147"/>
      <c r="AB100" s="133"/>
      <c r="AC100" s="133"/>
      <c r="AD100" s="147"/>
      <c r="AE100" s="150"/>
      <c r="AF100" s="133"/>
      <c r="AG100" s="147"/>
      <c r="AH100" s="133"/>
      <c r="AI100" s="133"/>
      <c r="AJ100" s="147"/>
      <c r="AK100" s="150"/>
      <c r="AL100" s="133"/>
      <c r="AM100" s="147"/>
      <c r="AN100" s="133"/>
      <c r="AO100" s="133"/>
      <c r="AP100" s="147"/>
      <c r="AQ100" s="133"/>
      <c r="AR100" s="133"/>
      <c r="AS100" s="133"/>
    </row>
    <row r="101" spans="1:47" x14ac:dyDescent="0.2">
      <c r="C101" s="146"/>
      <c r="D101" s="146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47"/>
      <c r="P101" s="133"/>
      <c r="Q101" s="133"/>
      <c r="R101" s="133"/>
      <c r="S101" s="133"/>
      <c r="T101" s="147"/>
      <c r="U101" s="133"/>
      <c r="V101" s="133"/>
      <c r="W101" s="147"/>
      <c r="X101" s="133"/>
      <c r="Y101" s="133"/>
      <c r="Z101" s="133"/>
      <c r="AA101" s="147"/>
      <c r="AC101" s="133"/>
      <c r="AD101" s="147"/>
      <c r="AF101" s="133"/>
      <c r="AG101" s="147"/>
      <c r="AI101" s="133"/>
      <c r="AJ101" s="147"/>
      <c r="AL101" s="133"/>
      <c r="AM101" s="147"/>
      <c r="AO101" s="133"/>
      <c r="AP101" s="147"/>
      <c r="AS101" s="133"/>
    </row>
    <row r="102" spans="1:47" x14ac:dyDescent="0.2">
      <c r="C102" s="146"/>
      <c r="D102" s="146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47"/>
      <c r="P102" s="133"/>
      <c r="Q102" s="133"/>
      <c r="R102" s="133"/>
      <c r="S102" s="133"/>
      <c r="T102" s="147"/>
      <c r="U102" s="133"/>
      <c r="V102" s="133"/>
      <c r="W102" s="147"/>
      <c r="X102" s="133"/>
      <c r="Y102" s="133"/>
      <c r="Z102" s="133"/>
      <c r="AA102" s="147"/>
      <c r="AC102" s="133"/>
      <c r="AD102" s="147"/>
      <c r="AF102" s="133"/>
      <c r="AG102" s="147"/>
      <c r="AI102" s="133"/>
      <c r="AJ102" s="147"/>
      <c r="AL102" s="133"/>
      <c r="AM102" s="147"/>
      <c r="AO102" s="133"/>
      <c r="AP102" s="147"/>
      <c r="AS102" s="133"/>
    </row>
    <row r="103" spans="1:47" x14ac:dyDescent="0.2">
      <c r="C103" s="146"/>
      <c r="D103" s="146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47"/>
      <c r="P103" s="133"/>
      <c r="Q103" s="133"/>
      <c r="R103" s="133"/>
      <c r="S103" s="133"/>
      <c r="T103" s="147"/>
      <c r="U103" s="133"/>
      <c r="V103" s="133"/>
      <c r="W103" s="147"/>
      <c r="X103" s="133"/>
      <c r="Y103" s="133"/>
      <c r="Z103" s="133"/>
      <c r="AA103" s="147"/>
      <c r="AC103" s="133"/>
      <c r="AD103" s="147"/>
      <c r="AF103" s="133"/>
      <c r="AG103" s="147"/>
      <c r="AI103" s="133"/>
      <c r="AJ103" s="147"/>
      <c r="AL103" s="133"/>
      <c r="AM103" s="147"/>
      <c r="AO103" s="133"/>
      <c r="AP103" s="147"/>
      <c r="AS103" s="133"/>
    </row>
    <row r="104" spans="1:47" x14ac:dyDescent="0.2">
      <c r="C104" s="146"/>
      <c r="D104" s="146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47"/>
      <c r="P104" s="133"/>
      <c r="Q104" s="133"/>
      <c r="R104" s="133"/>
      <c r="S104" s="133"/>
      <c r="T104" s="147"/>
      <c r="U104" s="133"/>
      <c r="V104" s="133"/>
      <c r="W104" s="147"/>
      <c r="X104" s="133"/>
      <c r="Y104" s="133"/>
      <c r="Z104" s="133"/>
      <c r="AA104" s="147"/>
      <c r="AC104" s="133"/>
      <c r="AD104" s="147"/>
      <c r="AF104" s="133"/>
      <c r="AG104" s="147"/>
      <c r="AI104" s="133"/>
      <c r="AJ104" s="147"/>
      <c r="AL104" s="133"/>
      <c r="AM104" s="147"/>
      <c r="AO104" s="133"/>
      <c r="AP104" s="147"/>
    </row>
    <row r="105" spans="1:47" x14ac:dyDescent="0.2">
      <c r="C105" s="146"/>
      <c r="D105" s="146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47"/>
      <c r="P105" s="133"/>
      <c r="Q105" s="133"/>
      <c r="R105" s="133"/>
      <c r="S105" s="133"/>
      <c r="T105" s="147"/>
      <c r="U105" s="133"/>
      <c r="V105" s="133"/>
      <c r="W105" s="147"/>
      <c r="X105" s="133"/>
      <c r="Y105" s="133"/>
      <c r="Z105" s="133"/>
      <c r="AA105" s="147"/>
      <c r="AC105" s="133"/>
      <c r="AD105" s="147"/>
      <c r="AF105" s="133"/>
      <c r="AG105" s="147"/>
      <c r="AI105" s="133"/>
      <c r="AJ105" s="147"/>
      <c r="AL105" s="133"/>
      <c r="AM105" s="147"/>
      <c r="AO105" s="133"/>
      <c r="AP105" s="147"/>
    </row>
    <row r="106" spans="1:47" x14ac:dyDescent="0.2">
      <c r="C106" s="146"/>
      <c r="D106" s="146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47"/>
      <c r="P106" s="133"/>
      <c r="Q106" s="133"/>
      <c r="R106" s="133"/>
      <c r="S106" s="133"/>
      <c r="T106" s="147"/>
      <c r="U106" s="133"/>
      <c r="V106" s="133"/>
      <c r="W106" s="147"/>
      <c r="X106" s="133"/>
      <c r="Y106" s="133"/>
      <c r="Z106" s="133"/>
      <c r="AA106" s="147"/>
      <c r="AC106" s="133"/>
      <c r="AD106" s="147"/>
      <c r="AF106" s="133"/>
      <c r="AG106" s="147"/>
      <c r="AI106" s="133"/>
      <c r="AJ106" s="147"/>
      <c r="AL106" s="133"/>
      <c r="AM106" s="147"/>
      <c r="AO106" s="133"/>
      <c r="AP106" s="147"/>
    </row>
    <row r="107" spans="1:47" x14ac:dyDescent="0.2">
      <c r="C107" s="146"/>
      <c r="D107" s="146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47"/>
      <c r="P107" s="133"/>
      <c r="Q107" s="133"/>
      <c r="R107" s="133"/>
      <c r="S107" s="133"/>
      <c r="T107" s="147"/>
      <c r="U107" s="133"/>
      <c r="V107" s="133"/>
      <c r="W107" s="147"/>
      <c r="X107" s="133"/>
      <c r="Y107" s="133"/>
      <c r="Z107" s="133"/>
      <c r="AA107" s="147"/>
      <c r="AC107" s="133"/>
      <c r="AD107" s="147"/>
      <c r="AF107" s="133"/>
      <c r="AG107" s="147"/>
      <c r="AI107" s="133"/>
      <c r="AJ107" s="147"/>
      <c r="AL107" s="133"/>
      <c r="AM107" s="147"/>
      <c r="AO107" s="133"/>
      <c r="AP107" s="147"/>
    </row>
    <row r="108" spans="1:47" x14ac:dyDescent="0.2">
      <c r="C108" s="146"/>
      <c r="D108" s="146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47"/>
      <c r="P108" s="133"/>
      <c r="Q108" s="133"/>
      <c r="R108" s="133"/>
      <c r="S108" s="133"/>
      <c r="T108" s="147"/>
      <c r="U108" s="133"/>
      <c r="V108" s="133"/>
      <c r="W108" s="147"/>
      <c r="X108" s="133"/>
      <c r="Y108" s="133"/>
      <c r="Z108" s="133"/>
      <c r="AA108" s="147"/>
      <c r="AC108" s="133"/>
      <c r="AD108" s="147"/>
      <c r="AF108" s="133"/>
      <c r="AG108" s="147"/>
      <c r="AI108" s="133"/>
      <c r="AJ108" s="147"/>
      <c r="AL108" s="133"/>
      <c r="AM108" s="147"/>
      <c r="AO108" s="133"/>
      <c r="AP108" s="147"/>
    </row>
    <row r="109" spans="1:47" x14ac:dyDescent="0.2">
      <c r="A109" s="155"/>
      <c r="B109" s="155"/>
      <c r="C109" s="146"/>
      <c r="D109" s="146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47"/>
      <c r="P109" s="133"/>
      <c r="Q109" s="133"/>
      <c r="R109" s="133"/>
      <c r="S109" s="133"/>
      <c r="T109" s="147"/>
      <c r="U109" s="133"/>
      <c r="V109" s="133"/>
      <c r="W109" s="147"/>
      <c r="X109" s="133"/>
      <c r="Y109" s="133"/>
      <c r="Z109" s="133"/>
      <c r="AA109" s="147"/>
      <c r="AC109" s="133"/>
      <c r="AD109" s="147"/>
      <c r="AF109" s="133"/>
      <c r="AG109" s="147"/>
      <c r="AI109" s="133"/>
      <c r="AJ109" s="147"/>
      <c r="AL109" s="133"/>
      <c r="AM109" s="147"/>
      <c r="AO109" s="133"/>
      <c r="AP109" s="147"/>
    </row>
    <row r="110" spans="1:47" x14ac:dyDescent="0.2">
      <c r="C110" s="146"/>
      <c r="D110" s="146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47"/>
      <c r="P110" s="133"/>
      <c r="Q110" s="133"/>
      <c r="R110" s="133"/>
      <c r="S110" s="133"/>
      <c r="T110" s="147"/>
      <c r="U110" s="133"/>
      <c r="V110" s="133"/>
      <c r="W110" s="147"/>
      <c r="X110" s="133"/>
      <c r="Y110" s="133"/>
      <c r="Z110" s="133"/>
      <c r="AA110" s="147"/>
      <c r="AC110" s="133"/>
      <c r="AD110" s="147"/>
      <c r="AF110" s="133"/>
      <c r="AG110" s="147"/>
      <c r="AI110" s="133"/>
      <c r="AJ110" s="147"/>
      <c r="AL110" s="133"/>
      <c r="AM110" s="147"/>
      <c r="AO110" s="133"/>
      <c r="AP110" s="147"/>
    </row>
    <row r="111" spans="1:47" x14ac:dyDescent="0.2">
      <c r="C111" s="146"/>
      <c r="D111" s="146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47"/>
      <c r="P111" s="133"/>
      <c r="Q111" s="133"/>
      <c r="R111" s="133"/>
      <c r="S111" s="133"/>
      <c r="T111" s="147"/>
      <c r="U111" s="133"/>
      <c r="V111" s="133"/>
      <c r="W111" s="147"/>
      <c r="X111" s="133"/>
      <c r="Y111" s="133"/>
      <c r="Z111" s="133"/>
      <c r="AA111" s="147"/>
      <c r="AC111" s="133"/>
      <c r="AD111" s="147"/>
      <c r="AF111" s="133"/>
      <c r="AG111" s="147"/>
      <c r="AI111" s="133"/>
      <c r="AJ111" s="147"/>
      <c r="AL111" s="133"/>
      <c r="AM111" s="147"/>
      <c r="AO111" s="133"/>
      <c r="AP111" s="147"/>
    </row>
    <row r="112" spans="1:47" s="155" customFormat="1" x14ac:dyDescent="0.2">
      <c r="A112" s="81"/>
      <c r="B112" s="81"/>
      <c r="C112" s="146"/>
      <c r="D112" s="146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47"/>
      <c r="P112" s="133"/>
      <c r="Q112" s="133"/>
      <c r="R112" s="133"/>
      <c r="S112" s="133"/>
      <c r="T112" s="147"/>
      <c r="U112" s="133"/>
      <c r="V112" s="133"/>
      <c r="W112" s="147"/>
      <c r="X112" s="133"/>
      <c r="Y112" s="133"/>
      <c r="Z112" s="133"/>
      <c r="AA112" s="147"/>
      <c r="AB112" s="81"/>
      <c r="AC112" s="133"/>
      <c r="AD112" s="147"/>
      <c r="AE112" s="139"/>
      <c r="AF112" s="133"/>
      <c r="AG112" s="147"/>
      <c r="AH112" s="81"/>
      <c r="AI112" s="133"/>
      <c r="AJ112" s="147"/>
      <c r="AK112" s="139"/>
      <c r="AL112" s="133"/>
      <c r="AM112" s="147"/>
      <c r="AN112" s="81"/>
      <c r="AO112" s="133"/>
      <c r="AP112" s="147"/>
      <c r="AQ112" s="81"/>
      <c r="AR112" s="81"/>
      <c r="AS112" s="81"/>
      <c r="AT112" s="81"/>
      <c r="AU112" s="81"/>
    </row>
    <row r="113" spans="3:42" x14ac:dyDescent="0.2">
      <c r="C113" s="146"/>
      <c r="D113" s="146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47"/>
      <c r="P113" s="133"/>
      <c r="Q113" s="133"/>
      <c r="R113" s="133"/>
      <c r="S113" s="133"/>
      <c r="T113" s="147"/>
      <c r="U113" s="133"/>
      <c r="V113" s="133"/>
      <c r="W113" s="147"/>
      <c r="X113" s="133"/>
      <c r="Y113" s="133"/>
      <c r="Z113" s="133"/>
      <c r="AA113" s="147"/>
      <c r="AC113" s="133"/>
      <c r="AD113" s="147"/>
      <c r="AF113" s="133"/>
      <c r="AG113" s="147"/>
      <c r="AI113" s="133"/>
      <c r="AJ113" s="147"/>
      <c r="AL113" s="133"/>
      <c r="AM113" s="147"/>
      <c r="AO113" s="133"/>
      <c r="AP113" s="147"/>
    </row>
    <row r="114" spans="3:42" x14ac:dyDescent="0.2">
      <c r="C114" s="146"/>
      <c r="D114" s="146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47"/>
      <c r="P114" s="133"/>
      <c r="Q114" s="133"/>
      <c r="R114" s="133"/>
      <c r="S114" s="133"/>
      <c r="T114" s="147"/>
      <c r="U114" s="133"/>
      <c r="V114" s="133"/>
      <c r="W114" s="147"/>
      <c r="X114" s="133"/>
      <c r="Y114" s="133"/>
      <c r="Z114" s="133"/>
      <c r="AA114" s="147"/>
      <c r="AC114" s="133"/>
      <c r="AD114" s="147"/>
      <c r="AF114" s="133"/>
      <c r="AG114" s="147"/>
      <c r="AI114" s="133"/>
      <c r="AJ114" s="147"/>
      <c r="AL114" s="133"/>
      <c r="AM114" s="147"/>
      <c r="AO114" s="133"/>
      <c r="AP114" s="147"/>
    </row>
    <row r="115" spans="3:42" x14ac:dyDescent="0.2">
      <c r="C115" s="146"/>
      <c r="D115" s="146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47"/>
      <c r="P115" s="133"/>
      <c r="Q115" s="133"/>
      <c r="R115" s="133"/>
      <c r="S115" s="133"/>
      <c r="T115" s="147"/>
      <c r="U115" s="133"/>
      <c r="V115" s="133"/>
      <c r="W115" s="147"/>
      <c r="X115" s="133"/>
      <c r="Y115" s="133"/>
      <c r="Z115" s="133"/>
      <c r="AA115" s="147"/>
      <c r="AC115" s="133"/>
      <c r="AD115" s="147"/>
      <c r="AF115" s="133"/>
      <c r="AG115" s="147"/>
      <c r="AI115" s="133"/>
      <c r="AJ115" s="147"/>
      <c r="AL115" s="133"/>
      <c r="AM115" s="147"/>
      <c r="AO115" s="133"/>
      <c r="AP115" s="147"/>
    </row>
    <row r="116" spans="3:42" x14ac:dyDescent="0.2">
      <c r="C116" s="146"/>
      <c r="D116" s="146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47"/>
      <c r="P116" s="133"/>
      <c r="Q116" s="133"/>
      <c r="R116" s="133"/>
      <c r="S116" s="133"/>
      <c r="T116" s="147"/>
      <c r="U116" s="133"/>
      <c r="V116" s="133"/>
      <c r="W116" s="147"/>
      <c r="X116" s="133"/>
      <c r="Y116" s="133"/>
      <c r="Z116" s="133"/>
      <c r="AA116" s="147"/>
      <c r="AC116" s="133"/>
      <c r="AD116" s="147"/>
      <c r="AF116" s="133"/>
      <c r="AG116" s="147"/>
      <c r="AI116" s="133"/>
      <c r="AJ116" s="147"/>
      <c r="AL116" s="133"/>
      <c r="AM116" s="147"/>
      <c r="AO116" s="133"/>
      <c r="AP116" s="147"/>
    </row>
    <row r="117" spans="3:42" x14ac:dyDescent="0.2">
      <c r="C117" s="146"/>
      <c r="D117" s="146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47"/>
      <c r="P117" s="133"/>
      <c r="Q117" s="133"/>
      <c r="R117" s="133"/>
      <c r="S117" s="133"/>
      <c r="T117" s="147"/>
      <c r="U117" s="133"/>
      <c r="V117" s="133"/>
      <c r="W117" s="147"/>
      <c r="X117" s="133"/>
      <c r="Y117" s="133"/>
      <c r="Z117" s="133"/>
      <c r="AA117" s="147"/>
      <c r="AC117" s="133"/>
      <c r="AD117" s="147"/>
      <c r="AF117" s="133"/>
      <c r="AG117" s="147"/>
      <c r="AI117" s="133"/>
      <c r="AJ117" s="147"/>
      <c r="AL117" s="133"/>
      <c r="AM117" s="147"/>
      <c r="AO117" s="133"/>
      <c r="AP117" s="147"/>
    </row>
    <row r="118" spans="3:42" x14ac:dyDescent="0.2">
      <c r="C118" s="146"/>
      <c r="D118" s="146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47"/>
      <c r="P118" s="133"/>
      <c r="Q118" s="133"/>
      <c r="R118" s="133"/>
      <c r="S118" s="133"/>
      <c r="T118" s="147"/>
      <c r="U118" s="133"/>
      <c r="V118" s="133"/>
      <c r="W118" s="147"/>
      <c r="X118" s="133"/>
      <c r="Y118" s="133"/>
      <c r="Z118" s="133"/>
      <c r="AA118" s="147"/>
      <c r="AC118" s="133"/>
      <c r="AD118" s="147"/>
      <c r="AF118" s="133"/>
      <c r="AG118" s="147"/>
      <c r="AI118" s="133"/>
      <c r="AJ118" s="147"/>
      <c r="AL118" s="133"/>
      <c r="AM118" s="147"/>
      <c r="AO118" s="133"/>
      <c r="AP118" s="147"/>
    </row>
    <row r="119" spans="3:42" x14ac:dyDescent="0.2">
      <c r="C119" s="146"/>
      <c r="D119" s="146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47"/>
      <c r="P119" s="133"/>
      <c r="Q119" s="133"/>
      <c r="R119" s="133"/>
      <c r="S119" s="133"/>
      <c r="T119" s="147"/>
      <c r="U119" s="133"/>
      <c r="V119" s="133"/>
      <c r="W119" s="147"/>
      <c r="X119" s="133"/>
      <c r="Y119" s="133"/>
      <c r="Z119" s="133"/>
      <c r="AA119" s="147"/>
      <c r="AC119" s="133"/>
      <c r="AD119" s="147"/>
      <c r="AF119" s="133"/>
      <c r="AG119" s="147"/>
      <c r="AI119" s="133"/>
      <c r="AJ119" s="147"/>
      <c r="AL119" s="133"/>
      <c r="AM119" s="147"/>
      <c r="AO119" s="133"/>
      <c r="AP119" s="147"/>
    </row>
    <row r="120" spans="3:42" x14ac:dyDescent="0.2">
      <c r="C120" s="146"/>
      <c r="D120" s="146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47"/>
      <c r="P120" s="133"/>
      <c r="Q120" s="133"/>
      <c r="R120" s="133"/>
      <c r="S120" s="133"/>
      <c r="T120" s="147"/>
      <c r="U120" s="133"/>
      <c r="V120" s="133"/>
      <c r="W120" s="147"/>
      <c r="X120" s="133"/>
      <c r="Y120" s="133"/>
      <c r="Z120" s="133"/>
      <c r="AA120" s="147"/>
      <c r="AC120" s="133"/>
      <c r="AD120" s="147"/>
      <c r="AF120" s="133"/>
      <c r="AG120" s="147"/>
      <c r="AI120" s="133"/>
      <c r="AJ120" s="147"/>
      <c r="AL120" s="133"/>
      <c r="AM120" s="147"/>
      <c r="AO120" s="133"/>
      <c r="AP120" s="147"/>
    </row>
    <row r="121" spans="3:42" x14ac:dyDescent="0.2">
      <c r="C121" s="146"/>
      <c r="D121" s="146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47"/>
      <c r="P121" s="133"/>
      <c r="Q121" s="133"/>
      <c r="R121" s="133"/>
      <c r="S121" s="133"/>
      <c r="T121" s="147"/>
      <c r="U121" s="133"/>
      <c r="V121" s="133"/>
      <c r="W121" s="147"/>
      <c r="X121" s="133"/>
      <c r="Y121" s="133"/>
      <c r="Z121" s="133"/>
      <c r="AA121" s="147"/>
      <c r="AC121" s="133"/>
      <c r="AD121" s="147"/>
      <c r="AF121" s="133"/>
      <c r="AG121" s="147"/>
      <c r="AI121" s="133"/>
      <c r="AJ121" s="147"/>
      <c r="AL121" s="133"/>
      <c r="AM121" s="147"/>
      <c r="AO121" s="133"/>
      <c r="AP121" s="147"/>
    </row>
    <row r="122" spans="3:42" x14ac:dyDescent="0.2">
      <c r="C122" s="146"/>
      <c r="D122" s="146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47"/>
      <c r="P122" s="133"/>
      <c r="Q122" s="133"/>
      <c r="R122" s="133"/>
      <c r="S122" s="133"/>
      <c r="T122" s="147"/>
      <c r="U122" s="133"/>
      <c r="V122" s="133"/>
      <c r="W122" s="147"/>
      <c r="X122" s="133"/>
      <c r="Y122" s="133"/>
      <c r="Z122" s="133"/>
      <c r="AA122" s="147"/>
      <c r="AC122" s="133"/>
      <c r="AD122" s="147"/>
      <c r="AF122" s="133"/>
      <c r="AG122" s="147"/>
      <c r="AI122" s="133"/>
      <c r="AJ122" s="147"/>
      <c r="AL122" s="133"/>
      <c r="AM122" s="147"/>
      <c r="AO122" s="133"/>
      <c r="AP122" s="147"/>
    </row>
    <row r="123" spans="3:42" x14ac:dyDescent="0.2">
      <c r="C123" s="146"/>
      <c r="D123" s="146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47"/>
      <c r="P123" s="133"/>
      <c r="Q123" s="133"/>
      <c r="R123" s="133"/>
      <c r="S123" s="133"/>
      <c r="T123" s="147"/>
      <c r="U123" s="133"/>
      <c r="V123" s="133"/>
      <c r="W123" s="147"/>
      <c r="X123" s="133"/>
      <c r="Y123" s="133"/>
      <c r="Z123" s="133"/>
      <c r="AA123" s="147"/>
      <c r="AC123" s="133"/>
      <c r="AD123" s="147"/>
      <c r="AF123" s="133"/>
      <c r="AG123" s="147"/>
      <c r="AI123" s="133"/>
      <c r="AJ123" s="147"/>
      <c r="AL123" s="133"/>
      <c r="AM123" s="147"/>
      <c r="AO123" s="133"/>
      <c r="AP123" s="147"/>
    </row>
    <row r="124" spans="3:42" x14ac:dyDescent="0.2">
      <c r="C124" s="146"/>
      <c r="D124" s="146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47"/>
      <c r="P124" s="133"/>
      <c r="Q124" s="133"/>
      <c r="R124" s="133"/>
      <c r="S124" s="133"/>
      <c r="T124" s="147"/>
      <c r="U124" s="133"/>
      <c r="V124" s="133"/>
      <c r="W124" s="147"/>
      <c r="X124" s="133"/>
      <c r="Y124" s="133"/>
      <c r="Z124" s="133"/>
      <c r="AA124" s="147"/>
      <c r="AC124" s="133"/>
      <c r="AD124" s="147"/>
      <c r="AF124" s="133"/>
      <c r="AG124" s="147"/>
      <c r="AI124" s="133"/>
      <c r="AJ124" s="147"/>
      <c r="AL124" s="133"/>
      <c r="AM124" s="147"/>
      <c r="AO124" s="133"/>
      <c r="AP124" s="147"/>
    </row>
    <row r="125" spans="3:42" x14ac:dyDescent="0.2">
      <c r="C125" s="146"/>
      <c r="D125" s="146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47"/>
      <c r="P125" s="133"/>
      <c r="Q125" s="133"/>
      <c r="R125" s="133"/>
      <c r="S125" s="133"/>
      <c r="T125" s="147"/>
      <c r="U125" s="133"/>
      <c r="V125" s="133"/>
      <c r="W125" s="147"/>
      <c r="X125" s="133"/>
      <c r="Y125" s="133"/>
      <c r="Z125" s="133"/>
      <c r="AA125" s="147"/>
      <c r="AC125" s="133"/>
      <c r="AD125" s="147"/>
      <c r="AF125" s="133"/>
      <c r="AG125" s="147"/>
      <c r="AI125" s="133"/>
      <c r="AJ125" s="147"/>
      <c r="AL125" s="133"/>
      <c r="AM125" s="147"/>
      <c r="AO125" s="133"/>
      <c r="AP125" s="147"/>
    </row>
    <row r="126" spans="3:42" x14ac:dyDescent="0.2">
      <c r="C126" s="146"/>
      <c r="D126" s="146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47"/>
      <c r="P126" s="133"/>
      <c r="Q126" s="133"/>
      <c r="R126" s="133"/>
      <c r="S126" s="133"/>
      <c r="T126" s="147"/>
      <c r="U126" s="133"/>
      <c r="V126" s="133"/>
      <c r="W126" s="147"/>
      <c r="X126" s="133"/>
      <c r="Y126" s="133"/>
      <c r="Z126" s="133"/>
      <c r="AA126" s="147"/>
      <c r="AC126" s="133"/>
      <c r="AD126" s="147"/>
      <c r="AF126" s="133"/>
      <c r="AG126" s="147"/>
      <c r="AI126" s="133"/>
      <c r="AJ126" s="147"/>
      <c r="AL126" s="133"/>
      <c r="AM126" s="147"/>
      <c r="AO126" s="133"/>
      <c r="AP126" s="147"/>
    </row>
    <row r="127" spans="3:42" x14ac:dyDescent="0.2">
      <c r="C127" s="146"/>
      <c r="D127" s="146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47"/>
      <c r="P127" s="133"/>
      <c r="Q127" s="133"/>
      <c r="R127" s="133"/>
      <c r="S127" s="133"/>
      <c r="T127" s="147"/>
      <c r="U127" s="133"/>
      <c r="V127" s="133"/>
      <c r="W127" s="147"/>
      <c r="X127" s="133"/>
      <c r="Y127" s="133"/>
      <c r="Z127" s="133"/>
      <c r="AA127" s="147"/>
      <c r="AC127" s="133"/>
      <c r="AD127" s="147"/>
      <c r="AF127" s="133"/>
      <c r="AG127" s="147"/>
      <c r="AI127" s="133"/>
      <c r="AJ127" s="147"/>
      <c r="AL127" s="133"/>
      <c r="AM127" s="147"/>
      <c r="AO127" s="133"/>
      <c r="AP127" s="147"/>
    </row>
    <row r="128" spans="3:42" x14ac:dyDescent="0.2">
      <c r="C128" s="146"/>
      <c r="D128" s="146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47"/>
      <c r="P128" s="133"/>
      <c r="Q128" s="133"/>
      <c r="R128" s="133"/>
      <c r="S128" s="133"/>
      <c r="T128" s="147"/>
      <c r="U128" s="133"/>
      <c r="V128" s="133"/>
      <c r="W128" s="147"/>
      <c r="X128" s="133"/>
      <c r="Y128" s="133"/>
      <c r="Z128" s="133"/>
      <c r="AA128" s="147"/>
      <c r="AC128" s="133"/>
      <c r="AD128" s="147"/>
      <c r="AF128" s="133"/>
      <c r="AG128" s="147"/>
      <c r="AI128" s="133"/>
      <c r="AJ128" s="147"/>
      <c r="AL128" s="133"/>
      <c r="AM128" s="147"/>
      <c r="AO128" s="133"/>
      <c r="AP128" s="147"/>
    </row>
    <row r="129" spans="3:42" x14ac:dyDescent="0.2">
      <c r="C129" s="146"/>
      <c r="D129" s="146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47"/>
      <c r="P129" s="133"/>
      <c r="Q129" s="133"/>
      <c r="R129" s="133"/>
      <c r="S129" s="133"/>
      <c r="T129" s="147"/>
      <c r="U129" s="133"/>
      <c r="V129" s="133"/>
      <c r="W129" s="147"/>
      <c r="X129" s="133"/>
      <c r="Y129" s="133"/>
      <c r="Z129" s="133"/>
      <c r="AA129" s="147"/>
      <c r="AC129" s="133"/>
      <c r="AD129" s="147"/>
      <c r="AF129" s="133"/>
      <c r="AG129" s="147"/>
      <c r="AI129" s="133"/>
      <c r="AJ129" s="147"/>
      <c r="AL129" s="133"/>
      <c r="AM129" s="147"/>
      <c r="AO129" s="133"/>
      <c r="AP129" s="147"/>
    </row>
    <row r="130" spans="3:42" x14ac:dyDescent="0.2">
      <c r="C130" s="146"/>
      <c r="D130" s="146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47"/>
      <c r="P130" s="133"/>
      <c r="Q130" s="133"/>
      <c r="R130" s="133"/>
      <c r="S130" s="133"/>
      <c r="T130" s="147"/>
      <c r="U130" s="133"/>
      <c r="V130" s="133"/>
      <c r="W130" s="147"/>
      <c r="X130" s="133"/>
      <c r="Y130" s="133"/>
      <c r="Z130" s="133"/>
      <c r="AA130" s="147"/>
      <c r="AC130" s="133"/>
      <c r="AD130" s="147"/>
      <c r="AF130" s="133"/>
      <c r="AG130" s="147"/>
      <c r="AI130" s="133"/>
      <c r="AJ130" s="147"/>
      <c r="AL130" s="133"/>
      <c r="AM130" s="147"/>
      <c r="AO130" s="133"/>
      <c r="AP130" s="147"/>
    </row>
    <row r="131" spans="3:42" x14ac:dyDescent="0.2">
      <c r="C131" s="146"/>
      <c r="D131" s="146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47"/>
      <c r="P131" s="133"/>
      <c r="Q131" s="133"/>
      <c r="R131" s="133"/>
      <c r="S131" s="133"/>
      <c r="T131" s="147"/>
      <c r="U131" s="133"/>
      <c r="V131" s="133"/>
      <c r="W131" s="147"/>
      <c r="X131" s="133"/>
      <c r="Y131" s="133"/>
      <c r="Z131" s="133"/>
      <c r="AA131" s="147"/>
      <c r="AC131" s="133"/>
      <c r="AD131" s="147"/>
      <c r="AF131" s="133"/>
      <c r="AG131" s="147"/>
      <c r="AI131" s="133"/>
      <c r="AJ131" s="147"/>
      <c r="AL131" s="133"/>
      <c r="AM131" s="147"/>
      <c r="AO131" s="133"/>
      <c r="AP131" s="147"/>
    </row>
    <row r="132" spans="3:42" x14ac:dyDescent="0.2">
      <c r="C132" s="146"/>
      <c r="D132" s="146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47"/>
      <c r="P132" s="133"/>
      <c r="Q132" s="133"/>
      <c r="R132" s="133"/>
      <c r="S132" s="133"/>
      <c r="T132" s="147"/>
      <c r="U132" s="133"/>
      <c r="V132" s="133"/>
      <c r="W132" s="147"/>
      <c r="X132" s="133"/>
      <c r="Y132" s="133"/>
      <c r="Z132" s="133"/>
      <c r="AA132" s="147"/>
      <c r="AC132" s="133"/>
      <c r="AD132" s="147"/>
      <c r="AF132" s="133"/>
      <c r="AG132" s="147"/>
      <c r="AI132" s="133"/>
      <c r="AJ132" s="147"/>
      <c r="AL132" s="133"/>
      <c r="AM132" s="147"/>
      <c r="AO132" s="133"/>
      <c r="AP132" s="147"/>
    </row>
    <row r="133" spans="3:42" x14ac:dyDescent="0.2">
      <c r="C133" s="146"/>
      <c r="D133" s="146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47"/>
      <c r="P133" s="133"/>
      <c r="Q133" s="133"/>
      <c r="R133" s="133"/>
      <c r="S133" s="133"/>
      <c r="T133" s="147"/>
      <c r="U133" s="133"/>
      <c r="V133" s="133"/>
      <c r="W133" s="147"/>
      <c r="X133" s="133"/>
      <c r="Y133" s="133"/>
      <c r="Z133" s="133"/>
      <c r="AA133" s="147"/>
      <c r="AC133" s="133"/>
      <c r="AD133" s="147"/>
      <c r="AF133" s="133"/>
      <c r="AG133" s="147"/>
      <c r="AI133" s="133"/>
      <c r="AJ133" s="147"/>
      <c r="AL133" s="133"/>
      <c r="AM133" s="147"/>
      <c r="AO133" s="133"/>
      <c r="AP133" s="147"/>
    </row>
    <row r="134" spans="3:42" x14ac:dyDescent="0.2">
      <c r="C134" s="146"/>
      <c r="D134" s="146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47"/>
      <c r="P134" s="133"/>
      <c r="Q134" s="133"/>
      <c r="R134" s="133"/>
      <c r="S134" s="133"/>
      <c r="T134" s="147"/>
      <c r="U134" s="133"/>
      <c r="V134" s="133"/>
      <c r="W134" s="147"/>
      <c r="X134" s="133"/>
      <c r="Y134" s="133"/>
      <c r="Z134" s="133"/>
      <c r="AA134" s="147"/>
      <c r="AC134" s="133"/>
      <c r="AD134" s="147"/>
      <c r="AF134" s="133"/>
      <c r="AG134" s="147"/>
      <c r="AI134" s="133"/>
      <c r="AJ134" s="147"/>
      <c r="AL134" s="133"/>
      <c r="AM134" s="147"/>
      <c r="AO134" s="133"/>
      <c r="AP134" s="147"/>
    </row>
    <row r="135" spans="3:42" x14ac:dyDescent="0.2">
      <c r="C135" s="146"/>
      <c r="D135" s="146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47"/>
      <c r="P135" s="133"/>
      <c r="Q135" s="133"/>
      <c r="R135" s="133"/>
      <c r="S135" s="133"/>
      <c r="T135" s="147"/>
      <c r="U135" s="133"/>
      <c r="V135" s="133"/>
      <c r="W135" s="147"/>
      <c r="X135" s="133"/>
      <c r="Y135" s="133"/>
      <c r="Z135" s="133"/>
      <c r="AA135" s="147"/>
      <c r="AC135" s="133"/>
      <c r="AD135" s="147"/>
      <c r="AF135" s="133"/>
      <c r="AG135" s="147"/>
      <c r="AI135" s="133"/>
      <c r="AJ135" s="147"/>
      <c r="AL135" s="133"/>
      <c r="AM135" s="147"/>
      <c r="AO135" s="133"/>
      <c r="AP135" s="147"/>
    </row>
    <row r="136" spans="3:42" x14ac:dyDescent="0.2">
      <c r="C136" s="146"/>
      <c r="D136" s="146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47"/>
      <c r="P136" s="133"/>
      <c r="Q136" s="133"/>
      <c r="R136" s="133"/>
      <c r="S136" s="133"/>
      <c r="T136" s="147"/>
      <c r="U136" s="133"/>
      <c r="V136" s="133"/>
      <c r="W136" s="147"/>
      <c r="X136" s="133"/>
      <c r="Y136" s="133"/>
      <c r="Z136" s="133"/>
      <c r="AA136" s="147"/>
      <c r="AC136" s="133"/>
      <c r="AD136" s="147"/>
      <c r="AF136" s="133"/>
      <c r="AG136" s="147"/>
      <c r="AI136" s="133"/>
      <c r="AJ136" s="147"/>
      <c r="AL136" s="133"/>
      <c r="AM136" s="147"/>
      <c r="AO136" s="133"/>
      <c r="AP136" s="147"/>
    </row>
    <row r="137" spans="3:42" x14ac:dyDescent="0.2">
      <c r="C137" s="146"/>
      <c r="D137" s="146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47"/>
      <c r="P137" s="133"/>
      <c r="Q137" s="133"/>
      <c r="R137" s="133"/>
      <c r="S137" s="133"/>
      <c r="T137" s="147"/>
      <c r="U137" s="133"/>
      <c r="V137" s="133"/>
      <c r="W137" s="147"/>
      <c r="X137" s="133"/>
      <c r="Y137" s="133"/>
      <c r="Z137" s="133"/>
      <c r="AA137" s="147"/>
      <c r="AC137" s="133"/>
      <c r="AD137" s="147"/>
      <c r="AF137" s="133"/>
      <c r="AG137" s="147"/>
      <c r="AI137" s="133"/>
      <c r="AJ137" s="147"/>
      <c r="AL137" s="133"/>
      <c r="AM137" s="147"/>
      <c r="AO137" s="133"/>
      <c r="AP137" s="147"/>
    </row>
    <row r="138" spans="3:42" x14ac:dyDescent="0.2">
      <c r="C138" s="146"/>
      <c r="D138" s="146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47"/>
      <c r="P138" s="133"/>
      <c r="Q138" s="133"/>
      <c r="R138" s="133"/>
      <c r="S138" s="133"/>
      <c r="T138" s="147"/>
      <c r="U138" s="133"/>
      <c r="V138" s="133"/>
      <c r="W138" s="147"/>
      <c r="X138" s="133"/>
      <c r="Y138" s="133"/>
      <c r="Z138" s="133"/>
      <c r="AA138" s="147"/>
      <c r="AC138" s="133"/>
      <c r="AD138" s="147"/>
      <c r="AF138" s="133"/>
      <c r="AG138" s="147"/>
      <c r="AI138" s="133"/>
      <c r="AJ138" s="147"/>
      <c r="AL138" s="133"/>
      <c r="AM138" s="147"/>
      <c r="AO138" s="133"/>
      <c r="AP138" s="147"/>
    </row>
    <row r="139" spans="3:42" x14ac:dyDescent="0.2">
      <c r="C139" s="146"/>
      <c r="D139" s="146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47"/>
      <c r="P139" s="133"/>
      <c r="Q139" s="133"/>
      <c r="R139" s="133"/>
      <c r="S139" s="133"/>
      <c r="T139" s="147"/>
      <c r="U139" s="133"/>
      <c r="V139" s="133"/>
      <c r="W139" s="147"/>
      <c r="X139" s="133"/>
      <c r="Y139" s="133"/>
      <c r="Z139" s="133"/>
      <c r="AA139" s="147"/>
      <c r="AC139" s="133"/>
      <c r="AD139" s="147"/>
      <c r="AF139" s="133"/>
      <c r="AG139" s="147"/>
      <c r="AI139" s="133"/>
      <c r="AJ139" s="147"/>
      <c r="AL139" s="133"/>
      <c r="AM139" s="147"/>
      <c r="AO139" s="133"/>
      <c r="AP139" s="147"/>
    </row>
    <row r="140" spans="3:42" x14ac:dyDescent="0.2">
      <c r="C140" s="146"/>
      <c r="D140" s="146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47"/>
      <c r="P140" s="133"/>
      <c r="Q140" s="133"/>
      <c r="R140" s="133"/>
      <c r="S140" s="133"/>
      <c r="T140" s="147"/>
      <c r="U140" s="133"/>
      <c r="V140" s="133"/>
      <c r="W140" s="147"/>
      <c r="X140" s="133"/>
      <c r="Y140" s="133"/>
      <c r="Z140" s="133"/>
      <c r="AA140" s="147"/>
      <c r="AC140" s="133"/>
      <c r="AD140" s="147"/>
      <c r="AF140" s="133"/>
      <c r="AG140" s="147"/>
      <c r="AI140" s="133"/>
      <c r="AJ140" s="147"/>
      <c r="AL140" s="133"/>
      <c r="AM140" s="147"/>
      <c r="AO140" s="133"/>
      <c r="AP140" s="147"/>
    </row>
    <row r="141" spans="3:42" x14ac:dyDescent="0.2">
      <c r="C141" s="146"/>
      <c r="D141" s="146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47"/>
      <c r="P141" s="133"/>
      <c r="Q141" s="133"/>
      <c r="R141" s="133"/>
      <c r="S141" s="133"/>
      <c r="T141" s="147"/>
      <c r="U141" s="133"/>
      <c r="V141" s="133"/>
      <c r="W141" s="147"/>
      <c r="X141" s="133"/>
      <c r="Y141" s="133"/>
      <c r="Z141" s="133"/>
      <c r="AA141" s="147"/>
      <c r="AC141" s="133"/>
      <c r="AD141" s="147"/>
      <c r="AF141" s="133"/>
      <c r="AG141" s="147"/>
      <c r="AI141" s="133"/>
      <c r="AJ141" s="147"/>
      <c r="AL141" s="133"/>
      <c r="AM141" s="147"/>
      <c r="AO141" s="133"/>
      <c r="AP141" s="147"/>
    </row>
    <row r="142" spans="3:42" x14ac:dyDescent="0.2">
      <c r="C142" s="146"/>
      <c r="D142" s="146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47"/>
      <c r="P142" s="133"/>
      <c r="Q142" s="133"/>
      <c r="R142" s="133"/>
      <c r="S142" s="133"/>
      <c r="T142" s="147"/>
      <c r="U142" s="133"/>
      <c r="V142" s="133"/>
      <c r="W142" s="147"/>
      <c r="X142" s="133"/>
      <c r="Y142" s="133"/>
      <c r="Z142" s="133"/>
      <c r="AA142" s="147"/>
      <c r="AC142" s="133"/>
      <c r="AD142" s="147"/>
      <c r="AF142" s="133"/>
      <c r="AG142" s="147"/>
      <c r="AI142" s="133"/>
      <c r="AJ142" s="147"/>
      <c r="AL142" s="133"/>
      <c r="AM142" s="147"/>
      <c r="AO142" s="133"/>
      <c r="AP142" s="147"/>
    </row>
    <row r="143" spans="3:42" x14ac:dyDescent="0.2">
      <c r="C143" s="146"/>
      <c r="D143" s="146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47"/>
      <c r="P143" s="133"/>
      <c r="Q143" s="133"/>
      <c r="R143" s="133"/>
      <c r="S143" s="133"/>
      <c r="T143" s="147"/>
      <c r="U143" s="133"/>
      <c r="V143" s="133"/>
      <c r="W143" s="147"/>
      <c r="X143" s="133"/>
      <c r="Y143" s="133"/>
      <c r="Z143" s="133"/>
      <c r="AA143" s="147"/>
      <c r="AC143" s="133"/>
      <c r="AD143" s="147"/>
      <c r="AF143" s="133"/>
      <c r="AG143" s="147"/>
      <c r="AI143" s="133"/>
      <c r="AJ143" s="147"/>
      <c r="AL143" s="133"/>
      <c r="AM143" s="147"/>
      <c r="AO143" s="133"/>
      <c r="AP143" s="147"/>
    </row>
    <row r="144" spans="3:42" x14ac:dyDescent="0.2">
      <c r="C144" s="146"/>
      <c r="D144" s="146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47"/>
      <c r="P144" s="133"/>
      <c r="Q144" s="133"/>
      <c r="R144" s="133"/>
      <c r="S144" s="133"/>
      <c r="T144" s="147"/>
      <c r="U144" s="133"/>
      <c r="V144" s="133"/>
      <c r="W144" s="147"/>
      <c r="X144" s="133"/>
      <c r="Y144" s="133"/>
      <c r="Z144" s="133"/>
      <c r="AA144" s="147"/>
      <c r="AC144" s="133"/>
      <c r="AD144" s="147"/>
      <c r="AF144" s="133"/>
      <c r="AG144" s="147"/>
      <c r="AI144" s="133"/>
      <c r="AJ144" s="147"/>
      <c r="AL144" s="133"/>
      <c r="AM144" s="147"/>
      <c r="AO144" s="133"/>
      <c r="AP144" s="147"/>
    </row>
    <row r="145" spans="3:42" x14ac:dyDescent="0.2">
      <c r="C145" s="146"/>
      <c r="D145" s="146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47"/>
      <c r="P145" s="133"/>
      <c r="Q145" s="133"/>
      <c r="R145" s="133"/>
      <c r="S145" s="133"/>
      <c r="T145" s="147"/>
      <c r="U145" s="133"/>
      <c r="V145" s="133"/>
      <c r="W145" s="147"/>
      <c r="X145" s="133"/>
      <c r="Y145" s="133"/>
      <c r="Z145" s="133"/>
      <c r="AA145" s="147"/>
      <c r="AC145" s="133"/>
      <c r="AD145" s="147"/>
      <c r="AF145" s="133"/>
      <c r="AG145" s="147"/>
      <c r="AI145" s="133"/>
      <c r="AJ145" s="147"/>
      <c r="AL145" s="133"/>
      <c r="AM145" s="147"/>
      <c r="AO145" s="133"/>
      <c r="AP145" s="147"/>
    </row>
    <row r="146" spans="3:42" x14ac:dyDescent="0.2">
      <c r="C146" s="146"/>
      <c r="D146" s="146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47"/>
      <c r="P146" s="133"/>
      <c r="Q146" s="133"/>
      <c r="R146" s="133"/>
      <c r="S146" s="133"/>
      <c r="T146" s="147"/>
      <c r="U146" s="133"/>
      <c r="V146" s="133"/>
      <c r="W146" s="147"/>
      <c r="X146" s="133"/>
      <c r="Y146" s="133"/>
      <c r="Z146" s="133"/>
      <c r="AA146" s="147"/>
      <c r="AC146" s="133"/>
      <c r="AD146" s="147"/>
      <c r="AF146" s="133"/>
      <c r="AG146" s="147"/>
      <c r="AI146" s="133"/>
      <c r="AJ146" s="147"/>
      <c r="AL146" s="133"/>
      <c r="AM146" s="147"/>
      <c r="AO146" s="133"/>
      <c r="AP146" s="147"/>
    </row>
    <row r="147" spans="3:42" x14ac:dyDescent="0.2">
      <c r="C147" s="146"/>
      <c r="D147" s="146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47"/>
      <c r="P147" s="133"/>
      <c r="Q147" s="133"/>
      <c r="R147" s="133"/>
      <c r="S147" s="133"/>
      <c r="T147" s="147"/>
      <c r="U147" s="133"/>
      <c r="V147" s="133"/>
      <c r="W147" s="147"/>
      <c r="X147" s="133"/>
      <c r="Y147" s="133"/>
      <c r="Z147" s="133"/>
      <c r="AA147" s="147"/>
      <c r="AC147" s="133"/>
      <c r="AD147" s="147"/>
      <c r="AF147" s="133"/>
      <c r="AG147" s="147"/>
      <c r="AI147" s="133"/>
      <c r="AJ147" s="147"/>
      <c r="AL147" s="133"/>
      <c r="AM147" s="147"/>
      <c r="AO147" s="133"/>
      <c r="AP147" s="147"/>
    </row>
    <row r="148" spans="3:42" x14ac:dyDescent="0.2">
      <c r="C148" s="146"/>
      <c r="D148" s="146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47"/>
      <c r="P148" s="133"/>
      <c r="Q148" s="133"/>
      <c r="R148" s="133"/>
      <c r="S148" s="133"/>
      <c r="T148" s="147"/>
      <c r="U148" s="133"/>
      <c r="V148" s="133"/>
      <c r="W148" s="147"/>
      <c r="X148" s="133"/>
      <c r="Y148" s="133"/>
      <c r="Z148" s="133"/>
      <c r="AA148" s="147"/>
      <c r="AC148" s="133"/>
      <c r="AD148" s="147"/>
      <c r="AF148" s="133"/>
      <c r="AG148" s="147"/>
      <c r="AI148" s="133"/>
      <c r="AJ148" s="147"/>
      <c r="AL148" s="133"/>
      <c r="AM148" s="147"/>
      <c r="AO148" s="133"/>
      <c r="AP148" s="147"/>
    </row>
    <row r="149" spans="3:42" x14ac:dyDescent="0.2">
      <c r="C149" s="146"/>
      <c r="D149" s="146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47"/>
      <c r="P149" s="133"/>
      <c r="Q149" s="133"/>
      <c r="R149" s="133"/>
      <c r="S149" s="133"/>
      <c r="T149" s="147"/>
      <c r="U149" s="133"/>
      <c r="V149" s="133"/>
      <c r="W149" s="147"/>
      <c r="X149" s="133"/>
      <c r="Y149" s="133"/>
      <c r="Z149" s="133"/>
      <c r="AA149" s="147"/>
      <c r="AC149" s="133"/>
      <c r="AD149" s="147"/>
      <c r="AF149" s="133"/>
      <c r="AG149" s="147"/>
      <c r="AI149" s="133"/>
      <c r="AJ149" s="147"/>
      <c r="AL149" s="133"/>
      <c r="AM149" s="147"/>
      <c r="AO149" s="133"/>
      <c r="AP149" s="147"/>
    </row>
    <row r="150" spans="3:42" x14ac:dyDescent="0.2">
      <c r="C150" s="146"/>
      <c r="D150" s="146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47"/>
      <c r="P150" s="133"/>
      <c r="Q150" s="133"/>
      <c r="R150" s="133"/>
      <c r="S150" s="133"/>
      <c r="T150" s="147"/>
      <c r="U150" s="133"/>
      <c r="V150" s="133"/>
      <c r="W150" s="147"/>
      <c r="X150" s="133"/>
      <c r="Y150" s="133"/>
      <c r="Z150" s="133"/>
      <c r="AA150" s="147"/>
      <c r="AC150" s="133"/>
      <c r="AD150" s="147"/>
      <c r="AF150" s="133"/>
      <c r="AG150" s="147"/>
      <c r="AI150" s="133"/>
      <c r="AJ150" s="147"/>
      <c r="AL150" s="133"/>
      <c r="AM150" s="147"/>
      <c r="AO150" s="133"/>
      <c r="AP150" s="147"/>
    </row>
    <row r="151" spans="3:42" x14ac:dyDescent="0.2">
      <c r="C151" s="146"/>
      <c r="D151" s="146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47"/>
      <c r="P151" s="133"/>
      <c r="Q151" s="133"/>
      <c r="R151" s="133"/>
      <c r="S151" s="133"/>
      <c r="T151" s="147"/>
      <c r="U151" s="133"/>
      <c r="V151" s="133"/>
      <c r="W151" s="147"/>
      <c r="X151" s="133"/>
      <c r="Y151" s="133"/>
      <c r="Z151" s="133"/>
      <c r="AA151" s="147"/>
      <c r="AC151" s="133"/>
      <c r="AD151" s="147"/>
      <c r="AF151" s="133"/>
      <c r="AG151" s="147"/>
      <c r="AI151" s="133"/>
      <c r="AJ151" s="147"/>
      <c r="AL151" s="133"/>
      <c r="AM151" s="147"/>
      <c r="AO151" s="133"/>
      <c r="AP151" s="147"/>
    </row>
    <row r="152" spans="3:42" x14ac:dyDescent="0.2">
      <c r="C152" s="146"/>
      <c r="D152" s="146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47"/>
      <c r="P152" s="133"/>
      <c r="Q152" s="133"/>
      <c r="R152" s="133"/>
      <c r="S152" s="133"/>
      <c r="T152" s="147"/>
      <c r="U152" s="133"/>
      <c r="V152" s="133"/>
      <c r="W152" s="147"/>
      <c r="X152" s="133"/>
      <c r="Y152" s="133"/>
      <c r="Z152" s="133"/>
      <c r="AA152" s="147"/>
      <c r="AC152" s="133"/>
      <c r="AD152" s="147"/>
      <c r="AF152" s="133"/>
      <c r="AG152" s="147"/>
      <c r="AI152" s="133"/>
      <c r="AJ152" s="147"/>
      <c r="AL152" s="133"/>
      <c r="AM152" s="147"/>
      <c r="AO152" s="133"/>
      <c r="AP152" s="147"/>
    </row>
    <row r="153" spans="3:42" x14ac:dyDescent="0.2">
      <c r="C153" s="146"/>
      <c r="D153" s="146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47"/>
      <c r="P153" s="133"/>
      <c r="Q153" s="133"/>
      <c r="R153" s="133"/>
      <c r="S153" s="133"/>
      <c r="T153" s="147"/>
      <c r="U153" s="133"/>
      <c r="V153" s="133"/>
      <c r="W153" s="147"/>
      <c r="X153" s="133"/>
      <c r="Y153" s="133"/>
      <c r="Z153" s="133"/>
      <c r="AA153" s="147"/>
      <c r="AC153" s="133"/>
      <c r="AD153" s="147"/>
      <c r="AF153" s="133"/>
      <c r="AG153" s="147"/>
      <c r="AI153" s="133"/>
      <c r="AJ153" s="147"/>
      <c r="AL153" s="133"/>
      <c r="AM153" s="147"/>
      <c r="AO153" s="133"/>
      <c r="AP153" s="147"/>
    </row>
    <row r="154" spans="3:42" x14ac:dyDescent="0.2">
      <c r="C154" s="146"/>
      <c r="D154" s="146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47"/>
      <c r="P154" s="133"/>
      <c r="Q154" s="133"/>
      <c r="R154" s="133"/>
      <c r="S154" s="133"/>
      <c r="T154" s="147"/>
      <c r="U154" s="133"/>
      <c r="V154" s="133"/>
      <c r="W154" s="147"/>
      <c r="X154" s="133"/>
      <c r="Y154" s="133"/>
      <c r="Z154" s="133"/>
      <c r="AA154" s="147"/>
      <c r="AC154" s="133"/>
      <c r="AD154" s="147"/>
      <c r="AF154" s="133"/>
      <c r="AG154" s="147"/>
      <c r="AI154" s="133"/>
      <c r="AJ154" s="147"/>
      <c r="AL154" s="133"/>
      <c r="AM154" s="147"/>
      <c r="AO154" s="133"/>
      <c r="AP154" s="147"/>
    </row>
    <row r="155" spans="3:42" x14ac:dyDescent="0.2">
      <c r="C155" s="146"/>
      <c r="D155" s="146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47"/>
      <c r="P155" s="133"/>
      <c r="Q155" s="133"/>
      <c r="R155" s="133"/>
      <c r="S155" s="133"/>
      <c r="T155" s="147"/>
      <c r="U155" s="133"/>
      <c r="V155" s="133"/>
      <c r="W155" s="147"/>
      <c r="X155" s="133"/>
      <c r="Y155" s="133"/>
      <c r="Z155" s="133"/>
      <c r="AA155" s="147"/>
      <c r="AC155" s="133"/>
      <c r="AD155" s="147"/>
      <c r="AF155" s="133"/>
      <c r="AG155" s="147"/>
      <c r="AI155" s="133"/>
      <c r="AJ155" s="147"/>
      <c r="AL155" s="133"/>
      <c r="AM155" s="147"/>
      <c r="AO155" s="133"/>
      <c r="AP155" s="147"/>
    </row>
    <row r="156" spans="3:42" x14ac:dyDescent="0.2">
      <c r="C156" s="146"/>
      <c r="D156" s="146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47"/>
      <c r="P156" s="133"/>
      <c r="Q156" s="133"/>
      <c r="R156" s="133"/>
      <c r="S156" s="133"/>
      <c r="T156" s="147"/>
      <c r="U156" s="133"/>
      <c r="V156" s="133"/>
      <c r="W156" s="147"/>
      <c r="X156" s="133"/>
      <c r="Y156" s="133"/>
      <c r="Z156" s="133"/>
      <c r="AA156" s="147"/>
      <c r="AC156" s="133"/>
      <c r="AD156" s="147"/>
      <c r="AF156" s="133"/>
      <c r="AG156" s="147"/>
      <c r="AI156" s="133"/>
      <c r="AJ156" s="147"/>
      <c r="AL156" s="133"/>
      <c r="AM156" s="147"/>
      <c r="AO156" s="133"/>
      <c r="AP156" s="147"/>
    </row>
    <row r="157" spans="3:42" x14ac:dyDescent="0.2">
      <c r="C157" s="146"/>
      <c r="D157" s="146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47"/>
      <c r="P157" s="133"/>
      <c r="Q157" s="133"/>
      <c r="R157" s="133"/>
      <c r="S157" s="133"/>
      <c r="T157" s="147"/>
      <c r="U157" s="133"/>
      <c r="V157" s="133"/>
      <c r="W157" s="147"/>
      <c r="X157" s="133"/>
      <c r="Y157" s="133"/>
      <c r="Z157" s="133"/>
      <c r="AA157" s="147"/>
      <c r="AC157" s="133"/>
      <c r="AD157" s="147"/>
      <c r="AF157" s="133"/>
      <c r="AG157" s="147"/>
      <c r="AI157" s="133"/>
      <c r="AJ157" s="147"/>
      <c r="AL157" s="133"/>
      <c r="AM157" s="147"/>
      <c r="AO157" s="133"/>
      <c r="AP157" s="147"/>
    </row>
    <row r="158" spans="3:42" x14ac:dyDescent="0.2">
      <c r="C158" s="146"/>
      <c r="D158" s="146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47"/>
      <c r="P158" s="133"/>
      <c r="Q158" s="133"/>
      <c r="R158" s="133"/>
      <c r="S158" s="133"/>
      <c r="T158" s="147"/>
      <c r="U158" s="133"/>
      <c r="V158" s="133"/>
      <c r="W158" s="147"/>
      <c r="X158" s="133"/>
      <c r="Y158" s="133"/>
      <c r="Z158" s="133"/>
      <c r="AA158" s="147"/>
      <c r="AC158" s="133"/>
      <c r="AD158" s="147"/>
      <c r="AF158" s="133"/>
      <c r="AG158" s="147"/>
      <c r="AI158" s="133"/>
      <c r="AJ158" s="147"/>
      <c r="AL158" s="133"/>
      <c r="AM158" s="147"/>
      <c r="AO158" s="133"/>
      <c r="AP158" s="147"/>
    </row>
    <row r="159" spans="3:42" x14ac:dyDescent="0.2">
      <c r="C159" s="146"/>
      <c r="D159" s="146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47"/>
      <c r="P159" s="133"/>
      <c r="Q159" s="133"/>
      <c r="R159" s="133"/>
      <c r="S159" s="133"/>
      <c r="T159" s="147"/>
      <c r="U159" s="133"/>
      <c r="V159" s="133"/>
      <c r="W159" s="147"/>
      <c r="X159" s="133"/>
      <c r="Y159" s="133"/>
      <c r="Z159" s="133"/>
      <c r="AA159" s="147"/>
      <c r="AC159" s="133"/>
      <c r="AD159" s="147"/>
      <c r="AF159" s="133"/>
      <c r="AG159" s="147"/>
      <c r="AI159" s="133"/>
      <c r="AJ159" s="147"/>
      <c r="AL159" s="133"/>
      <c r="AM159" s="147"/>
      <c r="AO159" s="133"/>
      <c r="AP159" s="147"/>
    </row>
    <row r="160" spans="3:42" x14ac:dyDescent="0.2">
      <c r="C160" s="146"/>
      <c r="D160" s="146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47"/>
      <c r="P160" s="133"/>
      <c r="Q160" s="133"/>
      <c r="R160" s="133"/>
      <c r="S160" s="133"/>
      <c r="T160" s="147"/>
      <c r="U160" s="133"/>
      <c r="V160" s="133"/>
      <c r="W160" s="147"/>
      <c r="X160" s="133"/>
      <c r="Y160" s="133"/>
      <c r="Z160" s="133"/>
      <c r="AA160" s="147"/>
      <c r="AC160" s="133"/>
      <c r="AD160" s="147"/>
      <c r="AF160" s="133"/>
      <c r="AG160" s="147"/>
      <c r="AI160" s="133"/>
      <c r="AJ160" s="147"/>
      <c r="AL160" s="133"/>
      <c r="AM160" s="147"/>
      <c r="AO160" s="133"/>
      <c r="AP160" s="147"/>
    </row>
    <row r="161" spans="3:42" x14ac:dyDescent="0.2">
      <c r="C161" s="146"/>
      <c r="D161" s="146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47"/>
      <c r="P161" s="133"/>
      <c r="Q161" s="133"/>
      <c r="R161" s="133"/>
      <c r="S161" s="133"/>
      <c r="T161" s="147"/>
      <c r="U161" s="133"/>
      <c r="V161" s="133"/>
      <c r="W161" s="147"/>
      <c r="X161" s="133"/>
      <c r="Y161" s="133"/>
      <c r="Z161" s="133"/>
      <c r="AA161" s="147"/>
      <c r="AC161" s="133"/>
      <c r="AD161" s="147"/>
      <c r="AF161" s="133"/>
      <c r="AG161" s="147"/>
      <c r="AI161" s="133"/>
      <c r="AJ161" s="147"/>
      <c r="AL161" s="133"/>
      <c r="AM161" s="147"/>
      <c r="AO161" s="133"/>
      <c r="AP161" s="147"/>
    </row>
    <row r="162" spans="3:42" x14ac:dyDescent="0.2">
      <c r="C162" s="146"/>
      <c r="D162" s="146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47"/>
      <c r="P162" s="133"/>
      <c r="Q162" s="133"/>
      <c r="R162" s="133"/>
      <c r="S162" s="133"/>
      <c r="T162" s="147"/>
      <c r="U162" s="133"/>
      <c r="V162" s="133"/>
      <c r="W162" s="147"/>
      <c r="X162" s="133"/>
      <c r="Y162" s="133"/>
      <c r="Z162" s="133"/>
      <c r="AA162" s="147"/>
      <c r="AC162" s="133"/>
      <c r="AD162" s="147"/>
      <c r="AF162" s="133"/>
      <c r="AG162" s="147"/>
      <c r="AI162" s="133"/>
      <c r="AJ162" s="147"/>
      <c r="AL162" s="133"/>
      <c r="AM162" s="147"/>
      <c r="AO162" s="133"/>
      <c r="AP162" s="147"/>
    </row>
    <row r="163" spans="3:42" x14ac:dyDescent="0.2">
      <c r="C163" s="146"/>
      <c r="D163" s="146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47"/>
      <c r="P163" s="133"/>
      <c r="Q163" s="133"/>
      <c r="R163" s="133"/>
      <c r="S163" s="133"/>
      <c r="T163" s="147"/>
      <c r="U163" s="133"/>
      <c r="V163" s="133"/>
      <c r="W163" s="147"/>
      <c r="X163" s="133"/>
      <c r="Y163" s="133"/>
      <c r="Z163" s="133"/>
      <c r="AA163" s="147"/>
      <c r="AC163" s="133"/>
      <c r="AD163" s="147"/>
      <c r="AF163" s="133"/>
      <c r="AG163" s="147"/>
      <c r="AI163" s="133"/>
      <c r="AJ163" s="147"/>
      <c r="AL163" s="133"/>
      <c r="AM163" s="147"/>
      <c r="AO163" s="133"/>
      <c r="AP163" s="147"/>
    </row>
    <row r="164" spans="3:42" x14ac:dyDescent="0.2">
      <c r="C164" s="146"/>
      <c r="D164" s="146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47"/>
      <c r="P164" s="133"/>
      <c r="Q164" s="133"/>
      <c r="R164" s="133"/>
      <c r="S164" s="133"/>
      <c r="T164" s="147"/>
      <c r="U164" s="133"/>
      <c r="V164" s="133"/>
      <c r="W164" s="147"/>
      <c r="X164" s="133"/>
      <c r="Y164" s="133"/>
      <c r="Z164" s="133"/>
      <c r="AA164" s="147"/>
      <c r="AC164" s="133"/>
      <c r="AD164" s="147"/>
      <c r="AF164" s="133"/>
      <c r="AG164" s="147"/>
      <c r="AI164" s="133"/>
      <c r="AJ164" s="147"/>
      <c r="AL164" s="133"/>
      <c r="AM164" s="147"/>
      <c r="AO164" s="133"/>
      <c r="AP164" s="147"/>
    </row>
    <row r="165" spans="3:42" x14ac:dyDescent="0.2">
      <c r="C165" s="146"/>
      <c r="D165" s="146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47"/>
      <c r="P165" s="133"/>
      <c r="Q165" s="133"/>
      <c r="R165" s="133"/>
      <c r="S165" s="133"/>
      <c r="T165" s="147"/>
      <c r="U165" s="133"/>
      <c r="V165" s="133"/>
      <c r="W165" s="147"/>
      <c r="X165" s="133"/>
      <c r="Y165" s="133"/>
      <c r="Z165" s="133"/>
      <c r="AA165" s="147"/>
      <c r="AC165" s="133"/>
      <c r="AD165" s="147"/>
      <c r="AF165" s="133"/>
      <c r="AG165" s="147"/>
      <c r="AI165" s="133"/>
      <c r="AJ165" s="147"/>
      <c r="AL165" s="133"/>
      <c r="AM165" s="147"/>
      <c r="AO165" s="133"/>
      <c r="AP165" s="147"/>
    </row>
    <row r="166" spans="3:42" x14ac:dyDescent="0.2">
      <c r="C166" s="146"/>
      <c r="D166" s="146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47"/>
      <c r="P166" s="133"/>
      <c r="Q166" s="133"/>
      <c r="R166" s="133"/>
      <c r="S166" s="133"/>
      <c r="T166" s="147"/>
      <c r="U166" s="133"/>
      <c r="V166" s="133"/>
      <c r="W166" s="147"/>
      <c r="X166" s="133"/>
      <c r="Y166" s="133"/>
      <c r="Z166" s="133"/>
      <c r="AA166" s="147"/>
      <c r="AC166" s="133"/>
      <c r="AD166" s="147"/>
      <c r="AF166" s="133"/>
      <c r="AG166" s="147"/>
      <c r="AI166" s="133"/>
      <c r="AJ166" s="147"/>
      <c r="AL166" s="133"/>
      <c r="AM166" s="147"/>
      <c r="AO166" s="133"/>
      <c r="AP166" s="147"/>
    </row>
    <row r="167" spans="3:42" x14ac:dyDescent="0.2">
      <c r="C167" s="146"/>
      <c r="D167" s="146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47"/>
      <c r="P167" s="133"/>
      <c r="Q167" s="133"/>
      <c r="R167" s="133"/>
      <c r="S167" s="133"/>
      <c r="T167" s="147"/>
      <c r="U167" s="133"/>
      <c r="V167" s="133"/>
      <c r="W167" s="147"/>
      <c r="X167" s="133"/>
      <c r="Y167" s="133"/>
      <c r="Z167" s="133"/>
      <c r="AA167" s="147"/>
      <c r="AC167" s="133"/>
      <c r="AD167" s="147"/>
      <c r="AF167" s="133"/>
      <c r="AG167" s="147"/>
      <c r="AI167" s="133"/>
      <c r="AJ167" s="147"/>
      <c r="AL167" s="133"/>
      <c r="AM167" s="147"/>
      <c r="AO167" s="133"/>
      <c r="AP167" s="147"/>
    </row>
    <row r="168" spans="3:42" x14ac:dyDescent="0.2">
      <c r="C168" s="146"/>
      <c r="D168" s="146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47"/>
      <c r="P168" s="133"/>
      <c r="Q168" s="133"/>
      <c r="R168" s="133"/>
      <c r="S168" s="133"/>
      <c r="T168" s="147"/>
      <c r="U168" s="133"/>
      <c r="V168" s="133"/>
      <c r="W168" s="147"/>
      <c r="X168" s="133"/>
      <c r="Y168" s="133"/>
      <c r="Z168" s="133"/>
      <c r="AA168" s="147"/>
      <c r="AC168" s="133"/>
      <c r="AD168" s="147"/>
      <c r="AF168" s="133"/>
      <c r="AG168" s="147"/>
      <c r="AI168" s="133"/>
      <c r="AJ168" s="147"/>
      <c r="AL168" s="133"/>
      <c r="AM168" s="147"/>
      <c r="AO168" s="133"/>
      <c r="AP168" s="147"/>
    </row>
    <row r="169" spans="3:42" x14ac:dyDescent="0.2">
      <c r="C169" s="146"/>
      <c r="D169" s="146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47"/>
      <c r="P169" s="133"/>
      <c r="Q169" s="133"/>
      <c r="R169" s="133"/>
      <c r="S169" s="133"/>
      <c r="T169" s="147"/>
      <c r="U169" s="133"/>
      <c r="V169" s="133"/>
      <c r="W169" s="147"/>
      <c r="X169" s="133"/>
      <c r="Y169" s="133"/>
      <c r="Z169" s="133"/>
      <c r="AA169" s="147"/>
      <c r="AC169" s="133"/>
      <c r="AD169" s="147"/>
      <c r="AF169" s="133"/>
      <c r="AG169" s="147"/>
      <c r="AI169" s="133"/>
      <c r="AJ169" s="147"/>
      <c r="AL169" s="133"/>
      <c r="AM169" s="147"/>
      <c r="AO169" s="133"/>
      <c r="AP169" s="147"/>
    </row>
    <row r="170" spans="3:42" x14ac:dyDescent="0.2">
      <c r="C170" s="146"/>
      <c r="D170" s="146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47"/>
      <c r="P170" s="133"/>
      <c r="Q170" s="133"/>
      <c r="R170" s="133"/>
      <c r="S170" s="133"/>
      <c r="T170" s="147"/>
      <c r="U170" s="133"/>
      <c r="V170" s="133"/>
      <c r="W170" s="147"/>
      <c r="X170" s="133"/>
      <c r="Y170" s="133"/>
      <c r="Z170" s="133"/>
      <c r="AA170" s="147"/>
      <c r="AC170" s="133"/>
      <c r="AD170" s="147"/>
      <c r="AF170" s="133"/>
      <c r="AG170" s="147"/>
      <c r="AI170" s="133"/>
      <c r="AJ170" s="147"/>
      <c r="AL170" s="133"/>
      <c r="AM170" s="147"/>
      <c r="AO170" s="133"/>
      <c r="AP170" s="147"/>
    </row>
    <row r="171" spans="3:42" x14ac:dyDescent="0.2">
      <c r="C171" s="146"/>
      <c r="D171" s="146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47"/>
      <c r="P171" s="133"/>
      <c r="Q171" s="133"/>
      <c r="R171" s="133"/>
      <c r="S171" s="133"/>
      <c r="T171" s="147"/>
      <c r="U171" s="133"/>
      <c r="V171" s="133"/>
      <c r="W171" s="147"/>
      <c r="X171" s="133"/>
      <c r="Y171" s="133"/>
      <c r="Z171" s="133"/>
      <c r="AA171" s="147"/>
      <c r="AC171" s="133"/>
      <c r="AD171" s="147"/>
      <c r="AF171" s="133"/>
      <c r="AG171" s="147"/>
      <c r="AI171" s="133"/>
      <c r="AJ171" s="147"/>
      <c r="AL171" s="133"/>
      <c r="AM171" s="147"/>
      <c r="AO171" s="133"/>
      <c r="AP171" s="147"/>
    </row>
    <row r="172" spans="3:42" x14ac:dyDescent="0.2">
      <c r="C172" s="146"/>
      <c r="D172" s="146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47"/>
      <c r="P172" s="133"/>
      <c r="Q172" s="133"/>
      <c r="R172" s="133"/>
      <c r="S172" s="133"/>
      <c r="T172" s="147"/>
      <c r="U172" s="133"/>
      <c r="V172" s="133"/>
      <c r="W172" s="147"/>
      <c r="X172" s="133"/>
      <c r="Y172" s="133"/>
      <c r="Z172" s="133"/>
      <c r="AA172" s="147"/>
      <c r="AC172" s="133"/>
      <c r="AD172" s="147"/>
      <c r="AF172" s="133"/>
      <c r="AG172" s="147"/>
      <c r="AI172" s="133"/>
      <c r="AJ172" s="147"/>
      <c r="AL172" s="133"/>
      <c r="AM172" s="147"/>
      <c r="AO172" s="133"/>
      <c r="AP172" s="147"/>
    </row>
    <row r="173" spans="3:42" x14ac:dyDescent="0.2">
      <c r="C173" s="146"/>
      <c r="D173" s="146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47"/>
      <c r="P173" s="133"/>
      <c r="Q173" s="133"/>
      <c r="R173" s="133"/>
      <c r="S173" s="133"/>
      <c r="T173" s="147"/>
      <c r="U173" s="133"/>
      <c r="V173" s="133"/>
      <c r="W173" s="147"/>
      <c r="X173" s="133"/>
      <c r="Y173" s="133"/>
      <c r="Z173" s="133"/>
      <c r="AA173" s="147"/>
      <c r="AC173" s="133"/>
      <c r="AD173" s="147"/>
      <c r="AF173" s="133"/>
      <c r="AG173" s="147"/>
      <c r="AI173" s="133"/>
      <c r="AJ173" s="147"/>
      <c r="AL173" s="133"/>
      <c r="AM173" s="147"/>
      <c r="AO173" s="133"/>
      <c r="AP173" s="147"/>
    </row>
    <row r="174" spans="3:42" x14ac:dyDescent="0.2">
      <c r="C174" s="146"/>
      <c r="D174" s="146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47"/>
      <c r="P174" s="133"/>
      <c r="Q174" s="133"/>
      <c r="R174" s="133"/>
      <c r="S174" s="133"/>
      <c r="T174" s="147"/>
      <c r="U174" s="133"/>
      <c r="V174" s="133"/>
      <c r="W174" s="147"/>
      <c r="X174" s="133"/>
      <c r="Y174" s="133"/>
      <c r="Z174" s="133"/>
      <c r="AA174" s="147"/>
      <c r="AC174" s="133"/>
      <c r="AD174" s="147"/>
      <c r="AF174" s="133"/>
      <c r="AG174" s="147"/>
      <c r="AI174" s="133"/>
      <c r="AJ174" s="147"/>
      <c r="AL174" s="133"/>
      <c r="AM174" s="147"/>
      <c r="AO174" s="133"/>
      <c r="AP174" s="147"/>
    </row>
    <row r="175" spans="3:42" x14ac:dyDescent="0.2">
      <c r="C175" s="146"/>
      <c r="D175" s="146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47"/>
      <c r="P175" s="133"/>
      <c r="Q175" s="133"/>
      <c r="R175" s="133"/>
      <c r="S175" s="133"/>
      <c r="T175" s="147"/>
      <c r="U175" s="133"/>
      <c r="V175" s="133"/>
      <c r="W175" s="147"/>
      <c r="X175" s="133"/>
      <c r="Y175" s="133"/>
      <c r="Z175" s="133"/>
      <c r="AA175" s="147"/>
      <c r="AC175" s="133"/>
      <c r="AD175" s="147"/>
      <c r="AF175" s="133"/>
      <c r="AG175" s="147"/>
      <c r="AI175" s="133"/>
      <c r="AJ175" s="147"/>
      <c r="AL175" s="133"/>
      <c r="AM175" s="147"/>
      <c r="AO175" s="133"/>
      <c r="AP175" s="147"/>
    </row>
    <row r="176" spans="3:42" x14ac:dyDescent="0.2">
      <c r="C176" s="146"/>
      <c r="D176" s="146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47"/>
      <c r="P176" s="133"/>
      <c r="Q176" s="133"/>
      <c r="R176" s="133"/>
      <c r="S176" s="133"/>
      <c r="T176" s="147"/>
      <c r="U176" s="133"/>
      <c r="V176" s="133"/>
      <c r="W176" s="147"/>
      <c r="X176" s="133"/>
      <c r="Y176" s="133"/>
      <c r="Z176" s="133"/>
      <c r="AA176" s="147"/>
      <c r="AC176" s="133"/>
      <c r="AD176" s="147"/>
      <c r="AF176" s="133"/>
      <c r="AG176" s="147"/>
      <c r="AI176" s="133"/>
      <c r="AJ176" s="147"/>
      <c r="AL176" s="133"/>
      <c r="AM176" s="147"/>
      <c r="AO176" s="133"/>
      <c r="AP176" s="147"/>
    </row>
    <row r="177" spans="3:42" x14ac:dyDescent="0.2">
      <c r="C177" s="146"/>
      <c r="D177" s="146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47"/>
      <c r="P177" s="133"/>
      <c r="Q177" s="133"/>
      <c r="R177" s="133"/>
      <c r="S177" s="133"/>
      <c r="T177" s="147"/>
      <c r="U177" s="133"/>
      <c r="V177" s="133"/>
      <c r="W177" s="147"/>
      <c r="X177" s="133"/>
      <c r="Y177" s="133"/>
      <c r="Z177" s="133"/>
      <c r="AA177" s="147"/>
      <c r="AC177" s="133"/>
      <c r="AD177" s="147"/>
      <c r="AF177" s="133"/>
      <c r="AG177" s="147"/>
      <c r="AI177" s="133"/>
      <c r="AJ177" s="147"/>
      <c r="AL177" s="133"/>
      <c r="AM177" s="147"/>
      <c r="AO177" s="133"/>
      <c r="AP177" s="147"/>
    </row>
    <row r="178" spans="3:42" x14ac:dyDescent="0.2">
      <c r="C178" s="146"/>
      <c r="D178" s="146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47"/>
      <c r="P178" s="133"/>
      <c r="Q178" s="133"/>
      <c r="R178" s="133"/>
      <c r="S178" s="133"/>
      <c r="T178" s="147"/>
      <c r="U178" s="133"/>
      <c r="V178" s="133"/>
      <c r="W178" s="147"/>
      <c r="X178" s="133"/>
      <c r="Y178" s="133"/>
      <c r="Z178" s="133"/>
      <c r="AA178" s="147"/>
      <c r="AC178" s="133"/>
      <c r="AD178" s="147"/>
      <c r="AF178" s="133"/>
      <c r="AG178" s="147"/>
      <c r="AI178" s="133"/>
      <c r="AJ178" s="147"/>
      <c r="AL178" s="133"/>
      <c r="AM178" s="147"/>
      <c r="AO178" s="133"/>
      <c r="AP178" s="147"/>
    </row>
    <row r="179" spans="3:42" x14ac:dyDescent="0.2">
      <c r="C179" s="146"/>
      <c r="D179" s="146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47"/>
      <c r="P179" s="133"/>
      <c r="Q179" s="133"/>
      <c r="R179" s="133"/>
      <c r="S179" s="133"/>
      <c r="T179" s="147"/>
      <c r="U179" s="133"/>
      <c r="V179" s="133"/>
      <c r="W179" s="147"/>
      <c r="X179" s="133"/>
      <c r="Y179" s="133"/>
      <c r="Z179" s="133"/>
      <c r="AA179" s="147"/>
      <c r="AC179" s="133"/>
      <c r="AD179" s="147"/>
      <c r="AF179" s="133"/>
      <c r="AG179" s="147"/>
      <c r="AI179" s="133"/>
      <c r="AJ179" s="147"/>
      <c r="AL179" s="133"/>
      <c r="AM179" s="147"/>
      <c r="AO179" s="133"/>
      <c r="AP179" s="147"/>
    </row>
    <row r="180" spans="3:42" x14ac:dyDescent="0.2">
      <c r="C180" s="146"/>
      <c r="D180" s="146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47"/>
      <c r="P180" s="133"/>
      <c r="Q180" s="133"/>
      <c r="R180" s="133"/>
      <c r="S180" s="133"/>
      <c r="T180" s="147"/>
      <c r="U180" s="133"/>
      <c r="V180" s="133"/>
      <c r="W180" s="147"/>
      <c r="X180" s="133"/>
      <c r="Y180" s="133"/>
      <c r="Z180" s="133"/>
      <c r="AA180" s="147"/>
      <c r="AC180" s="133"/>
      <c r="AD180" s="147"/>
      <c r="AF180" s="133"/>
      <c r="AG180" s="147"/>
      <c r="AI180" s="133"/>
      <c r="AJ180" s="147"/>
      <c r="AL180" s="133"/>
      <c r="AM180" s="147"/>
      <c r="AO180" s="133"/>
      <c r="AP180" s="147"/>
    </row>
    <row r="181" spans="3:42" x14ac:dyDescent="0.2">
      <c r="C181" s="146"/>
      <c r="D181" s="146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47"/>
      <c r="P181" s="133"/>
      <c r="Q181" s="133"/>
      <c r="R181" s="133"/>
      <c r="S181" s="133"/>
      <c r="T181" s="147"/>
      <c r="U181" s="133"/>
      <c r="V181" s="133"/>
      <c r="W181" s="147"/>
      <c r="X181" s="133"/>
      <c r="Y181" s="133"/>
      <c r="Z181" s="133"/>
      <c r="AA181" s="147"/>
      <c r="AC181" s="133"/>
      <c r="AD181" s="147"/>
      <c r="AF181" s="133"/>
      <c r="AG181" s="147"/>
      <c r="AI181" s="133"/>
      <c r="AJ181" s="147"/>
      <c r="AL181" s="133"/>
      <c r="AM181" s="147"/>
      <c r="AO181" s="133"/>
      <c r="AP181" s="147"/>
    </row>
    <row r="182" spans="3:42" x14ac:dyDescent="0.2">
      <c r="C182" s="146"/>
      <c r="D182" s="146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47"/>
      <c r="P182" s="133"/>
      <c r="Q182" s="133"/>
      <c r="R182" s="133"/>
      <c r="S182" s="133"/>
      <c r="T182" s="147"/>
      <c r="U182" s="133"/>
      <c r="V182" s="133"/>
      <c r="W182" s="147"/>
      <c r="X182" s="133"/>
      <c r="Y182" s="133"/>
      <c r="Z182" s="133"/>
      <c r="AA182" s="147"/>
      <c r="AC182" s="133"/>
      <c r="AD182" s="147"/>
      <c r="AF182" s="133"/>
      <c r="AG182" s="147"/>
      <c r="AI182" s="133"/>
      <c r="AJ182" s="147"/>
      <c r="AL182" s="133"/>
      <c r="AM182" s="147"/>
      <c r="AO182" s="133"/>
      <c r="AP182" s="147"/>
    </row>
    <row r="183" spans="3:42" x14ac:dyDescent="0.2">
      <c r="C183" s="146"/>
      <c r="D183" s="146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47"/>
      <c r="P183" s="133"/>
      <c r="Q183" s="133"/>
      <c r="R183" s="133"/>
      <c r="S183" s="133"/>
      <c r="T183" s="147"/>
      <c r="U183" s="133"/>
      <c r="V183" s="133"/>
      <c r="W183" s="147"/>
      <c r="X183" s="133"/>
      <c r="Y183" s="133"/>
      <c r="Z183" s="133"/>
      <c r="AA183" s="147"/>
      <c r="AC183" s="133"/>
      <c r="AD183" s="147"/>
      <c r="AF183" s="133"/>
      <c r="AG183" s="147"/>
      <c r="AI183" s="133"/>
      <c r="AJ183" s="147"/>
      <c r="AL183" s="133"/>
      <c r="AM183" s="147"/>
      <c r="AO183" s="133"/>
      <c r="AP183" s="147"/>
    </row>
    <row r="184" spans="3:42" x14ac:dyDescent="0.2">
      <c r="C184" s="146"/>
      <c r="D184" s="146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47"/>
      <c r="P184" s="133"/>
      <c r="Q184" s="133"/>
      <c r="R184" s="133"/>
      <c r="S184" s="133"/>
      <c r="T184" s="147"/>
      <c r="U184" s="133"/>
      <c r="V184" s="133"/>
      <c r="W184" s="147"/>
      <c r="X184" s="133"/>
      <c r="Y184" s="133"/>
      <c r="Z184" s="133"/>
      <c r="AA184" s="147"/>
      <c r="AC184" s="133"/>
      <c r="AD184" s="147"/>
      <c r="AF184" s="133"/>
      <c r="AG184" s="147"/>
      <c r="AI184" s="133"/>
      <c r="AJ184" s="147"/>
      <c r="AL184" s="133"/>
      <c r="AM184" s="147"/>
      <c r="AO184" s="133"/>
      <c r="AP184" s="147"/>
    </row>
    <row r="185" spans="3:42" x14ac:dyDescent="0.2">
      <c r="C185" s="146"/>
      <c r="D185" s="146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47"/>
      <c r="P185" s="133"/>
      <c r="Q185" s="133"/>
      <c r="R185" s="133"/>
      <c r="S185" s="133"/>
      <c r="T185" s="147"/>
      <c r="U185" s="133"/>
      <c r="V185" s="133"/>
      <c r="W185" s="147"/>
      <c r="X185" s="133"/>
      <c r="Y185" s="133"/>
      <c r="Z185" s="133"/>
      <c r="AA185" s="147"/>
      <c r="AC185" s="133"/>
      <c r="AD185" s="147"/>
      <c r="AF185" s="133"/>
      <c r="AG185" s="147"/>
      <c r="AI185" s="133"/>
      <c r="AJ185" s="147"/>
      <c r="AL185" s="133"/>
      <c r="AM185" s="147"/>
      <c r="AO185" s="133"/>
      <c r="AP185" s="147"/>
    </row>
    <row r="186" spans="3:42" x14ac:dyDescent="0.2">
      <c r="C186" s="146"/>
      <c r="D186" s="146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47"/>
      <c r="P186" s="133"/>
      <c r="Q186" s="133"/>
      <c r="R186" s="133"/>
      <c r="S186" s="133"/>
      <c r="T186" s="147"/>
      <c r="U186" s="133"/>
      <c r="V186" s="133"/>
      <c r="W186" s="147"/>
      <c r="X186" s="133"/>
      <c r="Y186" s="133"/>
      <c r="Z186" s="133"/>
      <c r="AA186" s="147"/>
      <c r="AC186" s="133"/>
      <c r="AD186" s="147"/>
      <c r="AF186" s="133"/>
      <c r="AG186" s="147"/>
      <c r="AI186" s="133"/>
      <c r="AJ186" s="147"/>
      <c r="AL186" s="133"/>
      <c r="AM186" s="147"/>
      <c r="AO186" s="133"/>
      <c r="AP186" s="147"/>
    </row>
    <row r="187" spans="3:42" x14ac:dyDescent="0.2">
      <c r="C187" s="146"/>
      <c r="D187" s="146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47"/>
      <c r="P187" s="133"/>
      <c r="Q187" s="133"/>
      <c r="R187" s="133"/>
      <c r="S187" s="133"/>
      <c r="T187" s="147"/>
      <c r="U187" s="133"/>
      <c r="V187" s="133"/>
      <c r="W187" s="147"/>
      <c r="X187" s="133"/>
      <c r="Y187" s="133"/>
      <c r="Z187" s="133"/>
      <c r="AA187" s="147"/>
      <c r="AC187" s="133"/>
      <c r="AD187" s="147"/>
      <c r="AF187" s="133"/>
      <c r="AG187" s="147"/>
      <c r="AI187" s="133"/>
      <c r="AJ187" s="147"/>
      <c r="AL187" s="133"/>
      <c r="AM187" s="147"/>
      <c r="AO187" s="133"/>
      <c r="AP187" s="147"/>
    </row>
    <row r="188" spans="3:42" x14ac:dyDescent="0.2">
      <c r="C188" s="146"/>
      <c r="D188" s="146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47"/>
      <c r="P188" s="133"/>
      <c r="Q188" s="133"/>
      <c r="R188" s="133"/>
      <c r="S188" s="133"/>
      <c r="T188" s="147"/>
      <c r="U188" s="133"/>
      <c r="V188" s="133"/>
      <c r="W188" s="147"/>
      <c r="X188" s="133"/>
      <c r="Y188" s="133"/>
      <c r="Z188" s="133"/>
      <c r="AA188" s="147"/>
      <c r="AC188" s="133"/>
      <c r="AD188" s="147"/>
      <c r="AF188" s="133"/>
      <c r="AG188" s="147"/>
      <c r="AI188" s="133"/>
      <c r="AJ188" s="147"/>
      <c r="AL188" s="133"/>
      <c r="AM188" s="147"/>
      <c r="AO188" s="133"/>
      <c r="AP188" s="147"/>
    </row>
    <row r="189" spans="3:42" x14ac:dyDescent="0.2">
      <c r="C189" s="146"/>
      <c r="D189" s="146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47"/>
      <c r="P189" s="133"/>
      <c r="Q189" s="133"/>
      <c r="R189" s="133"/>
      <c r="S189" s="133"/>
      <c r="T189" s="147"/>
      <c r="U189" s="133"/>
      <c r="V189" s="133"/>
      <c r="W189" s="147"/>
      <c r="X189" s="133"/>
      <c r="Y189" s="133"/>
      <c r="Z189" s="133"/>
      <c r="AA189" s="147"/>
      <c r="AC189" s="133"/>
      <c r="AD189" s="147"/>
      <c r="AF189" s="133"/>
      <c r="AG189" s="147"/>
      <c r="AI189" s="133"/>
      <c r="AJ189" s="147"/>
      <c r="AL189" s="133"/>
      <c r="AM189" s="147"/>
      <c r="AO189" s="133"/>
      <c r="AP189" s="147"/>
    </row>
    <row r="190" spans="3:42" x14ac:dyDescent="0.2">
      <c r="C190" s="146"/>
      <c r="D190" s="146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47"/>
      <c r="P190" s="133"/>
      <c r="Q190" s="133"/>
      <c r="R190" s="133"/>
      <c r="S190" s="133"/>
      <c r="T190" s="147"/>
      <c r="U190" s="133"/>
      <c r="V190" s="133"/>
      <c r="W190" s="147"/>
      <c r="X190" s="133"/>
      <c r="Y190" s="133"/>
      <c r="Z190" s="133"/>
      <c r="AA190" s="147"/>
      <c r="AC190" s="133"/>
      <c r="AD190" s="147"/>
      <c r="AF190" s="133"/>
      <c r="AG190" s="147"/>
      <c r="AI190" s="133"/>
      <c r="AJ190" s="147"/>
      <c r="AL190" s="133"/>
      <c r="AM190" s="147"/>
      <c r="AO190" s="133"/>
      <c r="AP190" s="147"/>
    </row>
    <row r="191" spans="3:42" x14ac:dyDescent="0.2">
      <c r="C191" s="146"/>
      <c r="D191" s="146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47"/>
      <c r="P191" s="133"/>
      <c r="Q191" s="133"/>
      <c r="R191" s="133"/>
      <c r="S191" s="133"/>
      <c r="T191" s="147"/>
      <c r="U191" s="133"/>
      <c r="V191" s="133"/>
      <c r="W191" s="147"/>
      <c r="X191" s="133"/>
      <c r="Y191" s="133"/>
      <c r="Z191" s="133"/>
      <c r="AA191" s="147"/>
      <c r="AC191" s="133"/>
      <c r="AD191" s="147"/>
      <c r="AF191" s="133"/>
      <c r="AG191" s="147"/>
      <c r="AI191" s="133"/>
      <c r="AJ191" s="147"/>
      <c r="AL191" s="133"/>
      <c r="AM191" s="147"/>
      <c r="AO191" s="133"/>
      <c r="AP191" s="147"/>
    </row>
    <row r="192" spans="3:42" x14ac:dyDescent="0.2">
      <c r="C192" s="146"/>
      <c r="D192" s="146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47"/>
      <c r="P192" s="133"/>
      <c r="Q192" s="133"/>
      <c r="R192" s="133"/>
      <c r="S192" s="133"/>
      <c r="T192" s="147"/>
      <c r="U192" s="133"/>
      <c r="V192" s="133"/>
      <c r="W192" s="147"/>
      <c r="X192" s="133"/>
      <c r="Y192" s="133"/>
      <c r="Z192" s="133"/>
      <c r="AA192" s="147"/>
      <c r="AC192" s="133"/>
      <c r="AD192" s="147"/>
      <c r="AF192" s="133"/>
      <c r="AG192" s="147"/>
      <c r="AI192" s="133"/>
      <c r="AJ192" s="147"/>
      <c r="AL192" s="133"/>
      <c r="AM192" s="147"/>
      <c r="AO192" s="133"/>
      <c r="AP192" s="147"/>
    </row>
    <row r="193" spans="3:42" x14ac:dyDescent="0.2">
      <c r="C193" s="146"/>
      <c r="D193" s="146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47"/>
      <c r="P193" s="133"/>
      <c r="Q193" s="133"/>
      <c r="R193" s="133"/>
      <c r="S193" s="133"/>
      <c r="T193" s="147"/>
      <c r="U193" s="133"/>
      <c r="V193" s="133"/>
      <c r="W193" s="147"/>
      <c r="X193" s="133"/>
      <c r="Y193" s="133"/>
      <c r="Z193" s="133"/>
      <c r="AA193" s="147"/>
      <c r="AC193" s="133"/>
      <c r="AD193" s="147"/>
      <c r="AF193" s="133"/>
      <c r="AG193" s="147"/>
      <c r="AI193" s="133"/>
      <c r="AJ193" s="147"/>
      <c r="AL193" s="133"/>
      <c r="AM193" s="147"/>
      <c r="AO193" s="133"/>
      <c r="AP193" s="147"/>
    </row>
    <row r="194" spans="3:42" x14ac:dyDescent="0.2">
      <c r="C194" s="146"/>
      <c r="D194" s="146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47"/>
      <c r="P194" s="133"/>
      <c r="Q194" s="133"/>
      <c r="R194" s="133"/>
      <c r="S194" s="133"/>
      <c r="T194" s="147"/>
      <c r="U194" s="133"/>
      <c r="V194" s="133"/>
      <c r="W194" s="147"/>
      <c r="X194" s="133"/>
      <c r="Y194" s="133"/>
      <c r="Z194" s="133"/>
      <c r="AA194" s="147"/>
      <c r="AC194" s="133"/>
      <c r="AD194" s="147"/>
      <c r="AF194" s="133"/>
      <c r="AG194" s="147"/>
      <c r="AI194" s="133"/>
      <c r="AJ194" s="147"/>
      <c r="AL194" s="133"/>
      <c r="AM194" s="147"/>
      <c r="AO194" s="133"/>
      <c r="AP194" s="147"/>
    </row>
    <row r="195" spans="3:42" x14ac:dyDescent="0.2">
      <c r="C195" s="146"/>
      <c r="D195" s="146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47"/>
      <c r="P195" s="133"/>
      <c r="Q195" s="133"/>
      <c r="R195" s="133"/>
      <c r="S195" s="133"/>
      <c r="T195" s="147"/>
      <c r="U195" s="133"/>
      <c r="V195" s="133"/>
      <c r="W195" s="147"/>
      <c r="X195" s="133"/>
      <c r="Y195" s="133"/>
      <c r="Z195" s="133"/>
      <c r="AA195" s="147"/>
      <c r="AC195" s="133"/>
      <c r="AD195" s="147"/>
      <c r="AF195" s="133"/>
      <c r="AG195" s="147"/>
      <c r="AI195" s="133"/>
      <c r="AJ195" s="147"/>
      <c r="AL195" s="133"/>
      <c r="AM195" s="147"/>
      <c r="AO195" s="133"/>
      <c r="AP195" s="147"/>
    </row>
    <row r="196" spans="3:42" x14ac:dyDescent="0.2">
      <c r="C196" s="146"/>
      <c r="D196" s="146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47"/>
      <c r="P196" s="133"/>
      <c r="Q196" s="133"/>
      <c r="R196" s="133"/>
      <c r="S196" s="133"/>
      <c r="T196" s="147"/>
      <c r="U196" s="133"/>
      <c r="V196" s="133"/>
      <c r="W196" s="147"/>
      <c r="X196" s="133"/>
      <c r="Y196" s="133"/>
      <c r="Z196" s="133"/>
      <c r="AA196" s="147"/>
      <c r="AC196" s="133"/>
      <c r="AD196" s="147"/>
      <c r="AF196" s="133"/>
      <c r="AG196" s="147"/>
      <c r="AI196" s="133"/>
      <c r="AJ196" s="147"/>
      <c r="AL196" s="133"/>
      <c r="AM196" s="147"/>
      <c r="AO196" s="133"/>
      <c r="AP196" s="147"/>
    </row>
    <row r="197" spans="3:42" x14ac:dyDescent="0.2">
      <c r="C197" s="146"/>
      <c r="D197" s="146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47"/>
      <c r="P197" s="133"/>
      <c r="Q197" s="133"/>
      <c r="R197" s="133"/>
      <c r="S197" s="133"/>
      <c r="T197" s="147"/>
      <c r="U197" s="133"/>
      <c r="V197" s="133"/>
      <c r="W197" s="147"/>
      <c r="X197" s="133"/>
      <c r="Y197" s="133"/>
      <c r="Z197" s="133"/>
      <c r="AA197" s="147"/>
      <c r="AC197" s="133"/>
      <c r="AD197" s="147"/>
      <c r="AF197" s="133"/>
      <c r="AG197" s="147"/>
      <c r="AI197" s="133"/>
      <c r="AJ197" s="147"/>
      <c r="AL197" s="133"/>
      <c r="AM197" s="147"/>
      <c r="AO197" s="133"/>
      <c r="AP197" s="147"/>
    </row>
    <row r="198" spans="3:42" x14ac:dyDescent="0.2">
      <c r="C198" s="146"/>
      <c r="D198" s="146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47"/>
      <c r="P198" s="133"/>
      <c r="Q198" s="133"/>
      <c r="R198" s="133"/>
      <c r="S198" s="133"/>
      <c r="T198" s="147"/>
      <c r="U198" s="133"/>
      <c r="V198" s="133"/>
      <c r="W198" s="147"/>
      <c r="X198" s="133"/>
      <c r="Y198" s="133"/>
      <c r="Z198" s="133"/>
      <c r="AA198" s="147"/>
      <c r="AC198" s="133"/>
      <c r="AD198" s="147"/>
      <c r="AF198" s="133"/>
      <c r="AG198" s="147"/>
      <c r="AI198" s="133"/>
      <c r="AJ198" s="147"/>
      <c r="AL198" s="133"/>
      <c r="AM198" s="147"/>
      <c r="AO198" s="133"/>
      <c r="AP198" s="147"/>
    </row>
    <row r="199" spans="3:42" x14ac:dyDescent="0.2">
      <c r="C199" s="146"/>
      <c r="D199" s="146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47"/>
      <c r="P199" s="133"/>
      <c r="Q199" s="133"/>
      <c r="R199" s="133"/>
      <c r="S199" s="133"/>
      <c r="T199" s="147"/>
      <c r="U199" s="133"/>
      <c r="V199" s="133"/>
      <c r="W199" s="147"/>
      <c r="X199" s="133"/>
      <c r="Y199" s="133"/>
      <c r="Z199" s="133"/>
      <c r="AA199" s="147"/>
      <c r="AC199" s="133"/>
      <c r="AD199" s="147"/>
      <c r="AF199" s="133"/>
      <c r="AG199" s="147"/>
      <c r="AI199" s="133"/>
      <c r="AJ199" s="147"/>
      <c r="AL199" s="133"/>
      <c r="AM199" s="147"/>
      <c r="AO199" s="133"/>
      <c r="AP199" s="147"/>
    </row>
    <row r="200" spans="3:42" x14ac:dyDescent="0.2">
      <c r="C200" s="146"/>
      <c r="D200" s="146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47"/>
      <c r="P200" s="133"/>
      <c r="Q200" s="133"/>
      <c r="R200" s="133"/>
      <c r="S200" s="133"/>
      <c r="T200" s="147"/>
      <c r="U200" s="133"/>
      <c r="V200" s="133"/>
      <c r="W200" s="147"/>
      <c r="X200" s="133"/>
      <c r="Y200" s="133"/>
      <c r="Z200" s="133"/>
      <c r="AA200" s="147"/>
      <c r="AC200" s="133"/>
      <c r="AD200" s="147"/>
      <c r="AF200" s="133"/>
      <c r="AG200" s="147"/>
      <c r="AI200" s="133"/>
      <c r="AJ200" s="147"/>
      <c r="AL200" s="133"/>
      <c r="AM200" s="147"/>
      <c r="AO200" s="133"/>
      <c r="AP200" s="147"/>
    </row>
    <row r="201" spans="3:42" x14ac:dyDescent="0.2">
      <c r="C201" s="146"/>
      <c r="D201" s="146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47"/>
      <c r="P201" s="133"/>
      <c r="Q201" s="133"/>
      <c r="R201" s="133"/>
      <c r="S201" s="133"/>
      <c r="T201" s="147"/>
      <c r="U201" s="133"/>
      <c r="V201" s="133"/>
      <c r="W201" s="147"/>
      <c r="X201" s="133"/>
      <c r="Y201" s="133"/>
      <c r="Z201" s="133"/>
      <c r="AA201" s="147"/>
      <c r="AC201" s="133"/>
      <c r="AD201" s="147"/>
      <c r="AF201" s="133"/>
      <c r="AG201" s="147"/>
      <c r="AI201" s="133"/>
      <c r="AJ201" s="147"/>
      <c r="AL201" s="133"/>
      <c r="AM201" s="147"/>
      <c r="AO201" s="133"/>
      <c r="AP201" s="147"/>
    </row>
    <row r="202" spans="3:42" x14ac:dyDescent="0.2">
      <c r="C202" s="146"/>
      <c r="D202" s="146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47"/>
      <c r="P202" s="133"/>
      <c r="Q202" s="133"/>
      <c r="R202" s="133"/>
      <c r="S202" s="133"/>
      <c r="T202" s="147"/>
      <c r="U202" s="133"/>
      <c r="V202" s="133"/>
      <c r="W202" s="147"/>
      <c r="X202" s="133"/>
      <c r="Y202" s="133"/>
      <c r="Z202" s="133"/>
      <c r="AA202" s="147"/>
      <c r="AC202" s="133"/>
      <c r="AD202" s="147"/>
      <c r="AF202" s="133"/>
      <c r="AG202" s="147"/>
      <c r="AI202" s="133"/>
      <c r="AJ202" s="147"/>
      <c r="AL202" s="133"/>
      <c r="AM202" s="147"/>
      <c r="AO202" s="133"/>
      <c r="AP202" s="147"/>
    </row>
    <row r="203" spans="3:42" x14ac:dyDescent="0.2">
      <c r="C203" s="146"/>
      <c r="D203" s="146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47"/>
      <c r="P203" s="133"/>
      <c r="Q203" s="133"/>
      <c r="R203" s="133"/>
      <c r="S203" s="133"/>
      <c r="T203" s="147"/>
      <c r="U203" s="133"/>
      <c r="V203" s="133"/>
      <c r="W203" s="147"/>
      <c r="X203" s="133"/>
      <c r="Y203" s="133"/>
      <c r="Z203" s="133"/>
      <c r="AA203" s="147"/>
      <c r="AC203" s="133"/>
      <c r="AD203" s="147"/>
      <c r="AF203" s="133"/>
      <c r="AG203" s="147"/>
      <c r="AI203" s="133"/>
      <c r="AJ203" s="147"/>
      <c r="AL203" s="133"/>
      <c r="AM203" s="147"/>
      <c r="AO203" s="133"/>
      <c r="AP203" s="147"/>
    </row>
    <row r="204" spans="3:42" x14ac:dyDescent="0.2">
      <c r="C204" s="146"/>
      <c r="D204" s="146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47"/>
      <c r="P204" s="133"/>
      <c r="Q204" s="133"/>
      <c r="R204" s="133"/>
      <c r="S204" s="133"/>
      <c r="T204" s="147"/>
      <c r="U204" s="133"/>
      <c r="V204" s="133"/>
      <c r="W204" s="147"/>
      <c r="X204" s="133"/>
      <c r="Y204" s="133"/>
      <c r="Z204" s="133"/>
      <c r="AA204" s="147"/>
      <c r="AC204" s="133"/>
      <c r="AD204" s="147"/>
      <c r="AF204" s="133"/>
      <c r="AG204" s="147"/>
      <c r="AI204" s="133"/>
      <c r="AJ204" s="147"/>
      <c r="AL204" s="133"/>
      <c r="AM204" s="147"/>
      <c r="AO204" s="133"/>
      <c r="AP204" s="147"/>
    </row>
    <row r="205" spans="3:42" x14ac:dyDescent="0.2">
      <c r="C205" s="146"/>
      <c r="D205" s="146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47"/>
      <c r="P205" s="133"/>
      <c r="Q205" s="133"/>
      <c r="R205" s="133"/>
      <c r="S205" s="133"/>
      <c r="T205" s="147"/>
      <c r="U205" s="133"/>
      <c r="V205" s="133"/>
      <c r="W205" s="147"/>
      <c r="X205" s="133"/>
      <c r="Y205" s="133"/>
      <c r="Z205" s="133"/>
      <c r="AA205" s="147"/>
      <c r="AC205" s="133"/>
      <c r="AD205" s="147"/>
      <c r="AF205" s="133"/>
      <c r="AG205" s="147"/>
      <c r="AI205" s="133"/>
      <c r="AJ205" s="147"/>
      <c r="AL205" s="133"/>
      <c r="AM205" s="147"/>
      <c r="AO205" s="133"/>
      <c r="AP205" s="147"/>
    </row>
    <row r="206" spans="3:42" x14ac:dyDescent="0.2">
      <c r="C206" s="146"/>
      <c r="D206" s="146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47"/>
      <c r="P206" s="133"/>
      <c r="Q206" s="133"/>
      <c r="R206" s="133"/>
      <c r="S206" s="133"/>
      <c r="T206" s="147"/>
      <c r="U206" s="133"/>
      <c r="V206" s="133"/>
      <c r="W206" s="147"/>
      <c r="X206" s="133"/>
      <c r="Y206" s="133"/>
      <c r="Z206" s="133"/>
      <c r="AA206" s="147"/>
      <c r="AC206" s="133"/>
      <c r="AD206" s="147"/>
      <c r="AF206" s="133"/>
      <c r="AG206" s="147"/>
      <c r="AI206" s="133"/>
      <c r="AJ206" s="147"/>
      <c r="AL206" s="133"/>
      <c r="AM206" s="147"/>
      <c r="AO206" s="133"/>
      <c r="AP206" s="147"/>
    </row>
    <row r="207" spans="3:42" x14ac:dyDescent="0.2">
      <c r="C207" s="146"/>
      <c r="D207" s="146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47"/>
      <c r="P207" s="133"/>
      <c r="Q207" s="133"/>
      <c r="R207" s="133"/>
      <c r="S207" s="133"/>
      <c r="T207" s="147"/>
      <c r="U207" s="133"/>
      <c r="V207" s="133"/>
      <c r="W207" s="147"/>
      <c r="X207" s="133"/>
      <c r="Y207" s="133"/>
      <c r="Z207" s="133"/>
      <c r="AA207" s="147"/>
      <c r="AC207" s="133"/>
      <c r="AD207" s="147"/>
      <c r="AF207" s="133"/>
      <c r="AG207" s="147"/>
      <c r="AI207" s="133"/>
      <c r="AJ207" s="147"/>
      <c r="AL207" s="133"/>
      <c r="AM207" s="147"/>
      <c r="AO207" s="133"/>
      <c r="AP207" s="147"/>
    </row>
    <row r="208" spans="3:42" x14ac:dyDescent="0.2">
      <c r="C208" s="146"/>
      <c r="D208" s="146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47"/>
      <c r="P208" s="133"/>
      <c r="Q208" s="133"/>
      <c r="R208" s="133"/>
      <c r="S208" s="133"/>
      <c r="T208" s="147"/>
      <c r="U208" s="133"/>
      <c r="V208" s="133"/>
      <c r="W208" s="147"/>
      <c r="X208" s="133"/>
      <c r="Y208" s="133"/>
      <c r="Z208" s="133"/>
      <c r="AA208" s="147"/>
      <c r="AC208" s="133"/>
      <c r="AD208" s="147"/>
      <c r="AF208" s="133"/>
      <c r="AG208" s="147"/>
      <c r="AI208" s="133"/>
      <c r="AJ208" s="147"/>
      <c r="AL208" s="133"/>
      <c r="AM208" s="147"/>
      <c r="AO208" s="133"/>
      <c r="AP208" s="147"/>
    </row>
    <row r="209" spans="3:42" x14ac:dyDescent="0.2">
      <c r="C209" s="146"/>
      <c r="D209" s="146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47"/>
      <c r="P209" s="133"/>
      <c r="Q209" s="133"/>
      <c r="R209" s="133"/>
      <c r="S209" s="133"/>
      <c r="T209" s="147"/>
      <c r="U209" s="133"/>
      <c r="V209" s="133"/>
      <c r="W209" s="147"/>
      <c r="X209" s="133"/>
      <c r="Y209" s="133"/>
      <c r="Z209" s="133"/>
      <c r="AA209" s="147"/>
      <c r="AC209" s="133"/>
      <c r="AD209" s="147"/>
      <c r="AF209" s="133"/>
      <c r="AG209" s="147"/>
      <c r="AI209" s="133"/>
      <c r="AJ209" s="147"/>
      <c r="AL209" s="133"/>
      <c r="AM209" s="147"/>
      <c r="AO209" s="133"/>
      <c r="AP209" s="147"/>
    </row>
    <row r="210" spans="3:42" x14ac:dyDescent="0.2">
      <c r="C210" s="146"/>
      <c r="D210" s="146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47"/>
      <c r="P210" s="133"/>
      <c r="Q210" s="133"/>
      <c r="R210" s="133"/>
      <c r="S210" s="133"/>
      <c r="T210" s="147"/>
      <c r="U210" s="133"/>
      <c r="V210" s="133"/>
      <c r="W210" s="147"/>
      <c r="X210" s="133"/>
      <c r="Y210" s="133"/>
      <c r="Z210" s="133"/>
      <c r="AA210" s="147"/>
      <c r="AC210" s="133"/>
      <c r="AD210" s="147"/>
      <c r="AF210" s="133"/>
      <c r="AG210" s="147"/>
      <c r="AI210" s="133"/>
      <c r="AJ210" s="147"/>
      <c r="AL210" s="133"/>
      <c r="AM210" s="147"/>
      <c r="AO210" s="133"/>
      <c r="AP210" s="147"/>
    </row>
    <row r="211" spans="3:42" x14ac:dyDescent="0.2">
      <c r="C211" s="146"/>
      <c r="D211" s="146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47"/>
      <c r="P211" s="133"/>
      <c r="Q211" s="133"/>
      <c r="R211" s="133"/>
      <c r="S211" s="133"/>
      <c r="T211" s="147"/>
      <c r="U211" s="133"/>
      <c r="V211" s="133"/>
      <c r="W211" s="147"/>
      <c r="X211" s="133"/>
      <c r="Y211" s="133"/>
      <c r="Z211" s="133"/>
      <c r="AA211" s="147"/>
      <c r="AC211" s="133"/>
      <c r="AD211" s="147"/>
      <c r="AF211" s="133"/>
      <c r="AG211" s="147"/>
      <c r="AI211" s="133"/>
      <c r="AJ211" s="147"/>
      <c r="AL211" s="133"/>
      <c r="AM211" s="147"/>
      <c r="AO211" s="133"/>
      <c r="AP211" s="147"/>
    </row>
    <row r="212" spans="3:42" x14ac:dyDescent="0.2">
      <c r="C212" s="146"/>
      <c r="D212" s="146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47"/>
      <c r="P212" s="133"/>
      <c r="Q212" s="133"/>
      <c r="R212" s="133"/>
      <c r="S212" s="133"/>
      <c r="T212" s="147"/>
      <c r="U212" s="133"/>
      <c r="V212" s="133"/>
      <c r="W212" s="147"/>
      <c r="X212" s="133"/>
      <c r="Y212" s="133"/>
      <c r="Z212" s="133"/>
      <c r="AA212" s="147"/>
      <c r="AC212" s="133"/>
      <c r="AD212" s="147"/>
      <c r="AF212" s="133"/>
      <c r="AG212" s="147"/>
      <c r="AI212" s="133"/>
      <c r="AJ212" s="147"/>
      <c r="AL212" s="133"/>
      <c r="AM212" s="147"/>
      <c r="AO212" s="133"/>
      <c r="AP212" s="147"/>
    </row>
    <row r="213" spans="3:42" x14ac:dyDescent="0.2">
      <c r="C213" s="146"/>
      <c r="D213" s="146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47"/>
      <c r="P213" s="133"/>
      <c r="Q213" s="133"/>
      <c r="R213" s="133"/>
      <c r="S213" s="133"/>
      <c r="T213" s="147"/>
      <c r="U213" s="133"/>
      <c r="V213" s="133"/>
      <c r="W213" s="147"/>
      <c r="X213" s="133"/>
      <c r="Y213" s="133"/>
      <c r="Z213" s="133"/>
      <c r="AA213" s="147"/>
      <c r="AC213" s="133"/>
      <c r="AD213" s="147"/>
      <c r="AF213" s="133"/>
      <c r="AG213" s="147"/>
      <c r="AI213" s="133"/>
      <c r="AJ213" s="147"/>
      <c r="AL213" s="133"/>
      <c r="AM213" s="147"/>
      <c r="AO213" s="133"/>
      <c r="AP213" s="147"/>
    </row>
    <row r="214" spans="3:42" x14ac:dyDescent="0.2">
      <c r="C214" s="146"/>
      <c r="D214" s="146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47"/>
      <c r="P214" s="133"/>
      <c r="Q214" s="133"/>
      <c r="R214" s="133"/>
      <c r="S214" s="133"/>
      <c r="T214" s="147"/>
      <c r="U214" s="133"/>
      <c r="V214" s="133"/>
      <c r="W214" s="147"/>
      <c r="X214" s="133"/>
      <c r="Y214" s="133"/>
      <c r="Z214" s="133"/>
      <c r="AA214" s="147"/>
      <c r="AC214" s="133"/>
      <c r="AD214" s="147"/>
      <c r="AF214" s="133"/>
      <c r="AG214" s="147"/>
      <c r="AI214" s="133"/>
      <c r="AJ214" s="147"/>
      <c r="AL214" s="133"/>
      <c r="AM214" s="147"/>
      <c r="AO214" s="133"/>
      <c r="AP214" s="147"/>
    </row>
    <row r="215" spans="3:42" x14ac:dyDescent="0.2">
      <c r="C215" s="146"/>
      <c r="D215" s="146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47"/>
      <c r="P215" s="133"/>
      <c r="Q215" s="133"/>
      <c r="R215" s="133"/>
      <c r="S215" s="133"/>
      <c r="T215" s="147"/>
      <c r="U215" s="133"/>
      <c r="V215" s="133"/>
      <c r="W215" s="147"/>
      <c r="X215" s="133"/>
      <c r="Y215" s="133"/>
      <c r="Z215" s="133"/>
      <c r="AA215" s="147"/>
      <c r="AC215" s="133"/>
      <c r="AD215" s="147"/>
      <c r="AF215" s="133"/>
      <c r="AG215" s="147"/>
      <c r="AI215" s="133"/>
      <c r="AJ215" s="147"/>
      <c r="AL215" s="133"/>
      <c r="AM215" s="147"/>
      <c r="AO215" s="133"/>
      <c r="AP215" s="147"/>
    </row>
    <row r="216" spans="3:42" x14ac:dyDescent="0.2">
      <c r="C216" s="146"/>
      <c r="D216" s="146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47"/>
      <c r="P216" s="133"/>
      <c r="Q216" s="133"/>
      <c r="R216" s="133"/>
      <c r="S216" s="133"/>
      <c r="T216" s="147"/>
      <c r="U216" s="133"/>
      <c r="V216" s="133"/>
      <c r="W216" s="147"/>
      <c r="X216" s="133"/>
      <c r="Y216" s="133"/>
      <c r="Z216" s="133"/>
      <c r="AA216" s="147"/>
      <c r="AC216" s="133"/>
      <c r="AD216" s="147"/>
      <c r="AF216" s="133"/>
      <c r="AG216" s="147"/>
      <c r="AI216" s="133"/>
      <c r="AJ216" s="147"/>
      <c r="AL216" s="133"/>
      <c r="AM216" s="147"/>
      <c r="AO216" s="133"/>
      <c r="AP216" s="147"/>
    </row>
    <row r="217" spans="3:42" x14ac:dyDescent="0.2">
      <c r="C217" s="146"/>
      <c r="D217" s="146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47"/>
      <c r="P217" s="133"/>
      <c r="Q217" s="133"/>
      <c r="R217" s="133"/>
      <c r="S217" s="133"/>
      <c r="T217" s="147"/>
      <c r="U217" s="133"/>
      <c r="V217" s="133"/>
      <c r="W217" s="147"/>
      <c r="X217" s="133"/>
      <c r="Y217" s="133"/>
      <c r="Z217" s="133"/>
      <c r="AA217" s="147"/>
      <c r="AC217" s="133"/>
      <c r="AD217" s="147"/>
      <c r="AF217" s="133"/>
      <c r="AG217" s="147"/>
      <c r="AI217" s="133"/>
      <c r="AJ217" s="147"/>
      <c r="AL217" s="133"/>
      <c r="AM217" s="147"/>
      <c r="AO217" s="133"/>
      <c r="AP217" s="147"/>
    </row>
    <row r="218" spans="3:42" x14ac:dyDescent="0.2">
      <c r="C218" s="146"/>
      <c r="D218" s="146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47"/>
      <c r="P218" s="133"/>
      <c r="Q218" s="133"/>
      <c r="R218" s="133"/>
      <c r="S218" s="133"/>
      <c r="T218" s="147"/>
      <c r="U218" s="133"/>
      <c r="V218" s="133"/>
      <c r="W218" s="147"/>
      <c r="X218" s="133"/>
      <c r="Y218" s="133"/>
      <c r="Z218" s="133"/>
      <c r="AA218" s="147"/>
      <c r="AC218" s="133"/>
      <c r="AD218" s="147"/>
      <c r="AF218" s="133"/>
      <c r="AG218" s="147"/>
      <c r="AI218" s="133"/>
      <c r="AJ218" s="147"/>
      <c r="AL218" s="133"/>
      <c r="AM218" s="147"/>
      <c r="AO218" s="133"/>
      <c r="AP218" s="147"/>
    </row>
    <row r="219" spans="3:42" x14ac:dyDescent="0.2">
      <c r="C219" s="146"/>
      <c r="D219" s="146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47"/>
      <c r="P219" s="133"/>
      <c r="Q219" s="133"/>
      <c r="R219" s="133"/>
      <c r="S219" s="133"/>
      <c r="T219" s="147"/>
      <c r="U219" s="133"/>
      <c r="V219" s="133"/>
      <c r="W219" s="147"/>
      <c r="X219" s="133"/>
      <c r="Y219" s="133"/>
      <c r="Z219" s="133"/>
      <c r="AA219" s="147"/>
      <c r="AC219" s="133"/>
      <c r="AD219" s="147"/>
      <c r="AF219" s="133"/>
      <c r="AG219" s="147"/>
      <c r="AI219" s="133"/>
      <c r="AJ219" s="147"/>
      <c r="AL219" s="133"/>
      <c r="AM219" s="147"/>
      <c r="AO219" s="133"/>
      <c r="AP219" s="147"/>
    </row>
    <row r="220" spans="3:42" x14ac:dyDescent="0.2">
      <c r="C220" s="146"/>
      <c r="D220" s="146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47"/>
      <c r="P220" s="133"/>
      <c r="Q220" s="133"/>
      <c r="R220" s="133"/>
      <c r="S220" s="133"/>
      <c r="T220" s="147"/>
      <c r="U220" s="133"/>
      <c r="V220" s="133"/>
      <c r="W220" s="147"/>
      <c r="X220" s="133"/>
      <c r="Y220" s="133"/>
      <c r="Z220" s="133"/>
      <c r="AA220" s="147"/>
      <c r="AC220" s="133"/>
      <c r="AD220" s="147"/>
      <c r="AF220" s="133"/>
      <c r="AG220" s="147"/>
      <c r="AI220" s="133"/>
      <c r="AJ220" s="147"/>
      <c r="AL220" s="133"/>
      <c r="AM220" s="147"/>
      <c r="AO220" s="133"/>
      <c r="AP220" s="147"/>
    </row>
    <row r="221" spans="3:42" x14ac:dyDescent="0.2">
      <c r="C221" s="146"/>
      <c r="D221" s="146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47"/>
      <c r="P221" s="133"/>
      <c r="Q221" s="133"/>
      <c r="R221" s="133"/>
      <c r="S221" s="133"/>
      <c r="T221" s="147"/>
      <c r="U221" s="133"/>
      <c r="V221" s="133"/>
      <c r="W221" s="147"/>
      <c r="X221" s="133"/>
      <c r="Y221" s="133"/>
      <c r="Z221" s="133"/>
      <c r="AA221" s="147"/>
      <c r="AC221" s="133"/>
      <c r="AD221" s="147"/>
      <c r="AF221" s="133"/>
      <c r="AG221" s="147"/>
      <c r="AI221" s="133"/>
      <c r="AJ221" s="147"/>
      <c r="AL221" s="133"/>
      <c r="AM221" s="147"/>
      <c r="AO221" s="133"/>
      <c r="AP221" s="147"/>
    </row>
    <row r="222" spans="3:42" x14ac:dyDescent="0.2">
      <c r="C222" s="146"/>
      <c r="D222" s="146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47"/>
      <c r="P222" s="133"/>
      <c r="Q222" s="133"/>
      <c r="R222" s="133"/>
      <c r="S222" s="133"/>
      <c r="T222" s="147"/>
      <c r="U222" s="133"/>
      <c r="V222" s="133"/>
      <c r="W222" s="147"/>
      <c r="X222" s="133"/>
      <c r="Y222" s="133"/>
      <c r="Z222" s="133"/>
      <c r="AA222" s="147"/>
      <c r="AC222" s="133"/>
      <c r="AD222" s="147"/>
      <c r="AF222" s="133"/>
      <c r="AG222" s="147"/>
      <c r="AI222" s="133"/>
      <c r="AJ222" s="147"/>
      <c r="AL222" s="133"/>
      <c r="AM222" s="147"/>
      <c r="AO222" s="133"/>
      <c r="AP222" s="147"/>
    </row>
    <row r="223" spans="3:42" x14ac:dyDescent="0.2">
      <c r="C223" s="146"/>
      <c r="D223" s="146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47"/>
      <c r="P223" s="133"/>
      <c r="Q223" s="133"/>
      <c r="R223" s="133"/>
      <c r="S223" s="133"/>
      <c r="T223" s="147"/>
      <c r="U223" s="133"/>
      <c r="V223" s="133"/>
      <c r="W223" s="147"/>
      <c r="X223" s="133"/>
      <c r="Y223" s="133"/>
      <c r="Z223" s="133"/>
      <c r="AA223" s="147"/>
      <c r="AC223" s="133"/>
      <c r="AD223" s="147"/>
      <c r="AF223" s="133"/>
      <c r="AG223" s="147"/>
      <c r="AI223" s="133"/>
      <c r="AJ223" s="147"/>
      <c r="AL223" s="133"/>
      <c r="AM223" s="147"/>
      <c r="AO223" s="133"/>
      <c r="AP223" s="147"/>
    </row>
    <row r="224" spans="3:42" x14ac:dyDescent="0.2">
      <c r="C224" s="146"/>
      <c r="D224" s="146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47"/>
      <c r="P224" s="133"/>
      <c r="Q224" s="133"/>
      <c r="R224" s="133"/>
      <c r="S224" s="133"/>
      <c r="T224" s="147"/>
      <c r="U224" s="133"/>
      <c r="V224" s="133"/>
      <c r="W224" s="147"/>
      <c r="X224" s="133"/>
      <c r="Y224" s="133"/>
      <c r="Z224" s="133"/>
      <c r="AA224" s="147"/>
      <c r="AC224" s="133"/>
      <c r="AD224" s="147"/>
      <c r="AF224" s="133"/>
      <c r="AG224" s="147"/>
      <c r="AI224" s="133"/>
      <c r="AJ224" s="147"/>
      <c r="AL224" s="133"/>
      <c r="AM224" s="147"/>
      <c r="AO224" s="133"/>
      <c r="AP224" s="147"/>
    </row>
    <row r="225" spans="3:42" x14ac:dyDescent="0.2">
      <c r="C225" s="146"/>
      <c r="D225" s="146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47"/>
      <c r="P225" s="133"/>
      <c r="Q225" s="133"/>
      <c r="R225" s="133"/>
      <c r="S225" s="133"/>
      <c r="T225" s="147"/>
      <c r="U225" s="133"/>
      <c r="V225" s="133"/>
      <c r="W225" s="147"/>
      <c r="X225" s="133"/>
      <c r="Y225" s="133"/>
      <c r="Z225" s="133"/>
      <c r="AA225" s="147"/>
      <c r="AC225" s="133"/>
      <c r="AD225" s="147"/>
      <c r="AF225" s="133"/>
      <c r="AG225" s="147"/>
      <c r="AI225" s="133"/>
      <c r="AJ225" s="147"/>
      <c r="AL225" s="133"/>
      <c r="AM225" s="147"/>
      <c r="AO225" s="133"/>
      <c r="AP225" s="147"/>
    </row>
    <row r="226" spans="3:42" x14ac:dyDescent="0.2">
      <c r="C226" s="146"/>
      <c r="D226" s="146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47"/>
      <c r="P226" s="133"/>
      <c r="Q226" s="133"/>
      <c r="R226" s="133"/>
      <c r="S226" s="133"/>
      <c r="T226" s="147"/>
      <c r="U226" s="133"/>
      <c r="V226" s="133"/>
      <c r="W226" s="147"/>
      <c r="X226" s="133"/>
      <c r="Y226" s="133"/>
      <c r="Z226" s="133"/>
      <c r="AA226" s="147"/>
      <c r="AC226" s="133"/>
      <c r="AD226" s="147"/>
      <c r="AF226" s="133"/>
      <c r="AG226" s="147"/>
      <c r="AI226" s="133"/>
      <c r="AJ226" s="147"/>
      <c r="AL226" s="133"/>
      <c r="AM226" s="147"/>
      <c r="AO226" s="133"/>
      <c r="AP226" s="147"/>
    </row>
    <row r="227" spans="3:42" x14ac:dyDescent="0.2">
      <c r="C227" s="146"/>
      <c r="D227" s="146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47"/>
      <c r="P227" s="133"/>
      <c r="Q227" s="133"/>
      <c r="R227" s="133"/>
      <c r="S227" s="133"/>
      <c r="T227" s="147"/>
      <c r="U227" s="133"/>
      <c r="V227" s="133"/>
      <c r="W227" s="147"/>
      <c r="X227" s="133"/>
      <c r="Y227" s="133"/>
      <c r="Z227" s="133"/>
      <c r="AA227" s="147"/>
      <c r="AC227" s="133"/>
      <c r="AD227" s="147"/>
      <c r="AF227" s="133"/>
      <c r="AG227" s="147"/>
      <c r="AI227" s="133"/>
      <c r="AJ227" s="147"/>
      <c r="AL227" s="133"/>
      <c r="AM227" s="147"/>
      <c r="AO227" s="133"/>
      <c r="AP227" s="147"/>
    </row>
    <row r="228" spans="3:42" x14ac:dyDescent="0.2">
      <c r="C228" s="146"/>
      <c r="D228" s="146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47"/>
      <c r="P228" s="133"/>
      <c r="Q228" s="133"/>
      <c r="R228" s="133"/>
      <c r="S228" s="133"/>
      <c r="T228" s="147"/>
      <c r="U228" s="133"/>
      <c r="V228" s="133"/>
      <c r="W228" s="147"/>
      <c r="X228" s="133"/>
      <c r="Y228" s="133"/>
      <c r="Z228" s="133"/>
      <c r="AA228" s="147"/>
      <c r="AC228" s="133"/>
      <c r="AD228" s="147"/>
      <c r="AF228" s="133"/>
      <c r="AG228" s="147"/>
      <c r="AI228" s="133"/>
      <c r="AJ228" s="147"/>
      <c r="AL228" s="133"/>
      <c r="AM228" s="147"/>
      <c r="AO228" s="133"/>
      <c r="AP228" s="147"/>
    </row>
    <row r="229" spans="3:42" x14ac:dyDescent="0.2">
      <c r="C229" s="146"/>
      <c r="D229" s="146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47"/>
      <c r="P229" s="133"/>
      <c r="Q229" s="133"/>
      <c r="R229" s="133"/>
      <c r="S229" s="133"/>
      <c r="T229" s="147"/>
      <c r="U229" s="133"/>
      <c r="V229" s="133"/>
      <c r="W229" s="147"/>
      <c r="X229" s="133"/>
      <c r="Y229" s="133"/>
      <c r="Z229" s="133"/>
      <c r="AA229" s="147"/>
      <c r="AC229" s="133"/>
      <c r="AD229" s="147"/>
      <c r="AF229" s="133"/>
      <c r="AG229" s="147"/>
      <c r="AI229" s="133"/>
      <c r="AJ229" s="147"/>
      <c r="AL229" s="133"/>
      <c r="AM229" s="147"/>
      <c r="AO229" s="133"/>
      <c r="AP229" s="147"/>
    </row>
    <row r="230" spans="3:42" x14ac:dyDescent="0.2">
      <c r="C230" s="146"/>
      <c r="D230" s="146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47"/>
      <c r="P230" s="133"/>
      <c r="Q230" s="133"/>
      <c r="R230" s="133"/>
      <c r="S230" s="133"/>
      <c r="T230" s="147"/>
      <c r="U230" s="133"/>
      <c r="V230" s="133"/>
      <c r="W230" s="147"/>
      <c r="X230" s="133"/>
      <c r="Y230" s="133"/>
      <c r="Z230" s="133"/>
      <c r="AA230" s="147"/>
      <c r="AC230" s="133"/>
      <c r="AD230" s="147"/>
      <c r="AF230" s="133"/>
      <c r="AG230" s="147"/>
      <c r="AI230" s="133"/>
      <c r="AJ230" s="147"/>
      <c r="AL230" s="133"/>
      <c r="AM230" s="147"/>
      <c r="AO230" s="133"/>
      <c r="AP230" s="147"/>
    </row>
    <row r="231" spans="3:42" x14ac:dyDescent="0.2">
      <c r="C231" s="146"/>
      <c r="D231" s="146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47"/>
      <c r="P231" s="133"/>
      <c r="Q231" s="133"/>
      <c r="R231" s="133"/>
      <c r="S231" s="133"/>
      <c r="T231" s="147"/>
      <c r="U231" s="133"/>
      <c r="V231" s="133"/>
      <c r="W231" s="147"/>
      <c r="X231" s="133"/>
      <c r="Y231" s="133"/>
      <c r="Z231" s="133"/>
      <c r="AA231" s="147"/>
      <c r="AC231" s="133"/>
      <c r="AD231" s="147"/>
      <c r="AF231" s="133"/>
      <c r="AG231" s="147"/>
      <c r="AI231" s="133"/>
      <c r="AJ231" s="147"/>
      <c r="AL231" s="133"/>
      <c r="AM231" s="147"/>
      <c r="AO231" s="133"/>
      <c r="AP231" s="147"/>
    </row>
    <row r="232" spans="3:42" x14ac:dyDescent="0.2">
      <c r="C232" s="146"/>
      <c r="D232" s="146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47"/>
      <c r="P232" s="133"/>
      <c r="Q232" s="133"/>
      <c r="R232" s="133"/>
      <c r="S232" s="133"/>
      <c r="T232" s="147"/>
      <c r="U232" s="133"/>
      <c r="V232" s="133"/>
      <c r="W232" s="147"/>
      <c r="X232" s="133"/>
      <c r="Y232" s="133"/>
      <c r="Z232" s="133"/>
      <c r="AA232" s="147"/>
      <c r="AC232" s="133"/>
      <c r="AD232" s="147"/>
      <c r="AF232" s="133"/>
      <c r="AG232" s="147"/>
      <c r="AI232" s="133"/>
      <c r="AJ232" s="147"/>
      <c r="AL232" s="133"/>
      <c r="AM232" s="147"/>
      <c r="AO232" s="133"/>
      <c r="AP232" s="147"/>
    </row>
    <row r="233" spans="3:42" x14ac:dyDescent="0.2">
      <c r="C233" s="146"/>
      <c r="D233" s="146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47"/>
      <c r="P233" s="133"/>
      <c r="Q233" s="133"/>
      <c r="R233" s="133"/>
      <c r="S233" s="133"/>
      <c r="T233" s="147"/>
      <c r="U233" s="133"/>
      <c r="V233" s="133"/>
      <c r="W233" s="147"/>
      <c r="X233" s="133"/>
      <c r="Y233" s="133"/>
      <c r="Z233" s="133"/>
      <c r="AA233" s="147"/>
      <c r="AC233" s="133"/>
      <c r="AD233" s="147"/>
      <c r="AF233" s="133"/>
      <c r="AG233" s="147"/>
      <c r="AI233" s="133"/>
      <c r="AJ233" s="147"/>
      <c r="AL233" s="133"/>
      <c r="AM233" s="147"/>
      <c r="AO233" s="133"/>
      <c r="AP233" s="147"/>
    </row>
    <row r="234" spans="3:42" x14ac:dyDescent="0.2">
      <c r="C234" s="146"/>
      <c r="D234" s="146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47"/>
      <c r="P234" s="133"/>
      <c r="Q234" s="133"/>
      <c r="R234" s="133"/>
      <c r="S234" s="133"/>
      <c r="T234" s="147"/>
      <c r="U234" s="133"/>
      <c r="V234" s="133"/>
      <c r="W234" s="147"/>
      <c r="X234" s="133"/>
      <c r="Y234" s="133"/>
      <c r="Z234" s="133"/>
      <c r="AA234" s="147"/>
      <c r="AC234" s="133"/>
      <c r="AD234" s="147"/>
      <c r="AF234" s="133"/>
      <c r="AG234" s="147"/>
      <c r="AI234" s="133"/>
      <c r="AJ234" s="147"/>
      <c r="AL234" s="133"/>
      <c r="AM234" s="147"/>
      <c r="AO234" s="133"/>
      <c r="AP234" s="147"/>
    </row>
    <row r="235" spans="3:42" x14ac:dyDescent="0.2">
      <c r="C235" s="146"/>
      <c r="D235" s="146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47"/>
      <c r="P235" s="133"/>
      <c r="Q235" s="133"/>
      <c r="R235" s="133"/>
      <c r="S235" s="133"/>
      <c r="T235" s="147"/>
      <c r="U235" s="133"/>
      <c r="V235" s="133"/>
      <c r="W235" s="147"/>
      <c r="X235" s="133"/>
      <c r="Y235" s="133"/>
      <c r="Z235" s="133"/>
      <c r="AA235" s="147"/>
      <c r="AC235" s="133"/>
      <c r="AD235" s="147"/>
      <c r="AF235" s="133"/>
      <c r="AG235" s="147"/>
      <c r="AI235" s="133"/>
      <c r="AJ235" s="147"/>
      <c r="AL235" s="133"/>
      <c r="AM235" s="147"/>
      <c r="AO235" s="133"/>
      <c r="AP235" s="147"/>
    </row>
    <row r="236" spans="3:42" x14ac:dyDescent="0.2">
      <c r="C236" s="146"/>
      <c r="D236" s="146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47"/>
      <c r="P236" s="133"/>
      <c r="Q236" s="133"/>
      <c r="R236" s="133"/>
      <c r="S236" s="133"/>
      <c r="T236" s="147"/>
      <c r="U236" s="133"/>
      <c r="V236" s="133"/>
      <c r="W236" s="147"/>
      <c r="X236" s="133"/>
      <c r="Y236" s="133"/>
      <c r="Z236" s="133"/>
      <c r="AA236" s="147"/>
      <c r="AC236" s="133"/>
      <c r="AD236" s="147"/>
      <c r="AF236" s="133"/>
      <c r="AG236" s="147"/>
      <c r="AI236" s="133"/>
      <c r="AJ236" s="147"/>
      <c r="AL236" s="133"/>
      <c r="AM236" s="147"/>
      <c r="AO236" s="133"/>
      <c r="AP236" s="147"/>
    </row>
    <row r="237" spans="3:42" x14ac:dyDescent="0.2">
      <c r="C237" s="146"/>
      <c r="D237" s="146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47"/>
      <c r="P237" s="133"/>
      <c r="Q237" s="133"/>
      <c r="R237" s="133"/>
      <c r="S237" s="133"/>
      <c r="T237" s="147"/>
      <c r="U237" s="133"/>
      <c r="V237" s="133"/>
      <c r="W237" s="147"/>
      <c r="X237" s="133"/>
      <c r="Y237" s="133"/>
      <c r="Z237" s="133"/>
      <c r="AA237" s="147"/>
      <c r="AC237" s="133"/>
      <c r="AD237" s="147"/>
      <c r="AF237" s="133"/>
      <c r="AG237" s="147"/>
      <c r="AI237" s="133"/>
      <c r="AJ237" s="147"/>
      <c r="AL237" s="133"/>
      <c r="AM237" s="147"/>
      <c r="AO237" s="133"/>
      <c r="AP237" s="147"/>
    </row>
    <row r="238" spans="3:42" x14ac:dyDescent="0.2">
      <c r="C238" s="146"/>
      <c r="D238" s="146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47"/>
      <c r="P238" s="133"/>
      <c r="Q238" s="133"/>
      <c r="R238" s="133"/>
      <c r="S238" s="133"/>
      <c r="T238" s="147"/>
      <c r="U238" s="133"/>
      <c r="V238" s="133"/>
      <c r="W238" s="147"/>
      <c r="X238" s="133"/>
      <c r="Y238" s="133"/>
      <c r="Z238" s="133"/>
      <c r="AA238" s="147"/>
      <c r="AC238" s="133"/>
      <c r="AD238" s="147"/>
      <c r="AF238" s="133"/>
      <c r="AG238" s="147"/>
      <c r="AI238" s="133"/>
      <c r="AJ238" s="147"/>
      <c r="AL238" s="133"/>
      <c r="AM238" s="147"/>
      <c r="AO238" s="133"/>
      <c r="AP238" s="147"/>
    </row>
    <row r="239" spans="3:42" x14ac:dyDescent="0.2">
      <c r="C239" s="146"/>
      <c r="D239" s="146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47"/>
      <c r="P239" s="133"/>
      <c r="Q239" s="133"/>
      <c r="R239" s="133"/>
      <c r="S239" s="133"/>
      <c r="T239" s="147"/>
      <c r="U239" s="133"/>
      <c r="V239" s="133"/>
      <c r="W239" s="147"/>
      <c r="X239" s="133"/>
      <c r="Y239" s="133"/>
      <c r="Z239" s="133"/>
      <c r="AA239" s="147"/>
      <c r="AC239" s="133"/>
      <c r="AD239" s="147"/>
      <c r="AF239" s="133"/>
      <c r="AG239" s="147"/>
      <c r="AI239" s="133"/>
      <c r="AJ239" s="147"/>
      <c r="AL239" s="133"/>
      <c r="AM239" s="147"/>
      <c r="AO239" s="133"/>
      <c r="AP239" s="147"/>
    </row>
    <row r="240" spans="3:42" x14ac:dyDescent="0.2">
      <c r="C240" s="146"/>
      <c r="D240" s="146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47"/>
      <c r="P240" s="133"/>
      <c r="Q240" s="133"/>
      <c r="R240" s="133"/>
      <c r="S240" s="133"/>
      <c r="T240" s="147"/>
      <c r="U240" s="133"/>
      <c r="V240" s="133"/>
      <c r="W240" s="147"/>
      <c r="X240" s="133"/>
      <c r="Y240" s="133"/>
      <c r="Z240" s="133"/>
      <c r="AA240" s="147"/>
      <c r="AC240" s="133"/>
      <c r="AD240" s="147"/>
      <c r="AF240" s="133"/>
      <c r="AG240" s="147"/>
      <c r="AI240" s="133"/>
      <c r="AJ240" s="147"/>
      <c r="AL240" s="133"/>
      <c r="AM240" s="147"/>
      <c r="AO240" s="133"/>
      <c r="AP240" s="147"/>
    </row>
    <row r="241" spans="3:42" x14ac:dyDescent="0.2">
      <c r="C241" s="146"/>
      <c r="D241" s="146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47"/>
      <c r="P241" s="133"/>
      <c r="Q241" s="133"/>
      <c r="R241" s="133"/>
      <c r="S241" s="133"/>
      <c r="T241" s="147"/>
      <c r="U241" s="133"/>
      <c r="V241" s="133"/>
      <c r="W241" s="147"/>
      <c r="X241" s="133"/>
      <c r="Y241" s="133"/>
      <c r="Z241" s="133"/>
      <c r="AA241" s="147"/>
      <c r="AC241" s="133"/>
      <c r="AD241" s="147"/>
      <c r="AF241" s="133"/>
      <c r="AG241" s="147"/>
      <c r="AI241" s="133"/>
      <c r="AJ241" s="147"/>
      <c r="AL241" s="133"/>
      <c r="AM241" s="147"/>
      <c r="AO241" s="133"/>
      <c r="AP241" s="147"/>
    </row>
    <row r="242" spans="3:42" x14ac:dyDescent="0.2">
      <c r="C242" s="146"/>
      <c r="D242" s="146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47"/>
      <c r="P242" s="133"/>
      <c r="Q242" s="133"/>
      <c r="R242" s="133"/>
      <c r="S242" s="133"/>
      <c r="T242" s="147"/>
      <c r="U242" s="133"/>
      <c r="V242" s="133"/>
      <c r="W242" s="147"/>
      <c r="X242" s="133"/>
      <c r="Y242" s="133"/>
      <c r="Z242" s="133"/>
      <c r="AA242" s="147"/>
      <c r="AC242" s="133"/>
      <c r="AD242" s="147"/>
      <c r="AF242" s="133"/>
      <c r="AG242" s="147"/>
      <c r="AI242" s="133"/>
      <c r="AJ242" s="147"/>
      <c r="AL242" s="133"/>
      <c r="AM242" s="147"/>
      <c r="AO242" s="133"/>
      <c r="AP242" s="147"/>
    </row>
    <row r="243" spans="3:42" x14ac:dyDescent="0.2">
      <c r="C243" s="146"/>
      <c r="D243" s="146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47"/>
      <c r="P243" s="133"/>
      <c r="Q243" s="133"/>
      <c r="R243" s="133"/>
      <c r="S243" s="133"/>
      <c r="T243" s="147"/>
      <c r="U243" s="133"/>
      <c r="V243" s="133"/>
      <c r="W243" s="147"/>
      <c r="X243" s="133"/>
      <c r="Y243" s="133"/>
      <c r="Z243" s="133"/>
      <c r="AA243" s="147"/>
      <c r="AC243" s="133"/>
      <c r="AD243" s="147"/>
      <c r="AF243" s="133"/>
      <c r="AG243" s="147"/>
      <c r="AI243" s="133"/>
      <c r="AJ243" s="147"/>
      <c r="AL243" s="133"/>
      <c r="AM243" s="147"/>
      <c r="AO243" s="133"/>
      <c r="AP243" s="147"/>
    </row>
    <row r="244" spans="3:42" x14ac:dyDescent="0.2">
      <c r="C244" s="146"/>
      <c r="D244" s="146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47"/>
      <c r="P244" s="133"/>
      <c r="Q244" s="133"/>
      <c r="R244" s="133"/>
      <c r="S244" s="133"/>
      <c r="T244" s="147"/>
      <c r="U244" s="133"/>
      <c r="V244" s="133"/>
      <c r="W244" s="147"/>
      <c r="X244" s="133"/>
      <c r="Y244" s="133"/>
      <c r="Z244" s="133"/>
      <c r="AA244" s="147"/>
      <c r="AC244" s="133"/>
      <c r="AD244" s="147"/>
      <c r="AF244" s="133"/>
      <c r="AG244" s="147"/>
      <c r="AI244" s="133"/>
      <c r="AJ244" s="147"/>
      <c r="AL244" s="133"/>
      <c r="AM244" s="147"/>
      <c r="AO244" s="133"/>
      <c r="AP244" s="147"/>
    </row>
  </sheetData>
  <mergeCells count="11">
    <mergeCell ref="D38:J38"/>
    <mergeCell ref="R38:Y38"/>
    <mergeCell ref="AK38:AS38"/>
    <mergeCell ref="C2:AT2"/>
    <mergeCell ref="B4:C4"/>
    <mergeCell ref="D35:J35"/>
    <mergeCell ref="R35:Y35"/>
    <mergeCell ref="AK35:AS35"/>
    <mergeCell ref="D37:J37"/>
    <mergeCell ref="R37:Y37"/>
    <mergeCell ref="AK37:AS37"/>
  </mergeCells>
  <printOptions horizontalCentered="1" verticalCentered="1"/>
  <pageMargins left="0" right="7.874015748031496E-2" top="0.78740157480314965" bottom="0.19685039370078741" header="0.39370078740157483" footer="0"/>
  <pageSetup paperSize="256" scale="70" orientation="landscape" r:id="rId1"/>
  <headerFooter differentOddEven="1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1 ENERO</vt:lpstr>
      <vt:lpstr>2 ENERO</vt:lpstr>
      <vt:lpstr>1 FEBRERO</vt:lpstr>
      <vt:lpstr>2 FEBRERO</vt:lpstr>
      <vt:lpstr>1 MARZO</vt:lpstr>
      <vt:lpstr>2 MARZO</vt:lpstr>
      <vt:lpstr>1 ABRIL Y AGUINALDO 1</vt:lpstr>
      <vt:lpstr>2 ABRIL</vt:lpstr>
      <vt:lpstr>1 MAYO</vt:lpstr>
      <vt:lpstr>2 MAYO</vt:lpstr>
      <vt:lpstr>1 JUNIO</vt:lpstr>
      <vt:lpstr>2 JUNIO</vt:lpstr>
      <vt:lpstr>1 JULIO</vt:lpstr>
      <vt:lpstr>2 JULIO </vt:lpstr>
      <vt:lpstr>PRIMA VAC Y 1 AGOSTO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nespinosa</dc:creator>
  <cp:lastModifiedBy>rtorres</cp:lastModifiedBy>
  <dcterms:created xsi:type="dcterms:W3CDTF">2014-06-19T20:06:35Z</dcterms:created>
  <dcterms:modified xsi:type="dcterms:W3CDTF">2014-09-22T15:59:29Z</dcterms:modified>
</cp:coreProperties>
</file>