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NOMINAS DICIEMBRE\"/>
    </mc:Choice>
  </mc:AlternateContent>
  <bookViews>
    <workbookView xWindow="0" yWindow="0" windowWidth="20490" windowHeight="7455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ORDEN DE PAGO" sheetId="130" r:id="rId5"/>
    <sheet name="SEG.PUB.MPAL Y SERVICIOS MEDICO" sheetId="124" r:id="rId6"/>
    <sheet name="JUBILADOS" sheetId="125" r:id="rId7"/>
  </sheets>
  <externalReferences>
    <externalReference r:id="rId8"/>
  </externalReferences>
  <definedNames>
    <definedName name="_45">#REF!</definedName>
    <definedName name="_xlnm.Print_Area" localSheetId="6">JUBILADOS!$C$3:$J$25</definedName>
    <definedName name="_xlnm.Print_Area" localSheetId="2">PERMANENTES!$D$82:$S$116</definedName>
    <definedName name="_xlnm.Print_Area" localSheetId="1">REGIDORES!$A$3:$S$33</definedName>
    <definedName name="_xlnm.Print_Area" localSheetId="5">'SEG.PUB.MPAL Y SERVICIOS MEDICO'!$C$2:$R$41</definedName>
    <definedName name="_xlnm.Print_Area" localSheetId="3">SUPERNUMERARIO!$D$103:$T$146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I138" i="123" l="1"/>
  <c r="J138" i="123"/>
  <c r="K138" i="123"/>
  <c r="L138" i="123"/>
  <c r="M138" i="123"/>
  <c r="N138" i="123"/>
  <c r="O138" i="123"/>
  <c r="P138" i="123"/>
  <c r="Q138" i="123"/>
  <c r="R138" i="123"/>
  <c r="S138" i="123"/>
  <c r="H138" i="123"/>
  <c r="P33" i="120" l="1"/>
  <c r="Q33" i="120" s="1"/>
  <c r="I33" i="120"/>
  <c r="K33" i="120" s="1"/>
  <c r="R33" i="120" l="1"/>
  <c r="L33" i="120"/>
  <c r="N33" i="120" s="1"/>
  <c r="M103" i="120"/>
  <c r="K73" i="123" l="1"/>
  <c r="J58" i="124"/>
  <c r="G58" i="124"/>
  <c r="G35" i="124"/>
  <c r="Q35" i="124"/>
  <c r="P35" i="124"/>
  <c r="J35" i="124"/>
  <c r="H140" i="123"/>
  <c r="P33" i="124" l="1"/>
  <c r="H33" i="124"/>
  <c r="J33" i="124" s="1"/>
  <c r="P32" i="124"/>
  <c r="H32" i="124"/>
  <c r="J32" i="124" s="1"/>
  <c r="L55" i="120"/>
  <c r="J56" i="124"/>
  <c r="K56" i="124" s="1"/>
  <c r="M56" i="124" s="1"/>
  <c r="H56" i="124"/>
  <c r="P56" i="124"/>
  <c r="P55" i="124"/>
  <c r="J55" i="124"/>
  <c r="K55" i="124" s="1"/>
  <c r="M55" i="124" s="1"/>
  <c r="H55" i="124"/>
  <c r="H54" i="124"/>
  <c r="J54" i="124" s="1"/>
  <c r="P54" i="124"/>
  <c r="P53" i="124"/>
  <c r="H53" i="124"/>
  <c r="J53" i="124" s="1"/>
  <c r="K53" i="124" s="1"/>
  <c r="M53" i="124" s="1"/>
  <c r="Q56" i="124" l="1"/>
  <c r="Q53" i="124"/>
  <c r="Q55" i="124"/>
  <c r="Q32" i="124"/>
  <c r="K32" i="124"/>
  <c r="M32" i="124" s="1"/>
  <c r="Q33" i="124"/>
  <c r="K33" i="124"/>
  <c r="M33" i="124" s="1"/>
  <c r="Q54" i="124"/>
  <c r="K54" i="124"/>
  <c r="M54" i="124" s="1"/>
  <c r="H58" i="124" l="1"/>
  <c r="J103" i="120"/>
  <c r="O101" i="120"/>
  <c r="H101" i="120"/>
  <c r="O81" i="120"/>
  <c r="H81" i="120"/>
  <c r="O56" i="120"/>
  <c r="H56" i="120"/>
  <c r="O98" i="123"/>
  <c r="O75" i="123"/>
  <c r="O39" i="123"/>
  <c r="H103" i="120" l="1"/>
  <c r="O103" i="120"/>
  <c r="M58" i="124"/>
  <c r="Q58" i="124"/>
  <c r="P58" i="124"/>
  <c r="O58" i="124"/>
  <c r="N58" i="124"/>
  <c r="O35" i="124"/>
  <c r="N35" i="124"/>
  <c r="P31" i="124"/>
  <c r="H31" i="124"/>
  <c r="J31" i="124" s="1"/>
  <c r="P30" i="124"/>
  <c r="H30" i="124"/>
  <c r="J30" i="124" s="1"/>
  <c r="P29" i="124"/>
  <c r="H29" i="124"/>
  <c r="J29" i="124" s="1"/>
  <c r="P28" i="124"/>
  <c r="H28" i="124"/>
  <c r="J28" i="124" s="1"/>
  <c r="P27" i="124"/>
  <c r="H27" i="124"/>
  <c r="J27" i="124" s="1"/>
  <c r="P26" i="124"/>
  <c r="H26" i="124"/>
  <c r="J26" i="124" s="1"/>
  <c r="P25" i="124"/>
  <c r="H25" i="124"/>
  <c r="J25" i="124" s="1"/>
  <c r="P24" i="124"/>
  <c r="H24" i="124"/>
  <c r="J24" i="124" s="1"/>
  <c r="P23" i="124"/>
  <c r="H23" i="124"/>
  <c r="J23" i="124" s="1"/>
  <c r="P22" i="124"/>
  <c r="H22" i="124"/>
  <c r="P21" i="124"/>
  <c r="H21" i="124"/>
  <c r="J21" i="124" s="1"/>
  <c r="K21" i="124" s="1"/>
  <c r="M21" i="124" s="1"/>
  <c r="P20" i="124"/>
  <c r="H20" i="124"/>
  <c r="J20" i="124" s="1"/>
  <c r="K20" i="124" s="1"/>
  <c r="M20" i="124" s="1"/>
  <c r="P19" i="124"/>
  <c r="H19" i="124"/>
  <c r="J19" i="124" s="1"/>
  <c r="P18" i="124"/>
  <c r="J18" i="124"/>
  <c r="K18" i="124" s="1"/>
  <c r="M18" i="124" s="1"/>
  <c r="H18" i="124"/>
  <c r="P17" i="124"/>
  <c r="H17" i="124"/>
  <c r="J17" i="124" s="1"/>
  <c r="K17" i="124" s="1"/>
  <c r="M17" i="124" s="1"/>
  <c r="P16" i="124"/>
  <c r="H16" i="124"/>
  <c r="J16" i="124" s="1"/>
  <c r="K16" i="124" s="1"/>
  <c r="M16" i="124" s="1"/>
  <c r="P15" i="124"/>
  <c r="H15" i="124"/>
  <c r="J15" i="124" s="1"/>
  <c r="K15" i="124" s="1"/>
  <c r="M15" i="124" s="1"/>
  <c r="P14" i="124"/>
  <c r="H14" i="124"/>
  <c r="J14" i="124" s="1"/>
  <c r="K14" i="124" s="1"/>
  <c r="M14" i="124" s="1"/>
  <c r="P13" i="124"/>
  <c r="H13" i="124"/>
  <c r="J13" i="124" s="1"/>
  <c r="P12" i="124"/>
  <c r="H12" i="124"/>
  <c r="J12" i="124" s="1"/>
  <c r="K12" i="124" s="1"/>
  <c r="M12" i="124" s="1"/>
  <c r="P11" i="124"/>
  <c r="H11" i="124"/>
  <c r="J11" i="124" s="1"/>
  <c r="K11" i="124" s="1"/>
  <c r="M11" i="124" s="1"/>
  <c r="P137" i="123"/>
  <c r="R137" i="123" s="1"/>
  <c r="M137" i="123"/>
  <c r="I137" i="123"/>
  <c r="K137" i="123" s="1"/>
  <c r="L137" i="123" s="1"/>
  <c r="R135" i="123"/>
  <c r="I135" i="123"/>
  <c r="K135" i="123" s="1"/>
  <c r="L135" i="123" s="1"/>
  <c r="N135" i="123" s="1"/>
  <c r="R134" i="123"/>
  <c r="M134" i="123"/>
  <c r="I134" i="123"/>
  <c r="K134" i="123" s="1"/>
  <c r="L134" i="123" s="1"/>
  <c r="Q12" i="124" l="1"/>
  <c r="N134" i="123"/>
  <c r="J22" i="124"/>
  <c r="K22" i="124" s="1"/>
  <c r="M22" i="124" s="1"/>
  <c r="H35" i="124"/>
  <c r="S134" i="123"/>
  <c r="N137" i="123"/>
  <c r="S137" i="123"/>
  <c r="S135" i="123"/>
  <c r="Q11" i="124"/>
  <c r="Q14" i="124"/>
  <c r="Q15" i="124"/>
  <c r="Q16" i="124"/>
  <c r="Q20" i="124"/>
  <c r="Q21" i="124"/>
  <c r="Q28" i="124"/>
  <c r="K28" i="124"/>
  <c r="M28" i="124" s="1"/>
  <c r="Q29" i="124"/>
  <c r="K29" i="124"/>
  <c r="M29" i="124" s="1"/>
  <c r="Q31" i="124"/>
  <c r="K31" i="124"/>
  <c r="M31" i="124" s="1"/>
  <c r="Q30" i="124"/>
  <c r="K30" i="124"/>
  <c r="M30" i="124" s="1"/>
  <c r="Q22" i="124"/>
  <c r="Q23" i="124"/>
  <c r="K23" i="124"/>
  <c r="M23" i="124" s="1"/>
  <c r="Q24" i="124"/>
  <c r="K24" i="124"/>
  <c r="M24" i="124" s="1"/>
  <c r="Q25" i="124"/>
  <c r="K25" i="124"/>
  <c r="M25" i="124" s="1"/>
  <c r="Q26" i="124"/>
  <c r="K26" i="124"/>
  <c r="M26" i="124" s="1"/>
  <c r="Q27" i="124"/>
  <c r="K27" i="124"/>
  <c r="M27" i="124" s="1"/>
  <c r="Q19" i="124"/>
  <c r="K19" i="124"/>
  <c r="M19" i="124" s="1"/>
  <c r="Q18" i="124"/>
  <c r="Q17" i="124"/>
  <c r="Q13" i="124"/>
  <c r="K13" i="124"/>
  <c r="M13" i="124" s="1"/>
  <c r="R133" i="123"/>
  <c r="M133" i="123"/>
  <c r="I133" i="123"/>
  <c r="K133" i="123" s="1"/>
  <c r="P131" i="123"/>
  <c r="R131" i="123" s="1"/>
  <c r="M131" i="123"/>
  <c r="I131" i="123"/>
  <c r="K131" i="123" s="1"/>
  <c r="L131" i="123" s="1"/>
  <c r="R128" i="123"/>
  <c r="M128" i="123"/>
  <c r="I128" i="123"/>
  <c r="K128" i="123" s="1"/>
  <c r="L128" i="123" s="1"/>
  <c r="P127" i="123"/>
  <c r="R127" i="123" s="1"/>
  <c r="M127" i="123"/>
  <c r="I127" i="123"/>
  <c r="L127" i="123" s="1"/>
  <c r="R125" i="123"/>
  <c r="M125" i="123"/>
  <c r="I125" i="123"/>
  <c r="K125" i="123" s="1"/>
  <c r="L125" i="123" s="1"/>
  <c r="R123" i="123"/>
  <c r="R122" i="123"/>
  <c r="R121" i="123"/>
  <c r="R120" i="123"/>
  <c r="R119" i="123"/>
  <c r="R118" i="123"/>
  <c r="R117" i="123"/>
  <c r="R116" i="123"/>
  <c r="R115" i="123"/>
  <c r="R114" i="123"/>
  <c r="I123" i="123"/>
  <c r="K123" i="123" s="1"/>
  <c r="L123" i="123" s="1"/>
  <c r="N123" i="123" s="1"/>
  <c r="I122" i="123"/>
  <c r="K122" i="123" s="1"/>
  <c r="L122" i="123" s="1"/>
  <c r="N122" i="123" s="1"/>
  <c r="I121" i="123"/>
  <c r="K121" i="123" s="1"/>
  <c r="L121" i="123" s="1"/>
  <c r="N121" i="123" s="1"/>
  <c r="I120" i="123"/>
  <c r="K120" i="123" s="1"/>
  <c r="L120" i="123" s="1"/>
  <c r="N120" i="123" s="1"/>
  <c r="I119" i="123"/>
  <c r="K119" i="123" s="1"/>
  <c r="L119" i="123" s="1"/>
  <c r="N119" i="123" s="1"/>
  <c r="I118" i="123"/>
  <c r="K118" i="123" s="1"/>
  <c r="L118" i="123" s="1"/>
  <c r="N118" i="123" s="1"/>
  <c r="I117" i="123"/>
  <c r="K117" i="123" s="1"/>
  <c r="L117" i="123" s="1"/>
  <c r="N117" i="123" s="1"/>
  <c r="I116" i="123"/>
  <c r="K116" i="123" s="1"/>
  <c r="L116" i="123" s="1"/>
  <c r="N116" i="123" s="1"/>
  <c r="I115" i="123"/>
  <c r="K115" i="123" s="1"/>
  <c r="L115" i="123" s="1"/>
  <c r="N115" i="123" s="1"/>
  <c r="I114" i="123"/>
  <c r="K114" i="123" s="1"/>
  <c r="L114" i="123" s="1"/>
  <c r="N114" i="123" s="1"/>
  <c r="R112" i="123"/>
  <c r="R140" i="123" s="1"/>
  <c r="I112" i="123"/>
  <c r="R97" i="123"/>
  <c r="M97" i="123"/>
  <c r="I97" i="123"/>
  <c r="R95" i="123"/>
  <c r="M95" i="123"/>
  <c r="I95" i="123"/>
  <c r="K95" i="123" s="1"/>
  <c r="R93" i="123"/>
  <c r="I93" i="123"/>
  <c r="K93" i="123" s="1"/>
  <c r="L93" i="123" s="1"/>
  <c r="N93" i="123" s="1"/>
  <c r="R92" i="123"/>
  <c r="I92" i="123"/>
  <c r="K92" i="123" s="1"/>
  <c r="L92" i="123" s="1"/>
  <c r="N92" i="123" s="1"/>
  <c r="R91" i="123"/>
  <c r="M89" i="123"/>
  <c r="M87" i="123"/>
  <c r="M85" i="123"/>
  <c r="I91" i="123"/>
  <c r="K91" i="123" s="1"/>
  <c r="L91" i="123" s="1"/>
  <c r="N91" i="123" s="1"/>
  <c r="R89" i="123"/>
  <c r="I89" i="123"/>
  <c r="K89" i="123" s="1"/>
  <c r="P87" i="123"/>
  <c r="P98" i="123" s="1"/>
  <c r="I87" i="123"/>
  <c r="K87" i="123" s="1"/>
  <c r="L87" i="123" s="1"/>
  <c r="R85" i="123"/>
  <c r="I85" i="123"/>
  <c r="K85" i="123" s="1"/>
  <c r="L85" i="123" s="1"/>
  <c r="P74" i="123"/>
  <c r="R74" i="123" s="1"/>
  <c r="R72" i="123"/>
  <c r="R71" i="123"/>
  <c r="R70" i="123"/>
  <c r="R69" i="123"/>
  <c r="P68" i="123"/>
  <c r="R68" i="123" s="1"/>
  <c r="P67" i="123"/>
  <c r="R67" i="123" s="1"/>
  <c r="R66" i="123"/>
  <c r="R65" i="123"/>
  <c r="R64" i="123"/>
  <c r="P63" i="123"/>
  <c r="R63" i="123" s="1"/>
  <c r="R62" i="123"/>
  <c r="R61" i="123"/>
  <c r="I74" i="123"/>
  <c r="I72" i="123"/>
  <c r="K72" i="123" s="1"/>
  <c r="L72" i="123" s="1"/>
  <c r="N72" i="123" s="1"/>
  <c r="I71" i="123"/>
  <c r="K71" i="123" s="1"/>
  <c r="L71" i="123" s="1"/>
  <c r="N71" i="123" s="1"/>
  <c r="I70" i="123"/>
  <c r="K70" i="123" s="1"/>
  <c r="I69" i="123"/>
  <c r="K69" i="123" s="1"/>
  <c r="L69" i="123" s="1"/>
  <c r="N69" i="123" s="1"/>
  <c r="I68" i="123"/>
  <c r="K68" i="123" s="1"/>
  <c r="L68" i="123" s="1"/>
  <c r="N68" i="123" s="1"/>
  <c r="I67" i="123"/>
  <c r="K67" i="123" s="1"/>
  <c r="L67" i="123" s="1"/>
  <c r="N67" i="123" s="1"/>
  <c r="I66" i="123"/>
  <c r="K66" i="123" s="1"/>
  <c r="I65" i="123"/>
  <c r="K65" i="123" s="1"/>
  <c r="L65" i="123" s="1"/>
  <c r="N65" i="123" s="1"/>
  <c r="I64" i="123"/>
  <c r="K64" i="123" s="1"/>
  <c r="I63" i="123"/>
  <c r="K63" i="123" s="1"/>
  <c r="L63" i="123" s="1"/>
  <c r="N63" i="123" s="1"/>
  <c r="I62" i="123"/>
  <c r="K62" i="123" s="1"/>
  <c r="L62" i="123" s="1"/>
  <c r="N62" i="123" s="1"/>
  <c r="I61" i="123"/>
  <c r="K61" i="123" s="1"/>
  <c r="P60" i="123"/>
  <c r="R60" i="123" s="1"/>
  <c r="I60" i="123"/>
  <c r="K60" i="123" s="1"/>
  <c r="L60" i="123" s="1"/>
  <c r="N60" i="123" s="1"/>
  <c r="R59" i="123"/>
  <c r="I59" i="123"/>
  <c r="K59" i="123" s="1"/>
  <c r="L59" i="123" s="1"/>
  <c r="N59" i="123" s="1"/>
  <c r="R58" i="123"/>
  <c r="I58" i="123"/>
  <c r="K58" i="123" s="1"/>
  <c r="L58" i="123" s="1"/>
  <c r="N58" i="123" s="1"/>
  <c r="P57" i="123"/>
  <c r="R57" i="123" s="1"/>
  <c r="I57" i="123"/>
  <c r="K57" i="123" s="1"/>
  <c r="L57" i="123" s="1"/>
  <c r="N57" i="123" s="1"/>
  <c r="R56" i="123"/>
  <c r="I56" i="123"/>
  <c r="K56" i="123" s="1"/>
  <c r="L56" i="123" s="1"/>
  <c r="N56" i="123" s="1"/>
  <c r="R55" i="123"/>
  <c r="I55" i="123"/>
  <c r="K55" i="123" s="1"/>
  <c r="L55" i="123" s="1"/>
  <c r="N55" i="123" s="1"/>
  <c r="P54" i="123"/>
  <c r="R53" i="123"/>
  <c r="M54" i="123"/>
  <c r="I54" i="123"/>
  <c r="I53" i="123"/>
  <c r="K53" i="123" s="1"/>
  <c r="L53" i="123" s="1"/>
  <c r="N53" i="123" s="1"/>
  <c r="R52" i="123"/>
  <c r="I52" i="123"/>
  <c r="K52" i="123" s="1"/>
  <c r="R51" i="123"/>
  <c r="I51" i="123"/>
  <c r="K51" i="123" s="1"/>
  <c r="R50" i="123"/>
  <c r="I50" i="123"/>
  <c r="K50" i="123" s="1"/>
  <c r="L50" i="123" s="1"/>
  <c r="N50" i="123" s="1"/>
  <c r="R49" i="123"/>
  <c r="I49" i="123"/>
  <c r="P36" i="123"/>
  <c r="M36" i="123"/>
  <c r="I36" i="123"/>
  <c r="R34" i="123"/>
  <c r="M34" i="123"/>
  <c r="I34" i="123"/>
  <c r="K34" i="123" s="1"/>
  <c r="L34" i="123" s="1"/>
  <c r="M32" i="123"/>
  <c r="I32" i="123"/>
  <c r="K32" i="123" s="1"/>
  <c r="P31" i="123"/>
  <c r="R31" i="123" s="1"/>
  <c r="M31" i="123"/>
  <c r="I31" i="123"/>
  <c r="K31" i="123" s="1"/>
  <c r="P29" i="123"/>
  <c r="R29" i="123" s="1"/>
  <c r="I29" i="123"/>
  <c r="K29" i="123" s="1"/>
  <c r="M28" i="123"/>
  <c r="I28" i="123"/>
  <c r="K28" i="123" s="1"/>
  <c r="L28" i="123" s="1"/>
  <c r="P27" i="123"/>
  <c r="M27" i="123"/>
  <c r="I27" i="123"/>
  <c r="K27" i="123" s="1"/>
  <c r="L27" i="123" s="1"/>
  <c r="P25" i="123"/>
  <c r="R25" i="123" s="1"/>
  <c r="I25" i="123"/>
  <c r="K25" i="123" s="1"/>
  <c r="L25" i="123" s="1"/>
  <c r="N25" i="123" s="1"/>
  <c r="M23" i="123"/>
  <c r="I23" i="123"/>
  <c r="K23" i="123" s="1"/>
  <c r="R22" i="123"/>
  <c r="I22" i="123"/>
  <c r="K22" i="123" s="1"/>
  <c r="P21" i="123"/>
  <c r="R21" i="123" s="1"/>
  <c r="M21" i="123"/>
  <c r="I21" i="123"/>
  <c r="K21" i="123" s="1"/>
  <c r="L21" i="123" s="1"/>
  <c r="M18" i="123"/>
  <c r="I18" i="123"/>
  <c r="K18" i="123" s="1"/>
  <c r="L18" i="123" s="1"/>
  <c r="P17" i="123"/>
  <c r="R17" i="123" s="1"/>
  <c r="M17" i="123"/>
  <c r="I17" i="123"/>
  <c r="I9" i="123"/>
  <c r="K9" i="123" s="1"/>
  <c r="S9" i="123" s="1"/>
  <c r="M15" i="123"/>
  <c r="I15" i="123"/>
  <c r="P13" i="123"/>
  <c r="R13" i="123" s="1"/>
  <c r="M13" i="123"/>
  <c r="I13" i="123"/>
  <c r="K13" i="123" s="1"/>
  <c r="L13" i="123" s="1"/>
  <c r="R11" i="123"/>
  <c r="M11" i="123"/>
  <c r="I11" i="123"/>
  <c r="K11" i="123" s="1"/>
  <c r="I10" i="123"/>
  <c r="K10" i="123" s="1"/>
  <c r="L10" i="123" s="1"/>
  <c r="N10" i="123" s="1"/>
  <c r="Q99" i="120"/>
  <c r="P100" i="120"/>
  <c r="M100" i="120"/>
  <c r="I100" i="120"/>
  <c r="K100" i="120" s="1"/>
  <c r="L100" i="120" s="1"/>
  <c r="M99" i="120"/>
  <c r="I99" i="120"/>
  <c r="K99" i="120" s="1"/>
  <c r="L99" i="120" s="1"/>
  <c r="N99" i="120" s="1"/>
  <c r="Q97" i="120"/>
  <c r="M97" i="120"/>
  <c r="I97" i="120"/>
  <c r="K97" i="120" s="1"/>
  <c r="L97" i="120" s="1"/>
  <c r="N97" i="120" s="1"/>
  <c r="Q96" i="120"/>
  <c r="M96" i="120"/>
  <c r="I96" i="120"/>
  <c r="K96" i="120" s="1"/>
  <c r="L96" i="120" s="1"/>
  <c r="Q95" i="120"/>
  <c r="M95" i="120"/>
  <c r="I95" i="120"/>
  <c r="K95" i="120" s="1"/>
  <c r="L95" i="120" s="1"/>
  <c r="Q94" i="120"/>
  <c r="M94" i="120"/>
  <c r="I94" i="120"/>
  <c r="K94" i="120" s="1"/>
  <c r="L94" i="120" s="1"/>
  <c r="N94" i="120" s="1"/>
  <c r="Q93" i="120"/>
  <c r="M93" i="120"/>
  <c r="I93" i="120"/>
  <c r="K93" i="120" s="1"/>
  <c r="L93" i="120" s="1"/>
  <c r="N93" i="120" s="1"/>
  <c r="Q92" i="120"/>
  <c r="M92" i="120"/>
  <c r="I92" i="120"/>
  <c r="K92" i="120" s="1"/>
  <c r="L92" i="120" s="1"/>
  <c r="Q91" i="120"/>
  <c r="M91" i="120"/>
  <c r="I91" i="120"/>
  <c r="Q80" i="120"/>
  <c r="I80" i="120"/>
  <c r="K80" i="120" s="1"/>
  <c r="L80" i="120" s="1"/>
  <c r="N80" i="120" s="1"/>
  <c r="P78" i="120"/>
  <c r="Q78" i="120" s="1"/>
  <c r="P76" i="120"/>
  <c r="Q76" i="120" s="1"/>
  <c r="I78" i="120"/>
  <c r="K78" i="120" s="1"/>
  <c r="L78" i="120" s="1"/>
  <c r="N78" i="120" s="1"/>
  <c r="Q77" i="120"/>
  <c r="I77" i="120"/>
  <c r="K77" i="120" s="1"/>
  <c r="I76" i="120"/>
  <c r="K76" i="120" s="1"/>
  <c r="L76" i="120" s="1"/>
  <c r="N76" i="120" s="1"/>
  <c r="P75" i="120"/>
  <c r="Q75" i="120" s="1"/>
  <c r="I75" i="120"/>
  <c r="K75" i="120" s="1"/>
  <c r="L75" i="120" s="1"/>
  <c r="N75" i="120" s="1"/>
  <c r="I73" i="120"/>
  <c r="K73" i="120" s="1"/>
  <c r="L73" i="120" s="1"/>
  <c r="R73" i="120" s="1"/>
  <c r="P72" i="120"/>
  <c r="Q72" i="120" s="1"/>
  <c r="I72" i="120"/>
  <c r="K72" i="120" s="1"/>
  <c r="L72" i="120" s="1"/>
  <c r="N72" i="120" s="1"/>
  <c r="P71" i="120"/>
  <c r="Q71" i="120" s="1"/>
  <c r="I71" i="120"/>
  <c r="K71" i="120" s="1"/>
  <c r="L71" i="120" s="1"/>
  <c r="N71" i="120" s="1"/>
  <c r="P70" i="120"/>
  <c r="Q70" i="120" s="1"/>
  <c r="I70" i="120"/>
  <c r="K70" i="120" s="1"/>
  <c r="L70" i="120" s="1"/>
  <c r="N70" i="120" s="1"/>
  <c r="Q69" i="120"/>
  <c r="I69" i="120"/>
  <c r="K69" i="120" s="1"/>
  <c r="L69" i="120" s="1"/>
  <c r="N69" i="120" s="1"/>
  <c r="P68" i="120"/>
  <c r="Q68" i="120" s="1"/>
  <c r="I68" i="120"/>
  <c r="K68" i="120" s="1"/>
  <c r="L68" i="120" s="1"/>
  <c r="N68" i="120" s="1"/>
  <c r="P67" i="120"/>
  <c r="I67" i="120"/>
  <c r="P55" i="120"/>
  <c r="Q55" i="120" s="1"/>
  <c r="I55" i="120"/>
  <c r="N55" i="120" s="1"/>
  <c r="P54" i="120"/>
  <c r="Q54" i="120" s="1"/>
  <c r="I54" i="120"/>
  <c r="K54" i="120" s="1"/>
  <c r="P53" i="120"/>
  <c r="Q53" i="120" s="1"/>
  <c r="P51" i="120"/>
  <c r="Q51" i="120" s="1"/>
  <c r="I51" i="120"/>
  <c r="K51" i="120" s="1"/>
  <c r="I53" i="120"/>
  <c r="K53" i="120" s="1"/>
  <c r="L53" i="120" s="1"/>
  <c r="N53" i="120" s="1"/>
  <c r="P49" i="120"/>
  <c r="Q49" i="120" s="1"/>
  <c r="I49" i="120"/>
  <c r="K49" i="120" s="1"/>
  <c r="R49" i="120" s="1"/>
  <c r="P48" i="120"/>
  <c r="Q48" i="120" s="1"/>
  <c r="I48" i="120"/>
  <c r="K48" i="120" s="1"/>
  <c r="L48" i="120" s="1"/>
  <c r="N48" i="120" s="1"/>
  <c r="P47" i="120"/>
  <c r="Q47" i="120" s="1"/>
  <c r="I47" i="120"/>
  <c r="K47" i="120" s="1"/>
  <c r="L47" i="120" s="1"/>
  <c r="N47" i="120" s="1"/>
  <c r="P46" i="120"/>
  <c r="Q46" i="120" s="1"/>
  <c r="M46" i="120"/>
  <c r="I46" i="120"/>
  <c r="K46" i="120" s="1"/>
  <c r="L46" i="120" s="1"/>
  <c r="N46" i="120" s="1"/>
  <c r="P44" i="120"/>
  <c r="Q44" i="120" s="1"/>
  <c r="K112" i="123" l="1"/>
  <c r="I140" i="123"/>
  <c r="K74" i="123"/>
  <c r="L74" i="123" s="1"/>
  <c r="N74" i="123" s="1"/>
  <c r="R70" i="120"/>
  <c r="K67" i="120"/>
  <c r="I81" i="120"/>
  <c r="K91" i="120"/>
  <c r="L91" i="120" s="1"/>
  <c r="I101" i="120"/>
  <c r="Q100" i="120"/>
  <c r="P101" i="120"/>
  <c r="P81" i="120"/>
  <c r="P56" i="120"/>
  <c r="Q67" i="120"/>
  <c r="Q81" i="120" s="1"/>
  <c r="R78" i="120"/>
  <c r="M101" i="120"/>
  <c r="Q56" i="120"/>
  <c r="Q101" i="120"/>
  <c r="Q102" i="120"/>
  <c r="N95" i="120"/>
  <c r="N100" i="120"/>
  <c r="N85" i="123"/>
  <c r="N87" i="123"/>
  <c r="N18" i="123"/>
  <c r="N127" i="123"/>
  <c r="K49" i="123"/>
  <c r="I75" i="123"/>
  <c r="N28" i="123"/>
  <c r="K36" i="123"/>
  <c r="K39" i="123" s="1"/>
  <c r="I39" i="123"/>
  <c r="S51" i="123"/>
  <c r="R54" i="123"/>
  <c r="R75" i="123" s="1"/>
  <c r="P75" i="123"/>
  <c r="K97" i="123"/>
  <c r="K98" i="123" s="1"/>
  <c r="I98" i="123"/>
  <c r="N128" i="123"/>
  <c r="S95" i="123"/>
  <c r="M98" i="123"/>
  <c r="N131" i="123"/>
  <c r="M39" i="123"/>
  <c r="R36" i="123"/>
  <c r="R39" i="123" s="1"/>
  <c r="P39" i="123"/>
  <c r="R98" i="123"/>
  <c r="M35" i="124"/>
  <c r="L89" i="123"/>
  <c r="L23" i="123"/>
  <c r="L32" i="123"/>
  <c r="N32" i="123" s="1"/>
  <c r="S32" i="123"/>
  <c r="S59" i="123"/>
  <c r="S89" i="123"/>
  <c r="S112" i="123"/>
  <c r="N13" i="123"/>
  <c r="N21" i="123"/>
  <c r="N34" i="123"/>
  <c r="S49" i="123"/>
  <c r="S53" i="123"/>
  <c r="S65" i="123"/>
  <c r="S69" i="123"/>
  <c r="S115" i="123"/>
  <c r="S121" i="123"/>
  <c r="S123" i="123"/>
  <c r="N125" i="123"/>
  <c r="S125" i="123"/>
  <c r="S127" i="123"/>
  <c r="S11" i="123"/>
  <c r="L11" i="123"/>
  <c r="N11" i="123" s="1"/>
  <c r="L29" i="123"/>
  <c r="N29" i="123" s="1"/>
  <c r="S29" i="123"/>
  <c r="L31" i="123"/>
  <c r="N31" i="123" s="1"/>
  <c r="S31" i="123"/>
  <c r="L52" i="123"/>
  <c r="N52" i="123" s="1"/>
  <c r="S52" i="123"/>
  <c r="S57" i="123"/>
  <c r="S25" i="123"/>
  <c r="S23" i="123"/>
  <c r="S13" i="123"/>
  <c r="L61" i="123"/>
  <c r="N61" i="123" s="1"/>
  <c r="S61" i="123"/>
  <c r="L64" i="123"/>
  <c r="N64" i="123" s="1"/>
  <c r="S64" i="123"/>
  <c r="L66" i="123"/>
  <c r="N66" i="123" s="1"/>
  <c r="S66" i="123"/>
  <c r="S91" i="123"/>
  <c r="S117" i="123"/>
  <c r="S119" i="123"/>
  <c r="L133" i="123"/>
  <c r="N133" i="123" s="1"/>
  <c r="S133" i="123"/>
  <c r="L15" i="123"/>
  <c r="N15" i="123" s="1"/>
  <c r="S15" i="123"/>
  <c r="L17" i="123"/>
  <c r="N17" i="123" s="1"/>
  <c r="S17" i="123"/>
  <c r="L22" i="123"/>
  <c r="N22" i="123" s="1"/>
  <c r="S22" i="123"/>
  <c r="L54" i="123"/>
  <c r="S55" i="123"/>
  <c r="S34" i="123"/>
  <c r="S28" i="123"/>
  <c r="S21" i="123"/>
  <c r="S18" i="123"/>
  <c r="S10" i="123"/>
  <c r="S60" i="123"/>
  <c r="L70" i="123"/>
  <c r="N70" i="123" s="1"/>
  <c r="S70" i="123"/>
  <c r="S63" i="123"/>
  <c r="S67" i="123"/>
  <c r="S68" i="123"/>
  <c r="S87" i="123"/>
  <c r="S128" i="123"/>
  <c r="N27" i="123"/>
  <c r="S50" i="123"/>
  <c r="S56" i="123"/>
  <c r="S27" i="123"/>
  <c r="S58" i="123"/>
  <c r="S62" i="123"/>
  <c r="S71" i="123"/>
  <c r="S72" i="123"/>
  <c r="S74" i="123"/>
  <c r="S85" i="123"/>
  <c r="S114" i="123"/>
  <c r="S116" i="123"/>
  <c r="S118" i="123"/>
  <c r="S120" i="123"/>
  <c r="S122" i="123"/>
  <c r="S131" i="123"/>
  <c r="L51" i="120"/>
  <c r="N51" i="120" s="1"/>
  <c r="R51" i="120"/>
  <c r="R54" i="120"/>
  <c r="L54" i="120"/>
  <c r="N54" i="120" s="1"/>
  <c r="R68" i="120"/>
  <c r="R71" i="120"/>
  <c r="L77" i="120"/>
  <c r="N77" i="120" s="1"/>
  <c r="R77" i="120"/>
  <c r="R47" i="120"/>
  <c r="R48" i="120"/>
  <c r="R53" i="120"/>
  <c r="R55" i="120"/>
  <c r="R67" i="120"/>
  <c r="R72" i="120"/>
  <c r="R76" i="120"/>
  <c r="R80" i="120"/>
  <c r="N92" i="120"/>
  <c r="R93" i="120"/>
  <c r="R94" i="120"/>
  <c r="N96" i="120"/>
  <c r="R96" i="120"/>
  <c r="R99" i="120"/>
  <c r="R46" i="120"/>
  <c r="R69" i="120"/>
  <c r="R75" i="120"/>
  <c r="R92" i="120"/>
  <c r="R95" i="120"/>
  <c r="R97" i="120"/>
  <c r="R100" i="120"/>
  <c r="L95" i="123"/>
  <c r="N95" i="123" s="1"/>
  <c r="S92" i="123"/>
  <c r="S93" i="123"/>
  <c r="L51" i="123"/>
  <c r="N51" i="123" s="1"/>
  <c r="L9" i="123"/>
  <c r="N9" i="123" s="1"/>
  <c r="L49" i="120"/>
  <c r="N49" i="120" s="1"/>
  <c r="S140" i="123" l="1"/>
  <c r="L112" i="123"/>
  <c r="N112" i="123" s="1"/>
  <c r="K140" i="123"/>
  <c r="R91" i="120"/>
  <c r="R102" i="120"/>
  <c r="K102" i="120"/>
  <c r="K101" i="120"/>
  <c r="R81" i="120"/>
  <c r="L67" i="120"/>
  <c r="K81" i="120"/>
  <c r="S54" i="123"/>
  <c r="S75" i="123" s="1"/>
  <c r="L97" i="123"/>
  <c r="N97" i="123" s="1"/>
  <c r="S97" i="123"/>
  <c r="S98" i="123" s="1"/>
  <c r="S36" i="123"/>
  <c r="L36" i="123"/>
  <c r="N36" i="123" s="1"/>
  <c r="L49" i="123"/>
  <c r="N49" i="123" s="1"/>
  <c r="K75" i="123"/>
  <c r="N54" i="123"/>
  <c r="N89" i="123"/>
  <c r="S39" i="123"/>
  <c r="N23" i="123"/>
  <c r="N39" i="123" s="1"/>
  <c r="R101" i="120"/>
  <c r="N91" i="120"/>
  <c r="N101" i="120" s="1"/>
  <c r="L101" i="120"/>
  <c r="I44" i="120"/>
  <c r="L98" i="123" l="1"/>
  <c r="N98" i="123"/>
  <c r="N67" i="120"/>
  <c r="N81" i="120" s="1"/>
  <c r="L81" i="120"/>
  <c r="K44" i="120"/>
  <c r="K56" i="120" s="1"/>
  <c r="I56" i="120"/>
  <c r="N75" i="123"/>
  <c r="L39" i="123"/>
  <c r="L75" i="123"/>
  <c r="L44" i="120"/>
  <c r="I32" i="120"/>
  <c r="K32" i="120" s="1"/>
  <c r="L32" i="120" s="1"/>
  <c r="N32" i="120" s="1"/>
  <c r="P30" i="120"/>
  <c r="Q30" i="120"/>
  <c r="I30" i="120"/>
  <c r="K30" i="120" s="1"/>
  <c r="L30" i="120" s="1"/>
  <c r="N30" i="120" s="1"/>
  <c r="Q28" i="120"/>
  <c r="I28" i="120"/>
  <c r="K28" i="120" s="1"/>
  <c r="L28" i="120" s="1"/>
  <c r="N28" i="120" s="1"/>
  <c r="Q27" i="120"/>
  <c r="I27" i="120"/>
  <c r="K27" i="120" s="1"/>
  <c r="L27" i="120" s="1"/>
  <c r="N27" i="120" s="1"/>
  <c r="P26" i="120"/>
  <c r="Q26" i="120" s="1"/>
  <c r="I26" i="120"/>
  <c r="K26" i="120" s="1"/>
  <c r="L26" i="120" s="1"/>
  <c r="N26" i="120" s="1"/>
  <c r="P24" i="120"/>
  <c r="Q24" i="120" s="1"/>
  <c r="I24" i="120"/>
  <c r="K24" i="120" s="1"/>
  <c r="L24" i="120" s="1"/>
  <c r="N24" i="120" s="1"/>
  <c r="I22" i="120"/>
  <c r="K22" i="120" s="1"/>
  <c r="M20" i="120"/>
  <c r="I20" i="120"/>
  <c r="K20" i="120" s="1"/>
  <c r="P20" i="120"/>
  <c r="Q20" i="120" s="1"/>
  <c r="P18" i="120"/>
  <c r="Q18" i="120" s="1"/>
  <c r="P17" i="120"/>
  <c r="Q17" i="120" s="1"/>
  <c r="M18" i="120"/>
  <c r="I18" i="120"/>
  <c r="K18" i="120" s="1"/>
  <c r="L18" i="120" s="1"/>
  <c r="M17" i="120"/>
  <c r="I17" i="120"/>
  <c r="K17" i="120" s="1"/>
  <c r="L17" i="120" s="1"/>
  <c r="N17" i="120" s="1"/>
  <c r="P15" i="120"/>
  <c r="Q15" i="120" s="1"/>
  <c r="P14" i="120"/>
  <c r="Q14" i="120" s="1"/>
  <c r="P13" i="120"/>
  <c r="Q13" i="120" s="1"/>
  <c r="M15" i="120"/>
  <c r="I15" i="120"/>
  <c r="K15" i="120" s="1"/>
  <c r="L15" i="120" s="1"/>
  <c r="N15" i="120" s="1"/>
  <c r="M14" i="120"/>
  <c r="I14" i="120"/>
  <c r="K14" i="120" s="1"/>
  <c r="L14" i="120" s="1"/>
  <c r="M13" i="120"/>
  <c r="I13" i="120"/>
  <c r="P12" i="120"/>
  <c r="I12" i="120"/>
  <c r="K12" i="120" s="1"/>
  <c r="M12" i="120"/>
  <c r="N18" i="120" l="1"/>
  <c r="L12" i="120"/>
  <c r="N12" i="120" s="1"/>
  <c r="R44" i="120"/>
  <c r="R56" i="120" s="1"/>
  <c r="P103" i="120"/>
  <c r="N44" i="120"/>
  <c r="N56" i="120" s="1"/>
  <c r="L56" i="120"/>
  <c r="K13" i="120"/>
  <c r="L13" i="120" s="1"/>
  <c r="I103" i="120"/>
  <c r="L20" i="120"/>
  <c r="N20" i="120" s="1"/>
  <c r="R20" i="120"/>
  <c r="R22" i="120"/>
  <c r="L22" i="120"/>
  <c r="N22" i="120" s="1"/>
  <c r="R15" i="120"/>
  <c r="N14" i="120"/>
  <c r="R14" i="120"/>
  <c r="R18" i="120"/>
  <c r="R24" i="120"/>
  <c r="R27" i="120"/>
  <c r="R28" i="120"/>
  <c r="R17" i="120"/>
  <c r="R26" i="120"/>
  <c r="R30" i="120"/>
  <c r="Q12" i="120"/>
  <c r="I24" i="126"/>
  <c r="K24" i="126"/>
  <c r="O24" i="126"/>
  <c r="P24" i="126"/>
  <c r="Q13" i="126"/>
  <c r="Q14" i="126"/>
  <c r="Q15" i="126"/>
  <c r="Q16" i="126"/>
  <c r="Q17" i="126"/>
  <c r="Q18" i="126"/>
  <c r="Q19" i="126"/>
  <c r="Q20" i="126"/>
  <c r="Q21" i="126"/>
  <c r="Q12" i="126"/>
  <c r="R13" i="120" l="1"/>
  <c r="K103" i="120"/>
  <c r="K105" i="120"/>
  <c r="R12" i="120"/>
  <c r="N13" i="120"/>
  <c r="N103" i="120" s="1"/>
  <c r="L103" i="120"/>
  <c r="Q24" i="126"/>
  <c r="M13" i="126"/>
  <c r="M14" i="126"/>
  <c r="M15" i="126"/>
  <c r="M16" i="126"/>
  <c r="M17" i="126"/>
  <c r="M18" i="126"/>
  <c r="M19" i="126"/>
  <c r="M20" i="126"/>
  <c r="M21" i="126"/>
  <c r="M12" i="126"/>
  <c r="G13" i="126"/>
  <c r="J13" i="126" s="1"/>
  <c r="G14" i="126"/>
  <c r="J14" i="126" s="1"/>
  <c r="G15" i="126"/>
  <c r="J15" i="126" s="1"/>
  <c r="G16" i="126"/>
  <c r="J16" i="126" s="1"/>
  <c r="G17" i="126"/>
  <c r="J17" i="126" s="1"/>
  <c r="G18" i="126"/>
  <c r="J18" i="126" s="1"/>
  <c r="G19" i="126"/>
  <c r="J19" i="126" s="1"/>
  <c r="G20" i="126"/>
  <c r="J20" i="126" s="1"/>
  <c r="G21" i="126"/>
  <c r="J21" i="126" s="1"/>
  <c r="G12" i="126"/>
  <c r="T73" i="120"/>
  <c r="H39" i="123"/>
  <c r="H98" i="123"/>
  <c r="P140" i="123"/>
  <c r="H75" i="123"/>
  <c r="K35" i="124"/>
  <c r="C46" i="124"/>
  <c r="R32" i="120"/>
  <c r="K58" i="124"/>
  <c r="D36" i="120"/>
  <c r="D105" i="123" s="1"/>
  <c r="W138" i="123"/>
  <c r="X137" i="123"/>
  <c r="X135" i="123"/>
  <c r="Z134" i="123"/>
  <c r="X134" i="123"/>
  <c r="X132" i="123"/>
  <c r="X131" i="123"/>
  <c r="X124" i="123"/>
  <c r="X122" i="123"/>
  <c r="X121" i="123"/>
  <c r="X120" i="123"/>
  <c r="X119" i="123"/>
  <c r="X118" i="123"/>
  <c r="X117" i="123"/>
  <c r="X116" i="123"/>
  <c r="X115" i="123"/>
  <c r="X114" i="123"/>
  <c r="X113" i="123"/>
  <c r="X112" i="123"/>
  <c r="X111" i="123"/>
  <c r="X72" i="123"/>
  <c r="X71" i="123"/>
  <c r="X70" i="123"/>
  <c r="X69" i="123"/>
  <c r="X68" i="123"/>
  <c r="X67" i="123"/>
  <c r="X66" i="123"/>
  <c r="X65" i="123"/>
  <c r="X64" i="123"/>
  <c r="X63" i="123"/>
  <c r="X62" i="123"/>
  <c r="X61" i="123"/>
  <c r="X60" i="123"/>
  <c r="X59" i="123"/>
  <c r="X58" i="123"/>
  <c r="X57" i="123"/>
  <c r="X48" i="123"/>
  <c r="X38" i="123"/>
  <c r="X34" i="123"/>
  <c r="X33" i="123"/>
  <c r="X27" i="123"/>
  <c r="X26" i="123"/>
  <c r="X25" i="123"/>
  <c r="X24" i="123"/>
  <c r="X20" i="123"/>
  <c r="X19" i="123"/>
  <c r="X17" i="123"/>
  <c r="X16" i="123"/>
  <c r="X13" i="123"/>
  <c r="X12" i="123"/>
  <c r="X9" i="123"/>
  <c r="I14" i="125"/>
  <c r="H17" i="125"/>
  <c r="G17" i="125"/>
  <c r="I13" i="125"/>
  <c r="I17" i="125"/>
  <c r="I12" i="125"/>
  <c r="F24" i="126"/>
  <c r="Q105" i="120" l="1"/>
  <c r="Q103" i="120"/>
  <c r="Q109" i="120" s="1"/>
  <c r="G24" i="126"/>
  <c r="D60" i="120"/>
  <c r="D84" i="120" s="1"/>
  <c r="L58" i="124"/>
  <c r="X138" i="123"/>
  <c r="P141" i="123"/>
  <c r="R20" i="126"/>
  <c r="L20" i="126"/>
  <c r="N20" i="126" s="1"/>
  <c r="R18" i="126"/>
  <c r="L18" i="126"/>
  <c r="N18" i="126" s="1"/>
  <c r="R16" i="126"/>
  <c r="L16" i="126"/>
  <c r="N16" i="126" s="1"/>
  <c r="R14" i="126"/>
  <c r="L14" i="126"/>
  <c r="N14" i="126" s="1"/>
  <c r="L35" i="124"/>
  <c r="R21" i="126"/>
  <c r="L21" i="126"/>
  <c r="N21" i="126" s="1"/>
  <c r="R19" i="126"/>
  <c r="L19" i="126"/>
  <c r="N19" i="126" s="1"/>
  <c r="R17" i="126"/>
  <c r="L17" i="126"/>
  <c r="N17" i="126" s="1"/>
  <c r="R15" i="126"/>
  <c r="L15" i="126"/>
  <c r="N15" i="126" s="1"/>
  <c r="R13" i="126"/>
  <c r="L13" i="126"/>
  <c r="N13" i="126" s="1"/>
  <c r="J12" i="126"/>
  <c r="H141" i="123"/>
  <c r="L140" i="123"/>
  <c r="M24" i="126"/>
  <c r="D42" i="123"/>
  <c r="D78" i="123"/>
  <c r="R103" i="120" l="1"/>
  <c r="R105" i="120"/>
  <c r="R106" i="120"/>
  <c r="S141" i="123"/>
  <c r="R12" i="126"/>
  <c r="R24" i="126" s="1"/>
  <c r="J24" i="126"/>
  <c r="L12" i="126"/>
  <c r="S147" i="123" l="1"/>
  <c r="L24" i="126"/>
  <c r="N12" i="126"/>
  <c r="N24" i="126" s="1"/>
</calcChain>
</file>

<file path=xl/sharedStrings.xml><?xml version="1.0" encoding="utf-8"?>
<sst xmlns="http://schemas.openxmlformats.org/spreadsheetml/2006/main" count="793" uniqueCount="334">
  <si>
    <t>P E R C E P C I O N E S</t>
  </si>
  <si>
    <t>Sueldo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</si>
  <si>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</si>
  <si>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</si>
  <si>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</si>
  <si>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</si>
  <si>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</si>
  <si>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</si>
  <si>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</si>
  <si>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</si>
  <si>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</si>
  <si>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</si>
  <si>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</si>
  <si>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</si>
  <si>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</si>
  <si>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</si>
  <si>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</si>
  <si>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</si>
  <si>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</si>
  <si>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</si>
  <si>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</si>
  <si>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</si>
  <si>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</si>
  <si>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OFICIAL MAYOR ADMVO.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</si>
  <si>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</si>
  <si>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</si>
  <si>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</si>
  <si>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</si>
  <si>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</si>
  <si>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</si>
  <si>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</si>
  <si>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</si>
  <si>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</si>
  <si>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</si>
  <si>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</si>
  <si>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</si>
  <si>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</si>
  <si>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</si>
  <si>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</si>
  <si>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</si>
  <si>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</si>
  <si>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</si>
  <si>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</si>
  <si>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</si>
  <si>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</si>
  <si>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</si>
  <si>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</si>
  <si>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</si>
  <si>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</si>
  <si>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</si>
  <si>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</si>
  <si>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</si>
  <si>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</si>
  <si>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</si>
  <si>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</si>
  <si>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</si>
  <si>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</si>
  <si>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</si>
  <si>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</si>
  <si>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</si>
  <si>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</si>
  <si>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</si>
  <si>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</si>
  <si>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</si>
  <si>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</si>
  <si>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NUÑO SANTIAGO GENOVEVA</t>
  </si>
  <si>
    <t>ENC. DE MERCADO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</si>
  <si>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</si>
  <si>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</si>
  <si>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</si>
  <si>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</si>
  <si>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</si>
  <si>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</si>
  <si>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</si>
  <si>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</si>
  <si>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</si>
  <si>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</si>
  <si>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</si>
  <si>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</si>
  <si>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</si>
  <si>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MONTES GAMBOA CECILIO</t>
  </si>
  <si>
    <t>OFICIAL MAYOR DE PADRON.</t>
  </si>
  <si>
    <t>VALLE BARRIENTOS HERIBERTO</t>
  </si>
  <si>
    <t>MORALES QUINTANAR JOSE LUIS</t>
  </si>
  <si>
    <t>RECEPCIONISTA</t>
  </si>
  <si>
    <t xml:space="preserve">OFICIALIA MAYOR 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</si>
  <si>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</si>
  <si>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</si>
  <si>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</si>
  <si>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</si>
  <si>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</si>
  <si>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</si>
  <si>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</si>
  <si>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</si>
  <si>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</si>
  <si>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</si>
  <si>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</si>
  <si>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</si>
  <si>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</si>
  <si>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</si>
  <si>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</si>
  <si>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</si>
  <si>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</si>
  <si>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</si>
  <si>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</si>
  <si>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</si>
  <si>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</si>
  <si>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GARCIA MELENDREZ IGNACIO</t>
  </si>
  <si>
    <t>GOMEZ MEZA ANA NALLELI</t>
  </si>
  <si>
    <t>GARCIA CABRERA JOSE FABIAN</t>
  </si>
  <si>
    <t>LOPEZ GARCIA IVAN</t>
  </si>
  <si>
    <t>ENC. ECA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</si>
  <si>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</si>
  <si>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</si>
  <si>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</si>
  <si>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</si>
  <si>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</si>
  <si>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</si>
  <si>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</si>
  <si>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</si>
  <si>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</si>
  <si>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</si>
  <si>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</si>
  <si>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</si>
  <si>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</si>
  <si>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</si>
  <si>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</si>
  <si>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</si>
  <si>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</si>
  <si>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</si>
  <si>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</si>
  <si>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</si>
  <si>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</si>
  <si>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</si>
  <si>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</si>
  <si>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</si>
  <si>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</si>
  <si>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</si>
  <si>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</si>
  <si>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</si>
  <si>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</si>
  <si>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</si>
  <si>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</si>
  <si>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HERNANDEZ JIMENEZ JUAN MANUEL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</si>
  <si>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</si>
  <si>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</si>
  <si>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</si>
  <si>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</si>
  <si>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</si>
  <si>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</si>
  <si>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</si>
  <si>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</si>
  <si>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</si>
  <si>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</si>
  <si>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ENC. DE PARADERO</t>
  </si>
  <si>
    <t>HECTOR FAVIAN ESPARZA MENDOZA</t>
  </si>
  <si>
    <t>MONTES PEREZ JULIA VERONICA</t>
  </si>
  <si>
    <t>SUBDIRECTOR ADMINISTRATIVO</t>
  </si>
  <si>
    <t>Aguinaldo</t>
  </si>
  <si>
    <t>Prima</t>
  </si>
  <si>
    <t>Vacacional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</si>
  <si>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</si>
  <si>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</si>
  <si>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</si>
  <si>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</si>
  <si>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</si>
  <si>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</si>
  <si>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</si>
  <si>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</si>
  <si>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</si>
  <si>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</si>
  <si>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</si>
  <si>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</si>
  <si>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</si>
  <si>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</si>
  <si>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</si>
  <si>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</si>
  <si>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</si>
  <si>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</si>
  <si>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</si>
  <si>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</si>
  <si>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>DE TERCEROS</t>
  </si>
  <si>
    <t>AGUA POTABLE Y ALCANTARILLADO</t>
  </si>
  <si>
    <t>MONTES VALLADOLID HOREI AMNERIS</t>
  </si>
  <si>
    <t>ISAAC RAMIREZ PEREZ</t>
  </si>
  <si>
    <t>MEZA MEZA MARCO ANTONIO</t>
  </si>
  <si>
    <t>MERCADO SANTIAGO JOSE DE JESUS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</si>
  <si>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</si>
  <si>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</si>
  <si>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</si>
  <si>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</si>
  <si>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</si>
  <si>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</si>
  <si>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</si>
  <si>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</si>
  <si>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</si>
  <si>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</si>
  <si>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</si>
  <si>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</si>
  <si>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</si>
  <si>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</si>
  <si>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</si>
  <si>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JUAN VICTOR RIVERA PONCE</t>
  </si>
  <si>
    <t>DIR. SERVICIOS MEDICOS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</si>
  <si>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</si>
  <si>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</si>
  <si>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</si>
  <si>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</si>
  <si>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</si>
  <si>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</si>
  <si>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</si>
  <si>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</si>
  <si>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</si>
  <si>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</si>
  <si>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</si>
  <si>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</si>
  <si>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</si>
  <si>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</si>
  <si>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</si>
  <si>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</si>
  <si>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</si>
  <si>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</si>
  <si>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GARCIA RUIZ MIGUEL ANGEL</t>
  </si>
  <si>
    <t>GOMEZ IÑIGUEZ VANESSA</t>
  </si>
  <si>
    <t>JEFA DE GABINETE</t>
  </si>
  <si>
    <t>ASEOR JURIDICO</t>
  </si>
  <si>
    <t>MOLINA SANDOVAL MELISSA ISABEL</t>
  </si>
  <si>
    <t>ENC. DE CATASTRO E IMPUESTO PREDIAL</t>
  </si>
  <si>
    <t>ARANA MONTES ARMANDO</t>
  </si>
  <si>
    <t>GERMAN RODRIGUEZ RICARDO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</si>
  <si>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</si>
  <si>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</si>
  <si>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</si>
  <si>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</si>
  <si>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</si>
  <si>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</si>
  <si>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JIMENEZ BALCAZAR ROBERTO</t>
  </si>
  <si>
    <t>DIAZ BECERRA JOSE TOMAS</t>
  </si>
  <si>
    <t>DIRECTOR DE AGUA POTABLE</t>
  </si>
  <si>
    <t>OFICIALIA MAYOR ADMINISTRATIVA</t>
  </si>
  <si>
    <t>CARRILLO DOMINGUEZ HECTOR ISAIAS</t>
  </si>
  <si>
    <t>IBARRA CARO EDITH YULIANA</t>
  </si>
  <si>
    <t>AVILA ESCOBEDO LEONARDO ARMANDO</t>
  </si>
  <si>
    <t>VENTURA RODRIGUEZ AURELIO</t>
  </si>
  <si>
    <t>TORRES SILVA FAUSTINO</t>
  </si>
  <si>
    <t>DEPARTAMENTO DE SERVICIOS PUBLICOS</t>
  </si>
  <si>
    <t>GONZALEZ TRIGUEROS JOSE DE JESUS</t>
  </si>
  <si>
    <t>CORONA GONZALEZ JOHANA NOEMI</t>
  </si>
  <si>
    <t>MONTES  CARRILLO CARLOS ADRIAN</t>
  </si>
  <si>
    <t>JURIDICO</t>
  </si>
  <si>
    <t>RUIZ VELADOR DELIA</t>
  </si>
  <si>
    <t>DIR. JURIDICO</t>
  </si>
  <si>
    <t>DIRECTOR JURIDICO</t>
  </si>
  <si>
    <t>CONTRALORIA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</si>
  <si>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</si>
  <si>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</si>
  <si>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</si>
  <si>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</si>
  <si>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</si>
  <si>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</si>
  <si>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</si>
  <si>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</si>
  <si>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DONATO FIGUEROA CRISANTO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</si>
  <si>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</si>
  <si>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</si>
  <si>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</si>
  <si>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</si>
  <si>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</si>
  <si>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</si>
  <si>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</si>
  <si>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</si>
  <si>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</si>
  <si>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</si>
  <si>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</si>
  <si>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</si>
  <si>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VELADOR SANCHEZ MARIA DE JESUS VERONICA</t>
  </si>
  <si>
    <t>AUX. DE COMEDOR ASISTCIAL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</si>
  <si>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</si>
  <si>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</si>
  <si>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</si>
  <si>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</si>
  <si>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</si>
  <si>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</si>
  <si>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</si>
  <si>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</si>
  <si>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</si>
  <si>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</si>
  <si>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</si>
  <si>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</si>
  <si>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DE LEON RUIZ CRISTINA</t>
  </si>
  <si>
    <t>ENC. DE UBR</t>
  </si>
  <si>
    <t>SERVICIOS PUBLICOS MUNICIPALES</t>
  </si>
  <si>
    <t>COVARRUBIAS RANGEL JOSE MARIA</t>
  </si>
  <si>
    <t>IÑIGUEZ MONTES ROBERTO</t>
  </si>
  <si>
    <t>RUIZ SIGALA JUAN ANTONIO</t>
  </si>
  <si>
    <t>SEGOVIA ESPINOZA GABRIELA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</si>
  <si>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</si>
  <si>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</si>
  <si>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</si>
  <si>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</si>
  <si>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</si>
  <si>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</si>
  <si>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SUELDOS 2DA QUINCENA DE NOVIEMBRE DE 2018</t>
  </si>
  <si>
    <t>SERVICIOS MEDICOS</t>
  </si>
  <si>
    <t>DONATO ORNELAS NARCISA ELIZABETH</t>
  </si>
  <si>
    <t>DiaRIO</t>
  </si>
  <si>
    <t>AGUINALDO</t>
  </si>
  <si>
    <t>MENSUAL</t>
  </si>
  <si>
    <t>AGUIN +SUELDO</t>
  </si>
  <si>
    <t>EXENTO</t>
  </si>
  <si>
    <t>30 X80.60 UMA</t>
  </si>
  <si>
    <t>BASE</t>
  </si>
  <si>
    <t>PARA ISR</t>
  </si>
  <si>
    <t>ISR</t>
  </si>
  <si>
    <t>NOMINA</t>
  </si>
  <si>
    <t>Diario</t>
  </si>
  <si>
    <t xml:space="preserve">Dias </t>
  </si>
  <si>
    <t xml:space="preserve"> Aguinaldo</t>
  </si>
  <si>
    <t>PERSEPCION</t>
  </si>
  <si>
    <t>AGUI + SUEL</t>
  </si>
  <si>
    <t xml:space="preserve">BASE </t>
  </si>
  <si>
    <t xml:space="preserve">ISR </t>
  </si>
  <si>
    <t>FIRMA</t>
  </si>
  <si>
    <t xml:space="preserve">          L.A.E. MELISSA ISABEL MOLINA SANDOVAL </t>
  </si>
  <si>
    <t>NOMINA DE DIETAS AGUINALDO CORRESPONDIENTE AL 2018</t>
  </si>
  <si>
    <t>NOMINA AGUINALDO CORRESPONDIENTE AL 2018</t>
  </si>
  <si>
    <t>__________________________________________________</t>
  </si>
  <si>
    <t>______________________________________</t>
  </si>
  <si>
    <t>PROTECCION CIVIL</t>
  </si>
  <si>
    <t>NOMINA AGUINALDO DE  2018</t>
  </si>
  <si>
    <t>AUX. DE OFICAL MAYOR DE PADRON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</si>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</sst>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Arial"/>
      <family val="2"/>
    </font>
    <font>
      <b/>
      <sz val="11"/>
      <color theme="9" tint="-0.249977111117893"/>
      <name val="Verdana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4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Fill="1" applyBorder="1" applyAlignment="1" applyProtection="1">
      <alignment horizontal="center"/>
    </xf>
    <xf numFmtId="165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5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3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165" fontId="0" fillId="0" borderId="0" xfId="0" applyNumberFormat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7" fillId="0" borderId="4" xfId="0" applyFont="1" applyBorder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5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5" fontId="6" fillId="0" borderId="1" xfId="2" applyNumberFormat="1" applyFont="1" applyBorder="1" applyAlignment="1" applyProtection="1">
      <alignment horizontal="right"/>
      <protection hidden="1"/>
    </xf>
    <xf numFmtId="165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5" fontId="2" fillId="0" borderId="1" xfId="2" applyNumberFormat="1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11" xfId="0" applyFont="1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5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5" fontId="1" fillId="0" borderId="16" xfId="2" applyNumberFormat="1" applyFont="1" applyFill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2" xfId="0" applyFont="1" applyBorder="1" applyAlignment="1" applyProtection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165" fontId="5" fillId="0" borderId="2" xfId="2" applyNumberFormat="1" applyFont="1" applyFill="1" applyBorder="1" applyAlignment="1" applyProtection="1">
      <alignment horizontal="right"/>
    </xf>
    <xf numFmtId="165" fontId="5" fillId="0" borderId="2" xfId="2" applyNumberFormat="1" applyFont="1" applyBorder="1" applyAlignment="1" applyProtection="1">
      <alignment horizontal="right"/>
    </xf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5" fontId="6" fillId="0" borderId="13" xfId="0" applyNumberFormat="1" applyFont="1" applyBorder="1" applyProtection="1"/>
    <xf numFmtId="0" fontId="1" fillId="0" borderId="10" xfId="0" applyFont="1" applyBorder="1" applyAlignment="1" applyProtection="1">
      <alignment horizontal="center"/>
      <protection locked="0"/>
    </xf>
    <xf numFmtId="43" fontId="5" fillId="0" borderId="2" xfId="2" applyFont="1" applyBorder="1" applyAlignment="1" applyProtection="1">
      <alignment horizontal="right"/>
    </xf>
    <xf numFmtId="43" fontId="5" fillId="0" borderId="16" xfId="2" applyFont="1" applyBorder="1" applyAlignment="1" applyProtection="1">
      <alignment horizontal="right"/>
    </xf>
    <xf numFmtId="165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5" fontId="1" fillId="0" borderId="19" xfId="2" applyNumberFormat="1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center"/>
      <protection locked="0"/>
    </xf>
    <xf numFmtId="0" fontId="0" fillId="0" borderId="22" xfId="0" applyBorder="1" applyProtection="1"/>
    <xf numFmtId="0" fontId="0" fillId="0" borderId="17" xfId="0" applyBorder="1" applyProtection="1"/>
    <xf numFmtId="0" fontId="3" fillId="0" borderId="13" xfId="0" applyFont="1" applyBorder="1" applyAlignment="1" applyProtection="1">
      <alignment horizontal="center"/>
      <protection hidden="1"/>
    </xf>
    <xf numFmtId="165" fontId="1" fillId="0" borderId="0" xfId="2" applyNumberFormat="1" applyFont="1" applyFill="1" applyBorder="1" applyAlignment="1" applyProtection="1">
      <alignment horizontal="right"/>
      <protection hidden="1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 wrapText="1"/>
      <protection hidden="1"/>
    </xf>
    <xf numFmtId="0" fontId="3" fillId="5" borderId="3" xfId="0" applyFont="1" applyFill="1" applyBorder="1" applyAlignment="1" applyProtection="1">
      <alignment horizontal="center" wrapText="1"/>
      <protection hidden="1"/>
    </xf>
    <xf numFmtId="165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5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0" fontId="20" fillId="5" borderId="13" xfId="0" applyFont="1" applyFill="1" applyBorder="1" applyAlignment="1" applyProtection="1">
      <alignment horizontal="center"/>
    </xf>
    <xf numFmtId="0" fontId="21" fillId="5" borderId="13" xfId="0" applyFont="1" applyFill="1" applyBorder="1" applyAlignment="1" applyProtection="1">
      <alignment horizontal="center"/>
    </xf>
    <xf numFmtId="0" fontId="21" fillId="5" borderId="25" xfId="0" applyFont="1" applyFill="1" applyBorder="1" applyAlignment="1" applyProtection="1">
      <alignment horizontal="center"/>
    </xf>
    <xf numFmtId="0" fontId="22" fillId="0" borderId="27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5" fontId="6" fillId="0" borderId="0" xfId="2" applyNumberFormat="1" applyFont="1" applyBorder="1" applyAlignment="1" applyProtection="1">
      <alignment horizontal="right"/>
      <protection hidden="1"/>
    </xf>
    <xf numFmtId="165" fontId="6" fillId="0" borderId="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5" fontId="6" fillId="0" borderId="0" xfId="0" applyNumberFormat="1" applyFont="1" applyBorder="1" applyProtection="1"/>
    <xf numFmtId="165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165" fontId="14" fillId="0" borderId="2" xfId="2" applyNumberFormat="1" applyFont="1" applyFill="1" applyBorder="1" applyAlignment="1" applyProtection="1">
      <alignment horizontal="right"/>
    </xf>
    <xf numFmtId="165" fontId="14" fillId="0" borderId="2" xfId="2" applyNumberFormat="1" applyFont="1" applyFill="1" applyBorder="1" applyAlignment="1" applyProtection="1">
      <alignment horizontal="right"/>
      <protection hidden="1"/>
    </xf>
    <xf numFmtId="165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165" fontId="14" fillId="0" borderId="2" xfId="2" applyNumberFormat="1" applyFont="1" applyFill="1" applyBorder="1" applyAlignment="1" applyProtection="1">
      <alignment horizontal="right"/>
      <protection locked="0"/>
    </xf>
    <xf numFmtId="165" fontId="14" fillId="0" borderId="32" xfId="2" applyNumberFormat="1" applyFont="1" applyBorder="1" applyAlignment="1" applyProtection="1">
      <alignment horizontal="right"/>
      <protection locked="0"/>
    </xf>
    <xf numFmtId="1" fontId="14" fillId="0" borderId="24" xfId="2" applyNumberFormat="1" applyFont="1" applyFill="1" applyBorder="1" applyAlignment="1" applyProtection="1">
      <alignment horizontal="right"/>
      <protection hidden="1"/>
    </xf>
    <xf numFmtId="1" fontId="14" fillId="0" borderId="20" xfId="2" applyNumberFormat="1" applyFont="1" applyFill="1" applyBorder="1" applyAlignment="1" applyProtection="1">
      <alignment horizontal="right"/>
      <protection hidden="1"/>
    </xf>
    <xf numFmtId="10" fontId="14" fillId="0" borderId="16" xfId="4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0" fontId="13" fillId="0" borderId="10" xfId="0" applyFont="1" applyFill="1" applyBorder="1" applyAlignment="1" applyProtection="1">
      <alignment horizontal="center"/>
      <protection hidden="1"/>
    </xf>
    <xf numFmtId="165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3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0" xfId="0" applyFont="1" applyFill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center"/>
    </xf>
    <xf numFmtId="0" fontId="15" fillId="0" borderId="28" xfId="0" applyFont="1" applyBorder="1" applyAlignment="1" applyProtection="1">
      <alignment horizontal="center"/>
      <protection locked="0"/>
    </xf>
    <xf numFmtId="165" fontId="15" fillId="0" borderId="2" xfId="2" applyNumberFormat="1" applyFont="1" applyFill="1" applyBorder="1" applyAlignment="1" applyProtection="1">
      <alignment horizontal="right"/>
      <protection hidden="1"/>
    </xf>
    <xf numFmtId="0" fontId="15" fillId="0" borderId="2" xfId="0" applyFont="1" applyBorder="1" applyAlignment="1" applyProtection="1">
      <alignment horizontal="center"/>
      <protection locked="0"/>
    </xf>
    <xf numFmtId="165" fontId="23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5" fontId="14" fillId="0" borderId="0" xfId="2" applyNumberFormat="1" applyFont="1" applyFill="1" applyBorder="1" applyAlignment="1" applyProtection="1">
      <alignment horizontal="right"/>
      <protection hidden="1"/>
    </xf>
    <xf numFmtId="0" fontId="16" fillId="0" borderId="10" xfId="0" applyFont="1" applyFill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  <protection locked="0"/>
    </xf>
    <xf numFmtId="0" fontId="19" fillId="0" borderId="34" xfId="0" applyFont="1" applyBorder="1" applyAlignment="1" applyProtection="1">
      <alignment horizontal="left"/>
      <protection locked="0"/>
    </xf>
    <xf numFmtId="0" fontId="19" fillId="0" borderId="9" xfId="0" applyFont="1" applyBorder="1" applyAlignment="1" applyProtection="1">
      <alignment horizontal="center"/>
      <protection locked="0"/>
    </xf>
    <xf numFmtId="165" fontId="19" fillId="0" borderId="2" xfId="2" applyNumberFormat="1" applyFont="1" applyFill="1" applyBorder="1" applyAlignment="1" applyProtection="1">
      <alignment horizontal="right"/>
      <protection hidden="1"/>
    </xf>
    <xf numFmtId="165" fontId="19" fillId="0" borderId="16" xfId="2" applyNumberFormat="1" applyFont="1" applyFill="1" applyBorder="1" applyAlignment="1" applyProtection="1">
      <alignment horizontal="right"/>
      <protection hidden="1"/>
    </xf>
    <xf numFmtId="0" fontId="18" fillId="0" borderId="31" xfId="0" applyFont="1" applyBorder="1" applyAlignment="1" applyProtection="1">
      <alignment horizontal="left"/>
      <protection locked="0"/>
    </xf>
    <xf numFmtId="0" fontId="19" fillId="0" borderId="21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  <protection locked="0"/>
    </xf>
    <xf numFmtId="43" fontId="19" fillId="0" borderId="16" xfId="2" applyFont="1" applyFill="1" applyBorder="1" applyAlignment="1" applyProtection="1">
      <alignment horizontal="right"/>
    </xf>
    <xf numFmtId="165" fontId="19" fillId="0" borderId="16" xfId="2" applyNumberFormat="1" applyFont="1" applyBorder="1" applyAlignment="1" applyProtection="1">
      <alignment horizontal="right"/>
      <protection hidden="1"/>
    </xf>
    <xf numFmtId="165" fontId="2" fillId="0" borderId="0" xfId="0" applyNumberFormat="1" applyFont="1" applyProtection="1">
      <protection hidden="1"/>
    </xf>
    <xf numFmtId="43" fontId="24" fillId="0" borderId="0" xfId="0" applyNumberFormat="1" applyFont="1" applyProtection="1"/>
    <xf numFmtId="165" fontId="24" fillId="0" borderId="0" xfId="0" applyNumberFormat="1" applyFont="1" applyProtection="1"/>
    <xf numFmtId="0" fontId="24" fillId="0" borderId="0" xfId="0" applyFont="1" applyProtection="1"/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1" fontId="14" fillId="0" borderId="42" xfId="2" applyNumberFormat="1" applyFont="1" applyFill="1" applyBorder="1" applyAlignment="1" applyProtection="1">
      <alignment horizontal="right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 applyProtection="1">
      <alignment horizontal="center"/>
      <protection hidden="1"/>
    </xf>
    <xf numFmtId="1" fontId="2" fillId="0" borderId="0" xfId="2" applyNumberFormat="1" applyFont="1" applyBorder="1" applyAlignment="1" applyProtection="1">
      <alignment horizontal="right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left"/>
      <protection locked="0"/>
    </xf>
    <xf numFmtId="0" fontId="5" fillId="0" borderId="16" xfId="0" applyFont="1" applyBorder="1" applyProtection="1">
      <protection locked="0"/>
    </xf>
    <xf numFmtId="165" fontId="5" fillId="0" borderId="2" xfId="2" applyNumberFormat="1" applyFont="1" applyBorder="1" applyAlignment="1" applyProtection="1">
      <alignment horizontal="right"/>
      <protection hidden="1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16" xfId="0" applyFont="1" applyFill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165" fontId="5" fillId="0" borderId="2" xfId="2" applyNumberFormat="1" applyFont="1" applyFill="1" applyBorder="1" applyAlignment="1" applyProtection="1">
      <alignment horizontal="right"/>
      <protection hidden="1"/>
    </xf>
    <xf numFmtId="0" fontId="3" fillId="5" borderId="25" xfId="0" applyFont="1" applyFill="1" applyBorder="1" applyAlignment="1" applyProtection="1">
      <alignment horizontal="center"/>
    </xf>
    <xf numFmtId="43" fontId="0" fillId="0" borderId="16" xfId="0" applyNumberFormat="1" applyBorder="1" applyProtection="1">
      <protection hidden="1"/>
    </xf>
    <xf numFmtId="43" fontId="0" fillId="0" borderId="40" xfId="0" applyNumberFormat="1" applyBorder="1" applyProtection="1">
      <protection hidden="1"/>
    </xf>
    <xf numFmtId="44" fontId="0" fillId="0" borderId="21" xfId="5" applyFont="1" applyBorder="1" applyProtection="1">
      <protection hidden="1"/>
    </xf>
    <xf numFmtId="43" fontId="0" fillId="0" borderId="24" xfId="0" applyNumberFormat="1" applyBorder="1" applyProtection="1">
      <protection hidden="1"/>
    </xf>
    <xf numFmtId="44" fontId="0" fillId="0" borderId="24" xfId="5" applyFont="1" applyBorder="1" applyProtection="1">
      <protection hidden="1"/>
    </xf>
    <xf numFmtId="44" fontId="0" fillId="0" borderId="16" xfId="5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40" xfId="0" applyBorder="1" applyProtection="1">
      <protection hidden="1"/>
    </xf>
    <xf numFmtId="0" fontId="0" fillId="0" borderId="20" xfId="0" applyBorder="1" applyProtection="1">
      <protection hidden="1"/>
    </xf>
    <xf numFmtId="0" fontId="3" fillId="5" borderId="44" xfId="0" applyFont="1" applyFill="1" applyBorder="1" applyAlignment="1" applyProtection="1">
      <alignment horizontal="center"/>
    </xf>
    <xf numFmtId="0" fontId="0" fillId="0" borderId="28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5" xfId="0" applyBorder="1" applyProtection="1">
      <protection hidden="1"/>
    </xf>
    <xf numFmtId="165" fontId="1" fillId="0" borderId="35" xfId="2" applyNumberFormat="1" applyFont="1" applyFill="1" applyBorder="1" applyAlignment="1" applyProtection="1">
      <alignment horizontal="right"/>
      <protection hidden="1"/>
    </xf>
    <xf numFmtId="165" fontId="15" fillId="0" borderId="35" xfId="2" applyNumberFormat="1" applyFont="1" applyFill="1" applyBorder="1" applyAlignment="1" applyProtection="1">
      <alignment horizontal="right"/>
      <protection hidden="1"/>
    </xf>
    <xf numFmtId="165" fontId="1" fillId="0" borderId="3" xfId="2" applyNumberFormat="1" applyFont="1" applyFill="1" applyBorder="1" applyAlignment="1" applyProtection="1">
      <alignment horizontal="right"/>
      <protection hidden="1"/>
    </xf>
    <xf numFmtId="165" fontId="5" fillId="0" borderId="35" xfId="2" applyNumberFormat="1" applyFont="1" applyFill="1" applyBorder="1" applyAlignment="1" applyProtection="1">
      <alignment horizontal="right"/>
      <protection hidden="1"/>
    </xf>
    <xf numFmtId="0" fontId="5" fillId="0" borderId="35" xfId="0" applyFont="1" applyFill="1" applyBorder="1" applyAlignment="1" applyProtection="1">
      <alignment horizontal="left"/>
      <protection locked="0"/>
    </xf>
    <xf numFmtId="0" fontId="15" fillId="0" borderId="35" xfId="0" applyFont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5" borderId="12" xfId="0" applyFont="1" applyFill="1" applyBorder="1" applyAlignment="1" applyProtection="1">
      <alignment horizontal="center"/>
    </xf>
    <xf numFmtId="0" fontId="5" fillId="0" borderId="35" xfId="0" applyFont="1" applyBorder="1" applyAlignment="1" applyProtection="1">
      <alignment horizontal="left"/>
      <protection locked="0"/>
    </xf>
    <xf numFmtId="43" fontId="0" fillId="0" borderId="35" xfId="0" applyNumberFormat="1" applyBorder="1" applyProtection="1">
      <protection hidden="1"/>
    </xf>
    <xf numFmtId="44" fontId="0" fillId="0" borderId="35" xfId="5" applyFont="1" applyBorder="1" applyProtection="1">
      <protection hidden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165" fontId="1" fillId="0" borderId="5" xfId="2" applyNumberFormat="1" applyFont="1" applyFill="1" applyBorder="1" applyAlignment="1" applyProtection="1">
      <alignment horizontal="right"/>
      <protection hidden="1"/>
    </xf>
    <xf numFmtId="10" fontId="1" fillId="0" borderId="5" xfId="4" applyNumberFormat="1" applyFont="1" applyFill="1" applyBorder="1" applyAlignment="1" applyProtection="1">
      <alignment horizontal="right"/>
      <protection hidden="1"/>
    </xf>
    <xf numFmtId="165" fontId="1" fillId="0" borderId="13" xfId="2" applyNumberFormat="1" applyFont="1" applyFill="1" applyBorder="1" applyAlignment="1" applyProtection="1">
      <alignment horizontal="right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165" fontId="1" fillId="0" borderId="41" xfId="2" applyNumberFormat="1" applyFont="1" applyFill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165" fontId="5" fillId="0" borderId="24" xfId="2" applyNumberFormat="1" applyFont="1" applyFill="1" applyBorder="1" applyAlignment="1" applyProtection="1">
      <alignment horizontal="right"/>
      <protection hidden="1"/>
    </xf>
    <xf numFmtId="0" fontId="5" fillId="0" borderId="2" xfId="0" applyFont="1" applyFill="1" applyBorder="1" applyAlignment="1" applyProtection="1">
      <alignment horizontal="center"/>
      <protection locked="0"/>
    </xf>
    <xf numFmtId="43" fontId="5" fillId="0" borderId="2" xfId="2" applyFont="1" applyFill="1" applyBorder="1" applyAlignment="1" applyProtection="1">
      <alignment horizontal="right"/>
    </xf>
    <xf numFmtId="0" fontId="29" fillId="2" borderId="22" xfId="0" applyFont="1" applyFill="1" applyBorder="1" applyAlignment="1" applyProtection="1"/>
    <xf numFmtId="0" fontId="29" fillId="2" borderId="22" xfId="0" applyFont="1" applyFill="1" applyBorder="1" applyAlignment="1" applyProtection="1">
      <protection locked="0"/>
    </xf>
    <xf numFmtId="0" fontId="29" fillId="2" borderId="27" xfId="0" applyFont="1" applyFill="1" applyBorder="1" applyAlignment="1" applyProtection="1">
      <protection locked="0"/>
    </xf>
    <xf numFmtId="0" fontId="6" fillId="5" borderId="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 wrapText="1"/>
      <protection hidden="1"/>
    </xf>
    <xf numFmtId="0" fontId="6" fillId="5" borderId="3" xfId="0" applyFont="1" applyFill="1" applyBorder="1" applyAlignment="1" applyProtection="1">
      <alignment horizontal="center" wrapText="1"/>
      <protection hidden="1"/>
    </xf>
    <xf numFmtId="0" fontId="13" fillId="0" borderId="16" xfId="0" applyFont="1" applyBorder="1" applyAlignment="1" applyProtection="1">
      <alignment horizontal="left"/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13" fillId="0" borderId="24" xfId="0" applyFont="1" applyFill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 wrapText="1"/>
      <protection locked="0"/>
    </xf>
    <xf numFmtId="0" fontId="2" fillId="0" borderId="25" xfId="0" applyFont="1" applyBorder="1" applyAlignment="1" applyProtection="1">
      <alignment horizontal="center"/>
      <protection hidden="1"/>
    </xf>
    <xf numFmtId="165" fontId="5" fillId="0" borderId="16" xfId="2" applyNumberFormat="1" applyFont="1" applyFill="1" applyBorder="1" applyAlignment="1" applyProtection="1">
      <alignment horizontal="right"/>
      <protection hidden="1"/>
    </xf>
    <xf numFmtId="165" fontId="5" fillId="0" borderId="0" xfId="2" applyNumberFormat="1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5" fontId="6" fillId="0" borderId="2" xfId="2" applyNumberFormat="1" applyFont="1" applyFill="1" applyBorder="1" applyAlignment="1" applyProtection="1">
      <alignment horizontal="right"/>
      <protection hidden="1"/>
    </xf>
    <xf numFmtId="165" fontId="2" fillId="0" borderId="2" xfId="2" applyNumberFormat="1" applyFont="1" applyFill="1" applyBorder="1" applyAlignment="1" applyProtection="1">
      <alignment horizontal="right"/>
      <protection hidden="1"/>
    </xf>
    <xf numFmtId="165" fontId="6" fillId="0" borderId="20" xfId="2" applyNumberFormat="1" applyFont="1" applyFill="1" applyBorder="1" applyAlignment="1" applyProtection="1">
      <alignment horizontal="right"/>
    </xf>
    <xf numFmtId="165" fontId="6" fillId="0" borderId="20" xfId="2" applyNumberFormat="1" applyFont="1" applyBorder="1" applyAlignment="1" applyProtection="1">
      <alignment horizontal="right"/>
      <protection locked="0"/>
    </xf>
    <xf numFmtId="165" fontId="6" fillId="0" borderId="20" xfId="2" applyNumberFormat="1" applyFont="1" applyBorder="1" applyAlignment="1" applyProtection="1">
      <alignment horizontal="right"/>
    </xf>
    <xf numFmtId="165" fontId="1" fillId="0" borderId="8" xfId="2" applyNumberFormat="1" applyFont="1" applyFill="1" applyBorder="1" applyAlignment="1" applyProtection="1">
      <alignment horizontal="right"/>
      <protection hidden="1"/>
    </xf>
    <xf numFmtId="165" fontId="1" fillId="0" borderId="2" xfId="2" applyNumberFormat="1" applyFont="1" applyBorder="1" applyAlignment="1" applyProtection="1">
      <alignment horizontal="right"/>
      <protection hidden="1"/>
    </xf>
    <xf numFmtId="0" fontId="1" fillId="0" borderId="10" xfId="0" applyFont="1" applyBorder="1" applyProtection="1">
      <protection hidden="1"/>
    </xf>
    <xf numFmtId="165" fontId="1" fillId="0" borderId="2" xfId="2" applyNumberFormat="1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165" fontId="1" fillId="0" borderId="45" xfId="2" applyNumberFormat="1" applyFont="1" applyFill="1" applyBorder="1" applyAlignment="1" applyProtection="1">
      <alignment horizontal="right"/>
      <protection hidden="1"/>
    </xf>
    <xf numFmtId="165" fontId="1" fillId="0" borderId="46" xfId="2" applyNumberFormat="1" applyFont="1" applyFill="1" applyBorder="1" applyAlignment="1" applyProtection="1">
      <alignment horizontal="right"/>
      <protection hidden="1"/>
    </xf>
    <xf numFmtId="165" fontId="19" fillId="0" borderId="13" xfId="2" applyNumberFormat="1" applyFont="1" applyFill="1" applyBorder="1" applyAlignment="1" applyProtection="1">
      <alignment horizontal="right"/>
      <protection hidden="1"/>
    </xf>
    <xf numFmtId="165" fontId="1" fillId="0" borderId="10" xfId="2" applyNumberFormat="1" applyFont="1" applyFill="1" applyBorder="1" applyAlignment="1" applyProtection="1">
      <alignment horizontal="right"/>
      <protection hidden="1"/>
    </xf>
    <xf numFmtId="0" fontId="5" fillId="0" borderId="16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/>
      <protection locked="0"/>
    </xf>
    <xf numFmtId="43" fontId="5" fillId="0" borderId="40" xfId="2" applyFont="1" applyFill="1" applyBorder="1" applyAlignment="1" applyProtection="1">
      <alignment horizontal="right"/>
    </xf>
    <xf numFmtId="165" fontId="5" fillId="0" borderId="42" xfId="2" applyNumberFormat="1" applyFont="1" applyFill="1" applyBorder="1" applyAlignment="1" applyProtection="1">
      <alignment horizontal="right"/>
      <protection hidden="1"/>
    </xf>
    <xf numFmtId="165" fontId="5" fillId="0" borderId="30" xfId="2" applyNumberFormat="1" applyFont="1" applyFill="1" applyBorder="1" applyAlignment="1" applyProtection="1">
      <alignment horizontal="right"/>
      <protection hidden="1"/>
    </xf>
    <xf numFmtId="165" fontId="5" fillId="0" borderId="20" xfId="2" applyNumberFormat="1" applyFont="1" applyFill="1" applyBorder="1" applyAlignment="1" applyProtection="1">
      <alignment horizontal="right"/>
      <protection hidden="1"/>
    </xf>
    <xf numFmtId="0" fontId="1" fillId="0" borderId="3" xfId="0" applyFont="1" applyBorder="1" applyAlignment="1" applyProtection="1">
      <alignment horizontal="center"/>
      <protection locked="0"/>
    </xf>
    <xf numFmtId="43" fontId="1" fillId="0" borderId="3" xfId="2" applyFont="1" applyFill="1" applyBorder="1" applyAlignment="1" applyProtection="1">
      <alignment horizontal="right"/>
    </xf>
    <xf numFmtId="43" fontId="1" fillId="0" borderId="2" xfId="2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hidden="1"/>
    </xf>
    <xf numFmtId="0" fontId="2" fillId="5" borderId="26" xfId="0" applyFont="1" applyFill="1" applyBorder="1" applyAlignment="1" applyProtection="1">
      <alignment horizontal="center"/>
    </xf>
    <xf numFmtId="165" fontId="2" fillId="5" borderId="1" xfId="2" applyNumberFormat="1" applyFont="1" applyFill="1" applyBorder="1" applyAlignment="1" applyProtection="1">
      <alignment horizontal="right"/>
    </xf>
    <xf numFmtId="0" fontId="6" fillId="5" borderId="5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6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43" fontId="1" fillId="0" borderId="2" xfId="2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34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5" fillId="5" borderId="3" xfId="0" applyFont="1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43" fontId="6" fillId="5" borderId="3" xfId="2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  <protection hidden="1"/>
    </xf>
    <xf numFmtId="0" fontId="6" fillId="5" borderId="6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3" fontId="5" fillId="0" borderId="16" xfId="2" applyFont="1" applyFill="1" applyBorder="1" applyAlignment="1" applyProtection="1">
      <alignment horizontal="right"/>
    </xf>
    <xf numFmtId="165" fontId="5" fillId="0" borderId="16" xfId="2" applyNumberFormat="1" applyFont="1" applyBorder="1" applyAlignment="1" applyProtection="1">
      <alignment horizontal="right"/>
      <protection hidden="1"/>
    </xf>
    <xf numFmtId="165" fontId="5" fillId="0" borderId="10" xfId="2" applyNumberFormat="1" applyFont="1" applyFill="1" applyBorder="1" applyAlignment="1" applyProtection="1">
      <alignment horizontal="right"/>
      <protection hidden="1"/>
    </xf>
    <xf numFmtId="0" fontId="5" fillId="0" borderId="20" xfId="0" applyFont="1" applyFill="1" applyBorder="1" applyAlignment="1" applyProtection="1">
      <alignment horizontal="left"/>
      <protection locked="0"/>
    </xf>
    <xf numFmtId="0" fontId="5" fillId="0" borderId="34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/>
      <protection locked="0"/>
    </xf>
    <xf numFmtId="165" fontId="5" fillId="0" borderId="13" xfId="2" applyNumberFormat="1" applyFont="1" applyFill="1" applyBorder="1" applyAlignment="1" applyProtection="1">
      <alignment horizontal="right"/>
      <protection hidden="1"/>
    </xf>
    <xf numFmtId="0" fontId="5" fillId="0" borderId="33" xfId="0" applyFont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43" fontId="5" fillId="0" borderId="21" xfId="2" applyFont="1" applyFill="1" applyBorder="1" applyAlignment="1" applyProtection="1">
      <alignment horizontal="right"/>
    </xf>
    <xf numFmtId="0" fontId="5" fillId="0" borderId="41" xfId="0" applyFont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5" borderId="3" xfId="0" applyFont="1" applyFill="1" applyBorder="1" applyAlignment="1" applyProtection="1">
      <alignment horizontal="center" wrapText="1"/>
      <protection hidden="1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2" fillId="0" borderId="3" xfId="0" applyFont="1" applyFill="1" applyBorder="1" applyAlignment="1" applyProtection="1">
      <alignment horizontal="left"/>
      <protection hidden="1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1" fillId="0" borderId="35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5" borderId="36" xfId="0" applyFont="1" applyFill="1" applyBorder="1" applyProtection="1"/>
    <xf numFmtId="0" fontId="5" fillId="0" borderId="6" xfId="0" applyFont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6" fillId="0" borderId="0" xfId="0" applyFont="1" applyAlignment="1" applyProtection="1">
      <protection hidden="1"/>
    </xf>
    <xf numFmtId="0" fontId="0" fillId="0" borderId="15" xfId="0" applyBorder="1" applyAlignment="1" applyProtection="1">
      <alignment horizontal="center"/>
    </xf>
    <xf numFmtId="0" fontId="1" fillId="0" borderId="0" xfId="0" applyFont="1" applyBorder="1" applyAlignment="1" applyProtection="1">
      <protection hidden="1"/>
    </xf>
    <xf numFmtId="0" fontId="1" fillId="5" borderId="4" xfId="0" applyFont="1" applyFill="1" applyBorder="1" applyProtection="1">
      <protection hidden="1"/>
    </xf>
    <xf numFmtId="0" fontId="1" fillId="5" borderId="6" xfId="0" applyFont="1" applyFill="1" applyBorder="1" applyProtection="1">
      <protection hidden="1"/>
    </xf>
    <xf numFmtId="0" fontId="2" fillId="5" borderId="25" xfId="0" applyFont="1" applyFill="1" applyBorder="1" applyAlignment="1" applyProtection="1">
      <alignment horizontal="center"/>
      <protection hidden="1"/>
    </xf>
    <xf numFmtId="0" fontId="2" fillId="5" borderId="5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left"/>
      <protection locked="0"/>
    </xf>
    <xf numFmtId="43" fontId="1" fillId="0" borderId="35" xfId="0" applyNumberFormat="1" applyFont="1" applyBorder="1" applyProtection="1">
      <protection hidden="1"/>
    </xf>
    <xf numFmtId="44" fontId="1" fillId="0" borderId="35" xfId="5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3" xfId="0" applyFont="1" applyBorder="1" applyAlignment="1" applyProtection="1">
      <alignment horizontal="center"/>
      <protection hidden="1"/>
    </xf>
    <xf numFmtId="165" fontId="1" fillId="0" borderId="3" xfId="2" applyNumberFormat="1" applyFont="1" applyBorder="1" applyAlignment="1" applyProtection="1">
      <alignment horizontal="right"/>
      <protection hidden="1"/>
    </xf>
    <xf numFmtId="165" fontId="1" fillId="0" borderId="0" xfId="2" applyNumberFormat="1" applyFont="1" applyBorder="1" applyAlignment="1" applyProtection="1">
      <alignment horizontal="right"/>
      <protection hidden="1"/>
    </xf>
    <xf numFmtId="0" fontId="1" fillId="0" borderId="39" xfId="0" applyFont="1" applyBorder="1" applyProtection="1">
      <protection hidden="1"/>
    </xf>
    <xf numFmtId="0" fontId="14" fillId="0" borderId="6" xfId="0" applyFont="1" applyBorder="1" applyProtection="1">
      <protection hidden="1"/>
    </xf>
    <xf numFmtId="0" fontId="14" fillId="0" borderId="12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22" xfId="0" applyFont="1" applyBorder="1" applyProtection="1">
      <protection hidden="1"/>
    </xf>
    <xf numFmtId="0" fontId="2" fillId="5" borderId="12" xfId="0" applyFont="1" applyFill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47" xfId="0" applyFont="1" applyBorder="1" applyProtection="1">
      <protection hidden="1"/>
    </xf>
    <xf numFmtId="165" fontId="2" fillId="5" borderId="13" xfId="2" applyNumberFormat="1" applyFont="1" applyFill="1" applyBorder="1" applyAlignment="1" applyProtection="1">
      <alignment horizontal="right"/>
      <protection hidden="1"/>
    </xf>
    <xf numFmtId="0" fontId="1" fillId="0" borderId="27" xfId="0" applyFont="1" applyBorder="1" applyProtection="1">
      <protection hidden="1"/>
    </xf>
    <xf numFmtId="165" fontId="24" fillId="0" borderId="2" xfId="2" applyNumberFormat="1" applyFont="1" applyFill="1" applyBorder="1" applyAlignment="1" applyProtection="1">
      <alignment horizontal="right"/>
      <protection hidden="1"/>
    </xf>
    <xf numFmtId="165" fontId="33" fillId="0" borderId="2" xfId="2" applyNumberFormat="1" applyFont="1" applyFill="1" applyBorder="1" applyAlignment="1" applyProtection="1">
      <alignment horizontal="right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5" fillId="0" borderId="43" xfId="0" applyFont="1" applyBorder="1" applyAlignment="1" applyProtection="1">
      <alignment horizontal="center"/>
      <protection hidden="1"/>
    </xf>
    <xf numFmtId="0" fontId="25" fillId="0" borderId="15" xfId="0" applyFont="1" applyBorder="1" applyAlignment="1" applyProtection="1">
      <alignment horizontal="center"/>
      <protection hidden="1"/>
    </xf>
    <xf numFmtId="0" fontId="25" fillId="0" borderId="27" xfId="0" applyFont="1" applyBorder="1" applyAlignment="1" applyProtection="1">
      <alignment horizontal="center"/>
      <protection hidden="1"/>
    </xf>
    <xf numFmtId="0" fontId="3" fillId="5" borderId="43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6" fillId="0" borderId="11" xfId="0" applyFont="1" applyBorder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0" fontId="26" fillId="0" borderId="12" xfId="0" applyFont="1" applyBorder="1" applyAlignment="1" applyProtection="1">
      <alignment horizontal="center"/>
      <protection hidden="1"/>
    </xf>
    <xf numFmtId="0" fontId="27" fillId="0" borderId="14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22" xfId="0" applyFont="1" applyBorder="1" applyAlignment="1" applyProtection="1">
      <alignment horizontal="center"/>
      <protection hidden="1"/>
    </xf>
    <xf numFmtId="0" fontId="26" fillId="0" borderId="14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26" fillId="0" borderId="22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 applyProtection="1">
      <alignment horizontal="center"/>
      <protection hidden="1"/>
    </xf>
    <xf numFmtId="0" fontId="3" fillId="5" borderId="44" xfId="0" applyFont="1" applyFill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8" fillId="0" borderId="14" xfId="0" applyFont="1" applyBorder="1" applyAlignment="1" applyProtection="1">
      <alignment horizontal="center"/>
      <protection hidden="1"/>
    </xf>
    <xf numFmtId="0" fontId="28" fillId="0" borderId="22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5" borderId="43" xfId="0" applyFont="1" applyFill="1" applyBorder="1" applyAlignment="1" applyProtection="1">
      <alignment horizontal="center"/>
    </xf>
    <xf numFmtId="0" fontId="6" fillId="5" borderId="15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center"/>
    </xf>
    <xf numFmtId="0" fontId="3" fillId="5" borderId="43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29" fillId="2" borderId="0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43" xfId="0" applyFont="1" applyBorder="1" applyAlignment="1" applyProtection="1">
      <alignment horizontal="center"/>
      <protection hidden="1"/>
    </xf>
    <xf numFmtId="0" fontId="30" fillId="0" borderId="15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2" fillId="5" borderId="11" xfId="0" applyFont="1" applyFill="1" applyBorder="1" applyAlignment="1" applyProtection="1">
      <alignment horizontal="center"/>
      <protection hidden="1"/>
    </xf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12" xfId="0" applyFont="1" applyFill="1" applyBorder="1" applyAlignment="1" applyProtection="1">
      <alignment horizontal="center"/>
      <protection hidden="1"/>
    </xf>
    <xf numFmtId="0" fontId="27" fillId="0" borderId="11" xfId="0" applyFont="1" applyBorder="1" applyAlignment="1" applyProtection="1">
      <alignment horizontal="center"/>
      <protection hidden="1"/>
    </xf>
    <xf numFmtId="0" fontId="27" fillId="0" borderId="6" xfId="0" applyFont="1" applyBorder="1" applyAlignment="1" applyProtection="1">
      <alignment horizontal="center"/>
      <protection hidden="1"/>
    </xf>
    <xf numFmtId="0" fontId="27" fillId="0" borderId="12" xfId="0" applyFont="1" applyBorder="1" applyAlignment="1" applyProtection="1">
      <alignment horizontal="center"/>
      <protection hidden="1"/>
    </xf>
    <xf numFmtId="0" fontId="27" fillId="0" borderId="43" xfId="0" applyFont="1" applyBorder="1" applyAlignment="1" applyProtection="1">
      <alignment horizontal="center"/>
      <protection hidden="1"/>
    </xf>
    <xf numFmtId="0" fontId="27" fillId="0" borderId="15" xfId="0" applyFont="1" applyBorder="1" applyAlignment="1" applyProtection="1">
      <alignment horizontal="center"/>
      <protection hidden="1"/>
    </xf>
    <xf numFmtId="0" fontId="27" fillId="0" borderId="27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8" fillId="0" borderId="11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8" fillId="0" borderId="22" xfId="0" applyFont="1" applyBorder="1" applyAlignment="1" applyProtection="1">
      <alignment horizontal="center"/>
      <protection locked="0"/>
    </xf>
    <xf numFmtId="0" fontId="3" fillId="5" borderId="27" xfId="0" applyFont="1" applyFill="1" applyBorder="1" applyAlignment="1" applyProtection="1">
      <alignment horizontal="center"/>
    </xf>
  </cellXfs>
  <cellStyles count="6">
    <cellStyle name="Euro" xfId="1"/>
    <cellStyle name="Millares" xfId="2" builtinId="3"/>
    <cellStyle name="Moneda" xfId="5" builtinId="4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40" t="s">
        <v>121</v>
      </c>
    </row>
    <row r="4" spans="1:1" x14ac:dyDescent="0.2">
      <c r="A4" s="40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39"/>
  <sheetViews>
    <sheetView topLeftCell="B1" workbookViewId="0">
      <selection activeCell="E1" sqref="E1:E1048576"/>
    </sheetView>
  </sheetViews>
  <sheetFormatPr baseColWidth="10" defaultRowHeight="12.75" x14ac:dyDescent="0.2"/>
  <cols>
    <col min="1" max="1" width="5.85546875" style="16" hidden="1" customWidth="1"/>
    <col min="2" max="2" width="4.42578125" style="16" customWidth="1"/>
    <col min="3" max="3" width="36.5703125" style="16" customWidth="1"/>
    <col min="4" max="4" width="12.28515625" style="16" customWidth="1"/>
    <col min="5" max="5" width="5.5703125" style="16" hidden="1" customWidth="1"/>
    <col min="6" max="6" width="13.140625" style="16" customWidth="1"/>
    <col min="7" max="7" width="13.140625" style="16" hidden="1" customWidth="1"/>
    <col min="8" max="8" width="13.5703125" style="16" bestFit="1" customWidth="1"/>
    <col min="9" max="9" width="11.85546875" style="16" hidden="1" customWidth="1"/>
    <col min="10" max="10" width="11.85546875" style="16" bestFit="1" customWidth="1"/>
    <col min="11" max="11" width="11" style="16" hidden="1" customWidth="1"/>
    <col min="12" max="16" width="13" style="16" hidden="1" customWidth="1"/>
    <col min="17" max="17" width="13" style="16" customWidth="1"/>
    <col min="18" max="18" width="13.5703125" style="16" bestFit="1" customWidth="1"/>
    <col min="19" max="19" width="37.7109375" style="16" customWidth="1"/>
    <col min="20" max="16384" width="11.42578125" style="16"/>
  </cols>
  <sheetData>
    <row r="1" spans="2:21" ht="5.25" customHeight="1" x14ac:dyDescent="0.2"/>
    <row r="2" spans="2:21" ht="5.25" customHeight="1" x14ac:dyDescent="0.2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2:21" ht="22.5" x14ac:dyDescent="0.45">
      <c r="B3" s="417" t="s">
        <v>11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9"/>
    </row>
    <row r="4" spans="2:21" ht="22.5" x14ac:dyDescent="0.45">
      <c r="B4" s="423" t="s">
        <v>175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5"/>
    </row>
    <row r="5" spans="2:21" ht="19.5" x14ac:dyDescent="0.4">
      <c r="B5" s="420" t="s">
        <v>324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2"/>
    </row>
    <row r="6" spans="2:21" ht="15" x14ac:dyDescent="0.2">
      <c r="B6" s="412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4"/>
      <c r="S6" s="135"/>
    </row>
    <row r="7" spans="2:21" x14ac:dyDescent="0.2">
      <c r="B7" s="98"/>
      <c r="C7" s="98"/>
      <c r="D7" s="98"/>
      <c r="E7" s="99" t="s">
        <v>3</v>
      </c>
      <c r="F7" s="99"/>
      <c r="G7" s="99"/>
      <c r="H7" s="100"/>
      <c r="I7" s="415"/>
      <c r="J7" s="416"/>
      <c r="K7" s="416"/>
      <c r="L7" s="416"/>
      <c r="M7" s="416"/>
      <c r="N7" s="416"/>
      <c r="O7" s="416"/>
      <c r="P7" s="416"/>
      <c r="Q7" s="416"/>
      <c r="R7" s="416"/>
      <c r="S7" s="101"/>
    </row>
    <row r="8" spans="2:21" ht="12.75" customHeight="1" x14ac:dyDescent="0.2">
      <c r="B8" s="99" t="s">
        <v>2</v>
      </c>
      <c r="C8" s="99"/>
      <c r="D8" s="99"/>
      <c r="E8" s="102" t="s">
        <v>4</v>
      </c>
      <c r="F8" s="103" t="s">
        <v>1</v>
      </c>
      <c r="G8" s="103" t="s">
        <v>1</v>
      </c>
      <c r="H8" s="104" t="s">
        <v>176</v>
      </c>
      <c r="I8" s="104"/>
      <c r="J8" s="104"/>
      <c r="K8" s="104" t="s">
        <v>159</v>
      </c>
      <c r="L8" s="104" t="s">
        <v>171</v>
      </c>
      <c r="M8" s="104" t="s">
        <v>310</v>
      </c>
      <c r="N8" s="104"/>
      <c r="O8" s="104"/>
      <c r="P8" s="104"/>
      <c r="Q8" s="104"/>
      <c r="R8" s="104"/>
      <c r="S8" s="104"/>
    </row>
    <row r="9" spans="2:21" ht="15" x14ac:dyDescent="0.25">
      <c r="B9" s="100"/>
      <c r="C9" s="105"/>
      <c r="D9" s="108" t="s">
        <v>9</v>
      </c>
      <c r="E9" s="99"/>
      <c r="F9" s="99" t="s">
        <v>166</v>
      </c>
      <c r="G9" s="99" t="s">
        <v>305</v>
      </c>
      <c r="H9" s="103" t="s">
        <v>306</v>
      </c>
      <c r="I9" s="104" t="s">
        <v>158</v>
      </c>
      <c r="J9" s="103" t="s">
        <v>306</v>
      </c>
      <c r="K9" s="103" t="s">
        <v>160</v>
      </c>
      <c r="L9" s="103" t="s">
        <v>307</v>
      </c>
      <c r="M9" s="103" t="s">
        <v>306</v>
      </c>
      <c r="N9" s="103" t="s">
        <v>311</v>
      </c>
      <c r="O9" s="103" t="s">
        <v>313</v>
      </c>
      <c r="P9" s="103" t="s">
        <v>313</v>
      </c>
      <c r="Q9" s="103" t="s">
        <v>313</v>
      </c>
      <c r="R9" s="103" t="s">
        <v>167</v>
      </c>
      <c r="S9" s="104" t="s">
        <v>168</v>
      </c>
    </row>
    <row r="10" spans="2:21" ht="15" x14ac:dyDescent="0.25">
      <c r="B10" s="99"/>
      <c r="C10" s="106" t="s">
        <v>100</v>
      </c>
      <c r="D10" s="109" t="s">
        <v>8</v>
      </c>
      <c r="E10" s="104"/>
      <c r="F10" s="104"/>
      <c r="G10" s="104"/>
      <c r="H10" s="104"/>
      <c r="I10" s="104"/>
      <c r="J10" s="104"/>
      <c r="K10" s="104"/>
      <c r="L10" s="104" t="s">
        <v>308</v>
      </c>
      <c r="M10" s="104" t="s">
        <v>309</v>
      </c>
      <c r="N10" s="104" t="s">
        <v>312</v>
      </c>
      <c r="O10" s="104" t="s">
        <v>164</v>
      </c>
      <c r="P10" s="104" t="s">
        <v>314</v>
      </c>
      <c r="Q10" s="104" t="s">
        <v>306</v>
      </c>
      <c r="R10" s="104" t="s">
        <v>170</v>
      </c>
      <c r="S10" s="104"/>
    </row>
    <row r="11" spans="2:21" ht="15" x14ac:dyDescent="0.25">
      <c r="B11" s="18"/>
      <c r="C11" s="21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60"/>
    </row>
    <row r="12" spans="2:21" ht="24.95" customHeight="1" x14ac:dyDescent="0.2">
      <c r="B12" s="6">
        <v>1</v>
      </c>
      <c r="C12" s="5" t="s">
        <v>191</v>
      </c>
      <c r="D12" s="5" t="s">
        <v>76</v>
      </c>
      <c r="E12" s="6">
        <v>15</v>
      </c>
      <c r="F12" s="23">
        <v>9410</v>
      </c>
      <c r="G12" s="23">
        <f>F12/15</f>
        <v>627.33333333333337</v>
      </c>
      <c r="H12" s="23">
        <v>12.6</v>
      </c>
      <c r="I12" s="23"/>
      <c r="J12" s="23">
        <f>H12*G12</f>
        <v>7904.4000000000005</v>
      </c>
      <c r="K12" s="23"/>
      <c r="L12" s="23">
        <f>F12*2+J12</f>
        <v>26724.400000000001</v>
      </c>
      <c r="M12" s="23">
        <f>30*80.6</f>
        <v>2418</v>
      </c>
      <c r="N12" s="23">
        <f>L12-M12</f>
        <v>24306.400000000001</v>
      </c>
      <c r="O12" s="23">
        <v>3900.22</v>
      </c>
      <c r="P12" s="23">
        <v>2743.52</v>
      </c>
      <c r="Q12" s="23">
        <f>O12-P12</f>
        <v>1156.6999999999998</v>
      </c>
      <c r="R12" s="23">
        <f>J12-Q12</f>
        <v>6747.7000000000007</v>
      </c>
      <c r="S12" s="60"/>
      <c r="T12" s="58"/>
      <c r="U12" s="59"/>
    </row>
    <row r="13" spans="2:21" ht="24.95" customHeight="1" x14ac:dyDescent="0.2">
      <c r="B13" s="6">
        <v>2</v>
      </c>
      <c r="C13" s="5" t="s">
        <v>192</v>
      </c>
      <c r="D13" s="5" t="s">
        <v>76</v>
      </c>
      <c r="E13" s="6">
        <v>15</v>
      </c>
      <c r="F13" s="23">
        <v>9410</v>
      </c>
      <c r="G13" s="23">
        <f t="shared" ref="G13:G21" si="0">F13/15</f>
        <v>627.33333333333337</v>
      </c>
      <c r="H13" s="23">
        <v>12.6</v>
      </c>
      <c r="I13" s="23"/>
      <c r="J13" s="23">
        <f t="shared" ref="J13:J21" si="1">H13*G13</f>
        <v>7904.4000000000005</v>
      </c>
      <c r="K13" s="23"/>
      <c r="L13" s="23">
        <f t="shared" ref="L13:L21" si="2">F13*2+J13</f>
        <v>26724.400000000001</v>
      </c>
      <c r="M13" s="23">
        <f t="shared" ref="M13:M21" si="3">30*80.6</f>
        <v>2418</v>
      </c>
      <c r="N13" s="23">
        <f t="shared" ref="N13:N21" si="4">L13-M13</f>
        <v>24306.400000000001</v>
      </c>
      <c r="O13" s="23">
        <v>3900.22</v>
      </c>
      <c r="P13" s="23">
        <v>2743.52</v>
      </c>
      <c r="Q13" s="23">
        <f t="shared" ref="Q13:Q21" si="5">O13-P13</f>
        <v>1156.6999999999998</v>
      </c>
      <c r="R13" s="23">
        <f t="shared" ref="R13:R21" si="6">J13-Q13</f>
        <v>6747.7000000000007</v>
      </c>
      <c r="S13" s="60"/>
      <c r="T13" s="58"/>
      <c r="U13" s="59"/>
    </row>
    <row r="14" spans="2:21" ht="24.95" customHeight="1" x14ac:dyDescent="0.2">
      <c r="B14" s="6">
        <v>3</v>
      </c>
      <c r="C14" s="5" t="s">
        <v>193</v>
      </c>
      <c r="D14" s="5" t="s">
        <v>76</v>
      </c>
      <c r="E14" s="6">
        <v>15</v>
      </c>
      <c r="F14" s="23">
        <v>9410</v>
      </c>
      <c r="G14" s="23">
        <f t="shared" si="0"/>
        <v>627.33333333333337</v>
      </c>
      <c r="H14" s="23">
        <v>12.6</v>
      </c>
      <c r="I14" s="23"/>
      <c r="J14" s="23">
        <f t="shared" si="1"/>
        <v>7904.4000000000005</v>
      </c>
      <c r="K14" s="23"/>
      <c r="L14" s="23">
        <f t="shared" si="2"/>
        <v>26724.400000000001</v>
      </c>
      <c r="M14" s="23">
        <f t="shared" si="3"/>
        <v>2418</v>
      </c>
      <c r="N14" s="23">
        <f t="shared" si="4"/>
        <v>24306.400000000001</v>
      </c>
      <c r="O14" s="23">
        <v>3900.22</v>
      </c>
      <c r="P14" s="23">
        <v>2743.52</v>
      </c>
      <c r="Q14" s="23">
        <f t="shared" si="5"/>
        <v>1156.6999999999998</v>
      </c>
      <c r="R14" s="23">
        <f t="shared" si="6"/>
        <v>6747.7000000000007</v>
      </c>
      <c r="S14" s="60"/>
      <c r="T14" s="58"/>
      <c r="U14" s="59"/>
    </row>
    <row r="15" spans="2:21" ht="24.95" customHeight="1" x14ac:dyDescent="0.2">
      <c r="B15" s="6">
        <v>4</v>
      </c>
      <c r="C15" s="5" t="s">
        <v>194</v>
      </c>
      <c r="D15" s="5" t="s">
        <v>76</v>
      </c>
      <c r="E15" s="6">
        <v>15</v>
      </c>
      <c r="F15" s="23">
        <v>9410</v>
      </c>
      <c r="G15" s="23">
        <f t="shared" si="0"/>
        <v>627.33333333333337</v>
      </c>
      <c r="H15" s="23">
        <v>12.6</v>
      </c>
      <c r="I15" s="23"/>
      <c r="J15" s="23">
        <f t="shared" si="1"/>
        <v>7904.4000000000005</v>
      </c>
      <c r="K15" s="23"/>
      <c r="L15" s="23">
        <f t="shared" si="2"/>
        <v>26724.400000000001</v>
      </c>
      <c r="M15" s="23">
        <f t="shared" si="3"/>
        <v>2418</v>
      </c>
      <c r="N15" s="23">
        <f t="shared" si="4"/>
        <v>24306.400000000001</v>
      </c>
      <c r="O15" s="23">
        <v>3900.22</v>
      </c>
      <c r="P15" s="23">
        <v>2743.52</v>
      </c>
      <c r="Q15" s="23">
        <f t="shared" si="5"/>
        <v>1156.6999999999998</v>
      </c>
      <c r="R15" s="23">
        <f t="shared" si="6"/>
        <v>6747.7000000000007</v>
      </c>
      <c r="S15" s="60"/>
      <c r="T15" s="58"/>
      <c r="U15" s="59"/>
    </row>
    <row r="16" spans="2:21" ht="24.95" customHeight="1" x14ac:dyDescent="0.2">
      <c r="B16" s="6">
        <v>5</v>
      </c>
      <c r="C16" s="5" t="s">
        <v>195</v>
      </c>
      <c r="D16" s="5" t="s">
        <v>76</v>
      </c>
      <c r="E16" s="6">
        <v>15</v>
      </c>
      <c r="F16" s="23">
        <v>9410</v>
      </c>
      <c r="G16" s="23">
        <f t="shared" si="0"/>
        <v>627.33333333333337</v>
      </c>
      <c r="H16" s="23">
        <v>12.6</v>
      </c>
      <c r="I16" s="23"/>
      <c r="J16" s="23">
        <f t="shared" si="1"/>
        <v>7904.4000000000005</v>
      </c>
      <c r="K16" s="23"/>
      <c r="L16" s="23">
        <f t="shared" si="2"/>
        <v>26724.400000000001</v>
      </c>
      <c r="M16" s="23">
        <f t="shared" si="3"/>
        <v>2418</v>
      </c>
      <c r="N16" s="23">
        <f t="shared" si="4"/>
        <v>24306.400000000001</v>
      </c>
      <c r="O16" s="23">
        <v>3900.22</v>
      </c>
      <c r="P16" s="23">
        <v>2743.52</v>
      </c>
      <c r="Q16" s="23">
        <f t="shared" si="5"/>
        <v>1156.6999999999998</v>
      </c>
      <c r="R16" s="23">
        <f t="shared" si="6"/>
        <v>6747.7000000000007</v>
      </c>
      <c r="S16" s="60"/>
      <c r="T16" s="58"/>
      <c r="U16" s="59"/>
    </row>
    <row r="17" spans="2:21" ht="24.95" customHeight="1" x14ac:dyDescent="0.2">
      <c r="B17" s="6">
        <v>6</v>
      </c>
      <c r="C17" s="5" t="s">
        <v>196</v>
      </c>
      <c r="D17" s="5" t="s">
        <v>76</v>
      </c>
      <c r="E17" s="6">
        <v>15</v>
      </c>
      <c r="F17" s="23">
        <v>9410</v>
      </c>
      <c r="G17" s="23">
        <f t="shared" si="0"/>
        <v>627.33333333333337</v>
      </c>
      <c r="H17" s="23">
        <v>12.6</v>
      </c>
      <c r="I17" s="23"/>
      <c r="J17" s="23">
        <f t="shared" si="1"/>
        <v>7904.4000000000005</v>
      </c>
      <c r="K17" s="23"/>
      <c r="L17" s="23">
        <f t="shared" si="2"/>
        <v>26724.400000000001</v>
      </c>
      <c r="M17" s="23">
        <f t="shared" si="3"/>
        <v>2418</v>
      </c>
      <c r="N17" s="23">
        <f t="shared" si="4"/>
        <v>24306.400000000001</v>
      </c>
      <c r="O17" s="23">
        <v>3900.22</v>
      </c>
      <c r="P17" s="23">
        <v>2743.52</v>
      </c>
      <c r="Q17" s="23">
        <f t="shared" si="5"/>
        <v>1156.6999999999998</v>
      </c>
      <c r="R17" s="23">
        <f t="shared" si="6"/>
        <v>6747.7000000000007</v>
      </c>
      <c r="S17" s="60"/>
      <c r="T17" s="58"/>
      <c r="U17" s="59"/>
    </row>
    <row r="18" spans="2:21" ht="24.95" customHeight="1" x14ac:dyDescent="0.2">
      <c r="B18" s="6">
        <v>7</v>
      </c>
      <c r="C18" s="5" t="s">
        <v>197</v>
      </c>
      <c r="D18" s="5" t="s">
        <v>76</v>
      </c>
      <c r="E18" s="6">
        <v>15</v>
      </c>
      <c r="F18" s="23">
        <v>9410</v>
      </c>
      <c r="G18" s="23">
        <f t="shared" si="0"/>
        <v>627.33333333333337</v>
      </c>
      <c r="H18" s="23">
        <v>12.6</v>
      </c>
      <c r="I18" s="23"/>
      <c r="J18" s="23">
        <f t="shared" si="1"/>
        <v>7904.4000000000005</v>
      </c>
      <c r="K18" s="23"/>
      <c r="L18" s="23">
        <f t="shared" si="2"/>
        <v>26724.400000000001</v>
      </c>
      <c r="M18" s="23">
        <f t="shared" si="3"/>
        <v>2418</v>
      </c>
      <c r="N18" s="23">
        <f t="shared" si="4"/>
        <v>24306.400000000001</v>
      </c>
      <c r="O18" s="23">
        <v>3900.22</v>
      </c>
      <c r="P18" s="23">
        <v>2743.52</v>
      </c>
      <c r="Q18" s="23">
        <f t="shared" si="5"/>
        <v>1156.6999999999998</v>
      </c>
      <c r="R18" s="23">
        <f t="shared" si="6"/>
        <v>6747.7000000000007</v>
      </c>
      <c r="S18" s="60"/>
      <c r="T18" s="58"/>
      <c r="U18" s="59"/>
    </row>
    <row r="19" spans="2:21" ht="24.95" customHeight="1" x14ac:dyDescent="0.2">
      <c r="B19" s="6">
        <v>8</v>
      </c>
      <c r="C19" s="5" t="s">
        <v>131</v>
      </c>
      <c r="D19" s="5" t="s">
        <v>76</v>
      </c>
      <c r="E19" s="6">
        <v>15</v>
      </c>
      <c r="F19" s="23">
        <v>9410</v>
      </c>
      <c r="G19" s="23">
        <f t="shared" si="0"/>
        <v>627.33333333333337</v>
      </c>
      <c r="H19" s="23">
        <v>12.6</v>
      </c>
      <c r="I19" s="23"/>
      <c r="J19" s="23">
        <f t="shared" si="1"/>
        <v>7904.4000000000005</v>
      </c>
      <c r="K19" s="23"/>
      <c r="L19" s="23">
        <f t="shared" si="2"/>
        <v>26724.400000000001</v>
      </c>
      <c r="M19" s="23">
        <f t="shared" si="3"/>
        <v>2418</v>
      </c>
      <c r="N19" s="23">
        <f t="shared" si="4"/>
        <v>24306.400000000001</v>
      </c>
      <c r="O19" s="23">
        <v>3900.22</v>
      </c>
      <c r="P19" s="23">
        <v>2743.52</v>
      </c>
      <c r="Q19" s="23">
        <f t="shared" si="5"/>
        <v>1156.6999999999998</v>
      </c>
      <c r="R19" s="23">
        <f t="shared" si="6"/>
        <v>6747.7000000000007</v>
      </c>
      <c r="S19" s="60"/>
      <c r="T19" s="58"/>
      <c r="U19" s="59"/>
    </row>
    <row r="20" spans="2:21" ht="21.75" customHeight="1" x14ac:dyDescent="0.2">
      <c r="B20" s="6">
        <v>9</v>
      </c>
      <c r="C20" s="5" t="s">
        <v>198</v>
      </c>
      <c r="D20" s="5" t="s">
        <v>76</v>
      </c>
      <c r="E20" s="6">
        <v>15</v>
      </c>
      <c r="F20" s="23">
        <v>9410</v>
      </c>
      <c r="G20" s="23">
        <f t="shared" si="0"/>
        <v>627.33333333333337</v>
      </c>
      <c r="H20" s="23">
        <v>12.6</v>
      </c>
      <c r="I20" s="23"/>
      <c r="J20" s="23">
        <f t="shared" si="1"/>
        <v>7904.4000000000005</v>
      </c>
      <c r="K20" s="23"/>
      <c r="L20" s="23">
        <f t="shared" si="2"/>
        <v>26724.400000000001</v>
      </c>
      <c r="M20" s="23">
        <f t="shared" si="3"/>
        <v>2418</v>
      </c>
      <c r="N20" s="23">
        <f t="shared" si="4"/>
        <v>24306.400000000001</v>
      </c>
      <c r="O20" s="23">
        <v>3900.22</v>
      </c>
      <c r="P20" s="23">
        <v>2743.52</v>
      </c>
      <c r="Q20" s="23">
        <f t="shared" si="5"/>
        <v>1156.6999999999998</v>
      </c>
      <c r="R20" s="23">
        <f t="shared" si="6"/>
        <v>6747.7000000000007</v>
      </c>
      <c r="S20" s="60"/>
      <c r="T20" s="58"/>
      <c r="U20" s="59"/>
    </row>
    <row r="21" spans="2:21" ht="24.95" customHeight="1" x14ac:dyDescent="0.2">
      <c r="B21" s="6">
        <v>10</v>
      </c>
      <c r="C21" s="5" t="s">
        <v>199</v>
      </c>
      <c r="D21" s="5" t="s">
        <v>77</v>
      </c>
      <c r="E21" s="6">
        <v>15</v>
      </c>
      <c r="F21" s="23">
        <v>15440</v>
      </c>
      <c r="G21" s="23">
        <f t="shared" si="0"/>
        <v>1029.3333333333333</v>
      </c>
      <c r="H21" s="23">
        <v>12.6</v>
      </c>
      <c r="I21" s="23"/>
      <c r="J21" s="23">
        <f t="shared" si="1"/>
        <v>12969.599999999999</v>
      </c>
      <c r="K21" s="23"/>
      <c r="L21" s="23">
        <f t="shared" si="2"/>
        <v>43849.599999999999</v>
      </c>
      <c r="M21" s="23">
        <f t="shared" si="3"/>
        <v>2418</v>
      </c>
      <c r="N21" s="23">
        <f t="shared" si="4"/>
        <v>41431.599999999999</v>
      </c>
      <c r="O21" s="23">
        <v>8138.91</v>
      </c>
      <c r="P21" s="23">
        <v>5470.22</v>
      </c>
      <c r="Q21" s="23">
        <f t="shared" si="5"/>
        <v>2668.6899999999996</v>
      </c>
      <c r="R21" s="23">
        <f t="shared" si="6"/>
        <v>10300.91</v>
      </c>
      <c r="S21" s="60"/>
      <c r="T21" s="58"/>
      <c r="U21" s="59"/>
    </row>
    <row r="22" spans="2:21" ht="24.95" customHeight="1" x14ac:dyDescent="0.2">
      <c r="B22" s="248"/>
      <c r="C22" s="249"/>
      <c r="D22" s="249"/>
      <c r="E22" s="248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1"/>
      <c r="S22" s="107"/>
    </row>
    <row r="23" spans="2:21" x14ac:dyDescent="0.2">
      <c r="B23" s="26"/>
      <c r="C23" s="26"/>
      <c r="D23" s="26"/>
      <c r="E23" s="26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41"/>
    </row>
    <row r="24" spans="2:21" ht="15.75" thickBot="1" x14ac:dyDescent="0.3">
      <c r="B24" s="410" t="s">
        <v>70</v>
      </c>
      <c r="C24" s="411"/>
      <c r="D24" s="411"/>
      <c r="E24" s="411"/>
      <c r="F24" s="114">
        <f t="shared" ref="F24:R24" si="7">SUM(F12:F22)</f>
        <v>100130</v>
      </c>
      <c r="G24" s="114">
        <f t="shared" si="7"/>
        <v>6675.333333333333</v>
      </c>
      <c r="H24" s="114"/>
      <c r="I24" s="114">
        <f t="shared" si="7"/>
        <v>0</v>
      </c>
      <c r="J24" s="114">
        <f t="shared" si="7"/>
        <v>84109.200000000012</v>
      </c>
      <c r="K24" s="114">
        <f t="shared" si="7"/>
        <v>0</v>
      </c>
      <c r="L24" s="114">
        <f t="shared" si="7"/>
        <v>284369.19999999995</v>
      </c>
      <c r="M24" s="114">
        <f t="shared" si="7"/>
        <v>24180</v>
      </c>
      <c r="N24" s="114">
        <f t="shared" si="7"/>
        <v>260189.19999999998</v>
      </c>
      <c r="O24" s="114">
        <f t="shared" si="7"/>
        <v>43240.89</v>
      </c>
      <c r="P24" s="114">
        <f t="shared" si="7"/>
        <v>30161.9</v>
      </c>
      <c r="Q24" s="114">
        <f t="shared" si="7"/>
        <v>13078.989999999998</v>
      </c>
      <c r="R24" s="114">
        <f t="shared" si="7"/>
        <v>71030.209999999992</v>
      </c>
      <c r="S24" s="30"/>
    </row>
    <row r="25" spans="2:21" ht="15.75" thickTop="1" x14ac:dyDescent="0.25">
      <c r="B25" s="136"/>
      <c r="C25" s="136"/>
      <c r="D25" s="136"/>
      <c r="E25" s="136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7"/>
    </row>
    <row r="26" spans="2:21" ht="15" x14ac:dyDescent="0.25">
      <c r="B26" s="136"/>
      <c r="C26" s="136"/>
      <c r="D26" s="136"/>
      <c r="E26" s="136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7"/>
    </row>
    <row r="29" spans="2:21" x14ac:dyDescent="0.2">
      <c r="C29" s="32" t="s">
        <v>129</v>
      </c>
      <c r="R29" s="32" t="s">
        <v>129</v>
      </c>
    </row>
    <row r="30" spans="2:21" x14ac:dyDescent="0.2">
      <c r="C30" s="32" t="s">
        <v>200</v>
      </c>
      <c r="R30" s="16" t="s">
        <v>201</v>
      </c>
    </row>
    <row r="31" spans="2:21" x14ac:dyDescent="0.2">
      <c r="C31" s="33" t="s">
        <v>10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 t="s">
        <v>188</v>
      </c>
    </row>
    <row r="33" spans="2:18" x14ac:dyDescent="0.2">
      <c r="C33" s="36"/>
      <c r="E33" s="32"/>
    </row>
    <row r="34" spans="2:18" x14ac:dyDescent="0.2">
      <c r="B34" s="33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8" spans="2:18" x14ac:dyDescent="0.2">
      <c r="C38" s="32"/>
    </row>
    <row r="39" spans="2:18" x14ac:dyDescent="0.2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</sheetData>
  <sheetProtection selectLockedCells="1" selectUnlockedCells="1"/>
  <mergeCells count="6">
    <mergeCell ref="B24:E24"/>
    <mergeCell ref="B6:R6"/>
    <mergeCell ref="I7:R7"/>
    <mergeCell ref="B3:S3"/>
    <mergeCell ref="B5:S5"/>
    <mergeCell ref="B4:S4"/>
  </mergeCells>
  <phoneticPr fontId="8" type="noConversion"/>
  <pageMargins left="0" right="0.15748031496062992" top="0.9055118110236221" bottom="0.74803149606299213" header="0.31496062992125984" footer="0.31496062992125984"/>
  <pageSetup scale="8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T140"/>
  <sheetViews>
    <sheetView zoomScale="80" zoomScaleNormal="80" workbookViewId="0">
      <pane ySplit="9" topLeftCell="A28" activePane="bottomLeft" state="frozen"/>
      <selection activeCell="E1" sqref="E1"/>
      <selection pane="bottomLeft" activeCell="D34" sqref="D34:S34"/>
    </sheetView>
  </sheetViews>
  <sheetFormatPr baseColWidth="10" defaultRowHeight="12.75" x14ac:dyDescent="0.2"/>
  <cols>
    <col min="1" max="1" width="10.28515625" style="16" customWidth="1"/>
    <col min="2" max="2" width="5.28515625" style="16" customWidth="1"/>
    <col min="3" max="3" width="3.85546875" style="16" hidden="1" customWidth="1"/>
    <col min="4" max="4" width="4.7109375" style="16" customWidth="1"/>
    <col min="5" max="5" width="50.140625" style="16" customWidth="1"/>
    <col min="6" max="6" width="24.42578125" style="16" customWidth="1"/>
    <col min="7" max="7" width="6.5703125" style="16" hidden="1" customWidth="1"/>
    <col min="8" max="8" width="13.28515625" style="16" bestFit="1" customWidth="1"/>
    <col min="9" max="9" width="13.28515625" style="16" hidden="1" customWidth="1"/>
    <col min="10" max="10" width="14.7109375" style="16" bestFit="1" customWidth="1"/>
    <col min="11" max="11" width="14.7109375" style="16" customWidth="1"/>
    <col min="12" max="12" width="13.28515625" style="16" hidden="1" customWidth="1"/>
    <col min="13" max="13" width="12" style="16" hidden="1" customWidth="1"/>
    <col min="14" max="14" width="13.85546875" style="16" hidden="1" customWidth="1"/>
    <col min="15" max="16" width="12" style="16" hidden="1" customWidth="1"/>
    <col min="17" max="17" width="12" style="16" bestFit="1" customWidth="1"/>
    <col min="18" max="18" width="14.7109375" style="16" bestFit="1" customWidth="1"/>
    <col min="19" max="19" width="51.5703125" style="16" customWidth="1"/>
    <col min="20" max="16384" width="11.42578125" style="16"/>
  </cols>
  <sheetData>
    <row r="2" spans="4:19" x14ac:dyDescent="0.2"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4:19" ht="18" customHeight="1" x14ac:dyDescent="0.25">
      <c r="D3" s="433" t="s">
        <v>11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34"/>
    </row>
    <row r="4" spans="4:19" ht="18" customHeight="1" x14ac:dyDescent="0.25">
      <c r="D4" s="433" t="s">
        <v>175</v>
      </c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34"/>
    </row>
    <row r="5" spans="4:19" ht="18" customHeight="1" x14ac:dyDescent="0.25">
      <c r="D5" s="433" t="s">
        <v>325</v>
      </c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34"/>
    </row>
    <row r="6" spans="4:19" ht="18" customHeight="1" x14ac:dyDescent="0.25">
      <c r="D6" s="433" t="s">
        <v>162</v>
      </c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34"/>
    </row>
    <row r="7" spans="4:19" x14ac:dyDescent="0.2">
      <c r="D7" s="17"/>
      <c r="E7" s="110"/>
      <c r="F7" s="110"/>
      <c r="G7" s="103" t="s">
        <v>3</v>
      </c>
      <c r="H7" s="111"/>
      <c r="I7" s="204"/>
      <c r="J7" s="429">
        <v>2018</v>
      </c>
      <c r="K7" s="430"/>
      <c r="L7" s="431"/>
      <c r="M7" s="205"/>
      <c r="N7" s="205"/>
      <c r="O7" s="205"/>
      <c r="P7" s="429"/>
      <c r="Q7" s="430"/>
      <c r="R7" s="430"/>
      <c r="S7" s="103"/>
    </row>
    <row r="8" spans="4:19" ht="12.75" customHeight="1" x14ac:dyDescent="0.2">
      <c r="D8" s="18" t="s">
        <v>2</v>
      </c>
      <c r="E8" s="99"/>
      <c r="F8" s="99"/>
      <c r="G8" s="102" t="s">
        <v>4</v>
      </c>
      <c r="H8" s="103" t="s">
        <v>1</v>
      </c>
      <c r="I8" s="103" t="s">
        <v>1</v>
      </c>
      <c r="J8" s="103" t="s">
        <v>316</v>
      </c>
      <c r="K8" s="103"/>
      <c r="L8" s="112" t="s">
        <v>318</v>
      </c>
      <c r="M8" s="112" t="s">
        <v>310</v>
      </c>
      <c r="N8" s="112" t="s">
        <v>320</v>
      </c>
      <c r="O8" s="112" t="s">
        <v>321</v>
      </c>
      <c r="P8" s="104" t="s">
        <v>313</v>
      </c>
      <c r="Q8" s="104" t="s">
        <v>313</v>
      </c>
      <c r="R8" s="104" t="s">
        <v>167</v>
      </c>
      <c r="S8" s="99" t="s">
        <v>169</v>
      </c>
    </row>
    <row r="9" spans="4:19" ht="15" x14ac:dyDescent="0.25">
      <c r="D9" s="19"/>
      <c r="E9" s="105"/>
      <c r="F9" s="105" t="s">
        <v>9</v>
      </c>
      <c r="G9" s="99"/>
      <c r="H9" s="99" t="s">
        <v>6</v>
      </c>
      <c r="I9" s="99" t="s">
        <v>315</v>
      </c>
      <c r="J9" s="99" t="s">
        <v>317</v>
      </c>
      <c r="K9" s="99" t="s">
        <v>306</v>
      </c>
      <c r="L9" s="113" t="s">
        <v>307</v>
      </c>
      <c r="M9" s="113" t="s">
        <v>306</v>
      </c>
      <c r="N9" s="113" t="s">
        <v>312</v>
      </c>
      <c r="O9" s="113" t="s">
        <v>164</v>
      </c>
      <c r="P9" s="103" t="s">
        <v>314</v>
      </c>
      <c r="Q9" s="103" t="s">
        <v>306</v>
      </c>
      <c r="R9" s="103" t="s">
        <v>170</v>
      </c>
      <c r="S9" s="99"/>
    </row>
    <row r="10" spans="4:19" ht="15" x14ac:dyDescent="0.25">
      <c r="D10" s="94"/>
      <c r="E10" s="106" t="s">
        <v>13</v>
      </c>
      <c r="F10" s="106" t="s">
        <v>8</v>
      </c>
      <c r="G10" s="104"/>
      <c r="H10" s="104"/>
      <c r="I10" s="104"/>
      <c r="J10" s="104"/>
      <c r="K10" s="104"/>
      <c r="L10" s="104" t="s">
        <v>319</v>
      </c>
      <c r="M10" s="104" t="s">
        <v>309</v>
      </c>
      <c r="N10" s="104"/>
      <c r="O10" s="104"/>
      <c r="P10" s="104"/>
      <c r="Q10" s="104"/>
      <c r="R10" s="104"/>
      <c r="S10" s="104"/>
    </row>
    <row r="11" spans="4:19" s="22" customFormat="1" ht="15.75" x14ac:dyDescent="0.25">
      <c r="D11" s="145"/>
      <c r="E11" s="145" t="s">
        <v>19</v>
      </c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20"/>
    </row>
    <row r="12" spans="4:19" ht="32.1" customHeight="1" x14ac:dyDescent="0.2">
      <c r="D12" s="148">
        <v>1</v>
      </c>
      <c r="E12" s="154" t="s">
        <v>206</v>
      </c>
      <c r="F12" s="154" t="s">
        <v>12</v>
      </c>
      <c r="G12" s="255">
        <v>15</v>
      </c>
      <c r="H12" s="220">
        <v>19391</v>
      </c>
      <c r="I12" s="23">
        <f>H12/15</f>
        <v>1292.7333333333333</v>
      </c>
      <c r="J12" s="220">
        <v>12.6</v>
      </c>
      <c r="K12" s="23">
        <f>J12*I12</f>
        <v>16288.44</v>
      </c>
      <c r="L12" s="23">
        <f>H12*2+K12</f>
        <v>55070.44</v>
      </c>
      <c r="M12" s="23">
        <f>30*80.6</f>
        <v>2418</v>
      </c>
      <c r="N12" s="23">
        <f>L12-M12</f>
        <v>52652.44</v>
      </c>
      <c r="O12" s="152">
        <v>11505.16</v>
      </c>
      <c r="P12" s="152">
        <f>3700.24*2</f>
        <v>7400.48</v>
      </c>
      <c r="Q12" s="23">
        <f>O12-P12</f>
        <v>4104.68</v>
      </c>
      <c r="R12" s="23">
        <f>K12-Q12</f>
        <v>12183.76</v>
      </c>
      <c r="S12" s="252"/>
    </row>
    <row r="13" spans="4:19" ht="32.1" customHeight="1" x14ac:dyDescent="0.2">
      <c r="D13" s="148">
        <v>2</v>
      </c>
      <c r="E13" s="154" t="s">
        <v>207</v>
      </c>
      <c r="F13" s="155" t="s">
        <v>208</v>
      </c>
      <c r="G13" s="255">
        <v>15</v>
      </c>
      <c r="H13" s="220">
        <v>4430</v>
      </c>
      <c r="I13" s="23">
        <f t="shared" ref="I13:I32" si="0">H13/15</f>
        <v>295.33333333333331</v>
      </c>
      <c r="J13" s="220">
        <v>12.6</v>
      </c>
      <c r="K13" s="23">
        <f t="shared" ref="K13:K15" si="1">J13*I13</f>
        <v>3721.2</v>
      </c>
      <c r="L13" s="23">
        <f t="shared" ref="L13:L15" si="2">H13*2+K13</f>
        <v>12581.2</v>
      </c>
      <c r="M13" s="23">
        <f t="shared" ref="M13:M20" si="3">30*80.6</f>
        <v>2418</v>
      </c>
      <c r="N13" s="23">
        <f t="shared" ref="N13:N15" si="4">L13-M13</f>
        <v>10163.200000000001</v>
      </c>
      <c r="O13" s="152">
        <v>940.44</v>
      </c>
      <c r="P13" s="152">
        <f>369.47*2</f>
        <v>738.94</v>
      </c>
      <c r="Q13" s="23">
        <f>O13-P13</f>
        <v>201.5</v>
      </c>
      <c r="R13" s="23">
        <f>K13-Q13</f>
        <v>3519.7</v>
      </c>
      <c r="S13" s="252"/>
    </row>
    <row r="14" spans="4:19" ht="32.1" customHeight="1" x14ac:dyDescent="0.2">
      <c r="D14" s="148">
        <v>3</v>
      </c>
      <c r="E14" s="154" t="s">
        <v>222</v>
      </c>
      <c r="F14" s="154" t="s">
        <v>225</v>
      </c>
      <c r="G14" s="255">
        <v>15</v>
      </c>
      <c r="H14" s="220">
        <v>4430</v>
      </c>
      <c r="I14" s="23">
        <f t="shared" si="0"/>
        <v>295.33333333333331</v>
      </c>
      <c r="J14" s="220">
        <v>12.6</v>
      </c>
      <c r="K14" s="23">
        <f t="shared" si="1"/>
        <v>3721.2</v>
      </c>
      <c r="L14" s="23">
        <f t="shared" si="2"/>
        <v>12581.2</v>
      </c>
      <c r="M14" s="23">
        <f t="shared" si="3"/>
        <v>2418</v>
      </c>
      <c r="N14" s="23">
        <f t="shared" si="4"/>
        <v>10163.200000000001</v>
      </c>
      <c r="O14" s="152">
        <v>940.44</v>
      </c>
      <c r="P14" s="152">
        <f>369.47*2</f>
        <v>738.94</v>
      </c>
      <c r="Q14" s="23">
        <f>O14-P14</f>
        <v>201.5</v>
      </c>
      <c r="R14" s="23">
        <f>K14-Q14</f>
        <v>3519.7</v>
      </c>
      <c r="S14" s="252"/>
    </row>
    <row r="15" spans="4:19" ht="32.1" customHeight="1" x14ac:dyDescent="0.2">
      <c r="D15" s="148">
        <v>4</v>
      </c>
      <c r="E15" s="154" t="s">
        <v>223</v>
      </c>
      <c r="F15" s="154" t="s">
        <v>224</v>
      </c>
      <c r="G15" s="256">
        <v>15</v>
      </c>
      <c r="H15" s="257">
        <v>6864</v>
      </c>
      <c r="I15" s="23">
        <f t="shared" si="0"/>
        <v>457.6</v>
      </c>
      <c r="J15" s="220">
        <v>12.6</v>
      </c>
      <c r="K15" s="23">
        <f t="shared" si="1"/>
        <v>5765.76</v>
      </c>
      <c r="L15" s="23">
        <f t="shared" si="2"/>
        <v>19493.760000000002</v>
      </c>
      <c r="M15" s="23">
        <f t="shared" si="3"/>
        <v>2418</v>
      </c>
      <c r="N15" s="23">
        <f t="shared" si="4"/>
        <v>17075.760000000002</v>
      </c>
      <c r="O15" s="152">
        <v>2353.9299999999998</v>
      </c>
      <c r="P15" s="152">
        <f>827.98*2</f>
        <v>1655.96</v>
      </c>
      <c r="Q15" s="23">
        <f>O15-P15</f>
        <v>697.9699999999998</v>
      </c>
      <c r="R15" s="23">
        <f>K15-Q15</f>
        <v>5067.7900000000009</v>
      </c>
      <c r="S15" s="252"/>
    </row>
    <row r="16" spans="4:19" ht="32.1" customHeight="1" x14ac:dyDescent="0.25">
      <c r="D16" s="148"/>
      <c r="E16" s="146" t="s">
        <v>152</v>
      </c>
      <c r="F16" s="156"/>
      <c r="G16" s="157"/>
      <c r="H16" s="158"/>
      <c r="I16" s="159"/>
      <c r="J16" s="159"/>
      <c r="K16" s="207"/>
      <c r="L16" s="160"/>
      <c r="M16" s="160"/>
      <c r="N16" s="160"/>
      <c r="O16" s="160"/>
      <c r="P16" s="153"/>
      <c r="Q16" s="152"/>
      <c r="R16" s="152"/>
      <c r="S16" s="252"/>
    </row>
    <row r="17" spans="4:19" ht="32.1" customHeight="1" x14ac:dyDescent="0.2">
      <c r="D17" s="148">
        <v>5</v>
      </c>
      <c r="E17" s="154" t="s">
        <v>219</v>
      </c>
      <c r="F17" s="154" t="s">
        <v>18</v>
      </c>
      <c r="G17" s="255">
        <v>15</v>
      </c>
      <c r="H17" s="220">
        <v>8661</v>
      </c>
      <c r="I17" s="23">
        <f t="shared" si="0"/>
        <v>577.4</v>
      </c>
      <c r="J17" s="220">
        <v>12.6</v>
      </c>
      <c r="K17" s="23">
        <f t="shared" ref="K17" si="5">J17*I17</f>
        <v>7275.24</v>
      </c>
      <c r="L17" s="23">
        <f t="shared" ref="L17" si="6">H17*2+K17</f>
        <v>24597.239999999998</v>
      </c>
      <c r="M17" s="23">
        <f t="shared" si="3"/>
        <v>2418</v>
      </c>
      <c r="N17" s="23">
        <f t="shared" ref="N17" si="7">L17-M17</f>
        <v>22179.239999999998</v>
      </c>
      <c r="O17" s="152">
        <v>3444.03</v>
      </c>
      <c r="P17" s="152">
        <f>1211.82*2</f>
        <v>2423.64</v>
      </c>
      <c r="Q17" s="23">
        <f>O17-P17</f>
        <v>1020.3900000000003</v>
      </c>
      <c r="R17" s="23">
        <f>K17-Q17</f>
        <v>6254.8499999999995</v>
      </c>
      <c r="S17" s="252"/>
    </row>
    <row r="18" spans="4:19" ht="32.1" customHeight="1" x14ac:dyDescent="0.2">
      <c r="D18" s="148">
        <v>6</v>
      </c>
      <c r="E18" s="154" t="s">
        <v>14</v>
      </c>
      <c r="F18" s="154" t="s">
        <v>15</v>
      </c>
      <c r="G18" s="255">
        <v>15</v>
      </c>
      <c r="H18" s="220">
        <v>3475</v>
      </c>
      <c r="I18" s="23">
        <f t="shared" si="0"/>
        <v>231.66666666666666</v>
      </c>
      <c r="J18" s="220">
        <v>12.6</v>
      </c>
      <c r="K18" s="23">
        <f t="shared" ref="K18" si="8">J18*I18</f>
        <v>2919</v>
      </c>
      <c r="L18" s="23">
        <f t="shared" ref="L18" si="9">H18*2+K18</f>
        <v>9869</v>
      </c>
      <c r="M18" s="23">
        <f t="shared" si="3"/>
        <v>2418</v>
      </c>
      <c r="N18" s="23">
        <f t="shared" ref="N18" si="10">L18-M18</f>
        <v>7451</v>
      </c>
      <c r="O18" s="152">
        <v>564.77</v>
      </c>
      <c r="P18" s="152">
        <f>161.35*2</f>
        <v>322.7</v>
      </c>
      <c r="Q18" s="23">
        <f>O18-P18</f>
        <v>242.07</v>
      </c>
      <c r="R18" s="23">
        <f>K18-Q18</f>
        <v>2676.93</v>
      </c>
      <c r="S18" s="252"/>
    </row>
    <row r="19" spans="4:19" ht="32.1" customHeight="1" x14ac:dyDescent="0.25">
      <c r="D19" s="148"/>
      <c r="E19" s="146" t="s">
        <v>103</v>
      </c>
      <c r="F19" s="154"/>
      <c r="G19" s="255"/>
      <c r="H19" s="220"/>
      <c r="I19" s="152"/>
      <c r="J19" s="220"/>
      <c r="K19" s="152"/>
      <c r="L19" s="152"/>
      <c r="M19" s="152"/>
      <c r="N19" s="152"/>
      <c r="O19" s="152"/>
      <c r="P19" s="152"/>
      <c r="Q19" s="152"/>
      <c r="R19" s="152"/>
      <c r="S19" s="252"/>
    </row>
    <row r="20" spans="4:19" ht="32.1" customHeight="1" x14ac:dyDescent="0.2">
      <c r="D20" s="148">
        <v>7</v>
      </c>
      <c r="E20" s="154" t="s">
        <v>55</v>
      </c>
      <c r="F20" s="154" t="s">
        <v>71</v>
      </c>
      <c r="G20" s="255">
        <v>15</v>
      </c>
      <c r="H20" s="220">
        <v>3280.55</v>
      </c>
      <c r="I20" s="23">
        <f t="shared" si="0"/>
        <v>218.70333333333335</v>
      </c>
      <c r="J20" s="220">
        <v>12.6</v>
      </c>
      <c r="K20" s="23">
        <f t="shared" ref="K20" si="11">J20*I20</f>
        <v>2755.6620000000003</v>
      </c>
      <c r="L20" s="23">
        <f t="shared" ref="L20" si="12">H20*2+K20</f>
        <v>9316.7620000000006</v>
      </c>
      <c r="M20" s="23">
        <f t="shared" si="3"/>
        <v>2418</v>
      </c>
      <c r="N20" s="23">
        <f t="shared" ref="N20" si="13">L20-M20</f>
        <v>6898.7620000000006</v>
      </c>
      <c r="O20" s="152">
        <v>251.15</v>
      </c>
      <c r="P20" s="152">
        <f>110.55*2</f>
        <v>221.1</v>
      </c>
      <c r="Q20" s="23">
        <f>O20-P20</f>
        <v>30.050000000000011</v>
      </c>
      <c r="R20" s="23">
        <f>K20-Q20</f>
        <v>2725.6120000000001</v>
      </c>
      <c r="S20" s="252"/>
    </row>
    <row r="21" spans="4:19" ht="32.1" customHeight="1" x14ac:dyDescent="0.25">
      <c r="D21" s="148"/>
      <c r="E21" s="146" t="s">
        <v>20</v>
      </c>
      <c r="F21" s="154"/>
      <c r="G21" s="255"/>
      <c r="H21" s="220"/>
      <c r="I21" s="152"/>
      <c r="J21" s="220"/>
      <c r="K21" s="152"/>
      <c r="L21" s="152"/>
      <c r="M21" s="152"/>
      <c r="N21" s="152"/>
      <c r="O21" s="152"/>
      <c r="P21" s="152"/>
      <c r="Q21" s="152"/>
      <c r="R21" s="152"/>
      <c r="S21" s="252"/>
    </row>
    <row r="22" spans="4:19" ht="32.1" customHeight="1" x14ac:dyDescent="0.2">
      <c r="D22" s="148">
        <v>8</v>
      </c>
      <c r="E22" s="154" t="s">
        <v>150</v>
      </c>
      <c r="F22" s="154" t="s">
        <v>268</v>
      </c>
      <c r="G22" s="258">
        <v>15</v>
      </c>
      <c r="H22" s="220">
        <v>2652.25</v>
      </c>
      <c r="I22" s="23">
        <f t="shared" si="0"/>
        <v>176.81666666666666</v>
      </c>
      <c r="J22" s="220">
        <v>12.6</v>
      </c>
      <c r="K22" s="23">
        <f>I22*J22</f>
        <v>2227.89</v>
      </c>
      <c r="L22" s="23">
        <f t="shared" ref="L22" si="14">H22*2+K22</f>
        <v>7532.3899999999994</v>
      </c>
      <c r="M22" s="23"/>
      <c r="N22" s="23">
        <f t="shared" ref="N22" si="15">L22-M22</f>
        <v>7532.3899999999994</v>
      </c>
      <c r="O22" s="152"/>
      <c r="P22" s="152">
        <v>21.86</v>
      </c>
      <c r="Q22" s="152"/>
      <c r="R22" s="23">
        <f>K22-Q22</f>
        <v>2227.89</v>
      </c>
      <c r="S22" s="252"/>
    </row>
    <row r="23" spans="4:19" ht="32.1" customHeight="1" x14ac:dyDescent="0.25">
      <c r="D23" s="148"/>
      <c r="E23" s="146" t="s">
        <v>104</v>
      </c>
      <c r="F23" s="154"/>
      <c r="G23" s="255"/>
      <c r="H23" s="220"/>
      <c r="I23" s="152"/>
      <c r="J23" s="220"/>
      <c r="K23" s="152"/>
      <c r="L23" s="152"/>
      <c r="M23" s="152"/>
      <c r="N23" s="152"/>
      <c r="O23" s="152"/>
      <c r="P23" s="152"/>
      <c r="Q23" s="152"/>
      <c r="R23" s="152"/>
      <c r="S23" s="252"/>
    </row>
    <row r="24" spans="4:19" ht="32.1" customHeight="1" x14ac:dyDescent="0.2">
      <c r="D24" s="148">
        <v>9</v>
      </c>
      <c r="E24" s="154" t="s">
        <v>140</v>
      </c>
      <c r="F24" s="154" t="s">
        <v>105</v>
      </c>
      <c r="G24" s="255">
        <v>15</v>
      </c>
      <c r="H24" s="220">
        <v>3475.22</v>
      </c>
      <c r="I24" s="23">
        <f t="shared" si="0"/>
        <v>231.68133333333333</v>
      </c>
      <c r="J24" s="220">
        <v>12.6</v>
      </c>
      <c r="K24" s="23">
        <f t="shared" ref="K24" si="16">J24*I24</f>
        <v>2919.1848</v>
      </c>
      <c r="L24" s="23">
        <f t="shared" ref="L24" si="17">H24*2+K24</f>
        <v>9869.6247999999996</v>
      </c>
      <c r="M24" s="23"/>
      <c r="N24" s="23">
        <f t="shared" ref="N24" si="18">L24-M24</f>
        <v>9869.6247999999996</v>
      </c>
      <c r="O24" s="152">
        <v>891.43</v>
      </c>
      <c r="P24" s="152">
        <f>131.67*2</f>
        <v>263.33999999999997</v>
      </c>
      <c r="Q24" s="23">
        <f>O24-P24</f>
        <v>628.08999999999992</v>
      </c>
      <c r="R24" s="23">
        <f>K24-Q24</f>
        <v>2291.0947999999999</v>
      </c>
      <c r="S24" s="252"/>
    </row>
    <row r="25" spans="4:19" ht="32.1" customHeight="1" x14ac:dyDescent="0.25">
      <c r="D25" s="148"/>
      <c r="E25" s="146" t="s">
        <v>96</v>
      </c>
      <c r="F25" s="154"/>
      <c r="G25" s="255"/>
      <c r="H25" s="220"/>
      <c r="I25" s="152"/>
      <c r="J25" s="220"/>
      <c r="K25" s="152"/>
      <c r="L25" s="152"/>
      <c r="M25" s="152"/>
      <c r="N25" s="152"/>
      <c r="O25" s="152"/>
      <c r="P25" s="152"/>
      <c r="Q25" s="152"/>
      <c r="R25" s="152"/>
      <c r="S25" s="252"/>
    </row>
    <row r="26" spans="4:19" ht="32.1" customHeight="1" x14ac:dyDescent="0.2">
      <c r="D26" s="148">
        <v>10</v>
      </c>
      <c r="E26" s="154" t="s">
        <v>156</v>
      </c>
      <c r="F26" s="154" t="s">
        <v>72</v>
      </c>
      <c r="G26" s="255">
        <v>15</v>
      </c>
      <c r="H26" s="220">
        <v>3475.22</v>
      </c>
      <c r="I26" s="23">
        <f t="shared" si="0"/>
        <v>231.68133333333333</v>
      </c>
      <c r="J26" s="220">
        <v>12.6</v>
      </c>
      <c r="K26" s="23">
        <f t="shared" ref="K26" si="19">J26*I26</f>
        <v>2919.1848</v>
      </c>
      <c r="L26" s="23">
        <f t="shared" ref="L26" si="20">H26*2+K26</f>
        <v>9869.6247999999996</v>
      </c>
      <c r="M26" s="23"/>
      <c r="N26" s="23">
        <f t="shared" ref="N26" si="21">L26-M26</f>
        <v>9869.6247999999996</v>
      </c>
      <c r="O26" s="152">
        <v>891.43</v>
      </c>
      <c r="P26" s="152">
        <f>131.67*2</f>
        <v>263.33999999999997</v>
      </c>
      <c r="Q26" s="23">
        <f>O26-P26</f>
        <v>628.08999999999992</v>
      </c>
      <c r="R26" s="23">
        <f>K26-Q26</f>
        <v>2291.0947999999999</v>
      </c>
      <c r="S26" s="252"/>
    </row>
    <row r="27" spans="4:19" ht="32.1" customHeight="1" x14ac:dyDescent="0.2">
      <c r="D27" s="148">
        <v>11</v>
      </c>
      <c r="E27" s="154" t="s">
        <v>141</v>
      </c>
      <c r="F27" s="154" t="s">
        <v>142</v>
      </c>
      <c r="G27" s="255">
        <v>15</v>
      </c>
      <c r="H27" s="76">
        <v>2111.5</v>
      </c>
      <c r="I27" s="23">
        <f t="shared" si="0"/>
        <v>140.76666666666668</v>
      </c>
      <c r="J27" s="220">
        <v>12.6</v>
      </c>
      <c r="K27" s="23">
        <f t="shared" ref="K27" si="22">J27*I27</f>
        <v>1773.66</v>
      </c>
      <c r="L27" s="23">
        <f t="shared" ref="L27" si="23">H27*2+K27</f>
        <v>5996.66</v>
      </c>
      <c r="M27" s="23"/>
      <c r="N27" s="23">
        <f t="shared" ref="N27" si="24">L27-M27</f>
        <v>5996.66</v>
      </c>
      <c r="O27" s="151">
        <v>108.64</v>
      </c>
      <c r="P27" s="152"/>
      <c r="Q27" s="23">
        <f>O27-P27</f>
        <v>108.64</v>
      </c>
      <c r="R27" s="23">
        <f>K27-Q27</f>
        <v>1665.02</v>
      </c>
      <c r="S27" s="252"/>
    </row>
    <row r="28" spans="4:19" ht="32.1" customHeight="1" x14ac:dyDescent="0.2">
      <c r="D28" s="148">
        <v>12</v>
      </c>
      <c r="E28" s="162" t="s">
        <v>16</v>
      </c>
      <c r="F28" s="154" t="s">
        <v>17</v>
      </c>
      <c r="G28" s="255">
        <v>15</v>
      </c>
      <c r="H28" s="220">
        <v>1980</v>
      </c>
      <c r="I28" s="23">
        <f t="shared" si="0"/>
        <v>132</v>
      </c>
      <c r="J28" s="220">
        <v>12.6</v>
      </c>
      <c r="K28" s="23">
        <f t="shared" ref="K28" si="25">J28*I28</f>
        <v>1663.2</v>
      </c>
      <c r="L28" s="23">
        <f t="shared" ref="L28" si="26">H28*2+K28</f>
        <v>5623.2</v>
      </c>
      <c r="M28" s="23"/>
      <c r="N28" s="23">
        <f t="shared" ref="N28" si="27">L28-M28</f>
        <v>5623.2</v>
      </c>
      <c r="O28" s="152">
        <v>71.28</v>
      </c>
      <c r="P28" s="152"/>
      <c r="Q28" s="23">
        <f>O28-P28</f>
        <v>71.28</v>
      </c>
      <c r="R28" s="23">
        <f>K28-Q28</f>
        <v>1591.92</v>
      </c>
      <c r="S28" s="252"/>
    </row>
    <row r="29" spans="4:19" ht="32.1" customHeight="1" x14ac:dyDescent="0.25">
      <c r="D29" s="148"/>
      <c r="E29" s="146" t="s">
        <v>79</v>
      </c>
      <c r="F29" s="154"/>
      <c r="G29" s="255"/>
      <c r="H29" s="220"/>
      <c r="I29" s="152"/>
      <c r="J29" s="220"/>
      <c r="K29" s="152"/>
      <c r="L29" s="152"/>
      <c r="M29" s="152"/>
      <c r="N29" s="152"/>
      <c r="O29" s="152"/>
      <c r="P29" s="152"/>
      <c r="Q29" s="152"/>
      <c r="R29" s="152"/>
      <c r="S29" s="252"/>
    </row>
    <row r="30" spans="4:19" ht="32.1" customHeight="1" x14ac:dyDescent="0.2">
      <c r="D30" s="148">
        <v>13</v>
      </c>
      <c r="E30" s="154" t="s">
        <v>106</v>
      </c>
      <c r="F30" s="154" t="s">
        <v>22</v>
      </c>
      <c r="G30" s="255">
        <v>15</v>
      </c>
      <c r="H30" s="220">
        <v>3185</v>
      </c>
      <c r="I30" s="23">
        <f t="shared" si="0"/>
        <v>212.33333333333334</v>
      </c>
      <c r="J30" s="220">
        <v>12.6</v>
      </c>
      <c r="K30" s="23">
        <f t="shared" ref="K30" si="28">J30*I30</f>
        <v>2675.4</v>
      </c>
      <c r="L30" s="23">
        <f t="shared" ref="L30" si="29">H30*2+K30</f>
        <v>9045.4</v>
      </c>
      <c r="M30" s="23"/>
      <c r="N30" s="23">
        <f t="shared" ref="N30:N32" si="30">L30-M30</f>
        <v>9045.4</v>
      </c>
      <c r="O30" s="152">
        <v>759.55</v>
      </c>
      <c r="P30" s="152">
        <f>228.7*2</f>
        <v>457.4</v>
      </c>
      <c r="Q30" s="23">
        <f>O30-P30</f>
        <v>302.14999999999998</v>
      </c>
      <c r="R30" s="23">
        <f>K30-Q30</f>
        <v>2373.25</v>
      </c>
      <c r="S30" s="252"/>
    </row>
    <row r="31" spans="4:19" ht="32.1" customHeight="1" x14ac:dyDescent="0.25">
      <c r="D31" s="148"/>
      <c r="E31" s="146" t="s">
        <v>85</v>
      </c>
      <c r="F31" s="154"/>
      <c r="G31" s="255"/>
      <c r="H31" s="220"/>
      <c r="I31" s="152"/>
      <c r="J31" s="220"/>
      <c r="K31" s="152"/>
      <c r="L31" s="152"/>
      <c r="M31" s="152"/>
      <c r="N31" s="152"/>
      <c r="O31" s="152"/>
      <c r="P31" s="152"/>
      <c r="Q31" s="152"/>
      <c r="R31" s="152"/>
      <c r="S31" s="252"/>
    </row>
    <row r="32" spans="4:19" ht="32.1" customHeight="1" x14ac:dyDescent="0.2">
      <c r="D32" s="148">
        <v>15</v>
      </c>
      <c r="E32" s="154" t="s">
        <v>80</v>
      </c>
      <c r="F32" s="155" t="s">
        <v>81</v>
      </c>
      <c r="G32" s="255">
        <v>15</v>
      </c>
      <c r="H32" s="220">
        <v>3475</v>
      </c>
      <c r="I32" s="23">
        <f t="shared" si="0"/>
        <v>231.66666666666666</v>
      </c>
      <c r="J32" s="220">
        <v>12.6</v>
      </c>
      <c r="K32" s="23">
        <f t="shared" ref="K32:K33" si="31">J32*I32</f>
        <v>2919</v>
      </c>
      <c r="L32" s="23">
        <f t="shared" ref="L32:L33" si="32">H32*2+K32</f>
        <v>9869</v>
      </c>
      <c r="M32" s="152"/>
      <c r="N32" s="23">
        <f t="shared" si="30"/>
        <v>9869</v>
      </c>
      <c r="O32" s="152"/>
      <c r="P32" s="152">
        <v>131.65</v>
      </c>
      <c r="Q32" s="152">
        <v>0</v>
      </c>
      <c r="R32" s="152">
        <f>J32+L32-P32-Q32</f>
        <v>9749.9500000000007</v>
      </c>
      <c r="S32" s="252"/>
    </row>
    <row r="33" spans="2:19" ht="24.95" customHeight="1" x14ac:dyDescent="0.2">
      <c r="D33" s="148">
        <v>14</v>
      </c>
      <c r="E33" s="154" t="s">
        <v>21</v>
      </c>
      <c r="F33" s="155" t="s">
        <v>330</v>
      </c>
      <c r="G33" s="255">
        <v>15</v>
      </c>
      <c r="H33" s="220">
        <v>3896.93</v>
      </c>
      <c r="I33" s="23">
        <f t="shared" ref="I33" si="33">H33/15</f>
        <v>259.7953333333333</v>
      </c>
      <c r="J33" s="220">
        <v>12.6</v>
      </c>
      <c r="K33" s="23">
        <f t="shared" si="31"/>
        <v>3273.4211999999993</v>
      </c>
      <c r="L33" s="23">
        <f t="shared" si="32"/>
        <v>11067.281199999999</v>
      </c>
      <c r="M33" s="152"/>
      <c r="N33" s="23">
        <f t="shared" ref="N33" si="34">L33-M33</f>
        <v>11067.281199999999</v>
      </c>
      <c r="O33" s="152">
        <v>1102.95</v>
      </c>
      <c r="P33" s="152">
        <f>302.58*2</f>
        <v>605.16</v>
      </c>
      <c r="Q33" s="23">
        <f>O33-P33</f>
        <v>497.79000000000008</v>
      </c>
      <c r="R33" s="23">
        <f>K33-Q33</f>
        <v>2775.6311999999994</v>
      </c>
      <c r="S33" s="287"/>
    </row>
    <row r="34" spans="2:19" ht="21.95" customHeight="1" x14ac:dyDescent="0.25">
      <c r="B34" s="41"/>
      <c r="C34" s="41"/>
      <c r="D34" s="428" t="s">
        <v>11</v>
      </c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</row>
    <row r="35" spans="2:19" ht="21.95" customHeight="1" x14ac:dyDescent="0.25">
      <c r="B35" s="41"/>
      <c r="C35" s="41"/>
      <c r="D35" s="428" t="s">
        <v>175</v>
      </c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</row>
    <row r="36" spans="2:19" ht="21.95" customHeight="1" x14ac:dyDescent="0.25">
      <c r="B36" s="41"/>
      <c r="C36" s="41"/>
      <c r="D36" s="428" t="str">
        <f>D5</f>
        <v>NOMINA AGUINALDO CORRESPONDIENTE AL 2018</v>
      </c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</row>
    <row r="37" spans="2:19" ht="21.95" customHeight="1" x14ac:dyDescent="0.25">
      <c r="B37" s="41"/>
      <c r="C37" s="41"/>
      <c r="D37" s="428" t="s">
        <v>162</v>
      </c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</row>
    <row r="38" spans="2:19" ht="18.75" customHeight="1" x14ac:dyDescent="0.2">
      <c r="B38" s="41"/>
      <c r="C38" s="41"/>
      <c r="D38" s="17"/>
      <c r="E38" s="110"/>
      <c r="F38" s="110"/>
      <c r="G38" s="103" t="s">
        <v>3</v>
      </c>
      <c r="H38" s="111"/>
      <c r="I38" s="204"/>
      <c r="J38" s="429">
        <v>2018</v>
      </c>
      <c r="K38" s="430"/>
      <c r="L38" s="431"/>
      <c r="M38" s="205"/>
      <c r="N38" s="205"/>
      <c r="O38" s="205"/>
      <c r="P38" s="429"/>
      <c r="Q38" s="430"/>
      <c r="R38" s="430"/>
      <c r="S38" s="103"/>
    </row>
    <row r="39" spans="2:19" ht="12" customHeight="1" x14ac:dyDescent="0.2">
      <c r="B39" s="41"/>
      <c r="C39" s="41"/>
      <c r="D39" s="19" t="s">
        <v>2</v>
      </c>
      <c r="E39" s="99"/>
      <c r="F39" s="99"/>
      <c r="G39" s="102" t="s">
        <v>4</v>
      </c>
      <c r="H39" s="103" t="s">
        <v>1</v>
      </c>
      <c r="I39" s="103"/>
      <c r="J39" s="103" t="s">
        <v>316</v>
      </c>
      <c r="K39" s="103"/>
      <c r="L39" s="112" t="s">
        <v>318</v>
      </c>
      <c r="M39" s="112" t="s">
        <v>310</v>
      </c>
      <c r="N39" s="112" t="s">
        <v>320</v>
      </c>
      <c r="O39" s="112" t="s">
        <v>321</v>
      </c>
      <c r="P39" s="104" t="s">
        <v>313</v>
      </c>
      <c r="Q39" s="104" t="s">
        <v>313</v>
      </c>
      <c r="R39" s="104" t="s">
        <v>167</v>
      </c>
      <c r="S39" s="99" t="s">
        <v>169</v>
      </c>
    </row>
    <row r="40" spans="2:19" ht="18.75" customHeight="1" x14ac:dyDescent="0.25">
      <c r="B40" s="41"/>
      <c r="C40" s="41"/>
      <c r="D40" s="19"/>
      <c r="E40" s="105"/>
      <c r="F40" s="105" t="s">
        <v>9</v>
      </c>
      <c r="G40" s="99"/>
      <c r="H40" s="99" t="s">
        <v>6</v>
      </c>
      <c r="I40" s="99"/>
      <c r="J40" s="99" t="s">
        <v>317</v>
      </c>
      <c r="K40" s="99" t="s">
        <v>306</v>
      </c>
      <c r="L40" s="113" t="s">
        <v>307</v>
      </c>
      <c r="M40" s="113" t="s">
        <v>306</v>
      </c>
      <c r="N40" s="113" t="s">
        <v>312</v>
      </c>
      <c r="O40" s="113" t="s">
        <v>164</v>
      </c>
      <c r="P40" s="103" t="s">
        <v>314</v>
      </c>
      <c r="Q40" s="103" t="s">
        <v>306</v>
      </c>
      <c r="R40" s="103" t="s">
        <v>170</v>
      </c>
      <c r="S40" s="99"/>
    </row>
    <row r="41" spans="2:19" ht="14.25" customHeight="1" x14ac:dyDescent="0.25">
      <c r="B41" s="41"/>
      <c r="C41" s="41"/>
      <c r="D41" s="18"/>
      <c r="E41" s="106" t="s">
        <v>13</v>
      </c>
      <c r="F41" s="106" t="s">
        <v>8</v>
      </c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</row>
    <row r="42" spans="2:19" ht="36.950000000000003" customHeight="1" x14ac:dyDescent="0.25">
      <c r="B42" s="41"/>
      <c r="C42" s="41"/>
      <c r="D42" s="147"/>
      <c r="E42" s="145" t="s">
        <v>239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20"/>
    </row>
    <row r="43" spans="2:19" ht="36.950000000000003" customHeight="1" x14ac:dyDescent="0.25">
      <c r="B43" s="41"/>
      <c r="C43" s="41"/>
      <c r="D43" s="147">
        <v>16</v>
      </c>
      <c r="E43" s="292" t="s">
        <v>221</v>
      </c>
      <c r="F43" s="217" t="s">
        <v>23</v>
      </c>
      <c r="G43" s="291"/>
      <c r="H43" s="259">
        <v>6120</v>
      </c>
      <c r="I43" s="220"/>
      <c r="J43" s="220">
        <v>12.6</v>
      </c>
      <c r="K43" s="220">
        <v>5140.8</v>
      </c>
      <c r="L43" s="220"/>
      <c r="M43" s="220"/>
      <c r="N43" s="220"/>
      <c r="O43" s="220"/>
      <c r="P43" s="271"/>
      <c r="Q43" s="271">
        <v>564.58000000000004</v>
      </c>
      <c r="R43" s="220">
        <v>4576.22</v>
      </c>
      <c r="S43" s="23"/>
    </row>
    <row r="44" spans="2:19" ht="44.25" customHeight="1" x14ac:dyDescent="0.2">
      <c r="D44" s="148">
        <v>17</v>
      </c>
      <c r="E44" s="149" t="s">
        <v>136</v>
      </c>
      <c r="F44" s="150" t="s">
        <v>137</v>
      </c>
      <c r="G44" s="255">
        <v>15</v>
      </c>
      <c r="H44" s="76">
        <v>3280.55</v>
      </c>
      <c r="I44" s="23">
        <f t="shared" ref="I44" si="35">H44/15</f>
        <v>218.70333333333335</v>
      </c>
      <c r="J44" s="220">
        <v>12.6</v>
      </c>
      <c r="K44" s="23">
        <f t="shared" ref="K44" si="36">J44*I44</f>
        <v>2755.6620000000003</v>
      </c>
      <c r="L44" s="23">
        <f t="shared" ref="L44" si="37">H44*2+K44</f>
        <v>9316.7620000000006</v>
      </c>
      <c r="M44" s="152"/>
      <c r="N44" s="23">
        <f t="shared" ref="N44" si="38">L44-M44</f>
        <v>9316.7620000000006</v>
      </c>
      <c r="O44" s="152">
        <v>802.97</v>
      </c>
      <c r="P44" s="152">
        <f>110.55*2</f>
        <v>221.1</v>
      </c>
      <c r="Q44" s="23">
        <f>O44-P44</f>
        <v>581.87</v>
      </c>
      <c r="R44" s="23">
        <f>K44-Q44</f>
        <v>2173.7920000000004</v>
      </c>
      <c r="S44" s="252"/>
    </row>
    <row r="45" spans="2:19" ht="36.950000000000003" customHeight="1" x14ac:dyDescent="0.25">
      <c r="D45" s="148"/>
      <c r="E45" s="146" t="s">
        <v>24</v>
      </c>
      <c r="F45" s="154"/>
      <c r="G45" s="255"/>
      <c r="H45" s="220"/>
      <c r="I45" s="152"/>
      <c r="J45" s="220"/>
      <c r="K45" s="152"/>
      <c r="L45" s="152"/>
      <c r="M45" s="152"/>
      <c r="N45" s="152"/>
      <c r="O45" s="152"/>
      <c r="P45" s="152"/>
      <c r="Q45" s="152"/>
      <c r="R45" s="153"/>
      <c r="S45" s="239"/>
    </row>
    <row r="46" spans="2:19" ht="36.950000000000003" customHeight="1" x14ac:dyDescent="0.2">
      <c r="D46" s="148">
        <v>18</v>
      </c>
      <c r="E46" s="154" t="s">
        <v>226</v>
      </c>
      <c r="F46" s="154" t="s">
        <v>25</v>
      </c>
      <c r="G46" s="255">
        <v>15</v>
      </c>
      <c r="H46" s="220">
        <v>12853</v>
      </c>
      <c r="I46" s="23">
        <f>H46/15</f>
        <v>856.86666666666667</v>
      </c>
      <c r="J46" s="220">
        <v>12.6</v>
      </c>
      <c r="K46" s="23">
        <f>J46*I46</f>
        <v>10796.52</v>
      </c>
      <c r="L46" s="23">
        <f>H46*2+K46</f>
        <v>36502.520000000004</v>
      </c>
      <c r="M46" s="23">
        <f>30*80.6</f>
        <v>2418</v>
      </c>
      <c r="N46" s="23">
        <f>L46-M46</f>
        <v>34084.520000000004</v>
      </c>
      <c r="O46" s="152">
        <v>6200.08</v>
      </c>
      <c r="P46" s="152">
        <f>2126.65*2</f>
        <v>4253.3</v>
      </c>
      <c r="Q46" s="23">
        <f>O46-P46</f>
        <v>1946.7799999999997</v>
      </c>
      <c r="R46" s="23">
        <f>K46-Q46</f>
        <v>8849.7400000000016</v>
      </c>
      <c r="S46" s="252"/>
    </row>
    <row r="47" spans="2:19" ht="36.950000000000003" customHeight="1" x14ac:dyDescent="0.2">
      <c r="D47" s="148">
        <v>19</v>
      </c>
      <c r="E47" s="154" t="s">
        <v>26</v>
      </c>
      <c r="F47" s="154" t="s">
        <v>15</v>
      </c>
      <c r="G47" s="255">
        <v>15</v>
      </c>
      <c r="H47" s="220">
        <v>3564.83</v>
      </c>
      <c r="I47" s="23">
        <f t="shared" ref="I47" si="39">H47/15</f>
        <v>237.65533333333332</v>
      </c>
      <c r="J47" s="220">
        <v>12.6</v>
      </c>
      <c r="K47" s="23">
        <f t="shared" ref="K47" si="40">J47*I47</f>
        <v>2994.4571999999998</v>
      </c>
      <c r="L47" s="23">
        <f t="shared" ref="L47" si="41">H47*2+K47</f>
        <v>10124.117200000001</v>
      </c>
      <c r="M47" s="152"/>
      <c r="N47" s="23">
        <f>L47-M47</f>
        <v>10124.117200000001</v>
      </c>
      <c r="O47" s="152">
        <v>933.93</v>
      </c>
      <c r="P47" s="152">
        <f>159.15*2</f>
        <v>318.3</v>
      </c>
      <c r="Q47" s="23">
        <f>O47-P47</f>
        <v>615.62999999999988</v>
      </c>
      <c r="R47" s="23">
        <f>K47-Q47</f>
        <v>2378.8271999999997</v>
      </c>
      <c r="S47" s="252"/>
    </row>
    <row r="48" spans="2:19" ht="36.950000000000003" customHeight="1" x14ac:dyDescent="0.2">
      <c r="D48" s="148">
        <v>20</v>
      </c>
      <c r="E48" s="154" t="s">
        <v>108</v>
      </c>
      <c r="F48" s="154" t="s">
        <v>15</v>
      </c>
      <c r="G48" s="255">
        <v>15</v>
      </c>
      <c r="H48" s="76">
        <v>3564.83</v>
      </c>
      <c r="I48" s="23">
        <f t="shared" ref="I48" si="42">H48/15</f>
        <v>237.65533333333332</v>
      </c>
      <c r="J48" s="220">
        <v>12.6</v>
      </c>
      <c r="K48" s="23">
        <f t="shared" ref="K48" si="43">J48*I48</f>
        <v>2994.4571999999998</v>
      </c>
      <c r="L48" s="23">
        <f t="shared" ref="L48" si="44">H48*2+K48</f>
        <v>10124.117200000001</v>
      </c>
      <c r="M48" s="152"/>
      <c r="N48" s="23">
        <f>L48-M48</f>
        <v>10124.117200000001</v>
      </c>
      <c r="O48" s="152">
        <v>933.93</v>
      </c>
      <c r="P48" s="152">
        <f>159.15*2</f>
        <v>318.3</v>
      </c>
      <c r="Q48" s="23">
        <f>O48-P48</f>
        <v>615.62999999999988</v>
      </c>
      <c r="R48" s="23">
        <f>K48-Q48</f>
        <v>2378.8271999999997</v>
      </c>
      <c r="S48" s="252"/>
    </row>
    <row r="49" spans="2:19" ht="36.950000000000003" customHeight="1" x14ac:dyDescent="0.2">
      <c r="D49" s="148">
        <v>21</v>
      </c>
      <c r="E49" s="154" t="s">
        <v>27</v>
      </c>
      <c r="F49" s="154" t="s">
        <v>15</v>
      </c>
      <c r="G49" s="255">
        <v>15</v>
      </c>
      <c r="H49" s="220">
        <v>3564.83</v>
      </c>
      <c r="I49" s="23">
        <f t="shared" ref="I49" si="45">H49/15</f>
        <v>237.65533333333332</v>
      </c>
      <c r="J49" s="220">
        <v>12.6</v>
      </c>
      <c r="K49" s="23">
        <f t="shared" ref="K49" si="46">J49*I49</f>
        <v>2994.4571999999998</v>
      </c>
      <c r="L49" s="23">
        <f t="shared" ref="L49" si="47">H49*2+K49</f>
        <v>10124.117200000001</v>
      </c>
      <c r="M49" s="152"/>
      <c r="N49" s="23">
        <f>L49-M49</f>
        <v>10124.117200000001</v>
      </c>
      <c r="O49" s="152">
        <v>933.93</v>
      </c>
      <c r="P49" s="152">
        <f>159.15*2</f>
        <v>318.3</v>
      </c>
      <c r="Q49" s="23">
        <f>O49-P49</f>
        <v>615.62999999999988</v>
      </c>
      <c r="R49" s="23">
        <f>K49-Q49</f>
        <v>2378.8271999999997</v>
      </c>
      <c r="S49" s="250"/>
    </row>
    <row r="50" spans="2:19" ht="36.950000000000003" customHeight="1" x14ac:dyDescent="0.25">
      <c r="D50" s="148"/>
      <c r="E50" s="146" t="s">
        <v>93</v>
      </c>
      <c r="F50" s="154"/>
      <c r="G50" s="255"/>
      <c r="H50" s="220"/>
      <c r="I50" s="152"/>
      <c r="J50" s="220"/>
      <c r="K50" s="152"/>
      <c r="L50" s="152"/>
      <c r="M50" s="152"/>
      <c r="N50" s="152"/>
      <c r="O50" s="152"/>
      <c r="P50" s="152"/>
      <c r="Q50" s="152"/>
      <c r="R50" s="153"/>
      <c r="S50" s="239"/>
    </row>
    <row r="51" spans="2:19" ht="43.5" customHeight="1" x14ac:dyDescent="0.2">
      <c r="D51" s="148">
        <v>22</v>
      </c>
      <c r="E51" s="154" t="s">
        <v>56</v>
      </c>
      <c r="F51" s="155" t="s">
        <v>227</v>
      </c>
      <c r="G51" s="255">
        <v>15</v>
      </c>
      <c r="H51" s="220">
        <v>3475.22</v>
      </c>
      <c r="I51" s="23">
        <f t="shared" ref="I51" si="48">H51/15</f>
        <v>231.68133333333333</v>
      </c>
      <c r="J51" s="220">
        <v>12.6</v>
      </c>
      <c r="K51" s="23">
        <f t="shared" ref="K51" si="49">J51*I51</f>
        <v>2919.1848</v>
      </c>
      <c r="L51" s="23">
        <f t="shared" ref="L51" si="50">H51*2+K51</f>
        <v>9869.6247999999996</v>
      </c>
      <c r="M51" s="152"/>
      <c r="N51" s="23">
        <f>L51-M51</f>
        <v>9869.6247999999996</v>
      </c>
      <c r="O51" s="152">
        <v>891.43</v>
      </c>
      <c r="P51" s="152">
        <f>131.67*2</f>
        <v>263.33999999999997</v>
      </c>
      <c r="Q51" s="23">
        <f>O51-P51</f>
        <v>628.08999999999992</v>
      </c>
      <c r="R51" s="23">
        <f>K51-Q51</f>
        <v>2291.0947999999999</v>
      </c>
      <c r="S51" s="252"/>
    </row>
    <row r="52" spans="2:19" ht="36.950000000000003" customHeight="1" x14ac:dyDescent="0.25">
      <c r="D52" s="148"/>
      <c r="E52" s="146" t="s">
        <v>28</v>
      </c>
      <c r="F52" s="154"/>
      <c r="G52" s="255"/>
      <c r="H52" s="220"/>
      <c r="I52" s="152"/>
      <c r="J52" s="220"/>
      <c r="K52" s="152"/>
      <c r="L52" s="152"/>
      <c r="M52" s="152"/>
      <c r="N52" s="152"/>
      <c r="O52" s="152"/>
      <c r="P52" s="152"/>
      <c r="Q52" s="152"/>
      <c r="R52" s="153"/>
      <c r="S52" s="252"/>
    </row>
    <row r="53" spans="2:19" ht="36.950000000000003" customHeight="1" x14ac:dyDescent="0.2">
      <c r="D53" s="148">
        <v>23</v>
      </c>
      <c r="E53" s="154" t="s">
        <v>179</v>
      </c>
      <c r="F53" s="154" t="s">
        <v>29</v>
      </c>
      <c r="G53" s="255">
        <v>15</v>
      </c>
      <c r="H53" s="220">
        <v>6864</v>
      </c>
      <c r="I53" s="23">
        <f t="shared" ref="I53" si="51">H53/15</f>
        <v>457.6</v>
      </c>
      <c r="J53" s="220">
        <v>12.6</v>
      </c>
      <c r="K53" s="23">
        <f t="shared" ref="K53" si="52">J53*I53</f>
        <v>5765.76</v>
      </c>
      <c r="L53" s="23">
        <f t="shared" ref="L53" si="53">H53*2+K53</f>
        <v>19493.760000000002</v>
      </c>
      <c r="M53" s="152"/>
      <c r="N53" s="23">
        <f>L53-M53</f>
        <v>19493.760000000002</v>
      </c>
      <c r="O53" s="152">
        <v>2870.41</v>
      </c>
      <c r="P53" s="152">
        <f>927.93*2</f>
        <v>1855.86</v>
      </c>
      <c r="Q53" s="23">
        <f>O53-P53</f>
        <v>1014.55</v>
      </c>
      <c r="R53" s="23">
        <f>K53-Q53</f>
        <v>4751.21</v>
      </c>
      <c r="S53" s="252"/>
    </row>
    <row r="54" spans="2:19" ht="36.950000000000003" customHeight="1" x14ac:dyDescent="0.2">
      <c r="D54" s="148">
        <v>24</v>
      </c>
      <c r="E54" s="154" t="s">
        <v>82</v>
      </c>
      <c r="F54" s="154" t="s">
        <v>73</v>
      </c>
      <c r="G54" s="255">
        <v>15</v>
      </c>
      <c r="H54" s="220">
        <v>4176.6499999999996</v>
      </c>
      <c r="I54" s="23">
        <f t="shared" ref="I54" si="54">H54/15</f>
        <v>278.44333333333333</v>
      </c>
      <c r="J54" s="220">
        <v>12.6</v>
      </c>
      <c r="K54" s="23">
        <f t="shared" ref="K54" si="55">J54*I54</f>
        <v>3508.386</v>
      </c>
      <c r="L54" s="23">
        <f t="shared" ref="L54" si="56">H54*2+K54</f>
        <v>11861.686</v>
      </c>
      <c r="M54" s="152"/>
      <c r="N54" s="23">
        <f>L54-M54</f>
        <v>11861.686</v>
      </c>
      <c r="O54" s="152">
        <v>1245.31</v>
      </c>
      <c r="P54" s="152">
        <f>333.02*2</f>
        <v>666.04</v>
      </c>
      <c r="Q54" s="23">
        <f>O54-P54</f>
        <v>579.27</v>
      </c>
      <c r="R54" s="23">
        <f>K54-Q54</f>
        <v>2929.116</v>
      </c>
      <c r="S54" s="252"/>
    </row>
    <row r="55" spans="2:19" ht="36.950000000000003" customHeight="1" x14ac:dyDescent="0.2">
      <c r="D55" s="148">
        <v>25</v>
      </c>
      <c r="E55" s="154" t="s">
        <v>217</v>
      </c>
      <c r="F55" s="154" t="s">
        <v>73</v>
      </c>
      <c r="G55" s="255">
        <v>15</v>
      </c>
      <c r="H55" s="220">
        <v>5563</v>
      </c>
      <c r="I55" s="23">
        <f t="shared" ref="I55" si="57">H55/15</f>
        <v>370.86666666666667</v>
      </c>
      <c r="J55" s="220">
        <v>12.6</v>
      </c>
      <c r="K55" s="23">
        <v>4056</v>
      </c>
      <c r="L55" s="23">
        <f t="shared" ref="L55" si="58">H55*2+K55</f>
        <v>15182</v>
      </c>
      <c r="M55" s="152"/>
      <c r="N55" s="23">
        <f>L55-M55</f>
        <v>15182</v>
      </c>
      <c r="O55" s="152">
        <v>2081.19</v>
      </c>
      <c r="P55" s="152">
        <f>562.53*2</f>
        <v>1125.06</v>
      </c>
      <c r="Q55" s="23">
        <f>O55-P55</f>
        <v>956.13000000000011</v>
      </c>
      <c r="R55" s="23">
        <f>K55-Q55</f>
        <v>3099.87</v>
      </c>
      <c r="S55" s="250"/>
    </row>
    <row r="56" spans="2:19" ht="36.950000000000003" customHeight="1" x14ac:dyDescent="0.25">
      <c r="D56" s="6"/>
      <c r="E56" s="9"/>
      <c r="F56" s="5"/>
      <c r="G56" s="255"/>
      <c r="H56" s="276">
        <f>H44+H46+H47+H48+H49+H51+H53+H54+H55</f>
        <v>46906.91</v>
      </c>
      <c r="I56" s="276">
        <f>I44+I46+I47+I48+I49+I51+I53+I54+I55</f>
        <v>3127.1273333333334</v>
      </c>
      <c r="J56" s="277"/>
      <c r="K56" s="276">
        <f>SUM(K43:K55)</f>
        <v>43925.684399999998</v>
      </c>
      <c r="L56" s="276">
        <f>L44+L46+L47+L48+L49+L51+L53+L54+L55</f>
        <v>132598.70439999999</v>
      </c>
      <c r="M56" s="277"/>
      <c r="N56" s="276">
        <f>N44+N46+N47+N48+N49+N51+N53+N54+N55</f>
        <v>130180.7044</v>
      </c>
      <c r="O56" s="276">
        <f>O44+O46+O47+O48+O49+O51+O53+O54+O55</f>
        <v>16893.18</v>
      </c>
      <c r="P56" s="276">
        <f>P44+P46+P47+P48+P49+P51+P53+P54+P55</f>
        <v>9339.6</v>
      </c>
      <c r="Q56" s="276">
        <f>SUM(Q43:Q55)</f>
        <v>8118.1600000000008</v>
      </c>
      <c r="R56" s="276">
        <f>SUM(R43:R55)</f>
        <v>35807.524400000002</v>
      </c>
      <c r="S56" s="23"/>
    </row>
    <row r="57" spans="2:19" ht="36.950000000000003" customHeight="1" x14ac:dyDescent="0.2">
      <c r="D57" s="88"/>
      <c r="E57" s="273"/>
      <c r="F57" s="274"/>
      <c r="G57" s="275"/>
      <c r="H57" s="272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</row>
    <row r="58" spans="2:19" ht="21.95" customHeight="1" x14ac:dyDescent="0.3">
      <c r="B58" s="41"/>
      <c r="C58" s="41"/>
      <c r="D58" s="432" t="s">
        <v>11</v>
      </c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</row>
    <row r="59" spans="2:19" ht="21.95" customHeight="1" x14ac:dyDescent="0.3">
      <c r="B59" s="41"/>
      <c r="C59" s="41"/>
      <c r="D59" s="432" t="s">
        <v>175</v>
      </c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</row>
    <row r="60" spans="2:19" ht="21.95" customHeight="1" x14ac:dyDescent="0.3">
      <c r="B60" s="41"/>
      <c r="C60" s="41"/>
      <c r="D60" s="432" t="str">
        <f>D36</f>
        <v>NOMINA AGUINALDO CORRESPONDIENTE AL 2018</v>
      </c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</row>
    <row r="61" spans="2:19" ht="21.95" customHeight="1" x14ac:dyDescent="0.3">
      <c r="B61" s="41"/>
      <c r="C61" s="41"/>
      <c r="D61" s="432" t="s">
        <v>162</v>
      </c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</row>
    <row r="62" spans="2:19" ht="21.95" customHeight="1" x14ac:dyDescent="0.2">
      <c r="B62" s="41"/>
      <c r="C62" s="41"/>
      <c r="D62" s="17"/>
      <c r="E62" s="110"/>
      <c r="F62" s="110"/>
      <c r="G62" s="103" t="s">
        <v>3</v>
      </c>
      <c r="H62" s="111"/>
      <c r="I62" s="204"/>
      <c r="J62" s="429" t="s">
        <v>161</v>
      </c>
      <c r="K62" s="430"/>
      <c r="L62" s="431"/>
      <c r="M62" s="205"/>
      <c r="N62" s="205"/>
      <c r="O62" s="205"/>
      <c r="P62" s="429"/>
      <c r="Q62" s="430"/>
      <c r="R62" s="430"/>
      <c r="S62" s="103"/>
    </row>
    <row r="63" spans="2:19" ht="18.75" customHeight="1" x14ac:dyDescent="0.2">
      <c r="B63" s="41"/>
      <c r="C63" s="41"/>
      <c r="D63" s="19" t="s">
        <v>2</v>
      </c>
      <c r="E63" s="99"/>
      <c r="F63" s="99"/>
      <c r="G63" s="102" t="s">
        <v>4</v>
      </c>
      <c r="H63" s="103" t="s">
        <v>1</v>
      </c>
      <c r="I63" s="103" t="s">
        <v>1</v>
      </c>
      <c r="J63" s="103" t="s">
        <v>316</v>
      </c>
      <c r="K63" s="103"/>
      <c r="L63" s="112" t="s">
        <v>318</v>
      </c>
      <c r="M63" s="112" t="s">
        <v>310</v>
      </c>
      <c r="N63" s="112" t="s">
        <v>320</v>
      </c>
      <c r="O63" s="112" t="s">
        <v>321</v>
      </c>
      <c r="P63" s="104" t="s">
        <v>313</v>
      </c>
      <c r="Q63" s="104" t="s">
        <v>313</v>
      </c>
      <c r="R63" s="104" t="s">
        <v>167</v>
      </c>
      <c r="S63" s="99" t="s">
        <v>169</v>
      </c>
    </row>
    <row r="64" spans="2:19" ht="21.95" customHeight="1" x14ac:dyDescent="0.25">
      <c r="B64" s="41"/>
      <c r="C64" s="41"/>
      <c r="D64" s="19"/>
      <c r="E64" s="105"/>
      <c r="F64" s="105" t="s">
        <v>9</v>
      </c>
      <c r="G64" s="99"/>
      <c r="H64" s="99" t="s">
        <v>6</v>
      </c>
      <c r="I64" s="99" t="s">
        <v>315</v>
      </c>
      <c r="J64" s="99" t="s">
        <v>317</v>
      </c>
      <c r="K64" s="99" t="s">
        <v>306</v>
      </c>
      <c r="L64" s="113" t="s">
        <v>307</v>
      </c>
      <c r="M64" s="113" t="s">
        <v>306</v>
      </c>
      <c r="N64" s="113" t="s">
        <v>312</v>
      </c>
      <c r="O64" s="113" t="s">
        <v>164</v>
      </c>
      <c r="P64" s="103" t="s">
        <v>314</v>
      </c>
      <c r="Q64" s="103" t="s">
        <v>306</v>
      </c>
      <c r="R64" s="103" t="s">
        <v>170</v>
      </c>
      <c r="S64" s="99"/>
    </row>
    <row r="65" spans="2:20" ht="21.75" customHeight="1" x14ac:dyDescent="0.25">
      <c r="B65" s="41"/>
      <c r="C65" s="41"/>
      <c r="D65" s="94"/>
      <c r="E65" s="106" t="s">
        <v>13</v>
      </c>
      <c r="F65" s="106" t="s">
        <v>8</v>
      </c>
      <c r="G65" s="104"/>
      <c r="H65" s="104"/>
      <c r="I65" s="104"/>
      <c r="J65" s="104"/>
      <c r="K65" s="104"/>
      <c r="L65" s="104" t="s">
        <v>319</v>
      </c>
      <c r="M65" s="104" t="s">
        <v>309</v>
      </c>
      <c r="N65" s="104"/>
      <c r="O65" s="104"/>
      <c r="P65" s="104"/>
      <c r="Q65" s="104"/>
      <c r="R65" s="104"/>
      <c r="S65" s="104"/>
    </row>
    <row r="66" spans="2:20" ht="36.950000000000003" customHeight="1" x14ac:dyDescent="0.25">
      <c r="B66" s="41"/>
      <c r="C66" s="41"/>
      <c r="D66" s="148"/>
      <c r="E66" s="146" t="s">
        <v>30</v>
      </c>
      <c r="F66" s="154"/>
      <c r="G66" s="148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3"/>
      <c r="S66" s="253"/>
    </row>
    <row r="67" spans="2:20" ht="36.950000000000003" customHeight="1" x14ac:dyDescent="0.2">
      <c r="B67" s="41"/>
      <c r="C67" s="41"/>
      <c r="D67" s="148">
        <v>26</v>
      </c>
      <c r="E67" s="162" t="s">
        <v>33</v>
      </c>
      <c r="F67" s="154" t="s">
        <v>32</v>
      </c>
      <c r="G67" s="255">
        <v>15</v>
      </c>
      <c r="H67" s="220">
        <v>3486.55</v>
      </c>
      <c r="I67" s="23">
        <f t="shared" ref="I67" si="59">H67/15</f>
        <v>232.43666666666667</v>
      </c>
      <c r="J67" s="220">
        <v>12.6</v>
      </c>
      <c r="K67" s="23">
        <f t="shared" ref="K67" si="60">J67*I67</f>
        <v>2928.7019999999998</v>
      </c>
      <c r="L67" s="23">
        <f t="shared" ref="L67" si="61">H67*2+K67</f>
        <v>9901.8019999999997</v>
      </c>
      <c r="M67" s="23"/>
      <c r="N67" s="23">
        <f t="shared" ref="N67:N72" si="62">L67-M67</f>
        <v>9901.8019999999997</v>
      </c>
      <c r="O67" s="23">
        <v>896.57</v>
      </c>
      <c r="P67" s="23">
        <f>132.9*2</f>
        <v>265.8</v>
      </c>
      <c r="Q67" s="23">
        <f t="shared" ref="Q67:Q72" si="63">O67-P67</f>
        <v>630.77</v>
      </c>
      <c r="R67" s="23">
        <f t="shared" ref="R67:R72" si="64">K67-Q67</f>
        <v>2297.9319999999998</v>
      </c>
      <c r="S67" s="253"/>
    </row>
    <row r="68" spans="2:20" ht="36.950000000000003" customHeight="1" x14ac:dyDescent="0.2">
      <c r="B68" s="41"/>
      <c r="C68" s="41"/>
      <c r="D68" s="148">
        <v>27</v>
      </c>
      <c r="E68" s="162" t="s">
        <v>83</v>
      </c>
      <c r="F68" s="154" t="s">
        <v>32</v>
      </c>
      <c r="G68" s="255">
        <v>15</v>
      </c>
      <c r="H68" s="220">
        <v>2854</v>
      </c>
      <c r="I68" s="23">
        <f t="shared" ref="I68" si="65">H68/15</f>
        <v>190.26666666666668</v>
      </c>
      <c r="J68" s="220">
        <v>12.6</v>
      </c>
      <c r="K68" s="23">
        <f t="shared" ref="K68" si="66">J68*I68</f>
        <v>2397.36</v>
      </c>
      <c r="L68" s="23">
        <f t="shared" ref="L68" si="67">H68*2+K68</f>
        <v>8105.3600000000006</v>
      </c>
      <c r="M68" s="152"/>
      <c r="N68" s="23">
        <f t="shared" si="62"/>
        <v>8105.3600000000006</v>
      </c>
      <c r="O68" s="23">
        <v>635.96</v>
      </c>
      <c r="P68" s="23">
        <f>43.81*2</f>
        <v>87.62</v>
      </c>
      <c r="Q68" s="23">
        <f t="shared" si="63"/>
        <v>548.34</v>
      </c>
      <c r="R68" s="23">
        <f t="shared" si="64"/>
        <v>1849.02</v>
      </c>
      <c r="S68" s="253"/>
    </row>
    <row r="69" spans="2:20" ht="36.950000000000003" customHeight="1" x14ac:dyDescent="0.2">
      <c r="B69" s="41"/>
      <c r="C69" s="41"/>
      <c r="D69" s="148">
        <v>28</v>
      </c>
      <c r="E69" s="162" t="s">
        <v>35</v>
      </c>
      <c r="F69" s="154" t="s">
        <v>32</v>
      </c>
      <c r="G69" s="255">
        <v>15</v>
      </c>
      <c r="H69" s="220">
        <v>2254.67</v>
      </c>
      <c r="I69" s="23">
        <f t="shared" ref="I69" si="68">H69/15</f>
        <v>150.31133333333335</v>
      </c>
      <c r="J69" s="220">
        <v>12.6</v>
      </c>
      <c r="K69" s="23">
        <f t="shared" ref="K69" si="69">J69*I69</f>
        <v>1893.9228000000003</v>
      </c>
      <c r="L69" s="23">
        <f t="shared" ref="L69" si="70">H69*2+K69</f>
        <v>6403.2628000000004</v>
      </c>
      <c r="M69" s="152"/>
      <c r="N69" s="23">
        <f t="shared" si="62"/>
        <v>6403.2628000000004</v>
      </c>
      <c r="O69" s="23">
        <v>197.24</v>
      </c>
      <c r="P69" s="23"/>
      <c r="Q69" s="23">
        <f t="shared" si="63"/>
        <v>197.24</v>
      </c>
      <c r="R69" s="23">
        <f t="shared" si="64"/>
        <v>1696.6828000000003</v>
      </c>
      <c r="S69" s="253"/>
    </row>
    <row r="70" spans="2:20" ht="36.950000000000003" customHeight="1" x14ac:dyDescent="0.2">
      <c r="B70" s="41"/>
      <c r="C70" s="41"/>
      <c r="D70" s="148">
        <v>29</v>
      </c>
      <c r="E70" s="162" t="s">
        <v>37</v>
      </c>
      <c r="F70" s="154" t="s">
        <v>38</v>
      </c>
      <c r="G70" s="255">
        <v>15</v>
      </c>
      <c r="H70" s="220">
        <v>2800.57</v>
      </c>
      <c r="I70" s="23">
        <f t="shared" ref="I70" si="71">H70/15</f>
        <v>186.70466666666667</v>
      </c>
      <c r="J70" s="220">
        <v>12.6</v>
      </c>
      <c r="K70" s="23">
        <f t="shared" ref="K70" si="72">J70*I70</f>
        <v>2352.4787999999999</v>
      </c>
      <c r="L70" s="23">
        <f t="shared" ref="L70" si="73">H70*2+K70</f>
        <v>7953.6188000000002</v>
      </c>
      <c r="M70" s="152"/>
      <c r="N70" s="23">
        <f t="shared" si="62"/>
        <v>7953.6188000000002</v>
      </c>
      <c r="O70" s="23">
        <v>619.46</v>
      </c>
      <c r="P70" s="23">
        <f>37.99*2</f>
        <v>75.98</v>
      </c>
      <c r="Q70" s="23">
        <f t="shared" si="63"/>
        <v>543.48</v>
      </c>
      <c r="R70" s="23">
        <f t="shared" si="64"/>
        <v>1808.9987999999998</v>
      </c>
      <c r="S70" s="20"/>
    </row>
    <row r="71" spans="2:20" ht="36.950000000000003" customHeight="1" x14ac:dyDescent="0.2">
      <c r="B71" s="41"/>
      <c r="C71" s="41"/>
      <c r="D71" s="148">
        <v>30</v>
      </c>
      <c r="E71" s="162" t="s">
        <v>75</v>
      </c>
      <c r="F71" s="154" t="s">
        <v>38</v>
      </c>
      <c r="G71" s="255">
        <v>15</v>
      </c>
      <c r="H71" s="220">
        <v>2800.57</v>
      </c>
      <c r="I71" s="23">
        <f t="shared" ref="I71" si="74">H71/15</f>
        <v>186.70466666666667</v>
      </c>
      <c r="J71" s="220">
        <v>12.6</v>
      </c>
      <c r="K71" s="23">
        <f t="shared" ref="K71" si="75">J71*I71</f>
        <v>2352.4787999999999</v>
      </c>
      <c r="L71" s="23">
        <f t="shared" ref="L71" si="76">H71*2+K71</f>
        <v>7953.6188000000002</v>
      </c>
      <c r="M71" s="152"/>
      <c r="N71" s="23">
        <f t="shared" si="62"/>
        <v>7953.6188000000002</v>
      </c>
      <c r="O71" s="23">
        <v>619.46</v>
      </c>
      <c r="P71" s="23">
        <f>37.99*2</f>
        <v>75.98</v>
      </c>
      <c r="Q71" s="23">
        <f t="shared" si="63"/>
        <v>543.48</v>
      </c>
      <c r="R71" s="23">
        <f t="shared" si="64"/>
        <v>1808.9987999999998</v>
      </c>
      <c r="S71" s="253"/>
    </row>
    <row r="72" spans="2:20" ht="36.950000000000003" customHeight="1" x14ac:dyDescent="0.2">
      <c r="B72" s="41"/>
      <c r="C72" s="41"/>
      <c r="D72" s="163">
        <v>31</v>
      </c>
      <c r="E72" s="164" t="s">
        <v>149</v>
      </c>
      <c r="F72" s="154" t="s">
        <v>32</v>
      </c>
      <c r="G72" s="255">
        <v>15</v>
      </c>
      <c r="H72" s="76">
        <v>2758.34</v>
      </c>
      <c r="I72" s="23">
        <f t="shared" ref="I72" si="77">H72/15</f>
        <v>183.88933333333335</v>
      </c>
      <c r="J72" s="220">
        <v>12.6</v>
      </c>
      <c r="K72" s="23">
        <f t="shared" ref="K72" si="78">J72*I72</f>
        <v>2317.0056000000004</v>
      </c>
      <c r="L72" s="23">
        <f t="shared" ref="L72" si="79">H72*2+K72</f>
        <v>7833.6856000000007</v>
      </c>
      <c r="M72" s="151"/>
      <c r="N72" s="23">
        <f t="shared" si="62"/>
        <v>7833.6856000000007</v>
      </c>
      <c r="O72" s="284">
        <v>606.41</v>
      </c>
      <c r="P72" s="23">
        <f>37.99*2</f>
        <v>75.98</v>
      </c>
      <c r="Q72" s="23">
        <f t="shared" si="63"/>
        <v>530.42999999999995</v>
      </c>
      <c r="R72" s="23">
        <f t="shared" si="64"/>
        <v>1786.5756000000006</v>
      </c>
      <c r="S72" s="20"/>
    </row>
    <row r="73" spans="2:20" ht="36.950000000000003" customHeight="1" x14ac:dyDescent="0.2">
      <c r="B73" s="41"/>
      <c r="C73" s="41"/>
      <c r="D73" s="165">
        <v>32</v>
      </c>
      <c r="E73" s="162" t="s">
        <v>143</v>
      </c>
      <c r="F73" s="154" t="s">
        <v>32</v>
      </c>
      <c r="G73" s="255">
        <v>0</v>
      </c>
      <c r="H73" s="76">
        <v>0</v>
      </c>
      <c r="I73" s="23">
        <f t="shared" ref="I73" si="80">H73/15</f>
        <v>0</v>
      </c>
      <c r="J73" s="220">
        <v>12.6</v>
      </c>
      <c r="K73" s="23">
        <f t="shared" ref="K73" si="81">J73*I73</f>
        <v>0</v>
      </c>
      <c r="L73" s="23">
        <f t="shared" ref="L73" si="82">H73*2+K73</f>
        <v>0</v>
      </c>
      <c r="M73" s="151"/>
      <c r="N73" s="151"/>
      <c r="O73" s="151"/>
      <c r="P73" s="151"/>
      <c r="Q73" s="151">
        <v>0</v>
      </c>
      <c r="R73" s="153">
        <f t="shared" ref="R73" si="83">J73+L73-P73-Q73</f>
        <v>12.6</v>
      </c>
      <c r="S73" s="253"/>
      <c r="T73" s="153" t="e">
        <f>#REF!+#REF!-#REF!-#REF!</f>
        <v>#REF!</v>
      </c>
    </row>
    <row r="74" spans="2:20" ht="36.950000000000003" customHeight="1" x14ac:dyDescent="0.25">
      <c r="D74" s="148"/>
      <c r="E74" s="166" t="s">
        <v>182</v>
      </c>
      <c r="F74" s="154"/>
      <c r="G74" s="255"/>
      <c r="H74" s="220"/>
      <c r="I74" s="152"/>
      <c r="J74" s="220"/>
      <c r="K74" s="152"/>
      <c r="L74" s="152"/>
      <c r="M74" s="152"/>
      <c r="N74" s="152"/>
      <c r="O74" s="152"/>
      <c r="P74" s="152"/>
      <c r="Q74" s="152"/>
      <c r="R74" s="152"/>
      <c r="S74" s="23"/>
    </row>
    <row r="75" spans="2:20" ht="36.950000000000003" customHeight="1" x14ac:dyDescent="0.2">
      <c r="D75" s="148">
        <v>33</v>
      </c>
      <c r="E75" s="162" t="s">
        <v>144</v>
      </c>
      <c r="F75" s="154" t="s">
        <v>15</v>
      </c>
      <c r="G75" s="255">
        <v>15</v>
      </c>
      <c r="H75" s="220">
        <v>3564.83</v>
      </c>
      <c r="I75" s="23">
        <f t="shared" ref="I75" si="84">H75/15</f>
        <v>237.65533333333332</v>
      </c>
      <c r="J75" s="220">
        <v>12.6</v>
      </c>
      <c r="K75" s="23">
        <f t="shared" ref="K75" si="85">J75*I75</f>
        <v>2994.4571999999998</v>
      </c>
      <c r="L75" s="23">
        <f t="shared" ref="L75" si="86">H75*2+K75</f>
        <v>10124.117200000001</v>
      </c>
      <c r="M75" s="152"/>
      <c r="N75" s="23">
        <f>L75-M75</f>
        <v>10124.117200000001</v>
      </c>
      <c r="O75" s="152">
        <v>933.93</v>
      </c>
      <c r="P75" s="152">
        <f>159.15*2</f>
        <v>318.3</v>
      </c>
      <c r="Q75" s="23">
        <f>O75-P75</f>
        <v>615.62999999999988</v>
      </c>
      <c r="R75" s="23">
        <f>K75-Q75</f>
        <v>2378.8271999999997</v>
      </c>
      <c r="S75" s="237"/>
    </row>
    <row r="76" spans="2:20" ht="36.950000000000003" customHeight="1" x14ac:dyDescent="0.2">
      <c r="D76" s="148">
        <v>34</v>
      </c>
      <c r="E76" s="162" t="s">
        <v>247</v>
      </c>
      <c r="F76" s="154"/>
      <c r="G76" s="255">
        <v>15</v>
      </c>
      <c r="H76" s="220">
        <v>2785</v>
      </c>
      <c r="I76" s="23">
        <f t="shared" ref="I76" si="87">H76/15</f>
        <v>185.66666666666666</v>
      </c>
      <c r="J76" s="220">
        <v>12.6</v>
      </c>
      <c r="K76" s="23">
        <f t="shared" ref="K76" si="88">J76*I76</f>
        <v>2339.3999999999996</v>
      </c>
      <c r="L76" s="23">
        <f t="shared" ref="L76" si="89">H76*2+K76</f>
        <v>7909.4</v>
      </c>
      <c r="M76" s="152"/>
      <c r="N76" s="23">
        <f>L76-M76</f>
        <v>7909.4</v>
      </c>
      <c r="O76" s="152">
        <v>614.64</v>
      </c>
      <c r="P76" s="152">
        <f>36.26*2</f>
        <v>72.52</v>
      </c>
      <c r="Q76" s="23">
        <f>O76-P76</f>
        <v>542.12</v>
      </c>
      <c r="R76" s="23">
        <f>K76-Q76</f>
        <v>1797.2799999999997</v>
      </c>
      <c r="S76" s="239"/>
    </row>
    <row r="77" spans="2:20" ht="36.950000000000003" customHeight="1" x14ac:dyDescent="0.2">
      <c r="D77" s="161">
        <v>35</v>
      </c>
      <c r="E77" s="162" t="s">
        <v>42</v>
      </c>
      <c r="F77" s="154" t="s">
        <v>43</v>
      </c>
      <c r="G77" s="255">
        <v>15</v>
      </c>
      <c r="H77" s="220">
        <v>2216.56</v>
      </c>
      <c r="I77" s="23">
        <f t="shared" ref="I77" si="90">H77/15</f>
        <v>147.77066666666667</v>
      </c>
      <c r="J77" s="220">
        <v>12.6</v>
      </c>
      <c r="K77" s="23">
        <f t="shared" ref="K77" si="91">J77*I77</f>
        <v>1861.9104</v>
      </c>
      <c r="L77" s="23">
        <f t="shared" ref="L77" si="92">H77*2+K77</f>
        <v>6295.0303999999996</v>
      </c>
      <c r="M77" s="152"/>
      <c r="N77" s="23">
        <f>L77-M77</f>
        <v>6295.0303999999996</v>
      </c>
      <c r="O77" s="152">
        <v>185.46</v>
      </c>
      <c r="P77" s="152"/>
      <c r="Q77" s="23">
        <f>O77-P77</f>
        <v>185.46</v>
      </c>
      <c r="R77" s="23">
        <f>K77-Q77</f>
        <v>1676.4503999999999</v>
      </c>
      <c r="S77" s="252"/>
    </row>
    <row r="78" spans="2:20" ht="36.950000000000003" customHeight="1" x14ac:dyDescent="0.2">
      <c r="D78" s="161">
        <v>36</v>
      </c>
      <c r="E78" s="162" t="s">
        <v>44</v>
      </c>
      <c r="F78" s="154" t="s">
        <v>45</v>
      </c>
      <c r="G78" s="255">
        <v>15</v>
      </c>
      <c r="H78" s="220">
        <v>2652.25</v>
      </c>
      <c r="I78" s="23">
        <f t="shared" ref="I78" si="93">H78/15</f>
        <v>176.81666666666666</v>
      </c>
      <c r="J78" s="220">
        <v>12.6</v>
      </c>
      <c r="K78" s="23">
        <f t="shared" ref="K78" si="94">J78*I78</f>
        <v>2227.89</v>
      </c>
      <c r="L78" s="23">
        <f t="shared" ref="L78" si="95">H78*2+K78</f>
        <v>7532.3899999999994</v>
      </c>
      <c r="M78" s="152"/>
      <c r="N78" s="23">
        <f>L78-M78</f>
        <v>7532.3899999999994</v>
      </c>
      <c r="O78" s="152">
        <v>573.63</v>
      </c>
      <c r="P78" s="152">
        <f>21.86*2</f>
        <v>43.72</v>
      </c>
      <c r="Q78" s="23">
        <f>O78-P78</f>
        <v>529.91</v>
      </c>
      <c r="R78" s="23">
        <f>K78-Q78</f>
        <v>1697.98</v>
      </c>
      <c r="S78" s="252"/>
    </row>
    <row r="79" spans="2:20" ht="36.950000000000003" customHeight="1" x14ac:dyDescent="0.25">
      <c r="D79" s="148"/>
      <c r="E79" s="166" t="s">
        <v>46</v>
      </c>
      <c r="F79" s="154"/>
      <c r="G79" s="255"/>
      <c r="H79" s="220"/>
      <c r="I79" s="152"/>
      <c r="J79" s="220"/>
      <c r="K79" s="152"/>
      <c r="L79" s="152"/>
      <c r="M79" s="152"/>
      <c r="N79" s="152"/>
      <c r="O79" s="152"/>
      <c r="P79" s="152"/>
      <c r="Q79" s="152"/>
      <c r="R79" s="152"/>
      <c r="S79" s="23"/>
    </row>
    <row r="80" spans="2:20" ht="36.950000000000003" customHeight="1" x14ac:dyDescent="0.2">
      <c r="D80" s="148">
        <v>37</v>
      </c>
      <c r="E80" s="162" t="s">
        <v>47</v>
      </c>
      <c r="F80" s="155" t="s">
        <v>90</v>
      </c>
      <c r="G80" s="255">
        <v>15</v>
      </c>
      <c r="H80" s="259">
        <v>1957</v>
      </c>
      <c r="I80" s="23">
        <f t="shared" ref="I80" si="96">H80/15</f>
        <v>130.46666666666667</v>
      </c>
      <c r="J80" s="220">
        <v>12.6</v>
      </c>
      <c r="K80" s="23">
        <f t="shared" ref="K80" si="97">J80*I80</f>
        <v>1643.8799999999999</v>
      </c>
      <c r="L80" s="23">
        <f t="shared" ref="L80" si="98">H80*2+K80</f>
        <v>5557.88</v>
      </c>
      <c r="M80" s="152"/>
      <c r="N80" s="23">
        <f>L80-M80</f>
        <v>5557.88</v>
      </c>
      <c r="O80" s="152">
        <v>64.14</v>
      </c>
      <c r="P80" s="152"/>
      <c r="Q80" s="23">
        <f>O80-P80</f>
        <v>64.14</v>
      </c>
      <c r="R80" s="23">
        <f>K80-Q80</f>
        <v>1579.7399999999998</v>
      </c>
      <c r="S80" s="237"/>
    </row>
    <row r="81" spans="4:19" ht="36.950000000000003" customHeight="1" x14ac:dyDescent="0.25">
      <c r="D81" s="96"/>
      <c r="E81" s="97"/>
      <c r="F81" s="97"/>
      <c r="G81" s="91"/>
      <c r="H81" s="278">
        <f>H67+H68+H69+H70+H71+H72+H75+H76+H77+H78+H80</f>
        <v>30130.34</v>
      </c>
      <c r="I81" s="278">
        <f>I67+I68+I69+I70+I71+I72+I75+I76+I77+I78+I80</f>
        <v>2008.6893333333333</v>
      </c>
      <c r="J81" s="279"/>
      <c r="K81" s="278">
        <f>SUM(K67:K80)</f>
        <v>25309.485600000004</v>
      </c>
      <c r="L81" s="278">
        <f>L67+L68+L69+L70+L71+L72+L75+L76+L77+L78+L80</f>
        <v>85570.165600000008</v>
      </c>
      <c r="M81" s="280"/>
      <c r="N81" s="278">
        <f>N67+N68+N69+N70+N71+N72+N75+N76+N77+N78+N80</f>
        <v>85570.165600000008</v>
      </c>
      <c r="O81" s="278">
        <f>O67+O68+O69+O70+O71+O72+O75+O76+O77+O78+O80</f>
        <v>5946.9000000000015</v>
      </c>
      <c r="P81" s="278">
        <f>P67+P68+P69+P70+P71+P72+P75+P76+P77+P78+P80</f>
        <v>1015.9000000000001</v>
      </c>
      <c r="Q81" s="278">
        <f>SUM(Q67:Q80)</f>
        <v>4931</v>
      </c>
      <c r="R81" s="278">
        <f>SUM(R67:R80)</f>
        <v>20391.085599999999</v>
      </c>
      <c r="S81" s="254"/>
    </row>
    <row r="82" spans="4:19" ht="21.95" customHeight="1" x14ac:dyDescent="0.3">
      <c r="D82" s="432" t="s">
        <v>11</v>
      </c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</row>
    <row r="83" spans="4:19" ht="21.95" customHeight="1" x14ac:dyDescent="0.3">
      <c r="D83" s="432" t="s">
        <v>175</v>
      </c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432"/>
    </row>
    <row r="84" spans="4:19" ht="21.95" customHeight="1" x14ac:dyDescent="0.3">
      <c r="D84" s="432" t="str">
        <f>D60</f>
        <v>NOMINA AGUINALDO CORRESPONDIENTE AL 2018</v>
      </c>
      <c r="E84" s="432"/>
      <c r="F84" s="432"/>
      <c r="G84" s="432"/>
      <c r="H84" s="432"/>
      <c r="I84" s="432"/>
      <c r="J84" s="432"/>
      <c r="K84" s="432"/>
      <c r="L84" s="432"/>
      <c r="M84" s="432"/>
      <c r="N84" s="432"/>
      <c r="O84" s="432"/>
      <c r="P84" s="432"/>
      <c r="Q84" s="432"/>
      <c r="R84" s="432"/>
      <c r="S84" s="432"/>
    </row>
    <row r="85" spans="4:19" ht="21.95" customHeight="1" x14ac:dyDescent="0.3">
      <c r="D85" s="432" t="s">
        <v>162</v>
      </c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432"/>
      <c r="R85" s="432"/>
      <c r="S85" s="432"/>
    </row>
    <row r="86" spans="4:19" ht="21.95" customHeight="1" x14ac:dyDescent="0.2">
      <c r="D86" s="17"/>
      <c r="E86" s="110"/>
      <c r="F86" s="110"/>
      <c r="G86" s="103" t="s">
        <v>3</v>
      </c>
      <c r="H86" s="111"/>
      <c r="I86" s="204"/>
      <c r="J86" s="429" t="s">
        <v>161</v>
      </c>
      <c r="K86" s="430"/>
      <c r="L86" s="431"/>
      <c r="M86" s="205"/>
      <c r="N86" s="205"/>
      <c r="O86" s="205"/>
      <c r="P86" s="429"/>
      <c r="Q86" s="430"/>
      <c r="R86" s="430"/>
      <c r="S86" s="103"/>
    </row>
    <row r="87" spans="4:19" ht="13.5" customHeight="1" x14ac:dyDescent="0.2">
      <c r="D87" s="19" t="s">
        <v>2</v>
      </c>
      <c r="E87" s="99"/>
      <c r="F87" s="99"/>
      <c r="G87" s="102" t="s">
        <v>4</v>
      </c>
      <c r="H87" s="103" t="s">
        <v>1</v>
      </c>
      <c r="I87" s="103" t="s">
        <v>1</v>
      </c>
      <c r="J87" s="103" t="s">
        <v>316</v>
      </c>
      <c r="K87" s="103"/>
      <c r="L87" s="112" t="s">
        <v>318</v>
      </c>
      <c r="M87" s="112" t="s">
        <v>310</v>
      </c>
      <c r="N87" s="112" t="s">
        <v>320</v>
      </c>
      <c r="O87" s="112" t="s">
        <v>321</v>
      </c>
      <c r="P87" s="104" t="s">
        <v>313</v>
      </c>
      <c r="Q87" s="104" t="s">
        <v>313</v>
      </c>
      <c r="R87" s="104" t="s">
        <v>167</v>
      </c>
      <c r="S87" s="99" t="s">
        <v>169</v>
      </c>
    </row>
    <row r="88" spans="4:19" ht="21.95" customHeight="1" x14ac:dyDescent="0.25">
      <c r="D88" s="19"/>
      <c r="E88" s="105"/>
      <c r="F88" s="105" t="s">
        <v>9</v>
      </c>
      <c r="G88" s="99"/>
      <c r="H88" s="99" t="s">
        <v>6</v>
      </c>
      <c r="I88" s="99" t="s">
        <v>315</v>
      </c>
      <c r="J88" s="99" t="s">
        <v>317</v>
      </c>
      <c r="K88" s="99" t="s">
        <v>306</v>
      </c>
      <c r="L88" s="113" t="s">
        <v>307</v>
      </c>
      <c r="M88" s="113" t="s">
        <v>306</v>
      </c>
      <c r="N88" s="113" t="s">
        <v>312</v>
      </c>
      <c r="O88" s="113" t="s">
        <v>164</v>
      </c>
      <c r="P88" s="103" t="s">
        <v>314</v>
      </c>
      <c r="Q88" s="103" t="s">
        <v>306</v>
      </c>
      <c r="R88" s="103" t="s">
        <v>170</v>
      </c>
      <c r="S88" s="99"/>
    </row>
    <row r="89" spans="4:19" ht="21.95" customHeight="1" x14ac:dyDescent="0.25">
      <c r="D89" s="18"/>
      <c r="E89" s="106" t="s">
        <v>13</v>
      </c>
      <c r="F89" s="106" t="s">
        <v>8</v>
      </c>
      <c r="G89" s="104"/>
      <c r="H89" s="104"/>
      <c r="I89" s="104"/>
      <c r="J89" s="104"/>
      <c r="K89" s="104"/>
      <c r="L89" s="104" t="s">
        <v>319</v>
      </c>
      <c r="M89" s="104" t="s">
        <v>309</v>
      </c>
      <c r="N89" s="104"/>
      <c r="O89" s="104"/>
      <c r="P89" s="104"/>
      <c r="Q89" s="104"/>
      <c r="R89" s="104"/>
      <c r="S89" s="104"/>
    </row>
    <row r="90" spans="4:19" ht="36.950000000000003" customHeight="1" x14ac:dyDescent="0.25">
      <c r="D90" s="168"/>
      <c r="E90" s="169" t="s">
        <v>48</v>
      </c>
      <c r="F90" s="170"/>
      <c r="G90" s="171"/>
      <c r="H90" s="172"/>
      <c r="I90" s="172"/>
      <c r="J90" s="172"/>
      <c r="K90" s="172"/>
      <c r="L90" s="173"/>
      <c r="M90" s="173"/>
      <c r="N90" s="173"/>
      <c r="O90" s="173"/>
      <c r="P90" s="153"/>
      <c r="Q90" s="153"/>
      <c r="R90" s="153"/>
      <c r="S90" s="70"/>
    </row>
    <row r="91" spans="4:19" ht="36.950000000000003" customHeight="1" x14ac:dyDescent="0.2">
      <c r="D91" s="148">
        <v>38</v>
      </c>
      <c r="E91" s="154" t="s">
        <v>261</v>
      </c>
      <c r="F91" s="155" t="s">
        <v>123</v>
      </c>
      <c r="G91" s="255">
        <v>15</v>
      </c>
      <c r="H91" s="220">
        <v>1230.8499999999999</v>
      </c>
      <c r="I91" s="23">
        <f t="shared" ref="I91" si="99">H91/15</f>
        <v>82.056666666666658</v>
      </c>
      <c r="J91" s="220">
        <v>9.8000000000000007</v>
      </c>
      <c r="K91" s="23">
        <f t="shared" ref="K91" si="100">J91*I91</f>
        <v>804.15533333333326</v>
      </c>
      <c r="L91" s="23">
        <f t="shared" ref="L91" si="101">H91*2+K91</f>
        <v>3265.855333333333</v>
      </c>
      <c r="M91" s="23">
        <f t="shared" ref="M91:M97" si="102">30*80.6</f>
        <v>2418</v>
      </c>
      <c r="N91" s="23">
        <f t="shared" ref="N91:N97" si="103">L91-M91</f>
        <v>847.85533333333296</v>
      </c>
      <c r="O91" s="152"/>
      <c r="P91" s="152"/>
      <c r="Q91" s="23">
        <f t="shared" ref="Q91:Q97" si="104">O91-P91</f>
        <v>0</v>
      </c>
      <c r="R91" s="23">
        <f t="shared" ref="R91:R97" si="105">K91-Q91</f>
        <v>804.15533333333326</v>
      </c>
      <c r="S91" s="237"/>
    </row>
    <row r="92" spans="4:19" ht="36.950000000000003" customHeight="1" x14ac:dyDescent="0.2">
      <c r="D92" s="148">
        <v>39</v>
      </c>
      <c r="E92" s="154" t="s">
        <v>262</v>
      </c>
      <c r="F92" s="155" t="s">
        <v>91</v>
      </c>
      <c r="G92" s="255">
        <v>15</v>
      </c>
      <c r="H92" s="220">
        <v>1230.8499999999999</v>
      </c>
      <c r="I92" s="23">
        <f t="shared" ref="I92" si="106">H92/15</f>
        <v>82.056666666666658</v>
      </c>
      <c r="J92" s="220">
        <v>9.8000000000000007</v>
      </c>
      <c r="K92" s="23">
        <f t="shared" ref="K92" si="107">J92*I92</f>
        <v>804.15533333333326</v>
      </c>
      <c r="L92" s="23">
        <f t="shared" ref="L92" si="108">H92*2+K92</f>
        <v>3265.855333333333</v>
      </c>
      <c r="M92" s="23">
        <f t="shared" si="102"/>
        <v>2418</v>
      </c>
      <c r="N92" s="23">
        <f t="shared" si="103"/>
        <v>847.85533333333296</v>
      </c>
      <c r="O92" s="152"/>
      <c r="P92" s="152"/>
      <c r="Q92" s="23">
        <f t="shared" si="104"/>
        <v>0</v>
      </c>
      <c r="R92" s="23">
        <f t="shared" si="105"/>
        <v>804.15533333333326</v>
      </c>
      <c r="S92" s="239"/>
    </row>
    <row r="93" spans="4:19" ht="36.950000000000003" customHeight="1" x14ac:dyDescent="0.2">
      <c r="D93" s="148">
        <v>40</v>
      </c>
      <c r="E93" s="154" t="s">
        <v>263</v>
      </c>
      <c r="F93" s="155" t="s">
        <v>94</v>
      </c>
      <c r="G93" s="255">
        <v>15</v>
      </c>
      <c r="H93" s="220">
        <v>1230.8499999999999</v>
      </c>
      <c r="I93" s="23">
        <f t="shared" ref="I93" si="109">H93/15</f>
        <v>82.056666666666658</v>
      </c>
      <c r="J93" s="220">
        <v>9.8000000000000007</v>
      </c>
      <c r="K93" s="23">
        <f t="shared" ref="K93" si="110">J93*I93</f>
        <v>804.15533333333326</v>
      </c>
      <c r="L93" s="23">
        <f t="shared" ref="L93" si="111">H93*2+K93</f>
        <v>3265.855333333333</v>
      </c>
      <c r="M93" s="23">
        <f t="shared" si="102"/>
        <v>2418</v>
      </c>
      <c r="N93" s="23">
        <f t="shared" si="103"/>
        <v>847.85533333333296</v>
      </c>
      <c r="O93" s="152"/>
      <c r="P93" s="152"/>
      <c r="Q93" s="23">
        <f t="shared" si="104"/>
        <v>0</v>
      </c>
      <c r="R93" s="23">
        <f t="shared" si="105"/>
        <v>804.15533333333326</v>
      </c>
      <c r="S93" s="252"/>
    </row>
    <row r="94" spans="4:19" ht="36.950000000000003" customHeight="1" x14ac:dyDescent="0.2">
      <c r="D94" s="148">
        <v>41</v>
      </c>
      <c r="E94" s="154" t="s">
        <v>264</v>
      </c>
      <c r="F94" s="155" t="s">
        <v>95</v>
      </c>
      <c r="G94" s="255">
        <v>15</v>
      </c>
      <c r="H94" s="220">
        <v>1230.8499999999999</v>
      </c>
      <c r="I94" s="23">
        <f t="shared" ref="I94" si="112">H94/15</f>
        <v>82.056666666666658</v>
      </c>
      <c r="J94" s="220">
        <v>9.8000000000000007</v>
      </c>
      <c r="K94" s="23">
        <f t="shared" ref="K94" si="113">J94*I94</f>
        <v>804.15533333333326</v>
      </c>
      <c r="L94" s="23">
        <f t="shared" ref="L94" si="114">H94*2+K94</f>
        <v>3265.855333333333</v>
      </c>
      <c r="M94" s="23">
        <f t="shared" si="102"/>
        <v>2418</v>
      </c>
      <c r="N94" s="23">
        <f t="shared" si="103"/>
        <v>847.85533333333296</v>
      </c>
      <c r="O94" s="152"/>
      <c r="P94" s="152"/>
      <c r="Q94" s="23">
        <f t="shared" si="104"/>
        <v>0</v>
      </c>
      <c r="R94" s="23">
        <f t="shared" si="105"/>
        <v>804.15533333333326</v>
      </c>
      <c r="S94" s="239"/>
    </row>
    <row r="95" spans="4:19" ht="36.950000000000003" customHeight="1" x14ac:dyDescent="0.2">
      <c r="D95" s="148">
        <v>42</v>
      </c>
      <c r="E95" s="154" t="s">
        <v>265</v>
      </c>
      <c r="F95" s="155" t="s">
        <v>124</v>
      </c>
      <c r="G95" s="255">
        <v>15</v>
      </c>
      <c r="H95" s="220">
        <v>1230.8499999999999</v>
      </c>
      <c r="I95" s="23">
        <f t="shared" ref="I95" si="115">H95/15</f>
        <v>82.056666666666658</v>
      </c>
      <c r="J95" s="220">
        <v>9.8000000000000007</v>
      </c>
      <c r="K95" s="23">
        <f t="shared" ref="K95" si="116">J95*I95</f>
        <v>804.15533333333326</v>
      </c>
      <c r="L95" s="23">
        <f t="shared" ref="L95" si="117">H95*2+K95</f>
        <v>3265.855333333333</v>
      </c>
      <c r="M95" s="23">
        <f t="shared" si="102"/>
        <v>2418</v>
      </c>
      <c r="N95" s="23">
        <f t="shared" si="103"/>
        <v>847.85533333333296</v>
      </c>
      <c r="O95" s="152"/>
      <c r="P95" s="152"/>
      <c r="Q95" s="23">
        <f t="shared" si="104"/>
        <v>0</v>
      </c>
      <c r="R95" s="23">
        <f t="shared" si="105"/>
        <v>804.15533333333326</v>
      </c>
      <c r="S95" s="252"/>
    </row>
    <row r="96" spans="4:19" ht="36.950000000000003" customHeight="1" x14ac:dyDescent="0.2">
      <c r="D96" s="148">
        <v>43</v>
      </c>
      <c r="E96" s="154" t="s">
        <v>266</v>
      </c>
      <c r="F96" s="155" t="s">
        <v>125</v>
      </c>
      <c r="G96" s="255">
        <v>15</v>
      </c>
      <c r="H96" s="220">
        <v>1230.8499999999999</v>
      </c>
      <c r="I96" s="23">
        <f t="shared" ref="I96" si="118">H96/15</f>
        <v>82.056666666666658</v>
      </c>
      <c r="J96" s="220">
        <v>9.8000000000000007</v>
      </c>
      <c r="K96" s="23">
        <f t="shared" ref="K96" si="119">J96*I96</f>
        <v>804.15533333333326</v>
      </c>
      <c r="L96" s="23">
        <f t="shared" ref="L96" si="120">H96*2+K96</f>
        <v>3265.855333333333</v>
      </c>
      <c r="M96" s="23">
        <f t="shared" si="102"/>
        <v>2418</v>
      </c>
      <c r="N96" s="23">
        <f t="shared" si="103"/>
        <v>847.85533333333296</v>
      </c>
      <c r="O96" s="152"/>
      <c r="P96" s="152"/>
      <c r="Q96" s="23">
        <f t="shared" si="104"/>
        <v>0</v>
      </c>
      <c r="R96" s="23">
        <f t="shared" si="105"/>
        <v>804.15533333333326</v>
      </c>
      <c r="S96" s="252"/>
    </row>
    <row r="97" spans="4:19" ht="47.25" customHeight="1" x14ac:dyDescent="0.2">
      <c r="D97" s="148">
        <v>44</v>
      </c>
      <c r="E97" s="154" t="s">
        <v>267</v>
      </c>
      <c r="F97" s="155" t="s">
        <v>126</v>
      </c>
      <c r="G97" s="255">
        <v>15</v>
      </c>
      <c r="H97" s="220">
        <v>1230.8499999999999</v>
      </c>
      <c r="I97" s="23">
        <f t="shared" ref="I97" si="121">H97/15</f>
        <v>82.056666666666658</v>
      </c>
      <c r="J97" s="220">
        <v>9.8000000000000007</v>
      </c>
      <c r="K97" s="23">
        <f t="shared" ref="K97" si="122">J97*I97</f>
        <v>804.15533333333326</v>
      </c>
      <c r="L97" s="23">
        <f t="shared" ref="L97" si="123">H97*2+K97</f>
        <v>3265.855333333333</v>
      </c>
      <c r="M97" s="23">
        <f t="shared" si="102"/>
        <v>2418</v>
      </c>
      <c r="N97" s="23">
        <f t="shared" si="103"/>
        <v>847.85533333333296</v>
      </c>
      <c r="O97" s="152"/>
      <c r="P97" s="152"/>
      <c r="Q97" s="23">
        <f t="shared" si="104"/>
        <v>0</v>
      </c>
      <c r="R97" s="23">
        <f t="shared" si="105"/>
        <v>804.15533333333326</v>
      </c>
      <c r="S97" s="23"/>
    </row>
    <row r="98" spans="4:19" ht="36.950000000000003" customHeight="1" x14ac:dyDescent="0.25">
      <c r="D98" s="148"/>
      <c r="E98" s="146" t="s">
        <v>49</v>
      </c>
      <c r="F98" s="154"/>
      <c r="G98" s="255"/>
      <c r="H98" s="220"/>
      <c r="I98" s="152"/>
      <c r="J98" s="220"/>
      <c r="K98" s="152"/>
      <c r="L98" s="152"/>
      <c r="M98" s="152"/>
      <c r="N98" s="152"/>
      <c r="O98" s="152"/>
      <c r="P98" s="152"/>
      <c r="Q98" s="152"/>
      <c r="R98" s="152"/>
      <c r="S98" s="23"/>
    </row>
    <row r="99" spans="4:19" ht="36.950000000000003" customHeight="1" x14ac:dyDescent="0.2">
      <c r="D99" s="148">
        <v>45</v>
      </c>
      <c r="E99" s="162" t="s">
        <v>51</v>
      </c>
      <c r="F99" s="154" t="s">
        <v>52</v>
      </c>
      <c r="G99" s="255">
        <v>15</v>
      </c>
      <c r="H99" s="220">
        <v>3678.13</v>
      </c>
      <c r="I99" s="23">
        <f t="shared" ref="I99" si="124">H99/15</f>
        <v>245.20866666666669</v>
      </c>
      <c r="J99" s="220">
        <v>12.6</v>
      </c>
      <c r="K99" s="23">
        <f t="shared" ref="K99" si="125">J99*I99</f>
        <v>3089.6292000000003</v>
      </c>
      <c r="L99" s="23">
        <f t="shared" ref="L99" si="126">H99*2+K99</f>
        <v>10445.889200000001</v>
      </c>
      <c r="M99" s="23">
        <f>30*80.6</f>
        <v>2418</v>
      </c>
      <c r="N99" s="23">
        <f>L99-M99</f>
        <v>8027.8892000000014</v>
      </c>
      <c r="O99" s="152">
        <v>627.54</v>
      </c>
      <c r="P99" s="152">
        <v>278.85000000000002</v>
      </c>
      <c r="Q99" s="23">
        <f>O99-P99</f>
        <v>348.68999999999994</v>
      </c>
      <c r="R99" s="23">
        <f t="shared" ref="R99:R100" si="127">K99-Q99</f>
        <v>2740.9392000000003</v>
      </c>
      <c r="S99" s="237"/>
    </row>
    <row r="100" spans="4:19" ht="36.950000000000003" customHeight="1" x14ac:dyDescent="0.2">
      <c r="D100" s="148">
        <v>46</v>
      </c>
      <c r="E100" s="162" t="s">
        <v>53</v>
      </c>
      <c r="F100" s="155" t="s">
        <v>54</v>
      </c>
      <c r="G100" s="255">
        <v>15</v>
      </c>
      <c r="H100" s="220">
        <v>2982.88</v>
      </c>
      <c r="I100" s="23">
        <f t="shared" ref="I100" si="128">H100/15</f>
        <v>198.85866666666666</v>
      </c>
      <c r="J100" s="220">
        <v>12.6</v>
      </c>
      <c r="K100" s="23">
        <f t="shared" ref="K100" si="129">J100*I100</f>
        <v>2505.6192000000001</v>
      </c>
      <c r="L100" s="23">
        <f t="shared" ref="L100" si="130">H100*2+K100</f>
        <v>8471.3791999999994</v>
      </c>
      <c r="M100" s="23">
        <f>30*80.6</f>
        <v>2418</v>
      </c>
      <c r="N100" s="23">
        <f>L100-M100</f>
        <v>6053.3791999999994</v>
      </c>
      <c r="O100" s="152">
        <v>118.08</v>
      </c>
      <c r="P100" s="152">
        <f>57.83*2</f>
        <v>115.66</v>
      </c>
      <c r="Q100" s="23">
        <f>O100-P100</f>
        <v>2.4200000000000017</v>
      </c>
      <c r="R100" s="23">
        <f t="shared" si="127"/>
        <v>2503.1992</v>
      </c>
      <c r="S100" s="252"/>
    </row>
    <row r="101" spans="4:19" ht="36.950000000000003" customHeight="1" x14ac:dyDescent="0.2">
      <c r="D101" s="82"/>
      <c r="E101" s="5"/>
      <c r="F101" s="5"/>
      <c r="G101" s="6"/>
      <c r="H101" s="407">
        <f>H91+H92+H93+H94+H95+H96+H97+H99+H100</f>
        <v>15276.960000000003</v>
      </c>
      <c r="I101" s="407">
        <f>I91+I92+I93+I94+I95+I96+I97+I99+I100</f>
        <v>1018.4639999999999</v>
      </c>
      <c r="J101" s="408"/>
      <c r="K101" s="407">
        <f t="shared" ref="K101:R101" si="131">K91+K92+K93+K94+K95+K96+K97+K99+K100</f>
        <v>11224.335733333333</v>
      </c>
      <c r="L101" s="407">
        <f t="shared" si="131"/>
        <v>41778.255733333324</v>
      </c>
      <c r="M101" s="407">
        <f t="shared" si="131"/>
        <v>21762</v>
      </c>
      <c r="N101" s="407">
        <f t="shared" si="131"/>
        <v>20016.255733333332</v>
      </c>
      <c r="O101" s="407">
        <f t="shared" si="131"/>
        <v>745.62</v>
      </c>
      <c r="P101" s="407">
        <f t="shared" si="131"/>
        <v>394.51</v>
      </c>
      <c r="Q101" s="407">
        <f t="shared" si="131"/>
        <v>351.10999999999996</v>
      </c>
      <c r="R101" s="407">
        <f t="shared" si="131"/>
        <v>10873.225733333333</v>
      </c>
      <c r="S101" s="252"/>
    </row>
    <row r="102" spans="4:19" ht="36.950000000000003" customHeight="1" x14ac:dyDescent="0.2">
      <c r="D102" s="24"/>
      <c r="E102" s="24"/>
      <c r="F102" s="24"/>
      <c r="G102" s="86"/>
      <c r="H102" s="27"/>
      <c r="I102" s="27"/>
      <c r="J102" s="28"/>
      <c r="K102" s="409">
        <f>SUM(K90:K100)</f>
        <v>11224.335733333333</v>
      </c>
      <c r="L102" s="409"/>
      <c r="M102" s="409"/>
      <c r="N102" s="409"/>
      <c r="O102" s="409"/>
      <c r="P102" s="409"/>
      <c r="Q102" s="409">
        <f>SUM(Q91:Q100)</f>
        <v>351.10999999999996</v>
      </c>
      <c r="R102" s="409">
        <f>SUM(R91:R100)</f>
        <v>10873.225733333333</v>
      </c>
      <c r="S102" s="29"/>
    </row>
    <row r="103" spans="4:19" ht="36.950000000000003" customHeight="1" thickBot="1" x14ac:dyDescent="0.3">
      <c r="D103" s="410" t="s">
        <v>5</v>
      </c>
      <c r="E103" s="411"/>
      <c r="F103" s="411"/>
      <c r="G103" s="411"/>
      <c r="H103" s="174">
        <f t="shared" ref="H103:J103" si="132">H33+H56+H81+H101</f>
        <v>96211.140000000014</v>
      </c>
      <c r="I103" s="174">
        <f t="shared" si="132"/>
        <v>6414.076</v>
      </c>
      <c r="J103" s="174">
        <f t="shared" si="132"/>
        <v>12.6</v>
      </c>
      <c r="K103" s="174">
        <f>K102+K81+K56+K33</f>
        <v>83732.926933333336</v>
      </c>
      <c r="L103" s="174">
        <f t="shared" ref="L103:R103" si="133">L102+L81+L56+L33</f>
        <v>229236.15119999999</v>
      </c>
      <c r="M103" s="174">
        <f t="shared" si="133"/>
        <v>0</v>
      </c>
      <c r="N103" s="174">
        <f t="shared" si="133"/>
        <v>226818.15119999999</v>
      </c>
      <c r="O103" s="174">
        <f t="shared" si="133"/>
        <v>23943.030000000002</v>
      </c>
      <c r="P103" s="174">
        <f t="shared" si="133"/>
        <v>10960.66</v>
      </c>
      <c r="Q103" s="174">
        <f t="shared" si="133"/>
        <v>13898.060000000001</v>
      </c>
      <c r="R103" s="174">
        <f t="shared" si="133"/>
        <v>69847.466933333344</v>
      </c>
      <c r="S103" s="31"/>
    </row>
    <row r="104" spans="4:19" ht="13.5" thickTop="1" x14ac:dyDescent="0.2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</row>
    <row r="105" spans="4:19" x14ac:dyDescent="0.2">
      <c r="H105" s="85"/>
      <c r="I105" s="85"/>
      <c r="J105" s="85"/>
      <c r="K105" s="85">
        <f>K102+K81+K56+K33</f>
        <v>83732.926933333336</v>
      </c>
      <c r="L105" s="85"/>
      <c r="M105" s="85"/>
      <c r="N105" s="85"/>
      <c r="O105" s="85"/>
      <c r="P105" s="85"/>
      <c r="Q105" s="85">
        <f>Q102+Q81+Q56+Q33</f>
        <v>13898.060000000001</v>
      </c>
      <c r="R105" s="85">
        <f>R102+R81+R56+R33</f>
        <v>69847.466933333344</v>
      </c>
    </row>
    <row r="106" spans="4:19" x14ac:dyDescent="0.2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>
        <f>R102+R81+R56+R33</f>
        <v>69847.466933333344</v>
      </c>
    </row>
    <row r="107" spans="4:19" x14ac:dyDescent="0.2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</row>
    <row r="108" spans="4:19" x14ac:dyDescent="0.2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</row>
    <row r="109" spans="4:19" x14ac:dyDescent="0.2">
      <c r="Q109" s="85">
        <f>K103-Q103</f>
        <v>69834.866933333338</v>
      </c>
    </row>
    <row r="111" spans="4:19" x14ac:dyDescent="0.2">
      <c r="E111" s="16" t="s">
        <v>127</v>
      </c>
      <c r="R111" s="67"/>
      <c r="S111" s="67"/>
    </row>
    <row r="112" spans="4:19" x14ac:dyDescent="0.2">
      <c r="E112" s="32" t="s">
        <v>205</v>
      </c>
      <c r="R112" s="426" t="s">
        <v>201</v>
      </c>
      <c r="S112" s="426"/>
    </row>
    <row r="113" spans="5:19" x14ac:dyDescent="0.2">
      <c r="E113" s="33" t="s">
        <v>10</v>
      </c>
      <c r="F113" s="33"/>
      <c r="R113" s="427" t="s">
        <v>172</v>
      </c>
      <c r="S113" s="427"/>
    </row>
    <row r="114" spans="5:19" x14ac:dyDescent="0.2">
      <c r="P114" s="58"/>
      <c r="Q114" s="58"/>
    </row>
    <row r="115" spans="5:19" x14ac:dyDescent="0.2">
      <c r="P115" s="58"/>
      <c r="Q115" s="58"/>
    </row>
    <row r="116" spans="5:19" x14ac:dyDescent="0.2">
      <c r="P116" s="58"/>
      <c r="Q116" s="58"/>
    </row>
    <row r="117" spans="5:19" x14ac:dyDescent="0.2">
      <c r="P117" s="58"/>
      <c r="Q117" s="58"/>
    </row>
    <row r="118" spans="5:19" x14ac:dyDescent="0.2">
      <c r="E118" s="34"/>
      <c r="H118" s="32"/>
      <c r="I118" s="32"/>
    </row>
    <row r="119" spans="5:19" x14ac:dyDescent="0.2">
      <c r="E119" s="35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4" spans="5:19" x14ac:dyDescent="0.2">
      <c r="E124" s="32"/>
      <c r="H124" s="32"/>
      <c r="I124" s="32"/>
    </row>
    <row r="139" spans="5:19" x14ac:dyDescent="0.2">
      <c r="E139" s="32"/>
      <c r="H139" s="32"/>
      <c r="I139" s="32"/>
    </row>
    <row r="140" spans="5:19" x14ac:dyDescent="0.2"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</row>
  </sheetData>
  <sheetProtection selectLockedCells="1" selectUnlockedCells="1"/>
  <mergeCells count="27">
    <mergeCell ref="D4:S4"/>
    <mergeCell ref="D83:S83"/>
    <mergeCell ref="D84:S84"/>
    <mergeCell ref="D85:S85"/>
    <mergeCell ref="D3:S3"/>
    <mergeCell ref="D5:S5"/>
    <mergeCell ref="P7:R7"/>
    <mergeCell ref="J7:L7"/>
    <mergeCell ref="D6:S6"/>
    <mergeCell ref="D36:S36"/>
    <mergeCell ref="D37:S37"/>
    <mergeCell ref="D59:S59"/>
    <mergeCell ref="D60:S60"/>
    <mergeCell ref="D82:S82"/>
    <mergeCell ref="D61:S61"/>
    <mergeCell ref="D103:G103"/>
    <mergeCell ref="R112:S112"/>
    <mergeCell ref="R113:S113"/>
    <mergeCell ref="D34:S34"/>
    <mergeCell ref="J38:L38"/>
    <mergeCell ref="P38:R38"/>
    <mergeCell ref="D58:S58"/>
    <mergeCell ref="J62:L62"/>
    <mergeCell ref="P62:R62"/>
    <mergeCell ref="D35:S35"/>
    <mergeCell ref="J86:L86"/>
    <mergeCell ref="P86:R86"/>
  </mergeCells>
  <phoneticPr fontId="0" type="noConversion"/>
  <pageMargins left="0.39370078740157483" right="0.39370078740157483" top="0.19685039370078741" bottom="0" header="0.11811023622047245" footer="0.23622047244094491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L149"/>
  <sheetViews>
    <sheetView tabSelected="1" topLeftCell="A2" zoomScale="80" zoomScaleNormal="80" workbookViewId="0">
      <pane ySplit="1" topLeftCell="A127" activePane="bottomLeft" state="frozen"/>
      <selection activeCell="A2" sqref="A2"/>
      <selection pane="bottomLeft" activeCell="S138" sqref="S13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4" width="4.5703125" style="1" customWidth="1"/>
    <col min="5" max="5" width="53" style="1" customWidth="1"/>
    <col min="6" max="6" width="31.140625" style="1" customWidth="1"/>
    <col min="7" max="7" width="13.85546875" style="1" customWidth="1"/>
    <col min="8" max="8" width="18.42578125" style="1" customWidth="1"/>
    <col min="9" max="9" width="12.140625" style="1" customWidth="1"/>
    <col min="10" max="10" width="10.140625" style="1" customWidth="1"/>
    <col min="11" max="11" width="16.28515625" style="1" customWidth="1"/>
    <col min="12" max="12" width="19.28515625" style="1" hidden="1" customWidth="1"/>
    <col min="13" max="13" width="17.140625" style="1" hidden="1" customWidth="1"/>
    <col min="14" max="14" width="16.5703125" style="1" hidden="1" customWidth="1"/>
    <col min="15" max="15" width="14.7109375" style="1" hidden="1" customWidth="1"/>
    <col min="16" max="16" width="14.140625" style="1" hidden="1" customWidth="1"/>
    <col min="17" max="17" width="13.42578125" style="1" hidden="1" customWidth="1"/>
    <col min="18" max="18" width="14.140625" style="1" bestFit="1" customWidth="1"/>
    <col min="19" max="19" width="18.42578125" style="1" customWidth="1"/>
    <col min="20" max="20" width="63.42578125" style="1" customWidth="1"/>
    <col min="21" max="22" width="11.42578125" style="1"/>
    <col min="23" max="23" width="12.140625" style="1" bestFit="1" customWidth="1"/>
    <col min="24" max="16384" width="11.42578125" style="1"/>
  </cols>
  <sheetData>
    <row r="2" spans="4:24" ht="26.25" customHeight="1" x14ac:dyDescent="0.3">
      <c r="D2" s="428" t="s">
        <v>11</v>
      </c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260"/>
    </row>
    <row r="3" spans="4:24" ht="23.25" customHeight="1" x14ac:dyDescent="0.3">
      <c r="D3" s="428" t="s">
        <v>175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261"/>
    </row>
    <row r="4" spans="4:24" ht="22.5" customHeight="1" x14ac:dyDescent="0.3">
      <c r="D4" s="428" t="s">
        <v>325</v>
      </c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262"/>
    </row>
    <row r="5" spans="4:24" ht="27" customHeight="1" x14ac:dyDescent="0.25">
      <c r="D5" s="118" t="s">
        <v>2</v>
      </c>
      <c r="E5" s="118"/>
      <c r="F5" s="116"/>
      <c r="G5" s="119" t="s">
        <v>4</v>
      </c>
      <c r="H5" s="263" t="s">
        <v>1</v>
      </c>
      <c r="I5" s="263" t="s">
        <v>1</v>
      </c>
      <c r="J5" s="263" t="s">
        <v>316</v>
      </c>
      <c r="K5" s="445" t="s">
        <v>158</v>
      </c>
      <c r="L5" s="265" t="s">
        <v>318</v>
      </c>
      <c r="M5" s="265" t="s">
        <v>310</v>
      </c>
      <c r="N5" s="265" t="s">
        <v>320</v>
      </c>
      <c r="O5" s="265" t="s">
        <v>321</v>
      </c>
      <c r="P5" s="305" t="s">
        <v>313</v>
      </c>
      <c r="Q5" s="263" t="s">
        <v>180</v>
      </c>
      <c r="R5" s="305" t="s">
        <v>313</v>
      </c>
      <c r="S5" s="263" t="s">
        <v>167</v>
      </c>
      <c r="T5" s="123"/>
    </row>
    <row r="6" spans="4:24" ht="20.25" customHeight="1" x14ac:dyDescent="0.25">
      <c r="D6" s="121"/>
      <c r="E6" s="122"/>
      <c r="F6" s="123" t="s">
        <v>9</v>
      </c>
      <c r="G6" s="116"/>
      <c r="H6" s="263" t="s">
        <v>6</v>
      </c>
      <c r="I6" s="263" t="s">
        <v>315</v>
      </c>
      <c r="J6" s="263" t="s">
        <v>158</v>
      </c>
      <c r="K6" s="446"/>
      <c r="L6" s="265" t="s">
        <v>307</v>
      </c>
      <c r="M6" s="265" t="s">
        <v>306</v>
      </c>
      <c r="N6" s="265" t="s">
        <v>312</v>
      </c>
      <c r="O6" s="265" t="s">
        <v>164</v>
      </c>
      <c r="P6" s="105" t="s">
        <v>314</v>
      </c>
      <c r="Q6" s="263" t="s">
        <v>181</v>
      </c>
      <c r="R6" s="105" t="s">
        <v>306</v>
      </c>
      <c r="S6" s="263" t="s">
        <v>170</v>
      </c>
      <c r="T6" s="122" t="s">
        <v>173</v>
      </c>
    </row>
    <row r="7" spans="4:24" ht="26.25" customHeight="1" x14ac:dyDescent="0.2">
      <c r="D7" s="116"/>
      <c r="E7" s="306" t="s">
        <v>78</v>
      </c>
      <c r="F7" s="306" t="s">
        <v>8</v>
      </c>
      <c r="G7" s="306"/>
      <c r="H7" s="306"/>
      <c r="I7" s="306"/>
      <c r="J7" s="306"/>
      <c r="K7" s="306"/>
      <c r="L7" s="109" t="s">
        <v>319</v>
      </c>
      <c r="M7" s="109" t="s">
        <v>309</v>
      </c>
      <c r="N7" s="108"/>
      <c r="O7" s="307"/>
      <c r="P7" s="308"/>
      <c r="Q7" s="308"/>
      <c r="R7" s="308"/>
      <c r="S7" s="306"/>
      <c r="T7" s="120"/>
    </row>
    <row r="8" spans="4:24" s="10" customFormat="1" ht="35.1" customHeight="1" x14ac:dyDescent="0.25">
      <c r="D8" s="189"/>
      <c r="E8" s="309" t="s">
        <v>19</v>
      </c>
      <c r="F8" s="310"/>
      <c r="G8" s="311"/>
      <c r="H8" s="312"/>
      <c r="I8" s="312"/>
      <c r="J8" s="312"/>
      <c r="K8" s="312"/>
      <c r="L8" s="312"/>
      <c r="M8" s="312"/>
      <c r="N8" s="312"/>
      <c r="O8" s="313"/>
      <c r="P8" s="313"/>
      <c r="Q8" s="313"/>
      <c r="R8" s="313"/>
      <c r="S8" s="312"/>
      <c r="T8" s="49"/>
    </row>
    <row r="9" spans="4:24" ht="35.1" customHeight="1" x14ac:dyDescent="0.2">
      <c r="D9" s="329">
        <v>1</v>
      </c>
      <c r="E9" s="314" t="s">
        <v>102</v>
      </c>
      <c r="F9" s="315" t="s">
        <v>86</v>
      </c>
      <c r="G9" s="316">
        <v>15</v>
      </c>
      <c r="H9" s="317">
        <v>1761.3</v>
      </c>
      <c r="I9" s="23">
        <f>H9/15</f>
        <v>117.42</v>
      </c>
      <c r="J9" s="23">
        <v>12.6</v>
      </c>
      <c r="K9" s="23">
        <f>J9*I9</f>
        <v>1479.492</v>
      </c>
      <c r="L9" s="23">
        <f>H9*2+K9</f>
        <v>5002.0919999999996</v>
      </c>
      <c r="M9" s="23"/>
      <c r="N9" s="23">
        <f>L9-M9</f>
        <v>5002.0919999999996</v>
      </c>
      <c r="O9" s="23"/>
      <c r="P9" s="23"/>
      <c r="Q9" s="23">
        <v>0</v>
      </c>
      <c r="R9" s="23"/>
      <c r="S9" s="23">
        <f t="shared" ref="S9:S11" si="0">K9-R9</f>
        <v>1479.492</v>
      </c>
      <c r="T9" s="252"/>
      <c r="W9" s="61">
        <v>3420</v>
      </c>
      <c r="X9" s="63">
        <f>W9/2</f>
        <v>1710</v>
      </c>
    </row>
    <row r="10" spans="4:24" ht="35.1" customHeight="1" x14ac:dyDescent="0.2">
      <c r="D10" s="329">
        <v>2</v>
      </c>
      <c r="E10" s="314" t="s">
        <v>270</v>
      </c>
      <c r="F10" s="315" t="s">
        <v>17</v>
      </c>
      <c r="G10" s="316">
        <v>15</v>
      </c>
      <c r="H10" s="317">
        <v>1761.3</v>
      </c>
      <c r="I10" s="23">
        <f>H10/15</f>
        <v>117.42</v>
      </c>
      <c r="J10" s="23">
        <v>12.6</v>
      </c>
      <c r="K10" s="23">
        <f>J10*I10</f>
        <v>1479.492</v>
      </c>
      <c r="L10" s="23">
        <f>H10*2+K10</f>
        <v>5002.0919999999996</v>
      </c>
      <c r="M10" s="23"/>
      <c r="N10" s="23">
        <f>L10-M10</f>
        <v>5002.0919999999996</v>
      </c>
      <c r="O10" s="23"/>
      <c r="P10" s="23"/>
      <c r="Q10" s="23">
        <v>0</v>
      </c>
      <c r="R10" s="23"/>
      <c r="S10" s="23">
        <f t="shared" si="0"/>
        <v>1479.492</v>
      </c>
      <c r="T10" s="252"/>
      <c r="W10" s="61"/>
      <c r="X10" s="63"/>
    </row>
    <row r="11" spans="4:24" ht="35.1" customHeight="1" x14ac:dyDescent="0.2">
      <c r="D11" s="329">
        <v>3</v>
      </c>
      <c r="E11" s="318" t="s">
        <v>209</v>
      </c>
      <c r="F11" s="319" t="s">
        <v>84</v>
      </c>
      <c r="G11" s="320">
        <v>15</v>
      </c>
      <c r="H11" s="23">
        <v>2063</v>
      </c>
      <c r="I11" s="23">
        <f>H11/15</f>
        <v>137.53333333333333</v>
      </c>
      <c r="J11" s="23">
        <v>12.6</v>
      </c>
      <c r="K11" s="23">
        <f>J11*I11</f>
        <v>1732.9199999999998</v>
      </c>
      <c r="L11" s="23">
        <f t="shared" ref="L11" si="1">H11*2+K11</f>
        <v>5858.92</v>
      </c>
      <c r="M11" s="23">
        <f t="shared" ref="M11:M18" si="2">30*80.6</f>
        <v>2418</v>
      </c>
      <c r="N11" s="23">
        <f t="shared" ref="N11" si="3">L11-M11</f>
        <v>3440.92</v>
      </c>
      <c r="O11" s="23"/>
      <c r="P11" s="23"/>
      <c r="Q11" s="23">
        <v>0</v>
      </c>
      <c r="R11" s="23">
        <f>O11-P11</f>
        <v>0</v>
      </c>
      <c r="S11" s="23">
        <f t="shared" si="0"/>
        <v>1732.9199999999998</v>
      </c>
      <c r="T11" s="252"/>
      <c r="W11" s="61"/>
      <c r="X11" s="63"/>
    </row>
    <row r="12" spans="4:24" ht="35.1" customHeight="1" x14ac:dyDescent="0.2">
      <c r="D12" s="329"/>
      <c r="E12" s="321" t="s">
        <v>253</v>
      </c>
      <c r="F12" s="315"/>
      <c r="G12" s="316"/>
      <c r="H12" s="299"/>
      <c r="I12" s="299"/>
      <c r="J12" s="299"/>
      <c r="K12" s="299"/>
      <c r="L12" s="23"/>
      <c r="M12" s="23"/>
      <c r="N12" s="23"/>
      <c r="O12" s="23"/>
      <c r="P12" s="23"/>
      <c r="Q12" s="23"/>
      <c r="R12" s="23"/>
      <c r="S12" s="23"/>
      <c r="T12" s="252"/>
      <c r="W12" s="61"/>
      <c r="X12" s="63">
        <f>W12/2</f>
        <v>0</v>
      </c>
    </row>
    <row r="13" spans="4:24" ht="35.1" customHeight="1" x14ac:dyDescent="0.2">
      <c r="D13" s="329">
        <v>4</v>
      </c>
      <c r="E13" s="314" t="s">
        <v>210</v>
      </c>
      <c r="F13" s="315" t="s">
        <v>153</v>
      </c>
      <c r="G13" s="316">
        <v>15</v>
      </c>
      <c r="H13" s="299">
        <v>6864</v>
      </c>
      <c r="I13" s="23">
        <f>H13/15</f>
        <v>457.6</v>
      </c>
      <c r="J13" s="23">
        <v>12.6</v>
      </c>
      <c r="K13" s="23">
        <f>J13*I13</f>
        <v>5765.76</v>
      </c>
      <c r="L13" s="23">
        <f t="shared" ref="L13" si="4">H13*2+K13</f>
        <v>19493.760000000002</v>
      </c>
      <c r="M13" s="23">
        <f t="shared" si="2"/>
        <v>2418</v>
      </c>
      <c r="N13" s="23">
        <f t="shared" ref="N13" si="5">L13-M13</f>
        <v>17075.760000000002</v>
      </c>
      <c r="O13" s="23">
        <v>2353.9299999999998</v>
      </c>
      <c r="P13" s="23">
        <f>827.98*2</f>
        <v>1655.96</v>
      </c>
      <c r="Q13" s="23">
        <v>0</v>
      </c>
      <c r="R13" s="23">
        <f>O13-P13</f>
        <v>697.9699999999998</v>
      </c>
      <c r="S13" s="23">
        <f t="shared" ref="S13:S18" si="6">K13-R13</f>
        <v>5067.7900000000009</v>
      </c>
      <c r="T13" s="252"/>
      <c r="W13" s="61">
        <v>14560</v>
      </c>
      <c r="X13" s="63">
        <f>W13/2</f>
        <v>7280</v>
      </c>
    </row>
    <row r="14" spans="4:24" ht="35.1" customHeight="1" x14ac:dyDescent="0.2">
      <c r="D14" s="329"/>
      <c r="E14" s="321" t="s">
        <v>249</v>
      </c>
      <c r="F14" s="315"/>
      <c r="G14" s="316"/>
      <c r="H14" s="299"/>
      <c r="I14" s="299"/>
      <c r="J14" s="299"/>
      <c r="K14" s="299"/>
      <c r="L14" s="23"/>
      <c r="M14" s="23"/>
      <c r="N14" s="23"/>
      <c r="O14" s="23"/>
      <c r="P14" s="23"/>
      <c r="Q14" s="23"/>
      <c r="R14" s="23"/>
      <c r="S14" s="23"/>
      <c r="T14" s="252"/>
      <c r="W14" s="61"/>
      <c r="X14" s="63"/>
    </row>
    <row r="15" spans="4:24" ht="35.1" customHeight="1" x14ac:dyDescent="0.2">
      <c r="D15" s="329">
        <v>5</v>
      </c>
      <c r="E15" s="314" t="s">
        <v>250</v>
      </c>
      <c r="F15" s="315" t="s">
        <v>252</v>
      </c>
      <c r="G15" s="316">
        <v>15</v>
      </c>
      <c r="H15" s="299">
        <v>5563</v>
      </c>
      <c r="I15" s="23">
        <f>H15/15</f>
        <v>370.86666666666667</v>
      </c>
      <c r="J15" s="23">
        <v>12.6</v>
      </c>
      <c r="K15" s="23">
        <v>3883</v>
      </c>
      <c r="L15" s="23">
        <f t="shared" ref="L15" si="7">H15*2+K15</f>
        <v>15009</v>
      </c>
      <c r="M15" s="23">
        <f t="shared" si="2"/>
        <v>2418</v>
      </c>
      <c r="N15" s="23">
        <f t="shared" ref="N15" si="8">L15-M15</f>
        <v>12591</v>
      </c>
      <c r="O15" s="23">
        <v>1564.71</v>
      </c>
      <c r="P15" s="23">
        <v>562.53</v>
      </c>
      <c r="Q15" s="23"/>
      <c r="R15" s="23"/>
      <c r="S15" s="23">
        <f t="shared" si="6"/>
        <v>3883</v>
      </c>
      <c r="T15" s="252"/>
      <c r="W15" s="61"/>
      <c r="X15" s="63"/>
    </row>
    <row r="16" spans="4:24" ht="35.1" customHeight="1" x14ac:dyDescent="0.2">
      <c r="D16" s="329"/>
      <c r="E16" s="321" t="s">
        <v>145</v>
      </c>
      <c r="F16" s="315" t="s">
        <v>251</v>
      </c>
      <c r="G16" s="316">
        <v>15</v>
      </c>
      <c r="H16" s="299"/>
      <c r="I16" s="299"/>
      <c r="J16" s="299"/>
      <c r="K16" s="299"/>
      <c r="L16" s="23"/>
      <c r="M16" s="23"/>
      <c r="N16" s="23"/>
      <c r="O16" s="23"/>
      <c r="P16" s="23"/>
      <c r="Q16" s="23"/>
      <c r="R16" s="23"/>
      <c r="S16" s="23"/>
      <c r="T16" s="252"/>
      <c r="W16" s="61"/>
      <c r="X16" s="63">
        <f>W16/2</f>
        <v>0</v>
      </c>
    </row>
    <row r="17" spans="4:24" ht="35.1" customHeight="1" x14ac:dyDescent="0.2">
      <c r="D17" s="329">
        <v>6</v>
      </c>
      <c r="E17" s="318" t="s">
        <v>269</v>
      </c>
      <c r="F17" s="315" t="s">
        <v>146</v>
      </c>
      <c r="G17" s="316">
        <v>15</v>
      </c>
      <c r="H17" s="299">
        <v>4358</v>
      </c>
      <c r="I17" s="23">
        <f>H17/15</f>
        <v>290.53333333333336</v>
      </c>
      <c r="J17" s="23">
        <v>12.6</v>
      </c>
      <c r="K17" s="23">
        <v>3192</v>
      </c>
      <c r="L17" s="23">
        <f t="shared" ref="L17" si="9">H17*2+K17</f>
        <v>11908</v>
      </c>
      <c r="M17" s="23">
        <f t="shared" si="2"/>
        <v>2418</v>
      </c>
      <c r="N17" s="23">
        <f t="shared" ref="N17" si="10">L17-M17</f>
        <v>9490</v>
      </c>
      <c r="O17" s="23">
        <v>905.68</v>
      </c>
      <c r="P17" s="299">
        <f>357.95*2</f>
        <v>715.9</v>
      </c>
      <c r="Q17" s="299">
        <v>0</v>
      </c>
      <c r="R17" s="23">
        <f>O17-P17</f>
        <v>189.77999999999997</v>
      </c>
      <c r="S17" s="23">
        <f t="shared" si="6"/>
        <v>3002.2200000000003</v>
      </c>
      <c r="T17" s="252"/>
      <c r="W17" s="61">
        <v>10400</v>
      </c>
      <c r="X17" s="63">
        <f>W17/2</f>
        <v>5200</v>
      </c>
    </row>
    <row r="18" spans="4:24" ht="35.1" customHeight="1" x14ac:dyDescent="0.2">
      <c r="D18" s="329">
        <v>7</v>
      </c>
      <c r="E18" s="314" t="s">
        <v>211</v>
      </c>
      <c r="F18" s="322" t="s">
        <v>212</v>
      </c>
      <c r="G18" s="316">
        <v>14</v>
      </c>
      <c r="H18" s="299">
        <v>2652.25</v>
      </c>
      <c r="I18" s="23">
        <f>H18/15</f>
        <v>176.81666666666666</v>
      </c>
      <c r="J18" s="23">
        <v>12.6</v>
      </c>
      <c r="K18" s="23">
        <f>J18*I18</f>
        <v>2227.89</v>
      </c>
      <c r="L18" s="23">
        <f t="shared" ref="L18" si="11">H18*2+K18</f>
        <v>7532.3899999999994</v>
      </c>
      <c r="M18" s="23">
        <f t="shared" si="2"/>
        <v>2418</v>
      </c>
      <c r="N18" s="23">
        <f t="shared" ref="N18" si="12">L18-M18</f>
        <v>5114.3899999999994</v>
      </c>
      <c r="O18" s="23"/>
      <c r="P18" s="299"/>
      <c r="Q18" s="299">
        <v>0</v>
      </c>
      <c r="R18" s="23"/>
      <c r="S18" s="23">
        <f t="shared" si="6"/>
        <v>2227.89</v>
      </c>
      <c r="T18" s="252"/>
      <c r="W18" s="61"/>
      <c r="X18" s="63"/>
    </row>
    <row r="19" spans="4:24" ht="35.1" customHeight="1" x14ac:dyDescent="0.2">
      <c r="D19" s="329"/>
      <c r="E19" s="321" t="s">
        <v>130</v>
      </c>
      <c r="F19" s="315"/>
      <c r="G19" s="316"/>
      <c r="H19" s="299"/>
      <c r="I19" s="299"/>
      <c r="J19" s="299"/>
      <c r="K19" s="299"/>
      <c r="L19" s="23"/>
      <c r="M19" s="23"/>
      <c r="N19" s="23"/>
      <c r="O19" s="23"/>
      <c r="P19" s="23"/>
      <c r="Q19" s="23"/>
      <c r="R19" s="23"/>
      <c r="S19" s="23"/>
      <c r="T19" s="252"/>
      <c r="W19" s="61"/>
      <c r="X19" s="63">
        <f>W19/2</f>
        <v>0</v>
      </c>
    </row>
    <row r="20" spans="4:24" ht="35.1" customHeight="1" x14ac:dyDescent="0.3">
      <c r="D20" s="329">
        <v>8</v>
      </c>
      <c r="E20" s="314" t="s">
        <v>107</v>
      </c>
      <c r="F20" s="315" t="s">
        <v>73</v>
      </c>
      <c r="G20" s="316">
        <v>0</v>
      </c>
      <c r="H20" s="299">
        <v>0</v>
      </c>
      <c r="I20" s="299"/>
      <c r="J20" s="299"/>
      <c r="K20" s="299"/>
      <c r="L20" s="23">
        <v>0</v>
      </c>
      <c r="M20" s="23"/>
      <c r="N20" s="23"/>
      <c r="O20" s="23"/>
      <c r="P20" s="23">
        <v>0</v>
      </c>
      <c r="Q20" s="23">
        <v>0</v>
      </c>
      <c r="R20" s="23"/>
      <c r="S20" s="23">
        <v>0</v>
      </c>
      <c r="T20" s="289"/>
      <c r="U20" s="193"/>
      <c r="W20" s="61">
        <v>5570</v>
      </c>
      <c r="X20" s="63">
        <f>W20/2</f>
        <v>2785</v>
      </c>
    </row>
    <row r="21" spans="4:24" ht="35.1" customHeight="1" x14ac:dyDescent="0.2">
      <c r="D21" s="329">
        <v>9</v>
      </c>
      <c r="E21" s="314" t="s">
        <v>229</v>
      </c>
      <c r="F21" s="315" t="s">
        <v>73</v>
      </c>
      <c r="G21" s="316">
        <v>15</v>
      </c>
      <c r="H21" s="299">
        <v>3475</v>
      </c>
      <c r="I21" s="23">
        <f>H21/15</f>
        <v>231.66666666666666</v>
      </c>
      <c r="J21" s="23">
        <v>12.6</v>
      </c>
      <c r="K21" s="23">
        <f>J21*I21</f>
        <v>2919</v>
      </c>
      <c r="L21" s="23">
        <f t="shared" ref="L21" si="13">H21*2+K21</f>
        <v>9869</v>
      </c>
      <c r="M21" s="23">
        <f t="shared" ref="M21:M23" si="14">30*80.6</f>
        <v>2418</v>
      </c>
      <c r="N21" s="23">
        <f t="shared" ref="N21:N25" si="15">L21-M21</f>
        <v>7451</v>
      </c>
      <c r="O21" s="23">
        <v>564.77</v>
      </c>
      <c r="P21" s="23">
        <f>131.58*2</f>
        <v>263.16000000000003</v>
      </c>
      <c r="Q21" s="23"/>
      <c r="R21" s="23">
        <f>O21-P21</f>
        <v>301.60999999999996</v>
      </c>
      <c r="S21" s="23">
        <f t="shared" ref="S21:S23" si="16">K21-R21</f>
        <v>2617.39</v>
      </c>
      <c r="T21" s="252"/>
      <c r="W21" s="61"/>
      <c r="X21" s="63"/>
    </row>
    <row r="22" spans="4:24" ht="35.1" customHeight="1" x14ac:dyDescent="0.2">
      <c r="D22" s="329">
        <v>10</v>
      </c>
      <c r="E22" s="318" t="s">
        <v>255</v>
      </c>
      <c r="F22" s="315" t="s">
        <v>256</v>
      </c>
      <c r="G22" s="316">
        <v>15</v>
      </c>
      <c r="H22" s="299">
        <v>2070</v>
      </c>
      <c r="I22" s="23">
        <f>H22/15</f>
        <v>138</v>
      </c>
      <c r="J22" s="23">
        <v>12.6</v>
      </c>
      <c r="K22" s="23">
        <f>J22*I22</f>
        <v>1738.8</v>
      </c>
      <c r="L22" s="23">
        <f t="shared" ref="L22" si="17">H22*2+K22</f>
        <v>5878.8</v>
      </c>
      <c r="M22" s="23"/>
      <c r="N22" s="23">
        <f t="shared" si="15"/>
        <v>5878.8</v>
      </c>
      <c r="O22" s="23">
        <v>99.08</v>
      </c>
      <c r="P22" s="23"/>
      <c r="Q22" s="23"/>
      <c r="R22" s="23">
        <f>O22-P22</f>
        <v>99.08</v>
      </c>
      <c r="S22" s="23">
        <f t="shared" si="16"/>
        <v>1639.72</v>
      </c>
      <c r="T22" s="252"/>
      <c r="W22" s="61"/>
      <c r="X22" s="63"/>
    </row>
    <row r="23" spans="4:24" ht="35.1" customHeight="1" x14ac:dyDescent="0.2">
      <c r="D23" s="329">
        <v>11</v>
      </c>
      <c r="E23" s="318" t="s">
        <v>280</v>
      </c>
      <c r="F23" s="315" t="s">
        <v>73</v>
      </c>
      <c r="G23" s="316">
        <v>15</v>
      </c>
      <c r="H23" s="23">
        <v>2652.25</v>
      </c>
      <c r="I23" s="23">
        <f>H23/15</f>
        <v>176.81666666666666</v>
      </c>
      <c r="J23" s="23">
        <v>8.3000000000000007</v>
      </c>
      <c r="K23" s="23">
        <f>J23*I23</f>
        <v>1467.5783333333334</v>
      </c>
      <c r="L23" s="23">
        <f t="shared" ref="L23" si="18">H23*2+K23</f>
        <v>6772.0783333333329</v>
      </c>
      <c r="M23" s="23">
        <f t="shared" si="14"/>
        <v>2418</v>
      </c>
      <c r="N23" s="23">
        <f t="shared" si="15"/>
        <v>4354.0783333333329</v>
      </c>
      <c r="O23" s="23"/>
      <c r="P23" s="299"/>
      <c r="Q23" s="299">
        <v>0</v>
      </c>
      <c r="R23" s="23"/>
      <c r="S23" s="23">
        <f t="shared" si="16"/>
        <v>1467.5783333333334</v>
      </c>
      <c r="T23" s="252"/>
      <c r="W23" s="61"/>
      <c r="X23" s="63"/>
    </row>
    <row r="24" spans="4:24" ht="35.1" customHeight="1" x14ac:dyDescent="0.2">
      <c r="D24" s="329"/>
      <c r="E24" s="321" t="s">
        <v>104</v>
      </c>
      <c r="F24" s="315"/>
      <c r="G24" s="316"/>
      <c r="H24" s="299"/>
      <c r="I24" s="299"/>
      <c r="J24" s="299"/>
      <c r="K24" s="299"/>
      <c r="L24" s="23"/>
      <c r="M24" s="23"/>
      <c r="N24" s="23"/>
      <c r="O24" s="23"/>
      <c r="P24" s="23"/>
      <c r="Q24" s="23"/>
      <c r="R24" s="23"/>
      <c r="S24" s="23"/>
      <c r="T24" s="252"/>
      <c r="W24" s="61"/>
      <c r="X24" s="63">
        <f>W24/2</f>
        <v>0</v>
      </c>
    </row>
    <row r="25" spans="4:24" ht="35.1" customHeight="1" x14ac:dyDescent="0.2">
      <c r="D25" s="329">
        <v>12</v>
      </c>
      <c r="E25" s="314" t="s">
        <v>183</v>
      </c>
      <c r="F25" s="315" t="s">
        <v>235</v>
      </c>
      <c r="G25" s="316">
        <v>15</v>
      </c>
      <c r="H25" s="299">
        <v>2652.25</v>
      </c>
      <c r="I25" s="23">
        <f>H25/15</f>
        <v>176.81666666666666</v>
      </c>
      <c r="J25" s="23">
        <v>12.6</v>
      </c>
      <c r="K25" s="23">
        <f>J25*I25</f>
        <v>2227.89</v>
      </c>
      <c r="L25" s="23">
        <f t="shared" ref="L25" si="19">H25*2+K25</f>
        <v>7532.3899999999994</v>
      </c>
      <c r="M25" s="23"/>
      <c r="N25" s="23">
        <f t="shared" si="15"/>
        <v>7532.3899999999994</v>
      </c>
      <c r="O25" s="23">
        <v>573.63</v>
      </c>
      <c r="P25" s="23">
        <f>21.86*2</f>
        <v>43.72</v>
      </c>
      <c r="Q25" s="23">
        <v>0</v>
      </c>
      <c r="R25" s="23">
        <f>O25-P25</f>
        <v>529.91</v>
      </c>
      <c r="S25" s="23">
        <f t="shared" ref="S25" si="20">K25-R25</f>
        <v>1697.98</v>
      </c>
      <c r="T25" s="252"/>
      <c r="W25" s="61">
        <v>3854</v>
      </c>
      <c r="X25" s="63">
        <f>W25/2</f>
        <v>1927</v>
      </c>
    </row>
    <row r="26" spans="4:24" ht="35.1" customHeight="1" x14ac:dyDescent="0.2">
      <c r="D26" s="330"/>
      <c r="E26" s="323" t="s">
        <v>213</v>
      </c>
      <c r="F26" s="315"/>
      <c r="G26" s="316"/>
      <c r="H26" s="299"/>
      <c r="I26" s="299"/>
      <c r="J26" s="299"/>
      <c r="K26" s="299"/>
      <c r="L26" s="23"/>
      <c r="M26" s="23"/>
      <c r="N26" s="23"/>
      <c r="O26" s="23"/>
      <c r="P26" s="23"/>
      <c r="Q26" s="23"/>
      <c r="R26" s="23"/>
      <c r="S26" s="23"/>
      <c r="T26" s="252"/>
      <c r="W26" s="61"/>
      <c r="X26" s="63">
        <f>W26/2</f>
        <v>0</v>
      </c>
    </row>
    <row r="27" spans="4:24" ht="35.1" customHeight="1" x14ac:dyDescent="0.2">
      <c r="D27" s="330">
        <v>13</v>
      </c>
      <c r="E27" s="97" t="s">
        <v>215</v>
      </c>
      <c r="F27" s="324" t="s">
        <v>214</v>
      </c>
      <c r="G27" s="316">
        <v>15</v>
      </c>
      <c r="H27" s="299">
        <v>2758.34</v>
      </c>
      <c r="I27" s="23">
        <f>H27/15</f>
        <v>183.88933333333335</v>
      </c>
      <c r="J27" s="23">
        <v>12.6</v>
      </c>
      <c r="K27" s="23">
        <f>J27*I27</f>
        <v>2317.0056000000004</v>
      </c>
      <c r="L27" s="23">
        <f t="shared" ref="L27" si="21">H27*2+K27</f>
        <v>7833.6856000000007</v>
      </c>
      <c r="M27" s="23">
        <f t="shared" ref="M27:M28" si="22">30*80.6</f>
        <v>2418</v>
      </c>
      <c r="N27" s="23">
        <f t="shared" ref="N27" si="23">L27-M27</f>
        <v>5415.6856000000007</v>
      </c>
      <c r="O27" s="23">
        <v>48.7</v>
      </c>
      <c r="P27" s="23">
        <f>33.4*2</f>
        <v>66.8</v>
      </c>
      <c r="Q27" s="23">
        <v>0</v>
      </c>
      <c r="R27" s="23"/>
      <c r="S27" s="23">
        <f t="shared" ref="S27:S29" si="24">K27-R27</f>
        <v>2317.0056000000004</v>
      </c>
      <c r="T27" s="252"/>
      <c r="W27" s="61">
        <v>5356</v>
      </c>
      <c r="X27" s="63">
        <f>W27/2</f>
        <v>2678</v>
      </c>
    </row>
    <row r="28" spans="4:24" ht="30.75" customHeight="1" x14ac:dyDescent="0.2">
      <c r="D28" s="330">
        <v>14</v>
      </c>
      <c r="E28" s="97" t="s">
        <v>216</v>
      </c>
      <c r="F28" s="315" t="s">
        <v>15</v>
      </c>
      <c r="G28" s="316">
        <v>15</v>
      </c>
      <c r="H28" s="299">
        <v>1984.81</v>
      </c>
      <c r="I28" s="23">
        <f>H28/15</f>
        <v>132.32066666666665</v>
      </c>
      <c r="J28" s="23">
        <v>12.6</v>
      </c>
      <c r="K28" s="23">
        <f>J28*I28</f>
        <v>1667.2403999999997</v>
      </c>
      <c r="L28" s="23">
        <f t="shared" ref="L28" si="25">H28*2+K28</f>
        <v>5636.8603999999996</v>
      </c>
      <c r="M28" s="23">
        <f t="shared" si="22"/>
        <v>2418</v>
      </c>
      <c r="N28" s="23">
        <f t="shared" ref="N28:N29" si="26">L28-M28</f>
        <v>3218.8603999999996</v>
      </c>
      <c r="O28" s="23"/>
      <c r="P28" s="23"/>
      <c r="Q28" s="23"/>
      <c r="R28" s="23"/>
      <c r="S28" s="23">
        <f t="shared" si="24"/>
        <v>1667.2403999999997</v>
      </c>
      <c r="T28" s="252"/>
      <c r="W28" s="61"/>
      <c r="X28" s="63"/>
    </row>
    <row r="29" spans="4:24" ht="35.1" customHeight="1" x14ac:dyDescent="0.2">
      <c r="D29" s="330">
        <v>15</v>
      </c>
      <c r="E29" s="97" t="s">
        <v>101</v>
      </c>
      <c r="F29" s="315" t="s">
        <v>15</v>
      </c>
      <c r="G29" s="316">
        <v>15</v>
      </c>
      <c r="H29" s="299">
        <v>2788.46</v>
      </c>
      <c r="I29" s="23">
        <f>H29/15</f>
        <v>185.89733333333334</v>
      </c>
      <c r="J29" s="23">
        <v>12.6</v>
      </c>
      <c r="K29" s="23">
        <f>J29*I29</f>
        <v>2342.3063999999999</v>
      </c>
      <c r="L29" s="23">
        <f t="shared" ref="L29" si="27">H29*2+K29</f>
        <v>7919.2263999999996</v>
      </c>
      <c r="M29" s="23"/>
      <c r="N29" s="23">
        <f t="shared" si="26"/>
        <v>7919.2263999999996</v>
      </c>
      <c r="O29" s="23">
        <v>615.71</v>
      </c>
      <c r="P29" s="23">
        <f>36.68*2</f>
        <v>73.36</v>
      </c>
      <c r="Q29" s="23"/>
      <c r="R29" s="23">
        <f>O29-P29</f>
        <v>542.35</v>
      </c>
      <c r="S29" s="23">
        <f t="shared" si="24"/>
        <v>1799.9564</v>
      </c>
      <c r="T29" s="252"/>
      <c r="W29" s="61"/>
      <c r="X29" s="63"/>
    </row>
    <row r="30" spans="4:24" ht="27.75" customHeight="1" x14ac:dyDescent="0.2">
      <c r="D30" s="330"/>
      <c r="E30" s="323" t="s">
        <v>230</v>
      </c>
      <c r="F30" s="315"/>
      <c r="G30" s="316"/>
      <c r="H30" s="299"/>
      <c r="I30" s="299"/>
      <c r="J30" s="299"/>
      <c r="K30" s="299"/>
      <c r="L30" s="23"/>
      <c r="M30" s="23"/>
      <c r="N30" s="23"/>
      <c r="O30" s="23"/>
      <c r="P30" s="23"/>
      <c r="Q30" s="23"/>
      <c r="R30" s="23"/>
      <c r="S30" s="23"/>
      <c r="T30" s="252"/>
      <c r="W30" s="61"/>
      <c r="X30" s="63"/>
    </row>
    <row r="31" spans="4:24" ht="30" customHeight="1" x14ac:dyDescent="0.2">
      <c r="D31" s="330">
        <v>16</v>
      </c>
      <c r="E31" s="97" t="s">
        <v>231</v>
      </c>
      <c r="F31" s="322" t="s">
        <v>233</v>
      </c>
      <c r="G31" s="316">
        <v>15</v>
      </c>
      <c r="H31" s="299">
        <v>6120</v>
      </c>
      <c r="I31" s="23">
        <f>H31/15</f>
        <v>408</v>
      </c>
      <c r="J31" s="23">
        <v>12.6</v>
      </c>
      <c r="K31" s="23">
        <f>J31*I31</f>
        <v>5140.8</v>
      </c>
      <c r="L31" s="23">
        <f t="shared" ref="L31" si="28">H31*2+K31</f>
        <v>17380.8</v>
      </c>
      <c r="M31" s="23">
        <f t="shared" ref="M31:M36" si="29">30*80.6</f>
        <v>2418</v>
      </c>
      <c r="N31" s="23">
        <f t="shared" ref="N31" si="30">L31-M31</f>
        <v>14962.8</v>
      </c>
      <c r="O31" s="23">
        <v>1902.6</v>
      </c>
      <c r="P31" s="23">
        <f>669.01*2</f>
        <v>1338.02</v>
      </c>
      <c r="Q31" s="23"/>
      <c r="R31" s="23">
        <f>O31-P31</f>
        <v>564.57999999999993</v>
      </c>
      <c r="S31" s="23">
        <f t="shared" ref="S31:S32" si="31">K31-R31</f>
        <v>4576.22</v>
      </c>
      <c r="T31" s="252"/>
      <c r="W31" s="61"/>
      <c r="X31" s="63"/>
    </row>
    <row r="32" spans="4:24" ht="27.75" customHeight="1" x14ac:dyDescent="0.2">
      <c r="D32" s="330">
        <v>17</v>
      </c>
      <c r="E32" s="97" t="s">
        <v>232</v>
      </c>
      <c r="F32" s="322" t="s">
        <v>234</v>
      </c>
      <c r="G32" s="316">
        <v>15</v>
      </c>
      <c r="H32" s="299">
        <v>2111.5</v>
      </c>
      <c r="I32" s="23">
        <f>H32/15</f>
        <v>140.76666666666668</v>
      </c>
      <c r="J32" s="23">
        <v>12.6</v>
      </c>
      <c r="K32" s="23">
        <f>J32*I32</f>
        <v>1773.66</v>
      </c>
      <c r="L32" s="23">
        <f t="shared" ref="L32" si="32">H32*2+K32</f>
        <v>5996.66</v>
      </c>
      <c r="M32" s="23">
        <f t="shared" si="29"/>
        <v>2418</v>
      </c>
      <c r="N32" s="23">
        <f t="shared" ref="N32" si="33">L32-M32</f>
        <v>3578.66</v>
      </c>
      <c r="O32" s="23"/>
      <c r="P32" s="23"/>
      <c r="Q32" s="23"/>
      <c r="R32" s="23"/>
      <c r="S32" s="23">
        <f t="shared" si="31"/>
        <v>1773.66</v>
      </c>
      <c r="T32" s="252"/>
      <c r="W32" s="61"/>
      <c r="X32" s="63"/>
    </row>
    <row r="33" spans="2:24" ht="28.5" customHeight="1" x14ac:dyDescent="0.2">
      <c r="D33" s="6"/>
      <c r="E33" s="325" t="s">
        <v>39</v>
      </c>
      <c r="F33" s="324"/>
      <c r="G33" s="326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252"/>
      <c r="W33" s="61"/>
      <c r="X33" s="63">
        <f>W33/2</f>
        <v>0</v>
      </c>
    </row>
    <row r="34" spans="2:24" ht="35.1" customHeight="1" x14ac:dyDescent="0.2">
      <c r="D34" s="6">
        <v>18</v>
      </c>
      <c r="E34" s="318" t="s">
        <v>236</v>
      </c>
      <c r="F34" s="315" t="s">
        <v>40</v>
      </c>
      <c r="G34" s="316">
        <v>15</v>
      </c>
      <c r="H34" s="23">
        <v>2147.5500000000002</v>
      </c>
      <c r="I34" s="23">
        <f>H34/15</f>
        <v>143.17000000000002</v>
      </c>
      <c r="J34" s="23">
        <v>12.6</v>
      </c>
      <c r="K34" s="23">
        <f>J34*I34</f>
        <v>1803.9420000000002</v>
      </c>
      <c r="L34" s="23">
        <f t="shared" ref="L34" si="34">H34*2+K34</f>
        <v>6099.0420000000004</v>
      </c>
      <c r="M34" s="23">
        <f t="shared" si="29"/>
        <v>2418</v>
      </c>
      <c r="N34" s="23">
        <f t="shared" ref="N34" si="35">L34-M34</f>
        <v>3681.0420000000004</v>
      </c>
      <c r="O34" s="23"/>
      <c r="P34" s="23"/>
      <c r="Q34" s="23">
        <v>0</v>
      </c>
      <c r="R34" s="23">
        <f>O34-P34</f>
        <v>0</v>
      </c>
      <c r="S34" s="23">
        <f t="shared" ref="S34:S36" si="36">K34-R34</f>
        <v>1803.9420000000002</v>
      </c>
      <c r="T34" s="252"/>
      <c r="W34" s="61">
        <v>3950</v>
      </c>
      <c r="X34" s="63">
        <f>W34/2</f>
        <v>1975</v>
      </c>
    </row>
    <row r="35" spans="2:24" ht="23.25" customHeight="1" x14ac:dyDescent="0.2">
      <c r="D35" s="331"/>
      <c r="E35" s="327" t="s">
        <v>182</v>
      </c>
      <c r="F35" s="315"/>
      <c r="G35" s="316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52"/>
      <c r="W35" s="61"/>
      <c r="X35" s="63"/>
    </row>
    <row r="36" spans="2:24" ht="24.75" customHeight="1" x14ac:dyDescent="0.2">
      <c r="D36" s="331">
        <v>19</v>
      </c>
      <c r="E36" s="314" t="s">
        <v>237</v>
      </c>
      <c r="F36" s="322" t="s">
        <v>238</v>
      </c>
      <c r="G36" s="316">
        <v>15</v>
      </c>
      <c r="H36" s="23">
        <v>3475.22</v>
      </c>
      <c r="I36" s="23">
        <f>H36/15</f>
        <v>231.68133333333333</v>
      </c>
      <c r="J36" s="23">
        <v>12.6</v>
      </c>
      <c r="K36" s="23">
        <f>J36*I36</f>
        <v>2919.1848</v>
      </c>
      <c r="L36" s="23">
        <f t="shared" ref="L36" si="37">H36*2+K36</f>
        <v>9869.6247999999996</v>
      </c>
      <c r="M36" s="23">
        <f t="shared" si="29"/>
        <v>2418</v>
      </c>
      <c r="N36" s="23">
        <f t="shared" ref="N36" si="38">L36-M36</f>
        <v>7451.6247999999996</v>
      </c>
      <c r="O36" s="23">
        <v>564.84</v>
      </c>
      <c r="P36" s="23">
        <f>131.6*2</f>
        <v>263.2</v>
      </c>
      <c r="Q36" s="23"/>
      <c r="R36" s="23">
        <f>O36-P36</f>
        <v>301.64000000000004</v>
      </c>
      <c r="S36" s="23">
        <f t="shared" si="36"/>
        <v>2617.5448000000001</v>
      </c>
      <c r="T36" s="252"/>
      <c r="W36" s="61"/>
      <c r="X36" s="63"/>
    </row>
    <row r="37" spans="2:24" ht="33" customHeight="1" x14ac:dyDescent="0.3">
      <c r="D37" s="190"/>
      <c r="E37" s="195"/>
      <c r="F37" s="191"/>
      <c r="G37" s="192"/>
      <c r="H37" s="193"/>
      <c r="I37" s="193"/>
      <c r="J37" s="193"/>
      <c r="K37" s="193"/>
      <c r="L37" s="193"/>
      <c r="M37" s="193"/>
      <c r="N37" s="193"/>
      <c r="O37" s="220"/>
      <c r="P37" s="220"/>
      <c r="Q37" s="193"/>
      <c r="R37" s="193"/>
      <c r="S37" s="193"/>
      <c r="T37" s="252"/>
      <c r="W37" s="61"/>
      <c r="X37" s="63"/>
    </row>
    <row r="38" spans="2:24" ht="32.1" customHeight="1" x14ac:dyDescent="0.2">
      <c r="D38" s="179"/>
      <c r="E38" s="178"/>
      <c r="F38" s="176"/>
      <c r="G38" s="177"/>
      <c r="H38" s="167"/>
      <c r="I38" s="167"/>
      <c r="J38" s="167"/>
      <c r="K38" s="167"/>
      <c r="L38" s="152"/>
      <c r="M38" s="152"/>
      <c r="N38" s="152"/>
      <c r="O38" s="220"/>
      <c r="P38" s="220"/>
      <c r="Q38" s="152"/>
      <c r="R38" s="152"/>
      <c r="S38" s="152"/>
      <c r="T38" s="252"/>
      <c r="W38" s="61">
        <v>3950</v>
      </c>
      <c r="X38" s="63">
        <f>W38/2</f>
        <v>1975</v>
      </c>
    </row>
    <row r="39" spans="2:24" ht="30" customHeight="1" x14ac:dyDescent="0.2">
      <c r="D39" s="71"/>
      <c r="E39" s="72"/>
      <c r="F39" s="87"/>
      <c r="G39" s="88"/>
      <c r="H39" s="89" t="e">
        <f>H36+H34+H32+H31+H29+H28+H27+#REF!+H25+H23+H22+H21+H20+H18+H17+H15+H13+H11+H10+H9</f>
        <v>#REF!</v>
      </c>
      <c r="I39" s="89" t="e">
        <f>I36+I34+I32+I31+I29+I28+I27+#REF!+I25+I23+I22+I21+I20+I18+I17+I15+I13+I11+I10+I9</f>
        <v>#REF!</v>
      </c>
      <c r="J39" s="89"/>
      <c r="K39" s="89" t="e">
        <f>K36+K34+K32+K31+K29+K28+K27+#REF!+K25+K23+K22+K21+K20+K18+K17+K15+K13+K11+K10+K9</f>
        <v>#REF!</v>
      </c>
      <c r="L39" s="89" t="e">
        <f>L36+L34+L32+L31+L29+L28+L27+#REF!+L25+L23+L22+L21+L20+L18+L17+L15+L13+L11+L10+L9</f>
        <v>#REF!</v>
      </c>
      <c r="M39" s="89" t="e">
        <f>M36+M34+M32+M31+M29+M28+M27+#REF!+M25+M23+M22+M21+M20+M18+M17+M15+M13+M11+M10+M9</f>
        <v>#REF!</v>
      </c>
      <c r="N39" s="89" t="e">
        <f>N36+N34+N32+N31+N29+N28+N27+#REF!+N25+N23+N22+N21+N20+N18+N17+N15+N13+N11+N10+N9</f>
        <v>#REF!</v>
      </c>
      <c r="O39" s="89" t="e">
        <f>O36+O34+O32+O31+O29+O28+O27+#REF!+O25+O23+O22+O21+O20+O18+O17+O15+O13+O11+O10+O9</f>
        <v>#REF!</v>
      </c>
      <c r="P39" s="89" t="e">
        <f>P36+P34+P32+P31+P29+P28+P27+#REF!+P25+P23+P22+P21+P20+P18+P17+P15+P13+P11+P10+P9</f>
        <v>#REF!</v>
      </c>
      <c r="Q39" s="90"/>
      <c r="R39" s="89" t="e">
        <f>R36+R34+R32+R31+R29+R28+R27+#REF!+R25+R23+R22+R21+R20+R18+R17+R15+R13+R11+R10+R9</f>
        <v>#REF!</v>
      </c>
      <c r="S39" s="89" t="e">
        <f>S36+S34+S32+S31+S29+S28+S27+#REF!+S25+S23+S22+S21+S20+S18+S17+S15+S13+S11+S10+S9</f>
        <v>#REF!</v>
      </c>
      <c r="T39" s="288"/>
      <c r="W39" s="61"/>
      <c r="X39" s="63"/>
    </row>
    <row r="40" spans="2:24" ht="27.95" customHeight="1" x14ac:dyDescent="0.2">
      <c r="B40" s="73"/>
      <c r="C40" s="73"/>
      <c r="D40" s="444" t="s">
        <v>11</v>
      </c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W40" s="61"/>
      <c r="X40" s="63"/>
    </row>
    <row r="41" spans="2:24" ht="27.95" customHeight="1" x14ac:dyDescent="0.2">
      <c r="B41" s="73"/>
      <c r="C41" s="73"/>
      <c r="D41" s="444" t="s">
        <v>175</v>
      </c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W41" s="61"/>
      <c r="X41" s="63"/>
    </row>
    <row r="42" spans="2:24" ht="27.95" customHeight="1" x14ac:dyDescent="0.2">
      <c r="B42" s="73"/>
      <c r="C42" s="73"/>
      <c r="D42" s="443" t="str">
        <f>D3</f>
        <v>MSJ 850101 UQ6</v>
      </c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W42" s="61"/>
      <c r="X42" s="63"/>
    </row>
    <row r="43" spans="2:24" ht="27.95" customHeight="1" x14ac:dyDescent="0.2">
      <c r="B43" s="73"/>
      <c r="C43" s="73"/>
      <c r="D43" s="443" t="s">
        <v>165</v>
      </c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W43" s="61"/>
      <c r="X43" s="63"/>
    </row>
    <row r="44" spans="2:24" ht="21.95" customHeight="1" x14ac:dyDescent="0.25">
      <c r="B44" s="73"/>
      <c r="C44" s="73"/>
      <c r="D44" s="332"/>
      <c r="E44" s="332"/>
      <c r="F44" s="332"/>
      <c r="G44" s="263" t="s">
        <v>3</v>
      </c>
      <c r="H44" s="436" t="s">
        <v>0</v>
      </c>
      <c r="I44" s="437"/>
      <c r="J44" s="437"/>
      <c r="K44" s="437"/>
      <c r="L44" s="437"/>
      <c r="M44" s="437"/>
      <c r="N44" s="437"/>
      <c r="O44" s="333"/>
      <c r="P44" s="333"/>
      <c r="Q44" s="333"/>
      <c r="R44" s="333"/>
      <c r="S44" s="263"/>
      <c r="T44" s="334"/>
      <c r="W44" s="61"/>
      <c r="X44" s="63"/>
    </row>
    <row r="45" spans="2:24" ht="18.75" customHeight="1" x14ac:dyDescent="0.25">
      <c r="B45" s="73"/>
      <c r="C45" s="73"/>
      <c r="D45" s="263" t="s">
        <v>2</v>
      </c>
      <c r="E45" s="334"/>
      <c r="F45" s="263"/>
      <c r="G45" s="335" t="s">
        <v>4</v>
      </c>
      <c r="H45" s="122" t="s">
        <v>1</v>
      </c>
      <c r="I45" s="122" t="s">
        <v>1</v>
      </c>
      <c r="J45" s="122" t="s">
        <v>316</v>
      </c>
      <c r="K45" s="122"/>
      <c r="L45" s="264" t="s">
        <v>318</v>
      </c>
      <c r="M45" s="264" t="s">
        <v>310</v>
      </c>
      <c r="N45" s="264" t="s">
        <v>320</v>
      </c>
      <c r="O45" s="264" t="s">
        <v>321</v>
      </c>
      <c r="P45" s="106" t="s">
        <v>313</v>
      </c>
      <c r="Q45" s="263" t="s">
        <v>180</v>
      </c>
      <c r="R45" s="106" t="s">
        <v>313</v>
      </c>
      <c r="S45" s="263" t="s">
        <v>167</v>
      </c>
      <c r="T45" s="123"/>
      <c r="W45" s="61"/>
      <c r="X45" s="63"/>
    </row>
    <row r="46" spans="2:24" ht="21.95" customHeight="1" x14ac:dyDescent="0.25">
      <c r="B46" s="73"/>
      <c r="C46" s="73"/>
      <c r="D46" s="334"/>
      <c r="E46" s="122"/>
      <c r="F46" s="123" t="s">
        <v>9</v>
      </c>
      <c r="G46" s="263"/>
      <c r="H46" s="263" t="s">
        <v>6</v>
      </c>
      <c r="I46" s="263" t="s">
        <v>315</v>
      </c>
      <c r="J46" s="263" t="s">
        <v>158</v>
      </c>
      <c r="K46" s="263" t="s">
        <v>158</v>
      </c>
      <c r="L46" s="265" t="s">
        <v>307</v>
      </c>
      <c r="M46" s="265" t="s">
        <v>306</v>
      </c>
      <c r="N46" s="265" t="s">
        <v>312</v>
      </c>
      <c r="O46" s="265" t="s">
        <v>164</v>
      </c>
      <c r="P46" s="105" t="s">
        <v>314</v>
      </c>
      <c r="Q46" s="263" t="s">
        <v>181</v>
      </c>
      <c r="R46" s="105" t="s">
        <v>306</v>
      </c>
      <c r="S46" s="263" t="s">
        <v>170</v>
      </c>
      <c r="T46" s="122" t="s">
        <v>173</v>
      </c>
      <c r="W46" s="61"/>
      <c r="X46" s="63"/>
    </row>
    <row r="47" spans="2:24" ht="21.95" customHeight="1" x14ac:dyDescent="0.25">
      <c r="B47" s="73"/>
      <c r="C47" s="73"/>
      <c r="D47" s="263"/>
      <c r="E47" s="122" t="s">
        <v>78</v>
      </c>
      <c r="F47" s="122" t="s">
        <v>8</v>
      </c>
      <c r="G47" s="122"/>
      <c r="H47" s="122"/>
      <c r="I47" s="122"/>
      <c r="J47" s="122"/>
      <c r="K47" s="122"/>
      <c r="L47" s="106" t="s">
        <v>319</v>
      </c>
      <c r="M47" s="106" t="s">
        <v>309</v>
      </c>
      <c r="N47" s="105"/>
      <c r="O47" s="336"/>
      <c r="P47" s="337"/>
      <c r="Q47" s="337"/>
      <c r="R47" s="337"/>
      <c r="S47" s="122"/>
      <c r="T47" s="122"/>
      <c r="W47" s="61"/>
      <c r="X47" s="63"/>
    </row>
    <row r="48" spans="2:24" ht="35.25" customHeight="1" x14ac:dyDescent="0.25">
      <c r="D48" s="338"/>
      <c r="E48" s="339" t="s">
        <v>245</v>
      </c>
      <c r="F48" s="218"/>
      <c r="G48" s="340"/>
      <c r="H48" s="341"/>
      <c r="I48" s="341"/>
      <c r="J48" s="341"/>
      <c r="K48" s="341"/>
      <c r="L48" s="342"/>
      <c r="M48" s="342"/>
      <c r="N48" s="342"/>
      <c r="O48" s="342"/>
      <c r="P48" s="342"/>
      <c r="Q48" s="342"/>
      <c r="R48" s="342"/>
      <c r="S48" s="271"/>
      <c r="T48" s="343"/>
      <c r="W48" s="61"/>
      <c r="X48" s="63">
        <f>W48/2</f>
        <v>0</v>
      </c>
    </row>
    <row r="49" spans="4:24" ht="35.25" customHeight="1" x14ac:dyDescent="0.2">
      <c r="D49" s="328">
        <v>20</v>
      </c>
      <c r="E49" s="344" t="s">
        <v>277</v>
      </c>
      <c r="F49" s="345" t="s">
        <v>32</v>
      </c>
      <c r="G49" s="346">
        <v>15</v>
      </c>
      <c r="H49" s="220">
        <v>2053</v>
      </c>
      <c r="I49" s="220">
        <f t="shared" ref="I49:I61" si="39">H49/15</f>
        <v>136.86666666666667</v>
      </c>
      <c r="J49" s="220">
        <v>12.6</v>
      </c>
      <c r="K49" s="220">
        <f t="shared" ref="K49:K61" si="40">J49*I49</f>
        <v>1724.52</v>
      </c>
      <c r="L49" s="220">
        <f t="shared" ref="L49" si="41">H49*2+K49</f>
        <v>5830.52</v>
      </c>
      <c r="M49" s="220"/>
      <c r="N49" s="220">
        <f t="shared" ref="N49" si="42">L49-M49</f>
        <v>5830.52</v>
      </c>
      <c r="O49" s="220">
        <v>93.83</v>
      </c>
      <c r="P49" s="220"/>
      <c r="Q49" s="220"/>
      <c r="R49" s="220">
        <f t="shared" ref="R49:R72" si="43">O49-P49</f>
        <v>93.83</v>
      </c>
      <c r="S49" s="220">
        <f t="shared" ref="S49:S56" si="44">K49-R49</f>
        <v>1630.69</v>
      </c>
      <c r="T49" s="347"/>
      <c r="W49" s="61"/>
      <c r="X49" s="63"/>
    </row>
    <row r="50" spans="4:24" ht="36" customHeight="1" x14ac:dyDescent="0.2">
      <c r="D50" s="328">
        <v>21</v>
      </c>
      <c r="E50" s="344" t="s">
        <v>278</v>
      </c>
      <c r="F50" s="345" t="s">
        <v>32</v>
      </c>
      <c r="G50" s="346">
        <v>15</v>
      </c>
      <c r="H50" s="220">
        <v>2053</v>
      </c>
      <c r="I50" s="220">
        <f t="shared" si="39"/>
        <v>136.86666666666667</v>
      </c>
      <c r="J50" s="220">
        <v>12.6</v>
      </c>
      <c r="K50" s="220">
        <f t="shared" si="40"/>
        <v>1724.52</v>
      </c>
      <c r="L50" s="220">
        <f t="shared" ref="L50" si="45">H50*2+K50</f>
        <v>5830.52</v>
      </c>
      <c r="M50" s="220"/>
      <c r="N50" s="220">
        <f t="shared" ref="N50" si="46">L50-M50</f>
        <v>5830.52</v>
      </c>
      <c r="O50" s="220">
        <v>93.83</v>
      </c>
      <c r="P50" s="220"/>
      <c r="Q50" s="220"/>
      <c r="R50" s="220">
        <f t="shared" si="43"/>
        <v>93.83</v>
      </c>
      <c r="S50" s="220">
        <f t="shared" si="44"/>
        <v>1630.69</v>
      </c>
      <c r="T50" s="347"/>
      <c r="W50" s="61"/>
      <c r="X50" s="63"/>
    </row>
    <row r="51" spans="4:24" ht="35.25" customHeight="1" x14ac:dyDescent="0.2">
      <c r="D51" s="328">
        <v>22</v>
      </c>
      <c r="E51" s="344" t="s">
        <v>279</v>
      </c>
      <c r="F51" s="345" t="s">
        <v>32</v>
      </c>
      <c r="G51" s="346">
        <v>15</v>
      </c>
      <c r="H51" s="220">
        <v>2053</v>
      </c>
      <c r="I51" s="220">
        <f t="shared" si="39"/>
        <v>136.86666666666667</v>
      </c>
      <c r="J51" s="220">
        <v>12.6</v>
      </c>
      <c r="K51" s="220">
        <f t="shared" si="40"/>
        <v>1724.52</v>
      </c>
      <c r="L51" s="220">
        <f t="shared" ref="L51" si="47">H51*2+K51</f>
        <v>5830.52</v>
      </c>
      <c r="M51" s="220"/>
      <c r="N51" s="220">
        <f t="shared" ref="N51:N52" si="48">L51-M51</f>
        <v>5830.52</v>
      </c>
      <c r="O51" s="220">
        <v>93.83</v>
      </c>
      <c r="P51" s="220"/>
      <c r="Q51" s="220"/>
      <c r="R51" s="220">
        <f t="shared" si="43"/>
        <v>93.83</v>
      </c>
      <c r="S51" s="220">
        <f t="shared" si="44"/>
        <v>1630.69</v>
      </c>
      <c r="T51" s="347"/>
      <c r="W51" s="61"/>
      <c r="X51" s="63"/>
    </row>
    <row r="52" spans="4:24" ht="31.5" customHeight="1" x14ac:dyDescent="0.2">
      <c r="D52" s="328">
        <v>23</v>
      </c>
      <c r="E52" s="344" t="s">
        <v>274</v>
      </c>
      <c r="F52" s="345" t="s">
        <v>40</v>
      </c>
      <c r="G52" s="346">
        <v>15</v>
      </c>
      <c r="H52" s="220">
        <v>2217</v>
      </c>
      <c r="I52" s="220">
        <f t="shared" si="39"/>
        <v>147.80000000000001</v>
      </c>
      <c r="J52" s="220">
        <v>12.6</v>
      </c>
      <c r="K52" s="220">
        <f t="shared" si="40"/>
        <v>1862.2800000000002</v>
      </c>
      <c r="L52" s="220">
        <f t="shared" ref="L52" si="49">H52*2+K52</f>
        <v>6296.2800000000007</v>
      </c>
      <c r="M52" s="220"/>
      <c r="N52" s="220">
        <f t="shared" si="48"/>
        <v>6296.2800000000007</v>
      </c>
      <c r="O52" s="220">
        <v>185.6</v>
      </c>
      <c r="P52" s="220"/>
      <c r="Q52" s="220"/>
      <c r="R52" s="220">
        <f t="shared" si="43"/>
        <v>185.6</v>
      </c>
      <c r="S52" s="220">
        <f t="shared" si="44"/>
        <v>1676.6800000000003</v>
      </c>
      <c r="T52" s="347"/>
      <c r="W52" s="61"/>
      <c r="X52" s="63"/>
    </row>
    <row r="53" spans="4:24" ht="32.25" customHeight="1" x14ac:dyDescent="0.2">
      <c r="D53" s="328">
        <v>24</v>
      </c>
      <c r="E53" s="344" t="s">
        <v>246</v>
      </c>
      <c r="F53" s="345" t="s">
        <v>38</v>
      </c>
      <c r="G53" s="346">
        <v>15</v>
      </c>
      <c r="H53" s="259">
        <v>2575</v>
      </c>
      <c r="I53" s="220">
        <f t="shared" si="39"/>
        <v>171.66666666666666</v>
      </c>
      <c r="J53" s="220">
        <v>12.6</v>
      </c>
      <c r="K53" s="220">
        <f t="shared" si="40"/>
        <v>2163</v>
      </c>
      <c r="L53" s="220">
        <f t="shared" ref="L53" si="50">H53*2+K53</f>
        <v>7313</v>
      </c>
      <c r="M53" s="220"/>
      <c r="N53" s="220">
        <f t="shared" ref="N53" si="51">L53-M53</f>
        <v>7313</v>
      </c>
      <c r="O53" s="220">
        <v>332.15</v>
      </c>
      <c r="P53" s="220"/>
      <c r="Q53" s="220"/>
      <c r="R53" s="220">
        <f t="shared" si="43"/>
        <v>332.15</v>
      </c>
      <c r="S53" s="220">
        <f t="shared" si="44"/>
        <v>1830.85</v>
      </c>
      <c r="T53" s="347"/>
      <c r="W53" s="61"/>
      <c r="X53" s="63"/>
    </row>
    <row r="54" spans="4:24" ht="31.5" customHeight="1" x14ac:dyDescent="0.2">
      <c r="D54" s="328">
        <v>25</v>
      </c>
      <c r="E54" s="215" t="s">
        <v>228</v>
      </c>
      <c r="F54" s="216" t="s">
        <v>31</v>
      </c>
      <c r="G54" s="255">
        <v>15</v>
      </c>
      <c r="H54" s="220">
        <v>4954</v>
      </c>
      <c r="I54" s="220">
        <f t="shared" si="39"/>
        <v>330.26666666666665</v>
      </c>
      <c r="J54" s="220">
        <v>12.6</v>
      </c>
      <c r="K54" s="220">
        <v>3534</v>
      </c>
      <c r="L54" s="220">
        <f t="shared" ref="L54" si="52">H54*2+K54</f>
        <v>13442</v>
      </c>
      <c r="M54" s="220">
        <f t="shared" ref="M54" si="53">30*80.6</f>
        <v>2418</v>
      </c>
      <c r="N54" s="220">
        <f t="shared" ref="N54:N55" si="54">L54-M54</f>
        <v>11024</v>
      </c>
      <c r="O54" s="220">
        <v>1207.6099999999999</v>
      </c>
      <c r="P54" s="220">
        <f>453.39*2</f>
        <v>906.78</v>
      </c>
      <c r="Q54" s="220">
        <v>0</v>
      </c>
      <c r="R54" s="220">
        <f t="shared" si="43"/>
        <v>300.82999999999993</v>
      </c>
      <c r="S54" s="220">
        <f t="shared" si="44"/>
        <v>3233.17</v>
      </c>
      <c r="T54" s="347"/>
      <c r="W54" s="61"/>
      <c r="X54" s="63"/>
    </row>
    <row r="55" spans="4:24" ht="33.75" customHeight="1" x14ac:dyDescent="0.2">
      <c r="D55" s="328">
        <v>26</v>
      </c>
      <c r="E55" s="349" t="s">
        <v>58</v>
      </c>
      <c r="F55" s="350" t="s">
        <v>32</v>
      </c>
      <c r="G55" s="255">
        <v>15</v>
      </c>
      <c r="H55" s="259">
        <v>2034.25</v>
      </c>
      <c r="I55" s="220">
        <f t="shared" si="39"/>
        <v>135.61666666666667</v>
      </c>
      <c r="J55" s="220">
        <v>12.6</v>
      </c>
      <c r="K55" s="220">
        <f t="shared" si="40"/>
        <v>1708.77</v>
      </c>
      <c r="L55" s="220">
        <f t="shared" ref="L55" si="55">H55*2+K55</f>
        <v>5777.27</v>
      </c>
      <c r="M55" s="220"/>
      <c r="N55" s="220">
        <f t="shared" si="54"/>
        <v>5777.27</v>
      </c>
      <c r="O55" s="220">
        <v>88.04</v>
      </c>
      <c r="P55" s="220"/>
      <c r="Q55" s="220">
        <v>0</v>
      </c>
      <c r="R55" s="220">
        <f t="shared" si="43"/>
        <v>88.04</v>
      </c>
      <c r="S55" s="220">
        <f t="shared" si="44"/>
        <v>1620.73</v>
      </c>
      <c r="T55" s="347"/>
      <c r="W55" s="61"/>
      <c r="X55" s="63"/>
    </row>
    <row r="56" spans="4:24" ht="33" customHeight="1" x14ac:dyDescent="0.2">
      <c r="D56" s="328">
        <v>27</v>
      </c>
      <c r="E56" s="349" t="s">
        <v>109</v>
      </c>
      <c r="F56" s="350" t="s">
        <v>32</v>
      </c>
      <c r="G56" s="255">
        <v>15</v>
      </c>
      <c r="H56" s="259">
        <v>2034.25</v>
      </c>
      <c r="I56" s="220">
        <f t="shared" si="39"/>
        <v>135.61666666666667</v>
      </c>
      <c r="J56" s="220">
        <v>12.6</v>
      </c>
      <c r="K56" s="220">
        <f t="shared" si="40"/>
        <v>1708.77</v>
      </c>
      <c r="L56" s="220">
        <f t="shared" ref="L56" si="56">H56*2+K56</f>
        <v>5777.27</v>
      </c>
      <c r="M56" s="220"/>
      <c r="N56" s="220">
        <f t="shared" ref="N56:N74" si="57">L56-M56</f>
        <v>5777.27</v>
      </c>
      <c r="O56" s="220">
        <v>88.04</v>
      </c>
      <c r="P56" s="220"/>
      <c r="Q56" s="220">
        <v>0</v>
      </c>
      <c r="R56" s="220">
        <f t="shared" si="43"/>
        <v>88.04</v>
      </c>
      <c r="S56" s="220">
        <f t="shared" si="44"/>
        <v>1620.73</v>
      </c>
      <c r="T56" s="347"/>
      <c r="W56" s="61"/>
      <c r="X56" s="63"/>
    </row>
    <row r="57" spans="4:24" ht="31.5" customHeight="1" x14ac:dyDescent="0.2">
      <c r="D57" s="328">
        <v>28</v>
      </c>
      <c r="E57" s="215" t="s">
        <v>115</v>
      </c>
      <c r="F57" s="216" t="s">
        <v>114</v>
      </c>
      <c r="G57" s="255">
        <v>15</v>
      </c>
      <c r="H57" s="259">
        <v>2982.88</v>
      </c>
      <c r="I57" s="220">
        <f t="shared" si="39"/>
        <v>198.85866666666666</v>
      </c>
      <c r="J57" s="220">
        <v>12.6</v>
      </c>
      <c r="K57" s="220">
        <f t="shared" si="40"/>
        <v>2505.6192000000001</v>
      </c>
      <c r="L57" s="220">
        <f t="shared" ref="L57" si="58">H57*2+K57</f>
        <v>8471.3791999999994</v>
      </c>
      <c r="M57" s="220"/>
      <c r="N57" s="220">
        <f t="shared" si="57"/>
        <v>8471.3791999999994</v>
      </c>
      <c r="O57" s="220">
        <v>675.79</v>
      </c>
      <c r="P57" s="220">
        <f>57.83*2</f>
        <v>115.66</v>
      </c>
      <c r="Q57" s="220">
        <v>0</v>
      </c>
      <c r="R57" s="220">
        <f t="shared" si="43"/>
        <v>560.13</v>
      </c>
      <c r="S57" s="220">
        <f t="shared" ref="S57:S72" si="59">K57-R57</f>
        <v>1945.4892</v>
      </c>
      <c r="T57" s="347"/>
      <c r="W57" s="61">
        <v>5792</v>
      </c>
      <c r="X57" s="63">
        <f t="shared" ref="X57:X72" si="60">W57/2</f>
        <v>2896</v>
      </c>
    </row>
    <row r="58" spans="4:24" ht="31.5" customHeight="1" x14ac:dyDescent="0.2">
      <c r="D58" s="328">
        <v>29</v>
      </c>
      <c r="E58" s="215" t="s">
        <v>139</v>
      </c>
      <c r="F58" s="43" t="s">
        <v>138</v>
      </c>
      <c r="G58" s="255">
        <v>15</v>
      </c>
      <c r="H58" s="259">
        <v>2147.5500000000002</v>
      </c>
      <c r="I58" s="220">
        <f t="shared" si="39"/>
        <v>143.17000000000002</v>
      </c>
      <c r="J58" s="220">
        <v>12.6</v>
      </c>
      <c r="K58" s="220">
        <f t="shared" si="40"/>
        <v>1803.9420000000002</v>
      </c>
      <c r="L58" s="220">
        <f t="shared" ref="L58" si="61">H58*2+K58</f>
        <v>6099.0420000000004</v>
      </c>
      <c r="M58" s="220"/>
      <c r="N58" s="220">
        <f t="shared" si="57"/>
        <v>6099.0420000000004</v>
      </c>
      <c r="O58" s="220">
        <v>123.05</v>
      </c>
      <c r="P58" s="220"/>
      <c r="Q58" s="220">
        <v>0</v>
      </c>
      <c r="R58" s="220">
        <f t="shared" si="43"/>
        <v>123.05</v>
      </c>
      <c r="S58" s="220">
        <f t="shared" si="59"/>
        <v>1680.8920000000003</v>
      </c>
      <c r="T58" s="347"/>
      <c r="W58" s="61">
        <v>3950</v>
      </c>
      <c r="X58" s="63">
        <f t="shared" si="60"/>
        <v>1975</v>
      </c>
    </row>
    <row r="59" spans="4:24" ht="33" customHeight="1" x14ac:dyDescent="0.2">
      <c r="D59" s="328">
        <v>30</v>
      </c>
      <c r="E59" s="215" t="s">
        <v>185</v>
      </c>
      <c r="F59" s="43" t="s">
        <v>38</v>
      </c>
      <c r="G59" s="255">
        <v>15</v>
      </c>
      <c r="H59" s="259">
        <v>2575</v>
      </c>
      <c r="I59" s="220">
        <f t="shared" si="39"/>
        <v>171.66666666666666</v>
      </c>
      <c r="J59" s="220">
        <v>12.6</v>
      </c>
      <c r="K59" s="220">
        <f t="shared" si="40"/>
        <v>2163</v>
      </c>
      <c r="L59" s="220">
        <f t="shared" ref="L59" si="62">H59*2+K59</f>
        <v>7313</v>
      </c>
      <c r="M59" s="220"/>
      <c r="N59" s="220">
        <f t="shared" si="57"/>
        <v>7313</v>
      </c>
      <c r="O59" s="220">
        <v>332.15</v>
      </c>
      <c r="P59" s="220"/>
      <c r="Q59" s="220">
        <v>0</v>
      </c>
      <c r="R59" s="220">
        <f t="shared" si="43"/>
        <v>332.15</v>
      </c>
      <c r="S59" s="220">
        <f t="shared" si="59"/>
        <v>1830.85</v>
      </c>
      <c r="T59" s="347"/>
      <c r="W59" s="61">
        <v>4170</v>
      </c>
      <c r="X59" s="63">
        <f t="shared" si="60"/>
        <v>2085</v>
      </c>
    </row>
    <row r="60" spans="4:24" ht="33" customHeight="1" x14ac:dyDescent="0.2">
      <c r="D60" s="328">
        <v>31</v>
      </c>
      <c r="E60" s="215" t="s">
        <v>97</v>
      </c>
      <c r="F60" s="43" t="s">
        <v>32</v>
      </c>
      <c r="G60" s="255">
        <v>15</v>
      </c>
      <c r="H60" s="259">
        <v>2896</v>
      </c>
      <c r="I60" s="220">
        <f t="shared" si="39"/>
        <v>193.06666666666666</v>
      </c>
      <c r="J60" s="220">
        <v>12.6</v>
      </c>
      <c r="K60" s="220">
        <f t="shared" si="40"/>
        <v>2432.64</v>
      </c>
      <c r="L60" s="220">
        <f t="shared" ref="L60" si="63">H60*2+K60</f>
        <v>8224.64</v>
      </c>
      <c r="M60" s="220"/>
      <c r="N60" s="220">
        <f t="shared" si="57"/>
        <v>8224.64</v>
      </c>
      <c r="O60" s="220">
        <v>648.94000000000005</v>
      </c>
      <c r="P60" s="220">
        <f>48.38*2</f>
        <v>96.76</v>
      </c>
      <c r="Q60" s="220">
        <v>0</v>
      </c>
      <c r="R60" s="220">
        <f t="shared" si="43"/>
        <v>552.18000000000006</v>
      </c>
      <c r="S60" s="220">
        <f t="shared" si="59"/>
        <v>1880.4599999999998</v>
      </c>
      <c r="T60" s="347"/>
      <c r="W60" s="61">
        <v>4170</v>
      </c>
      <c r="X60" s="63">
        <f t="shared" si="60"/>
        <v>2085</v>
      </c>
    </row>
    <row r="61" spans="4:24" ht="33" customHeight="1" x14ac:dyDescent="0.2">
      <c r="D61" s="328">
        <v>32</v>
      </c>
      <c r="E61" s="215" t="s">
        <v>87</v>
      </c>
      <c r="F61" s="43" t="s">
        <v>57</v>
      </c>
      <c r="G61" s="255">
        <v>15</v>
      </c>
      <c r="H61" s="259">
        <v>2147.5500000000002</v>
      </c>
      <c r="I61" s="220">
        <f t="shared" si="39"/>
        <v>143.17000000000002</v>
      </c>
      <c r="J61" s="220">
        <v>12.6</v>
      </c>
      <c r="K61" s="220">
        <f t="shared" si="40"/>
        <v>1803.9420000000002</v>
      </c>
      <c r="L61" s="220">
        <f t="shared" ref="L61" si="64">H61*2+K61</f>
        <v>6099.0420000000004</v>
      </c>
      <c r="M61" s="220"/>
      <c r="N61" s="220">
        <f t="shared" si="57"/>
        <v>6099.0420000000004</v>
      </c>
      <c r="O61" s="220">
        <v>123.05</v>
      </c>
      <c r="P61" s="220"/>
      <c r="Q61" s="220">
        <v>0</v>
      </c>
      <c r="R61" s="220">
        <f t="shared" si="43"/>
        <v>123.05</v>
      </c>
      <c r="S61" s="220">
        <f t="shared" si="59"/>
        <v>1680.8920000000003</v>
      </c>
      <c r="T61" s="347"/>
      <c r="W61" s="61">
        <v>4170</v>
      </c>
      <c r="X61" s="63">
        <f t="shared" si="60"/>
        <v>2085</v>
      </c>
    </row>
    <row r="62" spans="4:24" ht="33" customHeight="1" x14ac:dyDescent="0.2">
      <c r="D62" s="328">
        <v>33</v>
      </c>
      <c r="E62" s="215" t="s">
        <v>116</v>
      </c>
      <c r="F62" s="43" t="s">
        <v>32</v>
      </c>
      <c r="G62" s="255">
        <v>15</v>
      </c>
      <c r="H62" s="259">
        <v>2147.5500000000002</v>
      </c>
      <c r="I62" s="220">
        <f t="shared" ref="I62:I74" si="65">H62/15</f>
        <v>143.17000000000002</v>
      </c>
      <c r="J62" s="220">
        <v>12.6</v>
      </c>
      <c r="K62" s="220">
        <f t="shared" ref="K62:K74" si="66">J62*I62</f>
        <v>1803.9420000000002</v>
      </c>
      <c r="L62" s="220">
        <f t="shared" ref="L62:L72" si="67">H62*2+K62</f>
        <v>6099.0420000000004</v>
      </c>
      <c r="M62" s="220"/>
      <c r="N62" s="220">
        <f t="shared" si="57"/>
        <v>6099.0420000000004</v>
      </c>
      <c r="O62" s="220">
        <v>123.05</v>
      </c>
      <c r="P62" s="220"/>
      <c r="Q62" s="220">
        <v>0</v>
      </c>
      <c r="R62" s="220">
        <f t="shared" si="43"/>
        <v>123.05</v>
      </c>
      <c r="S62" s="220">
        <f t="shared" si="59"/>
        <v>1680.8920000000003</v>
      </c>
      <c r="T62" s="347"/>
      <c r="W62" s="61">
        <v>4170</v>
      </c>
      <c r="X62" s="63">
        <f t="shared" si="60"/>
        <v>2085</v>
      </c>
    </row>
    <row r="63" spans="4:24" ht="31.5" customHeight="1" x14ac:dyDescent="0.2">
      <c r="D63" s="328">
        <v>34</v>
      </c>
      <c r="E63" s="215" t="s">
        <v>99</v>
      </c>
      <c r="F63" s="43" t="s">
        <v>32</v>
      </c>
      <c r="G63" s="255">
        <v>15</v>
      </c>
      <c r="H63" s="259">
        <v>2982.88</v>
      </c>
      <c r="I63" s="220">
        <f t="shared" si="65"/>
        <v>198.85866666666666</v>
      </c>
      <c r="J63" s="220">
        <v>12.6</v>
      </c>
      <c r="K63" s="220">
        <f t="shared" si="66"/>
        <v>2505.6192000000001</v>
      </c>
      <c r="L63" s="220">
        <f t="shared" si="67"/>
        <v>8471.3791999999994</v>
      </c>
      <c r="M63" s="220"/>
      <c r="N63" s="220">
        <f t="shared" si="57"/>
        <v>8471.3791999999994</v>
      </c>
      <c r="O63" s="220">
        <v>675.69</v>
      </c>
      <c r="P63" s="220">
        <f>57.83*2</f>
        <v>115.66</v>
      </c>
      <c r="Q63" s="220">
        <v>0</v>
      </c>
      <c r="R63" s="220">
        <f t="shared" si="43"/>
        <v>560.03000000000009</v>
      </c>
      <c r="S63" s="220">
        <f t="shared" si="59"/>
        <v>1945.5891999999999</v>
      </c>
      <c r="T63" s="347"/>
      <c r="W63" s="61">
        <v>5792</v>
      </c>
      <c r="X63" s="63">
        <f t="shared" si="60"/>
        <v>2896</v>
      </c>
    </row>
    <row r="64" spans="4:24" ht="33.75" customHeight="1" x14ac:dyDescent="0.2">
      <c r="D64" s="328">
        <v>35</v>
      </c>
      <c r="E64" s="215" t="s">
        <v>117</v>
      </c>
      <c r="F64" s="43" t="s">
        <v>32</v>
      </c>
      <c r="G64" s="255">
        <v>15</v>
      </c>
      <c r="H64" s="259">
        <v>1957</v>
      </c>
      <c r="I64" s="220">
        <f t="shared" si="65"/>
        <v>130.46666666666667</v>
      </c>
      <c r="J64" s="220">
        <v>12.6</v>
      </c>
      <c r="K64" s="220">
        <f t="shared" si="66"/>
        <v>1643.8799999999999</v>
      </c>
      <c r="L64" s="220">
        <f t="shared" si="67"/>
        <v>5557.88</v>
      </c>
      <c r="M64" s="220"/>
      <c r="N64" s="220">
        <f t="shared" si="57"/>
        <v>5557.88</v>
      </c>
      <c r="O64" s="220">
        <v>64.14</v>
      </c>
      <c r="P64" s="220"/>
      <c r="Q64" s="220">
        <v>0</v>
      </c>
      <c r="R64" s="220">
        <f t="shared" si="43"/>
        <v>64.14</v>
      </c>
      <c r="S64" s="220">
        <f t="shared" si="59"/>
        <v>1579.7399999999998</v>
      </c>
      <c r="T64" s="347"/>
      <c r="W64" s="61">
        <v>3800</v>
      </c>
      <c r="X64" s="63">
        <f t="shared" si="60"/>
        <v>1900</v>
      </c>
    </row>
    <row r="65" spans="2:246" ht="29.25" customHeight="1" x14ac:dyDescent="0.2">
      <c r="D65" s="328">
        <v>36</v>
      </c>
      <c r="E65" s="215" t="s">
        <v>113</v>
      </c>
      <c r="F65" s="43" t="s">
        <v>32</v>
      </c>
      <c r="G65" s="255">
        <v>15</v>
      </c>
      <c r="H65" s="259">
        <v>2237.16</v>
      </c>
      <c r="I65" s="220">
        <f t="shared" si="65"/>
        <v>149.14399999999998</v>
      </c>
      <c r="J65" s="220">
        <v>12.6</v>
      </c>
      <c r="K65" s="220">
        <f t="shared" si="66"/>
        <v>1879.2143999999996</v>
      </c>
      <c r="L65" s="220">
        <f t="shared" si="67"/>
        <v>6353.5343999999996</v>
      </c>
      <c r="M65" s="220"/>
      <c r="N65" s="220">
        <f t="shared" si="57"/>
        <v>6353.5343999999996</v>
      </c>
      <c r="O65" s="220">
        <v>191.83</v>
      </c>
      <c r="P65" s="220"/>
      <c r="Q65" s="220">
        <v>0</v>
      </c>
      <c r="R65" s="220">
        <f t="shared" si="43"/>
        <v>191.83</v>
      </c>
      <c r="S65" s="220">
        <f t="shared" si="59"/>
        <v>1687.3843999999997</v>
      </c>
      <c r="T65" s="347"/>
      <c r="W65" s="61">
        <v>4344</v>
      </c>
      <c r="X65" s="63">
        <f t="shared" si="60"/>
        <v>2172</v>
      </c>
    </row>
    <row r="66" spans="2:246" ht="31.5" customHeight="1" x14ac:dyDescent="0.2">
      <c r="D66" s="328">
        <v>37</v>
      </c>
      <c r="E66" s="215" t="s">
        <v>151</v>
      </c>
      <c r="F66" s="43" t="s">
        <v>32</v>
      </c>
      <c r="G66" s="255">
        <v>15</v>
      </c>
      <c r="H66" s="259">
        <v>2022.92</v>
      </c>
      <c r="I66" s="220">
        <f t="shared" si="65"/>
        <v>134.86133333333333</v>
      </c>
      <c r="J66" s="220">
        <v>12.6</v>
      </c>
      <c r="K66" s="220">
        <f t="shared" si="66"/>
        <v>1699.2528</v>
      </c>
      <c r="L66" s="220">
        <f t="shared" si="67"/>
        <v>5745.0928000000004</v>
      </c>
      <c r="M66" s="220"/>
      <c r="N66" s="220">
        <f t="shared" si="57"/>
        <v>5745.0928000000004</v>
      </c>
      <c r="O66" s="220">
        <v>84.54</v>
      </c>
      <c r="P66" s="220"/>
      <c r="Q66" s="220">
        <v>0</v>
      </c>
      <c r="R66" s="220">
        <f t="shared" si="43"/>
        <v>84.54</v>
      </c>
      <c r="S66" s="220">
        <f t="shared" si="59"/>
        <v>1614.7128</v>
      </c>
      <c r="T66" s="347"/>
      <c r="W66" s="61">
        <v>3928</v>
      </c>
      <c r="X66" s="63">
        <f t="shared" si="60"/>
        <v>1964</v>
      </c>
    </row>
    <row r="67" spans="2:246" ht="32.25" customHeight="1" x14ac:dyDescent="0.2">
      <c r="D67" s="328">
        <v>38</v>
      </c>
      <c r="E67" s="215" t="s">
        <v>112</v>
      </c>
      <c r="F67" s="43" t="s">
        <v>32</v>
      </c>
      <c r="G67" s="255">
        <v>15</v>
      </c>
      <c r="H67" s="259">
        <v>2896</v>
      </c>
      <c r="I67" s="220">
        <f t="shared" si="65"/>
        <v>193.06666666666666</v>
      </c>
      <c r="J67" s="220">
        <v>12.6</v>
      </c>
      <c r="K67" s="220">
        <f t="shared" si="66"/>
        <v>2432.64</v>
      </c>
      <c r="L67" s="220">
        <f t="shared" si="67"/>
        <v>8224.64</v>
      </c>
      <c r="M67" s="220"/>
      <c r="N67" s="220">
        <f t="shared" si="57"/>
        <v>8224.64</v>
      </c>
      <c r="O67" s="220">
        <v>648.94000000000005</v>
      </c>
      <c r="P67" s="220">
        <f>48.38*2</f>
        <v>96.76</v>
      </c>
      <c r="Q67" s="220">
        <v>0</v>
      </c>
      <c r="R67" s="220">
        <f t="shared" si="43"/>
        <v>552.18000000000006</v>
      </c>
      <c r="S67" s="220">
        <f t="shared" si="59"/>
        <v>1880.4599999999998</v>
      </c>
      <c r="T67" s="347"/>
      <c r="W67" s="61">
        <v>3928</v>
      </c>
      <c r="X67" s="63">
        <f t="shared" si="60"/>
        <v>1964</v>
      </c>
    </row>
    <row r="68" spans="2:246" ht="31.5" customHeight="1" x14ac:dyDescent="0.2">
      <c r="B68" s="15"/>
      <c r="C68" s="47"/>
      <c r="D68" s="328">
        <v>39</v>
      </c>
      <c r="E68" s="215" t="s">
        <v>120</v>
      </c>
      <c r="F68" s="43" t="s">
        <v>38</v>
      </c>
      <c r="G68" s="255">
        <v>15</v>
      </c>
      <c r="H68" s="259">
        <v>2719</v>
      </c>
      <c r="I68" s="220">
        <f t="shared" si="65"/>
        <v>181.26666666666668</v>
      </c>
      <c r="J68" s="220">
        <v>12.6</v>
      </c>
      <c r="K68" s="220">
        <f t="shared" si="66"/>
        <v>2283.96</v>
      </c>
      <c r="L68" s="220">
        <f t="shared" si="67"/>
        <v>7721.96</v>
      </c>
      <c r="M68" s="220"/>
      <c r="N68" s="220">
        <f t="shared" si="57"/>
        <v>7721.96</v>
      </c>
      <c r="O68" s="220">
        <v>594.25</v>
      </c>
      <c r="P68" s="220">
        <f>29.12*2</f>
        <v>58.24</v>
      </c>
      <c r="Q68" s="220">
        <v>0</v>
      </c>
      <c r="R68" s="220">
        <f t="shared" si="43"/>
        <v>536.01</v>
      </c>
      <c r="S68" s="220">
        <f t="shared" si="59"/>
        <v>1747.95</v>
      </c>
      <c r="T68" s="347"/>
      <c r="U68" s="66"/>
      <c r="V68" s="64"/>
      <c r="W68" s="65">
        <v>5438</v>
      </c>
      <c r="X68" s="63">
        <f t="shared" si="60"/>
        <v>2719</v>
      </c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48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</row>
    <row r="69" spans="2:246" ht="27.75" customHeight="1" x14ac:dyDescent="0.2">
      <c r="D69" s="328">
        <v>40</v>
      </c>
      <c r="E69" s="351" t="s">
        <v>243</v>
      </c>
      <c r="F69" s="352" t="s">
        <v>36</v>
      </c>
      <c r="G69" s="346">
        <v>15</v>
      </c>
      <c r="H69" s="259">
        <v>1449.21</v>
      </c>
      <c r="I69" s="220">
        <f t="shared" si="65"/>
        <v>96.614000000000004</v>
      </c>
      <c r="J69" s="220">
        <v>12.6</v>
      </c>
      <c r="K69" s="220">
        <f t="shared" si="66"/>
        <v>1217.3363999999999</v>
      </c>
      <c r="L69" s="220">
        <f t="shared" si="67"/>
        <v>4115.7564000000002</v>
      </c>
      <c r="M69" s="220"/>
      <c r="N69" s="220">
        <f t="shared" si="57"/>
        <v>4115.7564000000002</v>
      </c>
      <c r="O69" s="220">
        <v>144.97</v>
      </c>
      <c r="P69" s="220"/>
      <c r="Q69" s="220">
        <v>0</v>
      </c>
      <c r="R69" s="220">
        <f t="shared" si="43"/>
        <v>144.97</v>
      </c>
      <c r="S69" s="220">
        <f t="shared" si="59"/>
        <v>1072.3663999999999</v>
      </c>
      <c r="T69" s="347"/>
      <c r="V69" s="46"/>
      <c r="W69" s="62">
        <v>2814</v>
      </c>
      <c r="X69" s="63">
        <f t="shared" si="60"/>
        <v>1407</v>
      </c>
    </row>
    <row r="70" spans="2:246" ht="30.75" customHeight="1" x14ac:dyDescent="0.2">
      <c r="D70" s="328">
        <v>41</v>
      </c>
      <c r="E70" s="215" t="s">
        <v>244</v>
      </c>
      <c r="F70" s="43" t="s">
        <v>36</v>
      </c>
      <c r="G70" s="255">
        <v>15</v>
      </c>
      <c r="H70" s="259">
        <v>1449.21</v>
      </c>
      <c r="I70" s="220">
        <f t="shared" si="65"/>
        <v>96.614000000000004</v>
      </c>
      <c r="J70" s="220">
        <v>12.6</v>
      </c>
      <c r="K70" s="220">
        <f t="shared" si="66"/>
        <v>1217.3363999999999</v>
      </c>
      <c r="L70" s="220">
        <f t="shared" si="67"/>
        <v>4115.7564000000002</v>
      </c>
      <c r="M70" s="220"/>
      <c r="N70" s="220">
        <f t="shared" si="57"/>
        <v>4115.7564000000002</v>
      </c>
      <c r="O70" s="220">
        <v>144.97</v>
      </c>
      <c r="P70" s="220"/>
      <c r="Q70" s="220">
        <v>0</v>
      </c>
      <c r="R70" s="220">
        <f t="shared" si="43"/>
        <v>144.97</v>
      </c>
      <c r="S70" s="220">
        <f t="shared" si="59"/>
        <v>1072.3663999999999</v>
      </c>
      <c r="T70" s="347"/>
      <c r="W70" s="61">
        <v>2814</v>
      </c>
      <c r="X70" s="63">
        <f t="shared" si="60"/>
        <v>1407</v>
      </c>
    </row>
    <row r="71" spans="2:246" ht="37.5" customHeight="1" x14ac:dyDescent="0.2">
      <c r="D71" s="328">
        <v>42</v>
      </c>
      <c r="E71" s="215" t="s">
        <v>59</v>
      </c>
      <c r="F71" s="43" t="s">
        <v>92</v>
      </c>
      <c r="G71" s="255">
        <v>15</v>
      </c>
      <c r="H71" s="259">
        <v>1718.04</v>
      </c>
      <c r="I71" s="220">
        <f t="shared" si="65"/>
        <v>114.536</v>
      </c>
      <c r="J71" s="220">
        <v>12.6</v>
      </c>
      <c r="K71" s="220">
        <f t="shared" si="66"/>
        <v>1443.1535999999999</v>
      </c>
      <c r="L71" s="220">
        <f t="shared" si="67"/>
        <v>4879.2335999999996</v>
      </c>
      <c r="M71" s="220"/>
      <c r="N71" s="220">
        <f t="shared" si="57"/>
        <v>4879.2335999999996</v>
      </c>
      <c r="O71" s="220"/>
      <c r="P71" s="220"/>
      <c r="Q71" s="220">
        <v>0</v>
      </c>
      <c r="R71" s="220">
        <f t="shared" si="43"/>
        <v>0</v>
      </c>
      <c r="S71" s="220">
        <f t="shared" si="59"/>
        <v>1443.1535999999999</v>
      </c>
      <c r="T71" s="347"/>
      <c r="W71" s="61">
        <v>3336</v>
      </c>
      <c r="X71" s="63">
        <f t="shared" si="60"/>
        <v>1668</v>
      </c>
    </row>
    <row r="72" spans="2:246" ht="28.5" customHeight="1" x14ac:dyDescent="0.2">
      <c r="D72" s="348">
        <v>43</v>
      </c>
      <c r="E72" s="215" t="s">
        <v>155</v>
      </c>
      <c r="F72" s="43" t="s">
        <v>154</v>
      </c>
      <c r="G72" s="255">
        <v>15</v>
      </c>
      <c r="H72" s="353">
        <v>2254.67</v>
      </c>
      <c r="I72" s="220">
        <f t="shared" si="65"/>
        <v>150.31133333333335</v>
      </c>
      <c r="J72" s="220">
        <v>12.6</v>
      </c>
      <c r="K72" s="220">
        <f t="shared" si="66"/>
        <v>1893.9228000000003</v>
      </c>
      <c r="L72" s="220">
        <f t="shared" si="67"/>
        <v>6403.2628000000004</v>
      </c>
      <c r="M72" s="220"/>
      <c r="N72" s="220">
        <f t="shared" si="57"/>
        <v>6403.2628000000004</v>
      </c>
      <c r="O72" s="220">
        <v>197.24</v>
      </c>
      <c r="P72" s="220"/>
      <c r="Q72" s="220">
        <v>0</v>
      </c>
      <c r="R72" s="220">
        <f t="shared" si="43"/>
        <v>197.24</v>
      </c>
      <c r="S72" s="220">
        <f t="shared" si="59"/>
        <v>1696.6828000000003</v>
      </c>
      <c r="T72" s="347"/>
      <c r="W72" s="61">
        <v>3828</v>
      </c>
      <c r="X72" s="63">
        <f t="shared" si="60"/>
        <v>1914</v>
      </c>
    </row>
    <row r="73" spans="2:246" ht="28.5" customHeight="1" x14ac:dyDescent="0.25">
      <c r="D73" s="354"/>
      <c r="E73" s="355" t="s">
        <v>49</v>
      </c>
      <c r="F73" s="356"/>
      <c r="G73" s="357"/>
      <c r="H73" s="293"/>
      <c r="I73" s="293"/>
      <c r="J73" s="293"/>
      <c r="K73" s="220">
        <f t="shared" si="66"/>
        <v>0</v>
      </c>
      <c r="L73" s="271"/>
      <c r="M73" s="294"/>
      <c r="N73" s="294"/>
      <c r="O73" s="294"/>
      <c r="P73" s="295"/>
      <c r="Q73" s="296"/>
      <c r="R73" s="294"/>
      <c r="S73" s="271"/>
      <c r="T73" s="347"/>
      <c r="W73" s="61"/>
      <c r="X73" s="63"/>
    </row>
    <row r="74" spans="2:246" ht="29.25" customHeight="1" x14ac:dyDescent="0.2">
      <c r="D74" s="354">
        <v>44</v>
      </c>
      <c r="E74" s="349" t="s">
        <v>240</v>
      </c>
      <c r="F74" s="358" t="s">
        <v>50</v>
      </c>
      <c r="G74" s="255">
        <v>15</v>
      </c>
      <c r="H74" s="220">
        <v>2982.88</v>
      </c>
      <c r="I74" s="220">
        <f t="shared" si="65"/>
        <v>198.85866666666666</v>
      </c>
      <c r="J74" s="220">
        <v>12.6</v>
      </c>
      <c r="K74" s="220">
        <f t="shared" si="66"/>
        <v>2505.6192000000001</v>
      </c>
      <c r="L74" s="220">
        <f t="shared" ref="L74" si="68">H74*2+K74</f>
        <v>8471.3791999999994</v>
      </c>
      <c r="M74" s="220"/>
      <c r="N74" s="220">
        <f t="shared" si="57"/>
        <v>8471.3791999999994</v>
      </c>
      <c r="O74" s="220">
        <v>675.79</v>
      </c>
      <c r="P74" s="220">
        <f>57.83*2</f>
        <v>115.66</v>
      </c>
      <c r="Q74" s="220">
        <v>0</v>
      </c>
      <c r="R74" s="220">
        <f>O74-P74</f>
        <v>560.13</v>
      </c>
      <c r="S74" s="220">
        <f>K74-R74</f>
        <v>1945.4892</v>
      </c>
      <c r="T74" s="347"/>
      <c r="W74" s="61"/>
      <c r="X74" s="63"/>
    </row>
    <row r="75" spans="2:246" ht="38.1" customHeight="1" x14ac:dyDescent="0.2">
      <c r="D75" s="184"/>
      <c r="E75" s="185"/>
      <c r="F75" s="186"/>
      <c r="G75" s="187"/>
      <c r="H75" s="188">
        <f>H49+H50+H51+H52+H53+H54+H55+H56+H57+H58+H59+H60+H61+H62+H63+H64+H65+H66+H67+H68+H69+H70+H71+H72+H74</f>
        <v>59538.999999999985</v>
      </c>
      <c r="I75" s="188">
        <f>I49+I50+I51+I52+I53+I54+I55+I56+I57+I58+I59+I60+I61+I62+I63+I64+I65+I66+I67+I68+I69+I70+I71+I72+I74</f>
        <v>3969.2666666666673</v>
      </c>
      <c r="J75" s="188"/>
      <c r="K75" s="188">
        <f>K49+K50+K51+K52+K53+K54+K55+K56+K57+K58+K59+K60+K61+K62+K63+K64+K65+K66+K67+K68+K69+K70+K71+K72+K74</f>
        <v>49385.399999999994</v>
      </c>
      <c r="L75" s="188">
        <f>L49+L50+L51+L52+L53+L54+L55+L56+L57+L58+L59+L60+L61+L62+L63+L64+L65+L66+L67+L68+L69+L70+L71+L72+L74</f>
        <v>168463.40000000002</v>
      </c>
      <c r="M75" s="188"/>
      <c r="N75" s="188">
        <f>N49+N50+N51+N52+N53+N54+N55+N56+N57+N58+N59+N60+N61+N62+N63+N64+N65+N66+N67+N68+N69+N70+N71+N72+N74</f>
        <v>166045.40000000002</v>
      </c>
      <c r="O75" s="188">
        <f>O49+O50+O51+O52+O53+O54+O55+O56+O57+O58+O59+O60+O61+O62+O63+O64+O65+O66+O67+O68+O69+O70+O71+O72+O74</f>
        <v>7631.3200000000006</v>
      </c>
      <c r="P75" s="188">
        <f>P49+P50+P51+P52+P53+P54+P55+P56+P57+P58+P59+P60+P61+P62+P63+P64+P65+P66+P67+P68+P69+P70+P71+P72+P74</f>
        <v>1505.5200000000002</v>
      </c>
      <c r="Q75" s="188"/>
      <c r="R75" s="188">
        <f>R49+R50+R51+R52+R53+R54+R55+R56+R57+R58+R59+R60+R61+R62+R63+R64+R65+R66+R67+R68+R69+R70+R71+R72+R74</f>
        <v>6125.8000000000011</v>
      </c>
      <c r="S75" s="188">
        <f>S49+S50+S51+S52+S53+S54+S55+S56+S57+S58+S59+S60+S61+S62+S63+S64+S65+S66+S67+S68+S69+S70+S71+S72+S74</f>
        <v>43259.599999999991</v>
      </c>
      <c r="T75" s="95"/>
      <c r="W75" s="61"/>
      <c r="X75" s="63"/>
    </row>
    <row r="76" spans="2:246" ht="38.1" customHeight="1" x14ac:dyDescent="0.3">
      <c r="D76" s="438" t="s">
        <v>11</v>
      </c>
      <c r="E76" s="438"/>
      <c r="F76" s="438"/>
      <c r="G76" s="438"/>
      <c r="H76" s="438"/>
      <c r="I76" s="438"/>
      <c r="J76" s="438"/>
      <c r="K76" s="438"/>
      <c r="L76" s="438"/>
      <c r="M76" s="438"/>
      <c r="N76" s="438"/>
      <c r="O76" s="438"/>
      <c r="P76" s="438"/>
      <c r="Q76" s="438"/>
      <c r="R76" s="438"/>
      <c r="S76" s="438"/>
      <c r="T76" s="438"/>
      <c r="W76" s="61"/>
      <c r="X76" s="63"/>
    </row>
    <row r="77" spans="2:246" ht="38.1" customHeight="1" x14ac:dyDescent="0.3">
      <c r="D77" s="438" t="s">
        <v>175</v>
      </c>
      <c r="E77" s="438"/>
      <c r="F77" s="438"/>
      <c r="G77" s="438"/>
      <c r="H77" s="438"/>
      <c r="I77" s="438"/>
      <c r="J77" s="438"/>
      <c r="K77" s="438"/>
      <c r="L77" s="438"/>
      <c r="M77" s="438"/>
      <c r="N77" s="438"/>
      <c r="O77" s="438"/>
      <c r="P77" s="438"/>
      <c r="Q77" s="438"/>
      <c r="R77" s="438"/>
      <c r="S77" s="438"/>
      <c r="T77" s="438"/>
      <c r="W77" s="61"/>
      <c r="X77" s="63"/>
    </row>
    <row r="78" spans="2:246" ht="38.1" customHeight="1" x14ac:dyDescent="0.3">
      <c r="D78" s="442" t="str">
        <f>D3</f>
        <v>MSJ 850101 UQ6</v>
      </c>
      <c r="E78" s="442"/>
      <c r="F78" s="442"/>
      <c r="G78" s="442"/>
      <c r="H78" s="442"/>
      <c r="I78" s="442"/>
      <c r="J78" s="442"/>
      <c r="K78" s="442"/>
      <c r="L78" s="442"/>
      <c r="M78" s="442"/>
      <c r="N78" s="442"/>
      <c r="O78" s="442"/>
      <c r="P78" s="442"/>
      <c r="Q78" s="442"/>
      <c r="R78" s="442"/>
      <c r="S78" s="442"/>
      <c r="T78" s="442"/>
      <c r="W78" s="61"/>
      <c r="X78" s="63"/>
    </row>
    <row r="79" spans="2:246" ht="38.1" customHeight="1" x14ac:dyDescent="0.3">
      <c r="D79" s="442" t="s">
        <v>165</v>
      </c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W79" s="61"/>
      <c r="X79" s="63"/>
    </row>
    <row r="80" spans="2:246" ht="38.1" customHeight="1" x14ac:dyDescent="0.2">
      <c r="D80" s="115"/>
      <c r="E80" s="115"/>
      <c r="F80" s="115"/>
      <c r="G80" s="116" t="s">
        <v>3</v>
      </c>
      <c r="H80" s="439" t="s">
        <v>0</v>
      </c>
      <c r="I80" s="440"/>
      <c r="J80" s="440"/>
      <c r="K80" s="440"/>
      <c r="L80" s="440"/>
      <c r="M80" s="440"/>
      <c r="N80" s="440"/>
      <c r="O80" s="117"/>
      <c r="P80" s="117"/>
      <c r="Q80" s="117"/>
      <c r="R80" s="117"/>
      <c r="S80" s="116"/>
      <c r="T80" s="118"/>
      <c r="W80" s="61"/>
      <c r="X80" s="63"/>
    </row>
    <row r="81" spans="4:24" ht="38.1" customHeight="1" x14ac:dyDescent="0.2">
      <c r="D81" s="116" t="s">
        <v>2</v>
      </c>
      <c r="E81" s="118"/>
      <c r="F81" s="116"/>
      <c r="G81" s="119" t="s">
        <v>4</v>
      </c>
      <c r="H81" s="120" t="s">
        <v>1</v>
      </c>
      <c r="I81" s="120" t="s">
        <v>1</v>
      </c>
      <c r="J81" s="120" t="s">
        <v>316</v>
      </c>
      <c r="K81" s="120"/>
      <c r="L81" s="112" t="s">
        <v>318</v>
      </c>
      <c r="M81" s="112" t="s">
        <v>310</v>
      </c>
      <c r="N81" s="112" t="s">
        <v>320</v>
      </c>
      <c r="O81" s="112" t="s">
        <v>321</v>
      </c>
      <c r="P81" s="104" t="s">
        <v>313</v>
      </c>
      <c r="Q81" s="116" t="s">
        <v>180</v>
      </c>
      <c r="R81" s="104" t="s">
        <v>313</v>
      </c>
      <c r="S81" s="116" t="s">
        <v>167</v>
      </c>
      <c r="T81" s="121"/>
      <c r="W81" s="61"/>
      <c r="X81" s="63"/>
    </row>
    <row r="82" spans="4:24" ht="38.1" customHeight="1" x14ac:dyDescent="0.25">
      <c r="D82" s="118"/>
      <c r="E82" s="122"/>
      <c r="F82" s="123" t="s">
        <v>9</v>
      </c>
      <c r="G82" s="116"/>
      <c r="H82" s="116" t="s">
        <v>6</v>
      </c>
      <c r="I82" s="116" t="s">
        <v>315</v>
      </c>
      <c r="J82" s="116" t="s">
        <v>158</v>
      </c>
      <c r="K82" s="116" t="s">
        <v>158</v>
      </c>
      <c r="L82" s="113" t="s">
        <v>307</v>
      </c>
      <c r="M82" s="113" t="s">
        <v>306</v>
      </c>
      <c r="N82" s="113" t="s">
        <v>312</v>
      </c>
      <c r="O82" s="113" t="s">
        <v>164</v>
      </c>
      <c r="P82" s="103" t="s">
        <v>314</v>
      </c>
      <c r="Q82" s="116" t="s">
        <v>181</v>
      </c>
      <c r="R82" s="103" t="s">
        <v>306</v>
      </c>
      <c r="S82" s="116" t="s">
        <v>170</v>
      </c>
      <c r="T82" s="120" t="s">
        <v>173</v>
      </c>
      <c r="W82" s="61"/>
      <c r="X82" s="63"/>
    </row>
    <row r="83" spans="4:24" ht="38.1" customHeight="1" x14ac:dyDescent="0.25">
      <c r="D83" s="116"/>
      <c r="E83" s="122" t="s">
        <v>78</v>
      </c>
      <c r="F83" s="122" t="s">
        <v>8</v>
      </c>
      <c r="G83" s="120"/>
      <c r="H83" s="120"/>
      <c r="I83" s="120"/>
      <c r="J83" s="120"/>
      <c r="K83" s="120"/>
      <c r="L83" s="104" t="s">
        <v>319</v>
      </c>
      <c r="M83" s="104" t="s">
        <v>309</v>
      </c>
      <c r="N83" s="103"/>
      <c r="O83" s="211"/>
      <c r="P83" s="124"/>
      <c r="Q83" s="124"/>
      <c r="R83" s="124"/>
      <c r="S83" s="120"/>
      <c r="T83" s="120"/>
      <c r="W83" s="61"/>
      <c r="X83" s="63"/>
    </row>
    <row r="84" spans="4:24" ht="39.950000000000003" customHeight="1" x14ac:dyDescent="0.3">
      <c r="D84" s="196"/>
      <c r="E84" s="266" t="s">
        <v>281</v>
      </c>
      <c r="F84" s="212"/>
      <c r="G84" s="197"/>
      <c r="H84" s="198"/>
      <c r="I84" s="198"/>
      <c r="J84" s="198"/>
      <c r="K84" s="198"/>
      <c r="L84" s="199"/>
      <c r="M84" s="199"/>
      <c r="N84" s="199"/>
      <c r="O84" s="199"/>
      <c r="P84" s="199"/>
      <c r="Q84" s="199"/>
      <c r="R84" s="199"/>
      <c r="S84" s="194"/>
      <c r="T84" s="290"/>
      <c r="W84" s="61"/>
      <c r="X84" s="63"/>
    </row>
    <row r="85" spans="4:24" ht="39.950000000000003" customHeight="1" x14ac:dyDescent="0.2">
      <c r="D85" s="175">
        <v>45</v>
      </c>
      <c r="E85" s="162" t="s">
        <v>282</v>
      </c>
      <c r="F85" s="155" t="s">
        <v>283</v>
      </c>
      <c r="G85" s="148">
        <v>15</v>
      </c>
      <c r="H85" s="152">
        <v>2053</v>
      </c>
      <c r="I85" s="152">
        <f t="shared" ref="I85:I97" si="69">H85/15</f>
        <v>136.86666666666667</v>
      </c>
      <c r="J85" s="152">
        <v>12.6</v>
      </c>
      <c r="K85" s="152">
        <f t="shared" ref="K85" si="70">J85*I85</f>
        <v>1724.52</v>
      </c>
      <c r="L85" s="152">
        <f t="shared" ref="L85" si="71">H85*2+K85</f>
        <v>5830.52</v>
      </c>
      <c r="M85" s="152">
        <f t="shared" ref="M85:M89" si="72">30*80.6</f>
        <v>2418</v>
      </c>
      <c r="N85" s="152">
        <f t="shared" ref="N85:N87" si="73">L85-M85</f>
        <v>3412.5200000000004</v>
      </c>
      <c r="O85" s="152"/>
      <c r="P85" s="152"/>
      <c r="Q85" s="152"/>
      <c r="R85" s="152">
        <f>O85-P85</f>
        <v>0</v>
      </c>
      <c r="S85" s="152">
        <f>K85-R85</f>
        <v>1724.52</v>
      </c>
      <c r="T85" s="252"/>
      <c r="W85" s="61"/>
      <c r="X85" s="63"/>
    </row>
    <row r="86" spans="4:24" ht="39.950000000000003" customHeight="1" x14ac:dyDescent="0.25">
      <c r="D86" s="175"/>
      <c r="E86" s="268" t="s">
        <v>284</v>
      </c>
      <c r="F86" s="269"/>
      <c r="G86" s="148"/>
      <c r="H86" s="167"/>
      <c r="I86" s="167"/>
      <c r="J86" s="167"/>
      <c r="K86" s="167"/>
      <c r="L86" s="152"/>
      <c r="M86" s="152"/>
      <c r="N86" s="152"/>
      <c r="O86" s="152"/>
      <c r="P86" s="152"/>
      <c r="Q86" s="152"/>
      <c r="R86" s="152"/>
      <c r="S86" s="152"/>
      <c r="T86" s="252"/>
      <c r="W86" s="61"/>
      <c r="X86" s="63"/>
    </row>
    <row r="87" spans="4:24" ht="39.950000000000003" customHeight="1" x14ac:dyDescent="0.2">
      <c r="D87" s="175">
        <v>46</v>
      </c>
      <c r="E87" s="267" t="s">
        <v>286</v>
      </c>
      <c r="F87" s="269" t="s">
        <v>285</v>
      </c>
      <c r="G87" s="148">
        <v>15</v>
      </c>
      <c r="H87" s="152">
        <v>2652.25</v>
      </c>
      <c r="I87" s="152">
        <f t="shared" si="69"/>
        <v>176.81666666666666</v>
      </c>
      <c r="J87" s="152">
        <v>8.3000000000000007</v>
      </c>
      <c r="K87" s="152">
        <f t="shared" ref="K87" si="74">J87*I87</f>
        <v>1467.5783333333334</v>
      </c>
      <c r="L87" s="152">
        <f t="shared" ref="L87" si="75">H87*2+K87</f>
        <v>6772.0783333333329</v>
      </c>
      <c r="M87" s="152">
        <f t="shared" si="72"/>
        <v>2418</v>
      </c>
      <c r="N87" s="152">
        <f t="shared" si="73"/>
        <v>4354.0783333333329</v>
      </c>
      <c r="O87" s="152"/>
      <c r="P87" s="152">
        <f>21.86*2</f>
        <v>43.72</v>
      </c>
      <c r="Q87" s="152"/>
      <c r="R87" s="152"/>
      <c r="S87" s="152">
        <f>K87-R87</f>
        <v>1467.5783333333334</v>
      </c>
      <c r="T87" s="252"/>
      <c r="W87" s="61"/>
      <c r="X87" s="63"/>
    </row>
    <row r="88" spans="4:24" ht="39.950000000000003" customHeight="1" x14ac:dyDescent="0.25">
      <c r="D88" s="175"/>
      <c r="E88" s="166" t="s">
        <v>288</v>
      </c>
      <c r="F88" s="155"/>
      <c r="G88" s="148"/>
      <c r="H88" s="167"/>
      <c r="I88" s="167"/>
      <c r="J88" s="167"/>
      <c r="K88" s="167"/>
      <c r="L88" s="152"/>
      <c r="M88" s="152"/>
      <c r="N88" s="152"/>
      <c r="O88" s="152"/>
      <c r="P88" s="152"/>
      <c r="Q88" s="152"/>
      <c r="R88" s="152"/>
      <c r="S88" s="152"/>
      <c r="T88" s="252"/>
      <c r="W88" s="61"/>
      <c r="X88" s="63"/>
    </row>
    <row r="89" spans="4:24" ht="39.950000000000003" customHeight="1" x14ac:dyDescent="0.2">
      <c r="D89" s="175">
        <v>47</v>
      </c>
      <c r="E89" s="162" t="s">
        <v>289</v>
      </c>
      <c r="F89" s="154" t="s">
        <v>290</v>
      </c>
      <c r="G89" s="148">
        <v>15</v>
      </c>
      <c r="H89" s="152">
        <v>2053</v>
      </c>
      <c r="I89" s="152">
        <f t="shared" si="69"/>
        <v>136.86666666666667</v>
      </c>
      <c r="J89" s="152">
        <v>8.3000000000000007</v>
      </c>
      <c r="K89" s="152">
        <f t="shared" ref="K89" si="76">J89*I89</f>
        <v>1135.9933333333336</v>
      </c>
      <c r="L89" s="152">
        <f t="shared" ref="L89" si="77">H89*2+K89</f>
        <v>5241.9933333333338</v>
      </c>
      <c r="M89" s="152">
        <f t="shared" si="72"/>
        <v>2418</v>
      </c>
      <c r="N89" s="152">
        <f t="shared" ref="N89:N91" si="78">L89-M89</f>
        <v>2823.9933333333338</v>
      </c>
      <c r="O89" s="152"/>
      <c r="P89" s="152"/>
      <c r="Q89" s="152"/>
      <c r="R89" s="152">
        <f>O89-P89</f>
        <v>0</v>
      </c>
      <c r="S89" s="152">
        <f>K89-R89</f>
        <v>1135.9933333333336</v>
      </c>
      <c r="T89" s="252"/>
      <c r="W89" s="61"/>
      <c r="X89" s="63"/>
    </row>
    <row r="90" spans="4:24" ht="39.950000000000003" customHeight="1" x14ac:dyDescent="0.25">
      <c r="D90" s="175"/>
      <c r="E90" s="166" t="s">
        <v>291</v>
      </c>
      <c r="F90" s="154"/>
      <c r="G90" s="148"/>
      <c r="H90" s="167"/>
      <c r="I90" s="167"/>
      <c r="J90" s="167"/>
      <c r="K90" s="167"/>
      <c r="L90" s="152"/>
      <c r="M90" s="152"/>
      <c r="N90" s="152"/>
      <c r="O90" s="152"/>
      <c r="P90" s="152"/>
      <c r="Q90" s="152"/>
      <c r="R90" s="152"/>
      <c r="S90" s="152"/>
      <c r="T90" s="252"/>
      <c r="W90" s="61"/>
      <c r="X90" s="63"/>
    </row>
    <row r="91" spans="4:24" ht="39.950000000000003" customHeight="1" x14ac:dyDescent="0.2">
      <c r="D91" s="175">
        <v>48</v>
      </c>
      <c r="E91" s="162" t="s">
        <v>292</v>
      </c>
      <c r="F91" s="154" t="s">
        <v>32</v>
      </c>
      <c r="G91" s="148">
        <v>15</v>
      </c>
      <c r="H91" s="167">
        <v>2147.5500000000002</v>
      </c>
      <c r="I91" s="152">
        <f t="shared" si="69"/>
        <v>143.17000000000002</v>
      </c>
      <c r="J91" s="152">
        <v>12.6</v>
      </c>
      <c r="K91" s="152">
        <f t="shared" ref="K91" si="79">J91*I91</f>
        <v>1803.9420000000002</v>
      </c>
      <c r="L91" s="152">
        <f t="shared" ref="L91" si="80">H91*2+K91</f>
        <v>6099.0420000000004</v>
      </c>
      <c r="M91" s="152"/>
      <c r="N91" s="152">
        <f t="shared" si="78"/>
        <v>6099.0420000000004</v>
      </c>
      <c r="O91" s="152">
        <v>123.05</v>
      </c>
      <c r="P91" s="152"/>
      <c r="Q91" s="152">
        <v>0</v>
      </c>
      <c r="R91" s="152">
        <f>O91-P91</f>
        <v>123.05</v>
      </c>
      <c r="S91" s="152">
        <f>K91-R91</f>
        <v>1680.8920000000003</v>
      </c>
      <c r="T91" s="252"/>
      <c r="W91" s="61"/>
      <c r="X91" s="63"/>
    </row>
    <row r="92" spans="4:24" ht="39.950000000000003" customHeight="1" x14ac:dyDescent="0.2">
      <c r="D92" s="175">
        <v>49</v>
      </c>
      <c r="E92" s="162" t="s">
        <v>293</v>
      </c>
      <c r="F92" s="154" t="s">
        <v>32</v>
      </c>
      <c r="G92" s="148">
        <v>15</v>
      </c>
      <c r="H92" s="167">
        <v>2147.5500000000002</v>
      </c>
      <c r="I92" s="152">
        <f t="shared" si="69"/>
        <v>143.17000000000002</v>
      </c>
      <c r="J92" s="152">
        <v>12.6</v>
      </c>
      <c r="K92" s="152">
        <f t="shared" ref="K92:K93" si="81">J92*I92</f>
        <v>1803.9420000000002</v>
      </c>
      <c r="L92" s="152">
        <f t="shared" ref="L92:L93" si="82">H92*2+K92</f>
        <v>6099.0420000000004</v>
      </c>
      <c r="M92" s="152"/>
      <c r="N92" s="152">
        <f t="shared" ref="N92:N93" si="83">L92-M92</f>
        <v>6099.0420000000004</v>
      </c>
      <c r="O92" s="152">
        <v>123.05</v>
      </c>
      <c r="P92" s="152"/>
      <c r="Q92" s="152">
        <v>0</v>
      </c>
      <c r="R92" s="152">
        <f t="shared" ref="R92:R93" si="84">O92-P92</f>
        <v>123.05</v>
      </c>
      <c r="S92" s="152">
        <f t="shared" ref="S92:S93" si="85">K92-R92</f>
        <v>1680.8920000000003</v>
      </c>
      <c r="T92" s="252"/>
      <c r="W92" s="61"/>
      <c r="X92" s="63"/>
    </row>
    <row r="93" spans="4:24" ht="39.950000000000003" customHeight="1" x14ac:dyDescent="0.2">
      <c r="D93" s="175">
        <v>50</v>
      </c>
      <c r="E93" s="162" t="s">
        <v>294</v>
      </c>
      <c r="F93" s="154" t="s">
        <v>32</v>
      </c>
      <c r="G93" s="148">
        <v>15</v>
      </c>
      <c r="H93" s="167">
        <v>2147.5500000000002</v>
      </c>
      <c r="I93" s="152">
        <f t="shared" si="69"/>
        <v>143.17000000000002</v>
      </c>
      <c r="J93" s="152">
        <v>12.6</v>
      </c>
      <c r="K93" s="152">
        <f t="shared" si="81"/>
        <v>1803.9420000000002</v>
      </c>
      <c r="L93" s="152">
        <f t="shared" si="82"/>
        <v>6099.0420000000004</v>
      </c>
      <c r="M93" s="152"/>
      <c r="N93" s="152">
        <f t="shared" si="83"/>
        <v>6099.0420000000004</v>
      </c>
      <c r="O93" s="152">
        <v>123.05</v>
      </c>
      <c r="P93" s="152"/>
      <c r="Q93" s="152">
        <v>0</v>
      </c>
      <c r="R93" s="152">
        <f t="shared" si="84"/>
        <v>123.05</v>
      </c>
      <c r="S93" s="152">
        <f t="shared" si="85"/>
        <v>1680.8920000000003</v>
      </c>
      <c r="T93" s="252"/>
      <c r="W93" s="61"/>
      <c r="X93" s="63"/>
    </row>
    <row r="94" spans="4:24" ht="39.950000000000003" customHeight="1" x14ac:dyDescent="0.25">
      <c r="D94" s="175"/>
      <c r="E94" s="166" t="s">
        <v>253</v>
      </c>
      <c r="F94" s="154"/>
      <c r="G94" s="148"/>
      <c r="H94" s="167"/>
      <c r="I94" s="167"/>
      <c r="J94" s="167"/>
      <c r="K94" s="167"/>
      <c r="L94" s="152"/>
      <c r="M94" s="152"/>
      <c r="N94" s="152"/>
      <c r="O94" s="152"/>
      <c r="P94" s="152"/>
      <c r="Q94" s="152"/>
      <c r="R94" s="152"/>
      <c r="S94" s="152"/>
      <c r="T94" s="252"/>
      <c r="W94" s="61"/>
      <c r="X94" s="63"/>
    </row>
    <row r="95" spans="4:24" ht="39.950000000000003" customHeight="1" x14ac:dyDescent="0.2">
      <c r="D95" s="175">
        <v>51</v>
      </c>
      <c r="E95" s="162" t="s">
        <v>298</v>
      </c>
      <c r="F95" s="155" t="s">
        <v>299</v>
      </c>
      <c r="G95" s="148">
        <v>15</v>
      </c>
      <c r="H95" s="152">
        <v>2053</v>
      </c>
      <c r="I95" s="152">
        <f t="shared" si="69"/>
        <v>136.86666666666667</v>
      </c>
      <c r="J95" s="152">
        <v>8.3000000000000007</v>
      </c>
      <c r="K95" s="152">
        <f t="shared" ref="K95" si="86">J95*I95</f>
        <v>1135.9933333333336</v>
      </c>
      <c r="L95" s="152">
        <f t="shared" ref="L95" si="87">H95*2+K95</f>
        <v>5241.9933333333338</v>
      </c>
      <c r="M95" s="152">
        <f t="shared" ref="M95:M97" si="88">30*80.6</f>
        <v>2418</v>
      </c>
      <c r="N95" s="152">
        <f t="shared" ref="N95" si="89">L95-M95</f>
        <v>2823.9933333333338</v>
      </c>
      <c r="O95" s="152"/>
      <c r="P95" s="152"/>
      <c r="Q95" s="152"/>
      <c r="R95" s="152">
        <f>O95-P95</f>
        <v>0</v>
      </c>
      <c r="S95" s="152">
        <f>K95-R95</f>
        <v>1135.9933333333336</v>
      </c>
      <c r="T95" s="252"/>
      <c r="W95" s="61"/>
      <c r="X95" s="63"/>
    </row>
    <row r="96" spans="4:24" ht="39.950000000000003" customHeight="1" x14ac:dyDescent="0.25">
      <c r="D96" s="175"/>
      <c r="E96" s="166" t="s">
        <v>297</v>
      </c>
      <c r="F96" s="154"/>
      <c r="G96" s="148"/>
      <c r="H96" s="167"/>
      <c r="I96" s="167"/>
      <c r="J96" s="167"/>
      <c r="K96" s="167"/>
      <c r="L96" s="152"/>
      <c r="M96" s="152"/>
      <c r="N96" s="152"/>
      <c r="O96" s="152"/>
      <c r="P96" s="152"/>
      <c r="Q96" s="152"/>
      <c r="R96" s="152"/>
      <c r="S96" s="152"/>
      <c r="T96" s="252"/>
      <c r="W96" s="61"/>
      <c r="X96" s="63"/>
    </row>
    <row r="97" spans="2:24" ht="39.950000000000003" customHeight="1" x14ac:dyDescent="0.2">
      <c r="D97" s="175">
        <v>52</v>
      </c>
      <c r="E97" s="162" t="s">
        <v>300</v>
      </c>
      <c r="F97" s="155" t="s">
        <v>301</v>
      </c>
      <c r="G97" s="148">
        <v>15</v>
      </c>
      <c r="H97" s="152">
        <v>2053</v>
      </c>
      <c r="I97" s="152">
        <f t="shared" si="69"/>
        <v>136.86666666666667</v>
      </c>
      <c r="J97" s="152">
        <v>8.3000000000000007</v>
      </c>
      <c r="K97" s="152">
        <f t="shared" ref="K97" si="90">J97*I97</f>
        <v>1135.9933333333336</v>
      </c>
      <c r="L97" s="152">
        <f t="shared" ref="L97" si="91">H97*2+K97</f>
        <v>5241.9933333333338</v>
      </c>
      <c r="M97" s="152">
        <f t="shared" si="88"/>
        <v>2418</v>
      </c>
      <c r="N97" s="152">
        <f t="shared" ref="N97" si="92">L97-M97</f>
        <v>2823.9933333333338</v>
      </c>
      <c r="O97" s="152"/>
      <c r="P97" s="152"/>
      <c r="Q97" s="152"/>
      <c r="R97" s="152">
        <f>O97-P97</f>
        <v>0</v>
      </c>
      <c r="S97" s="152">
        <f>K97-R97</f>
        <v>1135.9933333333336</v>
      </c>
      <c r="T97" s="252"/>
      <c r="W97" s="61"/>
      <c r="X97" s="63"/>
    </row>
    <row r="98" spans="2:24" ht="38.1" customHeight="1" x14ac:dyDescent="0.2">
      <c r="D98" s="184"/>
      <c r="E98" s="185"/>
      <c r="F98" s="186"/>
      <c r="G98" s="187"/>
      <c r="H98" s="272">
        <f>H97+H95+H93+H92+H91+H89+H87+H85</f>
        <v>17306.900000000001</v>
      </c>
      <c r="I98" s="188">
        <f>I97+I95+I93+I92+I91+I89+I87+I85</f>
        <v>1153.7933333333335</v>
      </c>
      <c r="J98" s="188"/>
      <c r="K98" s="188">
        <f t="shared" ref="K98:P98" si="93">K97+K95+K93+K92+K91+K89+K87+K85</f>
        <v>12011.904333333334</v>
      </c>
      <c r="L98" s="188">
        <f t="shared" si="93"/>
        <v>46625.704333333342</v>
      </c>
      <c r="M98" s="188">
        <f t="shared" si="93"/>
        <v>12090</v>
      </c>
      <c r="N98" s="188">
        <f t="shared" si="93"/>
        <v>34535.704333333342</v>
      </c>
      <c r="O98" s="188">
        <f t="shared" si="93"/>
        <v>369.15</v>
      </c>
      <c r="P98" s="188">
        <f t="shared" si="93"/>
        <v>43.72</v>
      </c>
      <c r="Q98" s="188"/>
      <c r="R98" s="188">
        <f>R97+R95+R93+R92+R91+R89+R87+R85</f>
        <v>369.15</v>
      </c>
      <c r="S98" s="188">
        <f>S97+S95+S93+S92+S91+S89+S87+S85</f>
        <v>11642.754333333334</v>
      </c>
      <c r="T98" s="95"/>
      <c r="W98" s="61"/>
      <c r="X98" s="63"/>
    </row>
    <row r="99" spans="2:24" ht="38.1" customHeight="1" x14ac:dyDescent="0.2">
      <c r="D99" s="184"/>
      <c r="E99" s="185"/>
      <c r="F99" s="186"/>
      <c r="G99" s="187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95"/>
      <c r="W99" s="61"/>
      <c r="X99" s="63"/>
    </row>
    <row r="100" spans="2:24" ht="38.1" customHeight="1" x14ac:dyDescent="0.2">
      <c r="D100" s="184"/>
      <c r="E100" s="185"/>
      <c r="F100" s="186"/>
      <c r="G100" s="187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95"/>
      <c r="W100" s="61"/>
      <c r="X100" s="63"/>
    </row>
    <row r="101" spans="2:24" ht="38.1" customHeight="1" x14ac:dyDescent="0.2">
      <c r="D101" s="184"/>
      <c r="E101" s="185"/>
      <c r="F101" s="186"/>
      <c r="G101" s="187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95"/>
      <c r="W101" s="61"/>
      <c r="X101" s="63"/>
    </row>
    <row r="102" spans="2:24" ht="38.1" customHeight="1" x14ac:dyDescent="0.2">
      <c r="D102" s="184"/>
      <c r="E102" s="185"/>
      <c r="F102" s="186"/>
      <c r="G102" s="187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95"/>
      <c r="W102" s="61"/>
      <c r="X102" s="63"/>
    </row>
    <row r="103" spans="2:24" ht="20.100000000000001" customHeight="1" x14ac:dyDescent="0.3">
      <c r="D103" s="438" t="s">
        <v>11</v>
      </c>
      <c r="E103" s="438"/>
      <c r="F103" s="438"/>
      <c r="G103" s="438"/>
      <c r="H103" s="438"/>
      <c r="I103" s="438"/>
      <c r="J103" s="438"/>
      <c r="K103" s="438"/>
      <c r="L103" s="438"/>
      <c r="M103" s="438"/>
      <c r="N103" s="438"/>
      <c r="O103" s="438"/>
      <c r="P103" s="438"/>
      <c r="Q103" s="438"/>
      <c r="R103" s="438"/>
      <c r="S103" s="438"/>
      <c r="T103" s="438"/>
      <c r="W103" s="61"/>
      <c r="X103" s="63"/>
    </row>
    <row r="104" spans="2:24" ht="20.100000000000001" customHeight="1" x14ac:dyDescent="0.3">
      <c r="D104" s="438" t="s">
        <v>175</v>
      </c>
      <c r="E104" s="438"/>
      <c r="F104" s="438"/>
      <c r="G104" s="438"/>
      <c r="H104" s="438"/>
      <c r="I104" s="438"/>
      <c r="J104" s="438"/>
      <c r="K104" s="438"/>
      <c r="L104" s="438"/>
      <c r="M104" s="438"/>
      <c r="N104" s="438"/>
      <c r="O104" s="438"/>
      <c r="P104" s="438"/>
      <c r="Q104" s="438"/>
      <c r="R104" s="438"/>
      <c r="S104" s="438"/>
      <c r="T104" s="438"/>
      <c r="W104" s="61"/>
      <c r="X104" s="63"/>
    </row>
    <row r="105" spans="2:24" ht="20.100000000000001" customHeight="1" x14ac:dyDescent="0.3">
      <c r="D105" s="442" t="str">
        <f>D3</f>
        <v>MSJ 850101 UQ6</v>
      </c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W105" s="61"/>
      <c r="X105" s="63"/>
    </row>
    <row r="106" spans="2:24" ht="20.100000000000001" customHeight="1" x14ac:dyDescent="0.3">
      <c r="D106" s="442" t="s">
        <v>165</v>
      </c>
      <c r="E106" s="442"/>
      <c r="F106" s="442"/>
      <c r="G106" s="442"/>
      <c r="H106" s="442"/>
      <c r="I106" s="442"/>
      <c r="J106" s="442"/>
      <c r="K106" s="442"/>
      <c r="L106" s="442"/>
      <c r="M106" s="442"/>
      <c r="N106" s="442"/>
      <c r="O106" s="442"/>
      <c r="P106" s="442"/>
      <c r="Q106" s="442"/>
      <c r="R106" s="442"/>
      <c r="S106" s="442"/>
      <c r="T106" s="442"/>
      <c r="W106" s="61"/>
      <c r="X106" s="63"/>
    </row>
    <row r="107" spans="2:24" ht="26.25" customHeight="1" x14ac:dyDescent="0.2">
      <c r="D107" s="115"/>
      <c r="E107" s="115"/>
      <c r="F107" s="115"/>
      <c r="G107" s="116" t="s">
        <v>3</v>
      </c>
      <c r="H107" s="439" t="s">
        <v>0</v>
      </c>
      <c r="I107" s="440"/>
      <c r="J107" s="440"/>
      <c r="K107" s="440"/>
      <c r="L107" s="440"/>
      <c r="M107" s="440"/>
      <c r="N107" s="440"/>
      <c r="O107" s="117"/>
      <c r="P107" s="117"/>
      <c r="Q107" s="117"/>
      <c r="R107" s="117"/>
      <c r="S107" s="116"/>
      <c r="T107" s="118"/>
      <c r="W107" s="61"/>
      <c r="X107" s="63"/>
    </row>
    <row r="108" spans="2:24" ht="25.5" customHeight="1" x14ac:dyDescent="0.2">
      <c r="D108" s="116" t="s">
        <v>2</v>
      </c>
      <c r="E108" s="116"/>
      <c r="F108" s="125"/>
      <c r="G108" s="119" t="s">
        <v>4</v>
      </c>
      <c r="H108" s="120" t="s">
        <v>1</v>
      </c>
      <c r="I108" s="120" t="s">
        <v>1</v>
      </c>
      <c r="J108" s="120" t="s">
        <v>316</v>
      </c>
      <c r="K108" s="120"/>
      <c r="L108" s="112" t="s">
        <v>318</v>
      </c>
      <c r="M108" s="112" t="s">
        <v>310</v>
      </c>
      <c r="N108" s="112" t="s">
        <v>320</v>
      </c>
      <c r="O108" s="112" t="s">
        <v>321</v>
      </c>
      <c r="P108" s="104" t="s">
        <v>313</v>
      </c>
      <c r="Q108" s="116" t="s">
        <v>180</v>
      </c>
      <c r="R108" s="104" t="s">
        <v>313</v>
      </c>
      <c r="S108" s="116" t="s">
        <v>167</v>
      </c>
      <c r="T108" s="121"/>
      <c r="W108" s="61"/>
      <c r="X108" s="63"/>
    </row>
    <row r="109" spans="2:24" ht="33" customHeight="1" x14ac:dyDescent="0.25">
      <c r="D109" s="118"/>
      <c r="E109" s="122"/>
      <c r="F109" s="122" t="s">
        <v>9</v>
      </c>
      <c r="G109" s="116"/>
      <c r="H109" s="116" t="s">
        <v>6</v>
      </c>
      <c r="I109" s="116" t="s">
        <v>315</v>
      </c>
      <c r="J109" s="116" t="s">
        <v>158</v>
      </c>
      <c r="K109" s="116" t="s">
        <v>158</v>
      </c>
      <c r="L109" s="113" t="s">
        <v>307</v>
      </c>
      <c r="M109" s="113" t="s">
        <v>306</v>
      </c>
      <c r="N109" s="113" t="s">
        <v>312</v>
      </c>
      <c r="O109" s="113" t="s">
        <v>164</v>
      </c>
      <c r="P109" s="103" t="s">
        <v>314</v>
      </c>
      <c r="Q109" s="116" t="s">
        <v>181</v>
      </c>
      <c r="R109" s="103" t="s">
        <v>306</v>
      </c>
      <c r="S109" s="116" t="s">
        <v>170</v>
      </c>
      <c r="T109" s="120" t="s">
        <v>173</v>
      </c>
      <c r="W109" s="61"/>
      <c r="X109" s="63"/>
    </row>
    <row r="110" spans="2:24" ht="33" customHeight="1" x14ac:dyDescent="0.2">
      <c r="D110" s="359"/>
      <c r="E110" s="306" t="s">
        <v>78</v>
      </c>
      <c r="F110" s="306" t="s">
        <v>8</v>
      </c>
      <c r="G110" s="306"/>
      <c r="H110" s="306"/>
      <c r="I110" s="306"/>
      <c r="J110" s="306"/>
      <c r="K110" s="306"/>
      <c r="L110" s="109" t="s">
        <v>319</v>
      </c>
      <c r="M110" s="109" t="s">
        <v>309</v>
      </c>
      <c r="N110" s="108"/>
      <c r="O110" s="307"/>
      <c r="P110" s="308"/>
      <c r="Q110" s="308"/>
      <c r="R110" s="308"/>
      <c r="S110" s="306"/>
      <c r="T110" s="120"/>
      <c r="W110" s="61"/>
      <c r="X110" s="63"/>
    </row>
    <row r="111" spans="2:24" ht="33" customHeight="1" x14ac:dyDescent="0.2">
      <c r="B111" s="92"/>
      <c r="D111" s="363"/>
      <c r="E111" s="9" t="s">
        <v>60</v>
      </c>
      <c r="F111" s="5"/>
      <c r="G111" s="6"/>
      <c r="H111" s="299"/>
      <c r="I111" s="299"/>
      <c r="J111" s="299"/>
      <c r="K111" s="299"/>
      <c r="L111" s="282"/>
      <c r="M111" s="282"/>
      <c r="N111" s="282"/>
      <c r="O111" s="282"/>
      <c r="P111" s="282"/>
      <c r="Q111" s="282"/>
      <c r="R111" s="282"/>
      <c r="S111" s="23"/>
      <c r="T111" s="239"/>
      <c r="W111" s="61"/>
      <c r="X111" s="63">
        <f t="shared" ref="X111:X122" si="94">W111/2</f>
        <v>0</v>
      </c>
    </row>
    <row r="112" spans="2:24" ht="30.75" customHeight="1" x14ac:dyDescent="0.2">
      <c r="D112" s="366">
        <v>53</v>
      </c>
      <c r="E112" s="367" t="s">
        <v>88</v>
      </c>
      <c r="F112" s="368" t="s">
        <v>89</v>
      </c>
      <c r="G112" s="297">
        <v>15</v>
      </c>
      <c r="H112" s="298">
        <v>2028.07</v>
      </c>
      <c r="I112" s="23">
        <f t="shared" ref="I112:I133" si="95">H112/15</f>
        <v>135.20466666666667</v>
      </c>
      <c r="J112" s="23">
        <v>12.6</v>
      </c>
      <c r="K112" s="23">
        <f t="shared" ref="K112" si="96">J112*I112</f>
        <v>1703.5788</v>
      </c>
      <c r="L112" s="23">
        <f t="shared" ref="L112" si="97">H112*2+K112</f>
        <v>5759.7187999999996</v>
      </c>
      <c r="M112" s="23"/>
      <c r="N112" s="23">
        <f t="shared" ref="N112:N127" si="98">L112-M112</f>
        <v>5759.7187999999996</v>
      </c>
      <c r="O112" s="23">
        <v>86.13</v>
      </c>
      <c r="P112" s="23"/>
      <c r="Q112" s="23">
        <v>0</v>
      </c>
      <c r="R112" s="23">
        <f>O112-P112</f>
        <v>86.13</v>
      </c>
      <c r="S112" s="23">
        <f>K112-R112</f>
        <v>1617.4488000000001</v>
      </c>
      <c r="T112" s="252"/>
      <c r="W112" s="61">
        <v>3938</v>
      </c>
      <c r="X112" s="63">
        <f t="shared" si="94"/>
        <v>1969</v>
      </c>
    </row>
    <row r="113" spans="4:24" ht="29.25" customHeight="1" x14ac:dyDescent="0.2">
      <c r="D113" s="329"/>
      <c r="E113" s="369" t="s">
        <v>46</v>
      </c>
      <c r="F113" s="5"/>
      <c r="G113" s="6"/>
      <c r="H113" s="299"/>
      <c r="I113" s="299"/>
      <c r="J113" s="299"/>
      <c r="K113" s="299"/>
      <c r="L113" s="282"/>
      <c r="M113" s="282"/>
      <c r="N113" s="282"/>
      <c r="O113" s="282"/>
      <c r="P113" s="282"/>
      <c r="Q113" s="282"/>
      <c r="R113" s="282"/>
      <c r="S113" s="23"/>
      <c r="T113" s="252"/>
      <c r="W113" s="61"/>
      <c r="X113" s="63">
        <f t="shared" si="94"/>
        <v>0</v>
      </c>
    </row>
    <row r="114" spans="4:24" ht="33" customHeight="1" x14ac:dyDescent="0.2">
      <c r="D114" s="329">
        <v>54</v>
      </c>
      <c r="E114" s="364" t="s">
        <v>241</v>
      </c>
      <c r="F114" s="5" t="s">
        <v>36</v>
      </c>
      <c r="G114" s="6">
        <v>15</v>
      </c>
      <c r="H114" s="299">
        <v>681.86</v>
      </c>
      <c r="I114" s="23">
        <f t="shared" si="95"/>
        <v>45.457333333333331</v>
      </c>
      <c r="J114" s="23">
        <v>12.6</v>
      </c>
      <c r="K114" s="23">
        <f t="shared" ref="K114" si="99">J114*I114</f>
        <v>572.76239999999996</v>
      </c>
      <c r="L114" s="23">
        <f t="shared" ref="L114" si="100">H114*2+K114</f>
        <v>1936.4823999999999</v>
      </c>
      <c r="M114" s="282"/>
      <c r="N114" s="23">
        <f t="shared" si="98"/>
        <v>1936.4823999999999</v>
      </c>
      <c r="O114" s="282"/>
      <c r="P114" s="282"/>
      <c r="Q114" s="282">
        <v>0</v>
      </c>
      <c r="R114" s="23">
        <f t="shared" ref="R114:R123" si="101">O114-P114</f>
        <v>0</v>
      </c>
      <c r="S114" s="23">
        <f t="shared" ref="S114:S123" si="102">K114-R114</f>
        <v>572.76239999999996</v>
      </c>
      <c r="T114" s="252"/>
      <c r="W114" s="61">
        <v>1324</v>
      </c>
      <c r="X114" s="63">
        <f t="shared" si="94"/>
        <v>662</v>
      </c>
    </row>
    <row r="115" spans="4:24" ht="33" customHeight="1" x14ac:dyDescent="0.2">
      <c r="D115" s="329">
        <v>55</v>
      </c>
      <c r="E115" s="364" t="s">
        <v>295</v>
      </c>
      <c r="F115" s="5" t="s">
        <v>36</v>
      </c>
      <c r="G115" s="6">
        <v>15</v>
      </c>
      <c r="H115" s="299">
        <v>681.86</v>
      </c>
      <c r="I115" s="23">
        <f t="shared" si="95"/>
        <v>45.457333333333331</v>
      </c>
      <c r="J115" s="23">
        <v>12.6</v>
      </c>
      <c r="K115" s="23">
        <f t="shared" ref="K115:K123" si="103">J115*I115</f>
        <v>572.76239999999996</v>
      </c>
      <c r="L115" s="23">
        <f t="shared" ref="L115:L123" si="104">H115*2+K115</f>
        <v>1936.4823999999999</v>
      </c>
      <c r="M115" s="282"/>
      <c r="N115" s="23">
        <f t="shared" si="98"/>
        <v>1936.4823999999999</v>
      </c>
      <c r="O115" s="282"/>
      <c r="P115" s="282"/>
      <c r="Q115" s="282">
        <v>0</v>
      </c>
      <c r="R115" s="23">
        <f t="shared" si="101"/>
        <v>0</v>
      </c>
      <c r="S115" s="23">
        <f t="shared" si="102"/>
        <v>572.76239999999996</v>
      </c>
      <c r="T115" s="252"/>
      <c r="W115" s="61">
        <v>1324</v>
      </c>
      <c r="X115" s="63">
        <f t="shared" si="94"/>
        <v>662</v>
      </c>
    </row>
    <row r="116" spans="4:24" ht="29.25" customHeight="1" x14ac:dyDescent="0.2">
      <c r="D116" s="329">
        <v>56</v>
      </c>
      <c r="E116" s="364" t="s">
        <v>259</v>
      </c>
      <c r="F116" s="5" t="s">
        <v>36</v>
      </c>
      <c r="G116" s="6">
        <v>15</v>
      </c>
      <c r="H116" s="299">
        <v>681.86</v>
      </c>
      <c r="I116" s="23">
        <f t="shared" si="95"/>
        <v>45.457333333333331</v>
      </c>
      <c r="J116" s="23">
        <v>12.6</v>
      </c>
      <c r="K116" s="23">
        <f t="shared" si="103"/>
        <v>572.76239999999996</v>
      </c>
      <c r="L116" s="23">
        <f t="shared" si="104"/>
        <v>1936.4823999999999</v>
      </c>
      <c r="M116" s="282"/>
      <c r="N116" s="23">
        <f t="shared" si="98"/>
        <v>1936.4823999999999</v>
      </c>
      <c r="O116" s="282"/>
      <c r="P116" s="282"/>
      <c r="Q116" s="282">
        <v>0</v>
      </c>
      <c r="R116" s="23">
        <f t="shared" si="101"/>
        <v>0</v>
      </c>
      <c r="S116" s="23">
        <f t="shared" si="102"/>
        <v>572.76239999999996</v>
      </c>
      <c r="T116" s="252"/>
      <c r="W116" s="61">
        <v>1324</v>
      </c>
      <c r="X116" s="63">
        <f t="shared" si="94"/>
        <v>662</v>
      </c>
    </row>
    <row r="117" spans="4:24" ht="29.25" customHeight="1" x14ac:dyDescent="0.2">
      <c r="D117" s="329">
        <v>57</v>
      </c>
      <c r="E117" s="364" t="s">
        <v>118</v>
      </c>
      <c r="F117" s="5" t="s">
        <v>36</v>
      </c>
      <c r="G117" s="6">
        <v>15</v>
      </c>
      <c r="H117" s="299">
        <v>681.86</v>
      </c>
      <c r="I117" s="23">
        <f t="shared" si="95"/>
        <v>45.457333333333331</v>
      </c>
      <c r="J117" s="23">
        <v>12.6</v>
      </c>
      <c r="K117" s="23">
        <f t="shared" si="103"/>
        <v>572.76239999999996</v>
      </c>
      <c r="L117" s="23">
        <f t="shared" si="104"/>
        <v>1936.4823999999999</v>
      </c>
      <c r="M117" s="282"/>
      <c r="N117" s="23">
        <f t="shared" si="98"/>
        <v>1936.4823999999999</v>
      </c>
      <c r="O117" s="282"/>
      <c r="P117" s="282"/>
      <c r="Q117" s="282">
        <v>0</v>
      </c>
      <c r="R117" s="23">
        <f t="shared" si="101"/>
        <v>0</v>
      </c>
      <c r="S117" s="23">
        <f t="shared" si="102"/>
        <v>572.76239999999996</v>
      </c>
      <c r="T117" s="252"/>
      <c r="W117" s="61">
        <v>1324</v>
      </c>
      <c r="X117" s="63">
        <f t="shared" si="94"/>
        <v>662</v>
      </c>
    </row>
    <row r="118" spans="4:24" ht="29.25" customHeight="1" x14ac:dyDescent="0.2">
      <c r="D118" s="329">
        <v>58</v>
      </c>
      <c r="E118" s="364" t="s">
        <v>242</v>
      </c>
      <c r="F118" s="5" t="s">
        <v>40</v>
      </c>
      <c r="G118" s="6">
        <v>15</v>
      </c>
      <c r="H118" s="299">
        <v>681.86</v>
      </c>
      <c r="I118" s="23">
        <f t="shared" si="95"/>
        <v>45.457333333333331</v>
      </c>
      <c r="J118" s="23">
        <v>12.6</v>
      </c>
      <c r="K118" s="23">
        <f t="shared" si="103"/>
        <v>572.76239999999996</v>
      </c>
      <c r="L118" s="23">
        <f t="shared" si="104"/>
        <v>1936.4823999999999</v>
      </c>
      <c r="M118" s="282"/>
      <c r="N118" s="23">
        <f t="shared" si="98"/>
        <v>1936.4823999999999</v>
      </c>
      <c r="O118" s="282"/>
      <c r="P118" s="282"/>
      <c r="Q118" s="282">
        <v>0</v>
      </c>
      <c r="R118" s="23">
        <f t="shared" si="101"/>
        <v>0</v>
      </c>
      <c r="S118" s="23">
        <f t="shared" si="102"/>
        <v>572.76239999999996</v>
      </c>
      <c r="T118" s="252"/>
      <c r="W118" s="61">
        <v>1324</v>
      </c>
      <c r="X118" s="63">
        <f t="shared" si="94"/>
        <v>662</v>
      </c>
    </row>
    <row r="119" spans="4:24" ht="27" customHeight="1" x14ac:dyDescent="0.2">
      <c r="D119" s="329">
        <v>59</v>
      </c>
      <c r="E119" s="364" t="s">
        <v>254</v>
      </c>
      <c r="F119" s="5" t="s">
        <v>36</v>
      </c>
      <c r="G119" s="6">
        <v>15</v>
      </c>
      <c r="H119" s="299">
        <v>681.86</v>
      </c>
      <c r="I119" s="23">
        <f t="shared" si="95"/>
        <v>45.457333333333331</v>
      </c>
      <c r="J119" s="23">
        <v>12.6</v>
      </c>
      <c r="K119" s="23">
        <f t="shared" si="103"/>
        <v>572.76239999999996</v>
      </c>
      <c r="L119" s="23">
        <f t="shared" si="104"/>
        <v>1936.4823999999999</v>
      </c>
      <c r="M119" s="282"/>
      <c r="N119" s="23">
        <f t="shared" si="98"/>
        <v>1936.4823999999999</v>
      </c>
      <c r="O119" s="282"/>
      <c r="P119" s="282"/>
      <c r="Q119" s="282">
        <v>0</v>
      </c>
      <c r="R119" s="23">
        <f t="shared" si="101"/>
        <v>0</v>
      </c>
      <c r="S119" s="23">
        <f t="shared" si="102"/>
        <v>572.76239999999996</v>
      </c>
      <c r="T119" s="252"/>
      <c r="W119" s="61">
        <v>1324</v>
      </c>
      <c r="X119" s="63">
        <f t="shared" si="94"/>
        <v>662</v>
      </c>
    </row>
    <row r="120" spans="4:24" ht="26.25" customHeight="1" x14ac:dyDescent="0.2">
      <c r="D120" s="329">
        <v>60</v>
      </c>
      <c r="E120" s="364" t="s">
        <v>260</v>
      </c>
      <c r="F120" s="5" t="s">
        <v>119</v>
      </c>
      <c r="G120" s="6">
        <v>15</v>
      </c>
      <c r="H120" s="299">
        <v>681.86</v>
      </c>
      <c r="I120" s="23">
        <f t="shared" si="95"/>
        <v>45.457333333333331</v>
      </c>
      <c r="J120" s="23">
        <v>12.6</v>
      </c>
      <c r="K120" s="23">
        <f t="shared" si="103"/>
        <v>572.76239999999996</v>
      </c>
      <c r="L120" s="23">
        <f t="shared" si="104"/>
        <v>1936.4823999999999</v>
      </c>
      <c r="M120" s="282"/>
      <c r="N120" s="23">
        <f t="shared" si="98"/>
        <v>1936.4823999999999</v>
      </c>
      <c r="O120" s="282"/>
      <c r="P120" s="282"/>
      <c r="Q120" s="282">
        <v>0</v>
      </c>
      <c r="R120" s="23">
        <f t="shared" si="101"/>
        <v>0</v>
      </c>
      <c r="S120" s="23">
        <f t="shared" si="102"/>
        <v>572.76239999999996</v>
      </c>
      <c r="T120" s="252"/>
      <c r="W120" s="61">
        <v>1324</v>
      </c>
      <c r="X120" s="63">
        <f t="shared" si="94"/>
        <v>662</v>
      </c>
    </row>
    <row r="121" spans="4:24" ht="29.25" customHeight="1" x14ac:dyDescent="0.2">
      <c r="D121" s="329">
        <v>61</v>
      </c>
      <c r="E121" s="364" t="s">
        <v>304</v>
      </c>
      <c r="F121" s="365" t="s">
        <v>61</v>
      </c>
      <c r="G121" s="6">
        <v>15</v>
      </c>
      <c r="H121" s="299">
        <v>728.21</v>
      </c>
      <c r="I121" s="23">
        <f t="shared" si="95"/>
        <v>48.547333333333334</v>
      </c>
      <c r="J121" s="23">
        <v>12.6</v>
      </c>
      <c r="K121" s="23">
        <f t="shared" si="103"/>
        <v>611.69640000000004</v>
      </c>
      <c r="L121" s="23">
        <f t="shared" si="104"/>
        <v>2068.1163999999999</v>
      </c>
      <c r="M121" s="282"/>
      <c r="N121" s="23">
        <f t="shared" si="98"/>
        <v>2068.1163999999999</v>
      </c>
      <c r="O121" s="282"/>
      <c r="P121" s="282"/>
      <c r="Q121" s="282">
        <v>0</v>
      </c>
      <c r="R121" s="23">
        <f t="shared" si="101"/>
        <v>0</v>
      </c>
      <c r="S121" s="23">
        <f t="shared" si="102"/>
        <v>611.69640000000004</v>
      </c>
      <c r="T121" s="252"/>
      <c r="W121" s="61">
        <v>1414</v>
      </c>
      <c r="X121" s="63">
        <f t="shared" si="94"/>
        <v>707</v>
      </c>
    </row>
    <row r="122" spans="4:24" ht="30.75" customHeight="1" x14ac:dyDescent="0.2">
      <c r="D122" s="329">
        <v>62</v>
      </c>
      <c r="E122" s="364" t="s">
        <v>296</v>
      </c>
      <c r="F122" s="365" t="s">
        <v>148</v>
      </c>
      <c r="G122" s="6">
        <v>15</v>
      </c>
      <c r="H122" s="299">
        <v>695.25</v>
      </c>
      <c r="I122" s="23">
        <f t="shared" si="95"/>
        <v>46.35</v>
      </c>
      <c r="J122" s="23">
        <v>12.6</v>
      </c>
      <c r="K122" s="23">
        <f t="shared" si="103"/>
        <v>584.01</v>
      </c>
      <c r="L122" s="23">
        <f t="shared" si="104"/>
        <v>1974.51</v>
      </c>
      <c r="M122" s="282"/>
      <c r="N122" s="23">
        <f t="shared" si="98"/>
        <v>1974.51</v>
      </c>
      <c r="O122" s="282"/>
      <c r="P122" s="282"/>
      <c r="Q122" s="282">
        <v>0</v>
      </c>
      <c r="R122" s="23">
        <f t="shared" si="101"/>
        <v>0</v>
      </c>
      <c r="S122" s="23">
        <f t="shared" si="102"/>
        <v>584.01</v>
      </c>
      <c r="T122" s="252"/>
      <c r="W122" s="61">
        <v>1350</v>
      </c>
      <c r="X122" s="63">
        <f t="shared" si="94"/>
        <v>675</v>
      </c>
    </row>
    <row r="123" spans="4:24" ht="28.5" customHeight="1" x14ac:dyDescent="0.2">
      <c r="D123" s="329">
        <v>63</v>
      </c>
      <c r="E123" s="364" t="s">
        <v>186</v>
      </c>
      <c r="F123" s="5" t="s">
        <v>36</v>
      </c>
      <c r="G123" s="6">
        <v>15</v>
      </c>
      <c r="H123" s="299">
        <v>606.66999999999996</v>
      </c>
      <c r="I123" s="23">
        <f t="shared" si="95"/>
        <v>40.444666666666663</v>
      </c>
      <c r="J123" s="23">
        <v>12.6</v>
      </c>
      <c r="K123" s="23">
        <f t="shared" si="103"/>
        <v>509.60279999999995</v>
      </c>
      <c r="L123" s="23">
        <f t="shared" si="104"/>
        <v>1722.9427999999998</v>
      </c>
      <c r="M123" s="282"/>
      <c r="N123" s="23">
        <f t="shared" si="98"/>
        <v>1722.9427999999998</v>
      </c>
      <c r="O123" s="282"/>
      <c r="P123" s="282"/>
      <c r="Q123" s="282">
        <v>0</v>
      </c>
      <c r="R123" s="23">
        <f t="shared" si="101"/>
        <v>0</v>
      </c>
      <c r="S123" s="23">
        <f t="shared" si="102"/>
        <v>509.60279999999995</v>
      </c>
      <c r="T123" s="252"/>
      <c r="W123" s="61"/>
      <c r="X123" s="63"/>
    </row>
    <row r="124" spans="4:24" ht="33" customHeight="1" x14ac:dyDescent="0.2">
      <c r="D124" s="329">
        <v>64</v>
      </c>
      <c r="E124" s="9" t="s">
        <v>271</v>
      </c>
      <c r="F124" s="5"/>
      <c r="G124" s="6"/>
      <c r="H124" s="299"/>
      <c r="I124" s="299"/>
      <c r="J124" s="299"/>
      <c r="K124" s="299"/>
      <c r="L124" s="282"/>
      <c r="M124" s="282"/>
      <c r="N124" s="282"/>
      <c r="O124" s="282"/>
      <c r="P124" s="282"/>
      <c r="Q124" s="282"/>
      <c r="R124" s="282"/>
      <c r="S124" s="23"/>
      <c r="T124" s="252"/>
      <c r="W124" s="61"/>
      <c r="X124" s="63">
        <f>W124/2</f>
        <v>0</v>
      </c>
    </row>
    <row r="125" spans="4:24" ht="30" customHeight="1" x14ac:dyDescent="0.2">
      <c r="D125" s="329">
        <v>65</v>
      </c>
      <c r="E125" s="364" t="s">
        <v>272</v>
      </c>
      <c r="F125" s="365" t="s">
        <v>273</v>
      </c>
      <c r="G125" s="6">
        <v>15</v>
      </c>
      <c r="H125" s="299">
        <v>2138</v>
      </c>
      <c r="I125" s="23">
        <f t="shared" si="95"/>
        <v>142.53333333333333</v>
      </c>
      <c r="J125" s="23">
        <v>12.6</v>
      </c>
      <c r="K125" s="23">
        <f t="shared" ref="K125" si="105">J125*I125</f>
        <v>1795.9199999999998</v>
      </c>
      <c r="L125" s="23">
        <f t="shared" ref="L125" si="106">H125*2+K125</f>
        <v>6071.92</v>
      </c>
      <c r="M125" s="23">
        <f t="shared" ref="M125:M134" si="107">30*80.6</f>
        <v>2418</v>
      </c>
      <c r="N125" s="23">
        <f t="shared" si="98"/>
        <v>3653.92</v>
      </c>
      <c r="O125" s="282"/>
      <c r="P125" s="282"/>
      <c r="Q125" s="282"/>
      <c r="R125" s="23">
        <f t="shared" ref="R125" si="108">O125-P125</f>
        <v>0</v>
      </c>
      <c r="S125" s="23">
        <f t="shared" ref="S125" si="109">K125-R125</f>
        <v>1795.9199999999998</v>
      </c>
      <c r="T125" s="252"/>
      <c r="W125" s="61"/>
      <c r="X125" s="63"/>
    </row>
    <row r="126" spans="4:24" ht="28.5" customHeight="1" x14ac:dyDescent="0.2">
      <c r="D126" s="329">
        <v>66</v>
      </c>
      <c r="E126" s="369" t="s">
        <v>331</v>
      </c>
      <c r="F126" s="364"/>
      <c r="G126" s="30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52"/>
      <c r="W126" s="61"/>
      <c r="X126" s="63"/>
    </row>
    <row r="127" spans="4:24" ht="30" customHeight="1" x14ac:dyDescent="0.2">
      <c r="D127" s="329">
        <v>67</v>
      </c>
      <c r="E127" s="364" t="s">
        <v>220</v>
      </c>
      <c r="F127" s="370" t="s">
        <v>332</v>
      </c>
      <c r="G127" s="300">
        <v>15</v>
      </c>
      <c r="H127" s="23">
        <v>4358</v>
      </c>
      <c r="I127" s="23">
        <f t="shared" si="95"/>
        <v>290.53333333333336</v>
      </c>
      <c r="J127" s="23">
        <v>12.6</v>
      </c>
      <c r="K127" s="23">
        <v>3192</v>
      </c>
      <c r="L127" s="23">
        <f t="shared" ref="L127" si="110">H127*2+K127</f>
        <v>11908</v>
      </c>
      <c r="M127" s="23">
        <f t="shared" si="107"/>
        <v>2418</v>
      </c>
      <c r="N127" s="23">
        <f t="shared" si="98"/>
        <v>9490</v>
      </c>
      <c r="O127" s="23">
        <v>905.68</v>
      </c>
      <c r="P127" s="23">
        <f>357.95*2</f>
        <v>715.9</v>
      </c>
      <c r="Q127" s="23">
        <v>0</v>
      </c>
      <c r="R127" s="23">
        <f t="shared" ref="R127" si="111">O127-P127</f>
        <v>189.77999999999997</v>
      </c>
      <c r="S127" s="23">
        <f t="shared" ref="S127" si="112">K127-R127</f>
        <v>3002.2200000000003</v>
      </c>
      <c r="T127" s="252"/>
      <c r="W127" s="61"/>
      <c r="X127" s="63"/>
    </row>
    <row r="128" spans="4:24" ht="29.25" customHeight="1" x14ac:dyDescent="0.2">
      <c r="D128" s="329">
        <v>68</v>
      </c>
      <c r="E128" s="367" t="s">
        <v>287</v>
      </c>
      <c r="F128" s="371" t="s">
        <v>333</v>
      </c>
      <c r="G128" s="301">
        <v>15</v>
      </c>
      <c r="H128" s="23">
        <v>2652.25</v>
      </c>
      <c r="I128" s="23">
        <f t="shared" si="95"/>
        <v>176.81666666666666</v>
      </c>
      <c r="J128" s="23">
        <v>12.6</v>
      </c>
      <c r="K128" s="23">
        <f t="shared" ref="K128" si="113">J128*I128</f>
        <v>2227.89</v>
      </c>
      <c r="L128" s="23">
        <f t="shared" ref="L128" si="114">H128*2+K128</f>
        <v>7532.3899999999994</v>
      </c>
      <c r="M128" s="23">
        <f t="shared" si="107"/>
        <v>2418</v>
      </c>
      <c r="N128" s="23">
        <f t="shared" ref="N128:N131" si="115">L128-M128</f>
        <v>5114.3899999999994</v>
      </c>
      <c r="O128" s="23"/>
      <c r="P128" s="23"/>
      <c r="Q128" s="23"/>
      <c r="R128" s="23">
        <f t="shared" ref="R128" si="116">O128-P128</f>
        <v>0</v>
      </c>
      <c r="S128" s="23">
        <f t="shared" ref="S128" si="117">K128-R128</f>
        <v>2227.89</v>
      </c>
      <c r="T128" s="252"/>
      <c r="W128" s="61"/>
      <c r="X128" s="63"/>
    </row>
    <row r="129" spans="4:26" ht="27" customHeight="1" x14ac:dyDescent="0.2">
      <c r="D129" s="285"/>
      <c r="E129" s="372" t="s">
        <v>239</v>
      </c>
      <c r="F129" s="285"/>
      <c r="G129" s="285"/>
      <c r="H129" s="302"/>
      <c r="I129" s="302"/>
      <c r="J129" s="302"/>
      <c r="K129" s="302"/>
      <c r="L129" s="302"/>
      <c r="M129" s="285"/>
      <c r="N129" s="285"/>
      <c r="O129" s="285"/>
      <c r="P129" s="285"/>
      <c r="Q129" s="285"/>
      <c r="R129" s="285"/>
      <c r="S129" s="285"/>
      <c r="T129" s="252"/>
      <c r="W129" s="61"/>
      <c r="X129" s="63"/>
    </row>
    <row r="130" spans="4:26" ht="23.25" customHeight="1" x14ac:dyDescent="0.2">
      <c r="D130" s="300"/>
      <c r="E130" s="369" t="s">
        <v>20</v>
      </c>
      <c r="F130" s="364"/>
      <c r="G130" s="300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52"/>
      <c r="W130" s="61"/>
      <c r="X130" s="63"/>
    </row>
    <row r="131" spans="4:26" ht="33" customHeight="1" x14ac:dyDescent="0.2">
      <c r="D131" s="300">
        <v>69</v>
      </c>
      <c r="E131" s="364" t="s">
        <v>218</v>
      </c>
      <c r="F131" s="373" t="s">
        <v>187</v>
      </c>
      <c r="G131" s="300">
        <v>15</v>
      </c>
      <c r="H131" s="23">
        <v>3475.22</v>
      </c>
      <c r="I131" s="23">
        <f t="shared" si="95"/>
        <v>231.68133333333333</v>
      </c>
      <c r="J131" s="23">
        <v>12.6</v>
      </c>
      <c r="K131" s="23">
        <f t="shared" ref="K131" si="118">J131*I131</f>
        <v>2919.1848</v>
      </c>
      <c r="L131" s="23">
        <f t="shared" ref="L131" si="119">H131*2+K131</f>
        <v>9869.6247999999996</v>
      </c>
      <c r="M131" s="23">
        <f t="shared" si="107"/>
        <v>2418</v>
      </c>
      <c r="N131" s="23">
        <f t="shared" si="115"/>
        <v>7451.6247999999996</v>
      </c>
      <c r="O131" s="23">
        <v>564.84</v>
      </c>
      <c r="P131" s="23">
        <f>131.67*2</f>
        <v>263.33999999999997</v>
      </c>
      <c r="Q131" s="23">
        <v>0</v>
      </c>
      <c r="R131" s="23">
        <f t="shared" ref="R131" si="120">O131-P131</f>
        <v>301.50000000000006</v>
      </c>
      <c r="S131" s="23">
        <f t="shared" ref="S131" si="121">K131-R131</f>
        <v>2617.6848</v>
      </c>
      <c r="T131" s="252"/>
      <c r="W131" s="61">
        <v>3680</v>
      </c>
      <c r="X131" s="63">
        <f>W131/2</f>
        <v>1840</v>
      </c>
    </row>
    <row r="132" spans="4:26" ht="30.75" customHeight="1" x14ac:dyDescent="0.2">
      <c r="D132" s="329"/>
      <c r="E132" s="9" t="s">
        <v>98</v>
      </c>
      <c r="F132" s="5"/>
      <c r="G132" s="6"/>
      <c r="H132" s="299"/>
      <c r="I132" s="299"/>
      <c r="J132" s="299"/>
      <c r="K132" s="299"/>
      <c r="L132" s="282"/>
      <c r="M132" s="282"/>
      <c r="N132" s="282"/>
      <c r="O132" s="282"/>
      <c r="P132" s="282"/>
      <c r="Q132" s="282"/>
      <c r="R132" s="282"/>
      <c r="S132" s="23"/>
      <c r="T132" s="252"/>
      <c r="W132" s="61"/>
      <c r="X132" s="63">
        <f>W132/2</f>
        <v>0</v>
      </c>
    </row>
    <row r="133" spans="4:26" ht="32.25" customHeight="1" x14ac:dyDescent="0.2">
      <c r="D133" s="329">
        <v>70</v>
      </c>
      <c r="E133" s="364" t="s">
        <v>275</v>
      </c>
      <c r="F133" s="365" t="s">
        <v>276</v>
      </c>
      <c r="G133" s="6">
        <v>15</v>
      </c>
      <c r="H133" s="299">
        <v>1864</v>
      </c>
      <c r="I133" s="23">
        <f t="shared" si="95"/>
        <v>124.26666666666667</v>
      </c>
      <c r="J133" s="23">
        <v>12.6</v>
      </c>
      <c r="K133" s="23">
        <f t="shared" ref="K133" si="122">J133*I133</f>
        <v>1565.76</v>
      </c>
      <c r="L133" s="23">
        <f t="shared" ref="L133" si="123">H133*2+K133</f>
        <v>5293.76</v>
      </c>
      <c r="M133" s="23">
        <f t="shared" si="107"/>
        <v>2418</v>
      </c>
      <c r="N133" s="23">
        <f t="shared" ref="N133" si="124">L133-M133</f>
        <v>2875.76</v>
      </c>
      <c r="O133" s="282"/>
      <c r="P133" s="282"/>
      <c r="Q133" s="282"/>
      <c r="R133" s="23">
        <f t="shared" ref="R133" si="125">O133-P133</f>
        <v>0</v>
      </c>
      <c r="S133" s="23">
        <f t="shared" ref="S133" si="126">K133-R133</f>
        <v>1565.76</v>
      </c>
      <c r="T133" s="252"/>
      <c r="W133" s="61"/>
      <c r="X133" s="63"/>
    </row>
    <row r="134" spans="4:26" ht="33" customHeight="1" x14ac:dyDescent="0.2">
      <c r="D134" s="329">
        <v>71</v>
      </c>
      <c r="E134" s="5" t="s">
        <v>110</v>
      </c>
      <c r="F134" s="5" t="s">
        <v>111</v>
      </c>
      <c r="G134" s="6">
        <v>15</v>
      </c>
      <c r="H134" s="299">
        <v>1984.81</v>
      </c>
      <c r="I134" s="23">
        <f t="shared" ref="I134" si="127">H134/15</f>
        <v>132.32066666666665</v>
      </c>
      <c r="J134" s="23">
        <v>12.6</v>
      </c>
      <c r="K134" s="23">
        <f t="shared" ref="K134" si="128">J134*I134</f>
        <v>1667.2403999999997</v>
      </c>
      <c r="L134" s="23">
        <f t="shared" ref="L134" si="129">H134*2+K134</f>
        <v>5636.8603999999996</v>
      </c>
      <c r="M134" s="23">
        <f t="shared" si="107"/>
        <v>2418</v>
      </c>
      <c r="N134" s="23">
        <f t="shared" ref="N134:N135" si="130">L134-M134</f>
        <v>3218.8603999999996</v>
      </c>
      <c r="O134" s="282"/>
      <c r="P134" s="282"/>
      <c r="Q134" s="282">
        <v>0</v>
      </c>
      <c r="R134" s="23">
        <f t="shared" ref="R134" si="131">O134-P134</f>
        <v>0</v>
      </c>
      <c r="S134" s="23">
        <f t="shared" ref="S134" si="132">K134-R134</f>
        <v>1667.2403999999997</v>
      </c>
      <c r="T134" s="252"/>
      <c r="W134" s="61">
        <v>3854</v>
      </c>
      <c r="X134" s="63">
        <f>W134/2</f>
        <v>1927</v>
      </c>
      <c r="Z134" s="1">
        <f>143.59*11</f>
        <v>1579.49</v>
      </c>
    </row>
    <row r="135" spans="4:26" ht="33" customHeight="1" x14ac:dyDescent="0.2">
      <c r="D135" s="329">
        <v>72</v>
      </c>
      <c r="E135" s="5" t="s">
        <v>147</v>
      </c>
      <c r="F135" s="5" t="s">
        <v>17</v>
      </c>
      <c r="G135" s="6">
        <v>15</v>
      </c>
      <c r="H135" s="299">
        <v>1761.3</v>
      </c>
      <c r="I135" s="23">
        <f t="shared" ref="I135" si="133">H135/15</f>
        <v>117.42</v>
      </c>
      <c r="J135" s="23">
        <v>12.6</v>
      </c>
      <c r="K135" s="23">
        <f t="shared" ref="K135" si="134">J135*I135</f>
        <v>1479.492</v>
      </c>
      <c r="L135" s="23">
        <f t="shared" ref="L135" si="135">H135*2+K135</f>
        <v>5002.0919999999996</v>
      </c>
      <c r="M135" s="282"/>
      <c r="N135" s="23">
        <f t="shared" si="130"/>
        <v>5002.0919999999996</v>
      </c>
      <c r="O135" s="282"/>
      <c r="P135" s="282"/>
      <c r="Q135" s="282">
        <v>0</v>
      </c>
      <c r="R135" s="23">
        <f t="shared" ref="R135" si="136">O135-P135</f>
        <v>0</v>
      </c>
      <c r="S135" s="23">
        <f t="shared" ref="S135" si="137">K135-R135</f>
        <v>1479.492</v>
      </c>
      <c r="T135" s="252"/>
      <c r="W135" s="61">
        <v>3420</v>
      </c>
      <c r="X135" s="63">
        <f>W135/2</f>
        <v>1710</v>
      </c>
    </row>
    <row r="136" spans="4:26" ht="33" customHeight="1" x14ac:dyDescent="0.2">
      <c r="D136" s="329"/>
      <c r="E136" s="9" t="s">
        <v>189</v>
      </c>
      <c r="F136" s="5"/>
      <c r="G136" s="6"/>
      <c r="H136" s="299"/>
      <c r="I136" s="299"/>
      <c r="J136" s="299"/>
      <c r="K136" s="299"/>
      <c r="L136" s="282"/>
      <c r="M136" s="282"/>
      <c r="N136" s="282"/>
      <c r="O136" s="282"/>
      <c r="P136" s="282"/>
      <c r="Q136" s="282"/>
      <c r="R136" s="282"/>
      <c r="S136" s="23"/>
      <c r="T136" s="252"/>
      <c r="W136" s="61"/>
      <c r="X136" s="63"/>
    </row>
    <row r="137" spans="4:26" ht="33" customHeight="1" x14ac:dyDescent="0.2">
      <c r="D137" s="329">
        <v>73</v>
      </c>
      <c r="E137" s="5" t="s">
        <v>248</v>
      </c>
      <c r="F137" s="365" t="s">
        <v>190</v>
      </c>
      <c r="G137" s="6">
        <v>15</v>
      </c>
      <c r="H137" s="23">
        <v>3374</v>
      </c>
      <c r="I137" s="23">
        <f t="shared" ref="I137" si="138">H137/15</f>
        <v>224.93333333333334</v>
      </c>
      <c r="J137" s="23">
        <v>12.6</v>
      </c>
      <c r="K137" s="23">
        <f t="shared" ref="K137" si="139">J137*I137</f>
        <v>2834.16</v>
      </c>
      <c r="L137" s="23">
        <f t="shared" ref="L137" si="140">H137*2+K137</f>
        <v>9582.16</v>
      </c>
      <c r="M137" s="23">
        <f t="shared" ref="M137" si="141">30*80.6</f>
        <v>2418</v>
      </c>
      <c r="N137" s="23">
        <f t="shared" ref="N137" si="142">L137-M137</f>
        <v>7164.16</v>
      </c>
      <c r="O137" s="23">
        <v>315.95</v>
      </c>
      <c r="P137" s="23">
        <f>120.66*2</f>
        <v>241.32</v>
      </c>
      <c r="Q137" s="23">
        <v>0</v>
      </c>
      <c r="R137" s="23">
        <f t="shared" ref="R137" si="143">O137-P137</f>
        <v>74.63</v>
      </c>
      <c r="S137" s="23">
        <f t="shared" ref="S137" si="144">K137-R137</f>
        <v>2759.5299999999997</v>
      </c>
      <c r="T137" s="252"/>
      <c r="W137" s="61">
        <v>4344</v>
      </c>
      <c r="X137" s="63">
        <f>W137/2</f>
        <v>2172</v>
      </c>
    </row>
    <row r="138" spans="4:26" ht="33" customHeight="1" thickBot="1" x14ac:dyDescent="0.3">
      <c r="D138" s="374"/>
      <c r="E138" s="375"/>
      <c r="F138" s="376"/>
      <c r="G138" s="303" t="s">
        <v>5</v>
      </c>
      <c r="H138" s="304">
        <f>SUM(H8:H37,H49:H74,H84:H97,H111:H137)</f>
        <v>164542.92999999996</v>
      </c>
      <c r="I138" s="304">
        <f t="shared" ref="I138:S138" si="145">SUM(I8:I37,I49:I74,I84:I97,I111:I137)</f>
        <v>10969.528666666671</v>
      </c>
      <c r="J138" s="304">
        <f t="shared" si="145"/>
        <v>860.5000000000008</v>
      </c>
      <c r="K138" s="304">
        <f t="shared" si="145"/>
        <v>132575.13786666669</v>
      </c>
      <c r="L138" s="304">
        <f t="shared" si="145"/>
        <v>461660.99786666658</v>
      </c>
      <c r="M138" s="304">
        <f t="shared" si="145"/>
        <v>62868</v>
      </c>
      <c r="N138" s="304">
        <f t="shared" si="145"/>
        <v>398792.99786666664</v>
      </c>
      <c r="O138" s="304">
        <f t="shared" si="145"/>
        <v>19066.72</v>
      </c>
      <c r="P138" s="304">
        <f t="shared" si="145"/>
        <v>7752.4499999999989</v>
      </c>
      <c r="Q138" s="304">
        <f t="shared" si="145"/>
        <v>0</v>
      </c>
      <c r="R138" s="304">
        <f t="shared" si="145"/>
        <v>10373.909999999994</v>
      </c>
      <c r="S138" s="304">
        <f t="shared" si="145"/>
        <v>122201.22786666674</v>
      </c>
      <c r="T138" s="4"/>
      <c r="W138" s="63">
        <f>SUM(W9:W137)</f>
        <v>148772</v>
      </c>
      <c r="X138" s="63">
        <f>SUM(X9:X137)</f>
        <v>74386</v>
      </c>
    </row>
    <row r="139" spans="4:26" ht="13.5" thickTop="1" x14ac:dyDescent="0.2">
      <c r="P139" s="13"/>
      <c r="S139" s="13"/>
    </row>
    <row r="140" spans="4:26" x14ac:dyDescent="0.2">
      <c r="G140" s="2"/>
      <c r="H140" s="201">
        <f>H112+H114+H115+H116+H117+H118+H119+H120+H121+H122+H123+H125+H127+H128+H131+H133+H134+H135+H137</f>
        <v>30438.800000000003</v>
      </c>
      <c r="I140" s="201">
        <f>I112+I114+I115+I116+I117+I118+I119+I120+I121+I122+I123+I125+I127+I128+I131+I133+I134+I135+I137</f>
        <v>2029.2533333333336</v>
      </c>
      <c r="J140" s="201"/>
      <c r="K140" s="201">
        <f>K112+K114+K115+K116+K117+K118+K119+K120+K121+K122+K123+K125+K127+K128+K131+K133+K134+K135+K137</f>
        <v>25099.871999999992</v>
      </c>
      <c r="L140" s="202" t="e">
        <f>L137+L135+L134+L133+L131+#REF!+L128+L127+L125+L123+L122+L121+L120+L119+L118+L117+L116+L115+L114+L112</f>
        <v>#REF!</v>
      </c>
      <c r="M140" s="202"/>
      <c r="N140" s="202"/>
      <c r="O140" s="202"/>
      <c r="P140" s="202" t="e">
        <f>P127+P128+#REF!+P131+P137</f>
        <v>#REF!</v>
      </c>
      <c r="Q140" s="203"/>
      <c r="R140" s="202">
        <f>R112+R127+R131+R137</f>
        <v>652.04000000000008</v>
      </c>
      <c r="S140" s="202">
        <f>S112+S114+S115+S116+S117+S118+S119+S120+S121+S122+S123+S125+S127+S128+S131+S133+S134+S135+S137</f>
        <v>24447.831999999991</v>
      </c>
    </row>
    <row r="141" spans="4:26" x14ac:dyDescent="0.2">
      <c r="G141" s="2"/>
      <c r="H141" s="201" t="e">
        <f>H39+H75+H98+H140</f>
        <v>#REF!</v>
      </c>
      <c r="I141" s="201"/>
      <c r="J141" s="201"/>
      <c r="K141" s="201"/>
      <c r="L141" s="203"/>
      <c r="M141" s="203"/>
      <c r="N141" s="203"/>
      <c r="O141" s="203"/>
      <c r="P141" s="202" t="e">
        <f>P39+P75+P98+P140</f>
        <v>#REF!</v>
      </c>
      <c r="Q141" s="203"/>
      <c r="R141" s="203"/>
      <c r="S141" s="202" t="e">
        <f>S39+S75+S98+S140</f>
        <v>#REF!</v>
      </c>
      <c r="T141" s="13"/>
    </row>
    <row r="142" spans="4:26" x14ac:dyDescent="0.2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4:26" x14ac:dyDescent="0.2">
      <c r="E143" s="1" t="s">
        <v>128</v>
      </c>
      <c r="H143" s="13"/>
      <c r="I143" s="13"/>
      <c r="J143" s="13"/>
      <c r="K143" s="13"/>
      <c r="L143" s="93"/>
      <c r="M143" s="73"/>
      <c r="N143" s="73"/>
      <c r="O143" s="73"/>
      <c r="S143" s="68"/>
      <c r="T143" s="68"/>
    </row>
    <row r="144" spans="4:26" ht="14.25" x14ac:dyDescent="0.2">
      <c r="E144" s="44" t="s">
        <v>200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441" t="s">
        <v>201</v>
      </c>
      <c r="T144" s="441"/>
    </row>
    <row r="145" spans="5:20" ht="15" x14ac:dyDescent="0.25">
      <c r="E145" s="45" t="s">
        <v>10</v>
      </c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435" t="s">
        <v>174</v>
      </c>
      <c r="T145" s="435"/>
    </row>
    <row r="146" spans="5:20" s="16" customFormat="1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5:20" s="16" customFormat="1" x14ac:dyDescent="0.2">
      <c r="E147" s="35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200" t="e">
        <f>S138-S141</f>
        <v>#REF!</v>
      </c>
      <c r="T147" s="33"/>
    </row>
    <row r="149" spans="5:20" x14ac:dyDescent="0.2">
      <c r="L149" s="13"/>
      <c r="M149" s="13"/>
      <c r="N149" s="13"/>
      <c r="O149" s="13"/>
    </row>
  </sheetData>
  <sheetProtection selectLockedCells="1" selectUnlockedCells="1"/>
  <mergeCells count="21">
    <mergeCell ref="D2:S2"/>
    <mergeCell ref="D3:S3"/>
    <mergeCell ref="D4:S4"/>
    <mergeCell ref="D41:T41"/>
    <mergeCell ref="D42:T42"/>
    <mergeCell ref="D40:T40"/>
    <mergeCell ref="K5:K6"/>
    <mergeCell ref="D43:T43"/>
    <mergeCell ref="D104:T104"/>
    <mergeCell ref="D105:T105"/>
    <mergeCell ref="D77:T77"/>
    <mergeCell ref="D78:T78"/>
    <mergeCell ref="S145:T145"/>
    <mergeCell ref="H44:N44"/>
    <mergeCell ref="D103:T103"/>
    <mergeCell ref="H107:N107"/>
    <mergeCell ref="S144:T144"/>
    <mergeCell ref="D79:T79"/>
    <mergeCell ref="H80:N80"/>
    <mergeCell ref="D106:T106"/>
    <mergeCell ref="D76:T76"/>
  </mergeCells>
  <phoneticPr fontId="0" type="noConversion"/>
  <pageMargins left="0" right="0" top="0" bottom="0" header="0.15748031496062992" footer="0.31496062992125984"/>
  <pageSetup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3:D3"/>
  <sheetViews>
    <sheetView workbookViewId="0">
      <selection activeCell="B11" sqref="B11"/>
    </sheetView>
  </sheetViews>
  <sheetFormatPr baseColWidth="10" defaultRowHeight="12.75" x14ac:dyDescent="0.2"/>
  <cols>
    <col min="2" max="2" width="54.28515625" customWidth="1"/>
    <col min="3" max="3" width="24.5703125" bestFit="1" customWidth="1"/>
    <col min="4" max="4" width="12.85546875" bestFit="1" customWidth="1"/>
  </cols>
  <sheetData>
    <row r="3" spans="1:4" x14ac:dyDescent="0.2">
      <c r="A3" s="388">
        <v>1</v>
      </c>
      <c r="B3" s="389" t="s">
        <v>202</v>
      </c>
      <c r="C3" s="5" t="s">
        <v>203</v>
      </c>
      <c r="D3" s="237">
        <v>3508.39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74"/>
  <sheetViews>
    <sheetView topLeftCell="A31" workbookViewId="0">
      <selection activeCell="D33" sqref="D33"/>
    </sheetView>
  </sheetViews>
  <sheetFormatPr baseColWidth="10" defaultRowHeight="12.75" x14ac:dyDescent="0.2"/>
  <cols>
    <col min="1" max="1" width="4.7109375" style="16" customWidth="1"/>
    <col min="2" max="2" width="5.140625" style="16" customWidth="1"/>
    <col min="3" max="3" width="4.42578125" style="16" customWidth="1"/>
    <col min="4" max="4" width="44.85546875" style="16" customWidth="1"/>
    <col min="5" max="5" width="33.5703125" style="16" customWidth="1"/>
    <col min="6" max="6" width="5.85546875" style="16" customWidth="1"/>
    <col min="7" max="7" width="14.42578125" style="16" bestFit="1" customWidth="1"/>
    <col min="8" max="8" width="12.42578125" style="16" hidden="1" customWidth="1"/>
    <col min="9" max="9" width="12.5703125" style="16" bestFit="1" customWidth="1"/>
    <col min="10" max="10" width="14.42578125" style="16" bestFit="1" customWidth="1"/>
    <col min="11" max="11" width="13.7109375" style="16" hidden="1" customWidth="1"/>
    <col min="12" max="12" width="13.140625" style="16" hidden="1" customWidth="1"/>
    <col min="13" max="13" width="13.7109375" style="16" hidden="1" customWidth="1"/>
    <col min="14" max="14" width="12.42578125" style="16" hidden="1" customWidth="1"/>
    <col min="15" max="15" width="11.140625" style="16" hidden="1" customWidth="1"/>
    <col min="16" max="16" width="14.28515625" style="16" customWidth="1"/>
    <col min="17" max="17" width="15.42578125" style="16" bestFit="1" customWidth="1"/>
    <col min="18" max="18" width="38.7109375" style="16" customWidth="1"/>
    <col min="19" max="16384" width="11.42578125" style="16"/>
  </cols>
  <sheetData>
    <row r="1" spans="2:19" ht="5.25" customHeight="1" x14ac:dyDescent="0.2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2:19" ht="15.75" customHeight="1" x14ac:dyDescent="0.2">
      <c r="B2" s="38"/>
      <c r="C2" s="54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2:19" ht="21.95" customHeight="1" x14ac:dyDescent="0.5">
      <c r="B3" s="38"/>
      <c r="C3" s="447" t="s">
        <v>11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</row>
    <row r="4" spans="2:19" ht="21.95" customHeight="1" x14ac:dyDescent="0.5">
      <c r="B4" s="38"/>
      <c r="C4" s="447" t="s">
        <v>175</v>
      </c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</row>
    <row r="5" spans="2:19" ht="21.95" customHeight="1" x14ac:dyDescent="0.5">
      <c r="B5" s="38"/>
      <c r="C5" s="447" t="s">
        <v>329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</row>
    <row r="6" spans="2:19" ht="21.95" customHeight="1" x14ac:dyDescent="0.5">
      <c r="B6" s="38"/>
      <c r="C6" s="449" t="s">
        <v>163</v>
      </c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</row>
    <row r="7" spans="2:19" x14ac:dyDescent="0.2">
      <c r="C7" s="126"/>
      <c r="D7" s="126"/>
      <c r="E7" s="126"/>
      <c r="F7" s="143"/>
      <c r="G7" s="127"/>
      <c r="H7" s="206"/>
      <c r="I7" s="451"/>
      <c r="J7" s="452"/>
      <c r="K7" s="452"/>
      <c r="L7" s="452"/>
      <c r="M7" s="453"/>
      <c r="N7" s="451"/>
      <c r="O7" s="452"/>
      <c r="P7" s="452"/>
      <c r="Q7" s="452"/>
      <c r="R7" s="453"/>
    </row>
    <row r="8" spans="2:19" x14ac:dyDescent="0.2">
      <c r="C8" s="128" t="s">
        <v>2</v>
      </c>
      <c r="D8" s="128"/>
      <c r="E8" s="128"/>
      <c r="F8" s="128"/>
      <c r="G8" s="129" t="s">
        <v>1</v>
      </c>
      <c r="H8" s="120" t="s">
        <v>1</v>
      </c>
      <c r="I8" s="120" t="s">
        <v>316</v>
      </c>
      <c r="J8" s="120"/>
      <c r="K8" s="112" t="s">
        <v>318</v>
      </c>
      <c r="L8" s="112" t="s">
        <v>310</v>
      </c>
      <c r="M8" s="112" t="s">
        <v>320</v>
      </c>
      <c r="N8" s="112" t="s">
        <v>321</v>
      </c>
      <c r="O8" s="104" t="s">
        <v>313</v>
      </c>
      <c r="P8" s="208" t="s">
        <v>313</v>
      </c>
      <c r="Q8" s="121" t="s">
        <v>167</v>
      </c>
      <c r="R8" s="233"/>
    </row>
    <row r="9" spans="2:19" ht="24" x14ac:dyDescent="0.2">
      <c r="C9" s="131"/>
      <c r="D9" s="129"/>
      <c r="E9" s="129" t="s">
        <v>9</v>
      </c>
      <c r="F9" s="144" t="s">
        <v>258</v>
      </c>
      <c r="G9" s="128" t="s">
        <v>166</v>
      </c>
      <c r="H9" s="116" t="s">
        <v>315</v>
      </c>
      <c r="I9" s="116" t="s">
        <v>158</v>
      </c>
      <c r="J9" s="116" t="s">
        <v>158</v>
      </c>
      <c r="K9" s="113" t="s">
        <v>307</v>
      </c>
      <c r="L9" s="113" t="s">
        <v>306</v>
      </c>
      <c r="M9" s="113" t="s">
        <v>312</v>
      </c>
      <c r="N9" s="113" t="s">
        <v>164</v>
      </c>
      <c r="O9" s="103" t="s">
        <v>314</v>
      </c>
      <c r="P9" s="243" t="s">
        <v>306</v>
      </c>
      <c r="Q9" s="121" t="s">
        <v>170</v>
      </c>
      <c r="R9" s="244" t="s">
        <v>173</v>
      </c>
    </row>
    <row r="10" spans="2:19" x14ac:dyDescent="0.2">
      <c r="C10" s="128"/>
      <c r="D10" s="130" t="s">
        <v>62</v>
      </c>
      <c r="E10" s="130" t="s">
        <v>8</v>
      </c>
      <c r="F10" s="130"/>
      <c r="G10" s="130"/>
      <c r="H10" s="121"/>
      <c r="I10" s="121"/>
      <c r="J10" s="121"/>
      <c r="K10" s="104" t="s">
        <v>319</v>
      </c>
      <c r="L10" s="104" t="s">
        <v>309</v>
      </c>
      <c r="M10" s="104"/>
      <c r="N10" s="209"/>
      <c r="O10" s="221"/>
      <c r="P10" s="221"/>
      <c r="Q10" s="121"/>
      <c r="R10" s="121"/>
    </row>
    <row r="11" spans="2:19" ht="30" customHeight="1" x14ac:dyDescent="0.25">
      <c r="C11" s="180">
        <v>1</v>
      </c>
      <c r="D11" s="213" t="s">
        <v>62</v>
      </c>
      <c r="E11" s="43" t="s">
        <v>63</v>
      </c>
      <c r="F11" s="43">
        <v>15</v>
      </c>
      <c r="G11" s="214">
        <v>6800</v>
      </c>
      <c r="H11" s="23">
        <f t="shared" ref="H11:H21" si="0">G11/15</f>
        <v>453.33333333333331</v>
      </c>
      <c r="I11" s="220">
        <v>12.6</v>
      </c>
      <c r="J11" s="23">
        <f t="shared" ref="J11:J21" si="1">I11*H11</f>
        <v>5712</v>
      </c>
      <c r="K11" s="23">
        <f t="shared" ref="K11:K21" si="2">G11*2+J11</f>
        <v>19312</v>
      </c>
      <c r="L11" s="181"/>
      <c r="M11" s="23">
        <f t="shared" ref="M11:M21" si="3">K11-L11</f>
        <v>19312</v>
      </c>
      <c r="N11" s="16">
        <v>2831.59</v>
      </c>
      <c r="O11" s="23">
        <v>814.26</v>
      </c>
      <c r="P11" s="23">
        <f t="shared" ref="P11:P21" si="4">N11-O11</f>
        <v>2017.3300000000002</v>
      </c>
      <c r="Q11" s="23">
        <f t="shared" ref="Q11:Q21" si="5">J11-P11</f>
        <v>3694.67</v>
      </c>
      <c r="R11" s="234"/>
    </row>
    <row r="12" spans="2:19" ht="30" customHeight="1" x14ac:dyDescent="0.25">
      <c r="C12" s="182">
        <v>2</v>
      </c>
      <c r="D12" s="213" t="s">
        <v>62</v>
      </c>
      <c r="E12" s="216" t="s">
        <v>204</v>
      </c>
      <c r="F12" s="43">
        <v>15</v>
      </c>
      <c r="G12" s="214">
        <v>4326</v>
      </c>
      <c r="H12" s="23">
        <f t="shared" si="0"/>
        <v>288.39999999999998</v>
      </c>
      <c r="I12" s="220">
        <v>12.6</v>
      </c>
      <c r="J12" s="23">
        <f t="shared" si="1"/>
        <v>3633.8399999999997</v>
      </c>
      <c r="K12" s="23">
        <f t="shared" si="2"/>
        <v>12285.84</v>
      </c>
      <c r="L12" s="181"/>
      <c r="M12" s="23">
        <f t="shared" si="3"/>
        <v>12285.84</v>
      </c>
      <c r="N12" s="229">
        <v>1330.8</v>
      </c>
      <c r="O12" s="23">
        <v>352.83</v>
      </c>
      <c r="P12" s="23">
        <f t="shared" si="4"/>
        <v>977.97</v>
      </c>
      <c r="Q12" s="23">
        <f t="shared" si="5"/>
        <v>2655.87</v>
      </c>
      <c r="R12" s="229"/>
    </row>
    <row r="13" spans="2:19" ht="30" customHeight="1" x14ac:dyDescent="0.25">
      <c r="C13" s="182">
        <v>3</v>
      </c>
      <c r="D13" s="213" t="s">
        <v>62</v>
      </c>
      <c r="E13" s="217" t="s">
        <v>204</v>
      </c>
      <c r="F13" s="215">
        <v>15</v>
      </c>
      <c r="G13" s="214">
        <v>4326</v>
      </c>
      <c r="H13" s="23">
        <f t="shared" si="0"/>
        <v>288.39999999999998</v>
      </c>
      <c r="I13" s="220">
        <v>12.6</v>
      </c>
      <c r="J13" s="23">
        <f t="shared" si="1"/>
        <v>3633.8399999999997</v>
      </c>
      <c r="K13" s="23">
        <f t="shared" si="2"/>
        <v>12285.84</v>
      </c>
      <c r="L13" s="181"/>
      <c r="M13" s="23">
        <f t="shared" si="3"/>
        <v>12285.84</v>
      </c>
      <c r="N13" s="229">
        <v>1330.8</v>
      </c>
      <c r="O13" s="23">
        <v>352.83</v>
      </c>
      <c r="P13" s="23">
        <f t="shared" si="4"/>
        <v>977.97</v>
      </c>
      <c r="Q13" s="23">
        <f t="shared" si="5"/>
        <v>2655.87</v>
      </c>
      <c r="R13" s="230"/>
      <c r="S13" s="235"/>
    </row>
    <row r="14" spans="2:19" ht="30" customHeight="1" x14ac:dyDescent="0.25">
      <c r="C14" s="182">
        <v>4</v>
      </c>
      <c r="D14" s="213" t="s">
        <v>62</v>
      </c>
      <c r="E14" s="216" t="s">
        <v>157</v>
      </c>
      <c r="F14" s="43">
        <v>15</v>
      </c>
      <c r="G14" s="214">
        <v>3754</v>
      </c>
      <c r="H14" s="23">
        <f t="shared" si="0"/>
        <v>250.26666666666668</v>
      </c>
      <c r="I14" s="220">
        <v>12.6</v>
      </c>
      <c r="J14" s="23">
        <f t="shared" si="1"/>
        <v>3153.36</v>
      </c>
      <c r="K14" s="23">
        <f t="shared" si="2"/>
        <v>10661.36</v>
      </c>
      <c r="L14" s="181"/>
      <c r="M14" s="23">
        <f t="shared" si="3"/>
        <v>10661.36</v>
      </c>
      <c r="N14" s="16">
        <v>1030.21</v>
      </c>
      <c r="O14" s="23">
        <v>287.10000000000002</v>
      </c>
      <c r="P14" s="23">
        <f t="shared" si="4"/>
        <v>743.11</v>
      </c>
      <c r="Q14" s="23">
        <f t="shared" si="5"/>
        <v>2410.25</v>
      </c>
      <c r="R14" s="231"/>
      <c r="S14" s="235"/>
    </row>
    <row r="15" spans="2:19" ht="30" customHeight="1" x14ac:dyDescent="0.25">
      <c r="C15" s="182">
        <v>5</v>
      </c>
      <c r="D15" s="213" t="s">
        <v>62</v>
      </c>
      <c r="E15" s="218" t="s">
        <v>64</v>
      </c>
      <c r="F15" s="43">
        <v>15</v>
      </c>
      <c r="G15" s="214">
        <v>4017</v>
      </c>
      <c r="H15" s="23">
        <f t="shared" si="0"/>
        <v>267.8</v>
      </c>
      <c r="I15" s="220">
        <v>12.6</v>
      </c>
      <c r="J15" s="23">
        <f t="shared" si="1"/>
        <v>3374.28</v>
      </c>
      <c r="K15" s="23">
        <f t="shared" si="2"/>
        <v>11408.28</v>
      </c>
      <c r="L15" s="181"/>
      <c r="M15" s="23">
        <f t="shared" si="3"/>
        <v>11408.28</v>
      </c>
      <c r="N15" s="229">
        <v>1164.05</v>
      </c>
      <c r="O15" s="23">
        <v>315.72000000000003</v>
      </c>
      <c r="P15" s="223">
        <f t="shared" si="4"/>
        <v>848.32999999999993</v>
      </c>
      <c r="Q15" s="224">
        <f t="shared" si="5"/>
        <v>2525.9500000000003</v>
      </c>
      <c r="R15" s="231"/>
      <c r="S15" s="235"/>
    </row>
    <row r="16" spans="2:19" ht="30" customHeight="1" x14ac:dyDescent="0.25">
      <c r="C16" s="182">
        <v>6</v>
      </c>
      <c r="D16" s="213" t="s">
        <v>62</v>
      </c>
      <c r="E16" s="43" t="s">
        <v>64</v>
      </c>
      <c r="F16" s="215">
        <v>15</v>
      </c>
      <c r="G16" s="214">
        <v>4017</v>
      </c>
      <c r="H16" s="23">
        <f t="shared" si="0"/>
        <v>267.8</v>
      </c>
      <c r="I16" s="220">
        <v>12.6</v>
      </c>
      <c r="J16" s="23">
        <f t="shared" si="1"/>
        <v>3374.28</v>
      </c>
      <c r="K16" s="23">
        <f t="shared" si="2"/>
        <v>11408.28</v>
      </c>
      <c r="L16" s="181"/>
      <c r="M16" s="23">
        <f t="shared" si="3"/>
        <v>11408.28</v>
      </c>
      <c r="N16" s="229">
        <v>1164.05</v>
      </c>
      <c r="O16" s="281">
        <v>315.72000000000003</v>
      </c>
      <c r="P16" s="225">
        <f t="shared" si="4"/>
        <v>848.32999999999993</v>
      </c>
      <c r="Q16" s="224">
        <f t="shared" si="5"/>
        <v>2525.9500000000003</v>
      </c>
      <c r="R16" s="41"/>
      <c r="S16" s="235"/>
    </row>
    <row r="17" spans="3:19" ht="30" customHeight="1" x14ac:dyDescent="0.25">
      <c r="C17" s="182">
        <v>7</v>
      </c>
      <c r="D17" s="213" t="s">
        <v>62</v>
      </c>
      <c r="E17" s="43" t="s">
        <v>64</v>
      </c>
      <c r="F17" s="43">
        <v>15</v>
      </c>
      <c r="G17" s="214">
        <v>4017</v>
      </c>
      <c r="H17" s="23">
        <f t="shared" si="0"/>
        <v>267.8</v>
      </c>
      <c r="I17" s="220">
        <v>12.6</v>
      </c>
      <c r="J17" s="23">
        <f t="shared" si="1"/>
        <v>3374.28</v>
      </c>
      <c r="K17" s="23">
        <f t="shared" si="2"/>
        <v>11408.28</v>
      </c>
      <c r="L17" s="181"/>
      <c r="M17" s="23">
        <f t="shared" si="3"/>
        <v>11408.28</v>
      </c>
      <c r="N17" s="229">
        <v>1164.05</v>
      </c>
      <c r="O17" s="23">
        <v>315.72000000000003</v>
      </c>
      <c r="P17" s="223">
        <f t="shared" si="4"/>
        <v>848.32999999999993</v>
      </c>
      <c r="Q17" s="226">
        <f t="shared" si="5"/>
        <v>2525.9500000000003</v>
      </c>
      <c r="R17" s="232"/>
      <c r="S17" s="235"/>
    </row>
    <row r="18" spans="3:19" ht="30" customHeight="1" x14ac:dyDescent="0.25">
      <c r="C18" s="182">
        <v>8</v>
      </c>
      <c r="D18" s="213" t="s">
        <v>62</v>
      </c>
      <c r="E18" s="218" t="s">
        <v>64</v>
      </c>
      <c r="F18" s="43">
        <v>15</v>
      </c>
      <c r="G18" s="214">
        <v>4017</v>
      </c>
      <c r="H18" s="23">
        <f t="shared" si="0"/>
        <v>267.8</v>
      </c>
      <c r="I18" s="220">
        <v>12.6</v>
      </c>
      <c r="J18" s="23">
        <f t="shared" si="1"/>
        <v>3374.28</v>
      </c>
      <c r="K18" s="23">
        <f t="shared" si="2"/>
        <v>11408.28</v>
      </c>
      <c r="L18" s="181"/>
      <c r="M18" s="23">
        <f t="shared" si="3"/>
        <v>11408.28</v>
      </c>
      <c r="N18" s="229">
        <v>1164.05</v>
      </c>
      <c r="O18" s="23">
        <v>315.72000000000003</v>
      </c>
      <c r="P18" s="222">
        <f t="shared" si="4"/>
        <v>848.32999999999993</v>
      </c>
      <c r="Q18" s="227">
        <f t="shared" si="5"/>
        <v>2525.9500000000003</v>
      </c>
      <c r="R18" s="41"/>
      <c r="S18" s="235"/>
    </row>
    <row r="19" spans="3:19" ht="30" customHeight="1" x14ac:dyDescent="0.25">
      <c r="C19" s="182">
        <v>9</v>
      </c>
      <c r="D19" s="213" t="s">
        <v>62</v>
      </c>
      <c r="E19" s="218" t="s">
        <v>64</v>
      </c>
      <c r="F19" s="215">
        <v>15</v>
      </c>
      <c r="G19" s="214">
        <v>4017</v>
      </c>
      <c r="H19" s="23">
        <f t="shared" si="0"/>
        <v>267.8</v>
      </c>
      <c r="I19" s="220">
        <v>12.6</v>
      </c>
      <c r="J19" s="23">
        <f t="shared" si="1"/>
        <v>3374.28</v>
      </c>
      <c r="K19" s="23">
        <f t="shared" si="2"/>
        <v>11408.28</v>
      </c>
      <c r="L19" s="181"/>
      <c r="M19" s="23">
        <f t="shared" si="3"/>
        <v>11408.28</v>
      </c>
      <c r="N19" s="229">
        <v>1164.05</v>
      </c>
      <c r="O19" s="23">
        <v>315.72000000000003</v>
      </c>
      <c r="P19" s="222">
        <f t="shared" si="4"/>
        <v>848.32999999999993</v>
      </c>
      <c r="Q19" s="227">
        <f t="shared" si="5"/>
        <v>2525.9500000000003</v>
      </c>
      <c r="R19" s="230"/>
      <c r="S19" s="235"/>
    </row>
    <row r="20" spans="3:19" ht="30" customHeight="1" x14ac:dyDescent="0.25">
      <c r="C20" s="182">
        <v>10</v>
      </c>
      <c r="D20" s="213" t="s">
        <v>62</v>
      </c>
      <c r="E20" s="218" t="s">
        <v>64</v>
      </c>
      <c r="F20" s="43">
        <v>15</v>
      </c>
      <c r="G20" s="214">
        <v>3475.22</v>
      </c>
      <c r="H20" s="23">
        <f t="shared" si="0"/>
        <v>231.68133333333333</v>
      </c>
      <c r="I20" s="220">
        <v>12.6</v>
      </c>
      <c r="J20" s="23">
        <f t="shared" si="1"/>
        <v>2919.1848</v>
      </c>
      <c r="K20" s="23">
        <f t="shared" si="2"/>
        <v>9869.6247999999996</v>
      </c>
      <c r="L20" s="181"/>
      <c r="M20" s="23">
        <f t="shared" si="3"/>
        <v>9869.6247999999996</v>
      </c>
      <c r="N20" s="16">
        <v>891.33</v>
      </c>
      <c r="O20" s="23">
        <v>131.6</v>
      </c>
      <c r="P20" s="222">
        <f t="shared" si="4"/>
        <v>759.73</v>
      </c>
      <c r="Q20" s="227">
        <f t="shared" si="5"/>
        <v>2159.4548</v>
      </c>
      <c r="R20" s="230"/>
      <c r="S20" s="235"/>
    </row>
    <row r="21" spans="3:19" ht="30" customHeight="1" x14ac:dyDescent="0.25">
      <c r="C21" s="182">
        <v>11</v>
      </c>
      <c r="D21" s="213" t="s">
        <v>62</v>
      </c>
      <c r="E21" s="218" t="s">
        <v>64</v>
      </c>
      <c r="F21" s="43">
        <v>15</v>
      </c>
      <c r="G21" s="214">
        <v>3475.22</v>
      </c>
      <c r="H21" s="23">
        <f t="shared" si="0"/>
        <v>231.68133333333333</v>
      </c>
      <c r="I21" s="220">
        <v>12.6</v>
      </c>
      <c r="J21" s="23">
        <f t="shared" si="1"/>
        <v>2919.1848</v>
      </c>
      <c r="K21" s="23">
        <f t="shared" si="2"/>
        <v>9869.6247999999996</v>
      </c>
      <c r="L21" s="181"/>
      <c r="M21" s="23">
        <f t="shared" si="3"/>
        <v>9869.6247999999996</v>
      </c>
      <c r="N21" s="229">
        <v>891.33</v>
      </c>
      <c r="O21" s="23">
        <v>131.6</v>
      </c>
      <c r="P21" s="222">
        <f t="shared" si="4"/>
        <v>759.73</v>
      </c>
      <c r="Q21" s="227">
        <f t="shared" si="5"/>
        <v>2159.4548</v>
      </c>
      <c r="R21" s="230"/>
      <c r="S21" s="235"/>
    </row>
    <row r="22" spans="3:19" ht="30" customHeight="1" x14ac:dyDescent="0.25">
      <c r="C22" s="182">
        <v>12</v>
      </c>
      <c r="D22" s="213" t="s">
        <v>62</v>
      </c>
      <c r="E22" s="218" t="s">
        <v>64</v>
      </c>
      <c r="F22" s="43">
        <v>15</v>
      </c>
      <c r="G22" s="214">
        <v>4017</v>
      </c>
      <c r="H22" s="23">
        <f t="shared" ref="H22:H31" si="6">G22/15</f>
        <v>267.8</v>
      </c>
      <c r="I22" s="220">
        <v>12.6</v>
      </c>
      <c r="J22" s="23">
        <f t="shared" ref="J22:J27" si="7">I22*H22</f>
        <v>3374.28</v>
      </c>
      <c r="K22" s="23">
        <f t="shared" ref="K22:K27" si="8">G22*2+J22</f>
        <v>11408.28</v>
      </c>
      <c r="L22" s="181"/>
      <c r="M22" s="23">
        <f t="shared" ref="M22:M27" si="9">K22-L22</f>
        <v>11408.28</v>
      </c>
      <c r="N22" s="229">
        <v>1164.05</v>
      </c>
      <c r="O22" s="23">
        <v>315.72000000000003</v>
      </c>
      <c r="P22" s="222">
        <f t="shared" ref="P22:P27" si="10">N22-O22</f>
        <v>848.32999999999993</v>
      </c>
      <c r="Q22" s="227">
        <f t="shared" ref="Q22:Q27" si="11">J22-P22</f>
        <v>2525.9500000000003</v>
      </c>
      <c r="R22" s="231"/>
      <c r="S22" s="235"/>
    </row>
    <row r="23" spans="3:19" ht="30" customHeight="1" x14ac:dyDescent="0.25">
      <c r="C23" s="182">
        <v>13</v>
      </c>
      <c r="D23" s="213" t="s">
        <v>62</v>
      </c>
      <c r="E23" s="219" t="s">
        <v>64</v>
      </c>
      <c r="F23" s="43">
        <v>15</v>
      </c>
      <c r="G23" s="220">
        <v>4017</v>
      </c>
      <c r="H23" s="23">
        <f t="shared" si="6"/>
        <v>267.8</v>
      </c>
      <c r="I23" s="220">
        <v>12.6</v>
      </c>
      <c r="J23" s="23">
        <f t="shared" si="7"/>
        <v>3374.28</v>
      </c>
      <c r="K23" s="23">
        <f t="shared" si="8"/>
        <v>11408.28</v>
      </c>
      <c r="L23" s="181"/>
      <c r="M23" s="23">
        <f t="shared" si="9"/>
        <v>11408.28</v>
      </c>
      <c r="N23" s="229">
        <v>1164.05</v>
      </c>
      <c r="O23" s="23">
        <v>315.72000000000003</v>
      </c>
      <c r="P23" s="222">
        <f t="shared" si="10"/>
        <v>848.32999999999993</v>
      </c>
      <c r="Q23" s="227">
        <f t="shared" si="11"/>
        <v>2525.9500000000003</v>
      </c>
      <c r="R23" s="231"/>
      <c r="S23" s="235"/>
    </row>
    <row r="24" spans="3:19" ht="30" customHeight="1" x14ac:dyDescent="0.25">
      <c r="C24" s="182">
        <v>14</v>
      </c>
      <c r="D24" s="213" t="s">
        <v>62</v>
      </c>
      <c r="E24" s="215" t="s">
        <v>64</v>
      </c>
      <c r="F24" s="215">
        <v>15</v>
      </c>
      <c r="G24" s="220">
        <v>4017</v>
      </c>
      <c r="H24" s="23">
        <f t="shared" si="6"/>
        <v>267.8</v>
      </c>
      <c r="I24" s="220">
        <v>12.6</v>
      </c>
      <c r="J24" s="23">
        <f t="shared" si="7"/>
        <v>3374.28</v>
      </c>
      <c r="K24" s="23">
        <f t="shared" si="8"/>
        <v>11408.28</v>
      </c>
      <c r="L24" s="181"/>
      <c r="M24" s="23">
        <f t="shared" si="9"/>
        <v>11408.28</v>
      </c>
      <c r="N24" s="229">
        <v>1164.05</v>
      </c>
      <c r="O24" s="23">
        <v>315.72000000000003</v>
      </c>
      <c r="P24" s="222">
        <f t="shared" si="10"/>
        <v>848.32999999999993</v>
      </c>
      <c r="Q24" s="227">
        <f t="shared" si="11"/>
        <v>2525.9500000000003</v>
      </c>
      <c r="R24" s="231"/>
      <c r="S24" s="235"/>
    </row>
    <row r="25" spans="3:19" ht="30" customHeight="1" x14ac:dyDescent="0.25">
      <c r="C25" s="182">
        <v>15</v>
      </c>
      <c r="D25" s="213" t="s">
        <v>62</v>
      </c>
      <c r="E25" s="215" t="s">
        <v>64</v>
      </c>
      <c r="F25" s="215">
        <v>15</v>
      </c>
      <c r="G25" s="220">
        <v>4017</v>
      </c>
      <c r="H25" s="23">
        <f t="shared" si="6"/>
        <v>267.8</v>
      </c>
      <c r="I25" s="220">
        <v>10.4</v>
      </c>
      <c r="J25" s="23">
        <f t="shared" si="7"/>
        <v>2785.1200000000003</v>
      </c>
      <c r="K25" s="23">
        <f t="shared" si="8"/>
        <v>10819.12</v>
      </c>
      <c r="L25" s="181"/>
      <c r="M25" s="23">
        <f t="shared" si="9"/>
        <v>10819.12</v>
      </c>
      <c r="N25" s="229">
        <v>1164.05</v>
      </c>
      <c r="O25" s="23">
        <v>315.72000000000003</v>
      </c>
      <c r="P25" s="222">
        <f t="shared" si="10"/>
        <v>848.32999999999993</v>
      </c>
      <c r="Q25" s="227">
        <f t="shared" si="11"/>
        <v>1936.7900000000004</v>
      </c>
      <c r="R25" s="41"/>
      <c r="S25" s="235"/>
    </row>
    <row r="26" spans="3:19" ht="30" customHeight="1" x14ac:dyDescent="0.25">
      <c r="C26" s="182">
        <v>16</v>
      </c>
      <c r="D26" s="213" t="s">
        <v>62</v>
      </c>
      <c r="E26" s="215" t="s">
        <v>64</v>
      </c>
      <c r="F26" s="43">
        <v>15</v>
      </c>
      <c r="G26" s="220">
        <v>4017</v>
      </c>
      <c r="H26" s="23">
        <f t="shared" si="6"/>
        <v>267.8</v>
      </c>
      <c r="I26" s="220">
        <v>12.6</v>
      </c>
      <c r="J26" s="23">
        <f t="shared" si="7"/>
        <v>3374.28</v>
      </c>
      <c r="K26" s="23">
        <f t="shared" si="8"/>
        <v>11408.28</v>
      </c>
      <c r="L26" s="181"/>
      <c r="M26" s="23">
        <f t="shared" si="9"/>
        <v>11408.28</v>
      </c>
      <c r="N26" s="229">
        <v>1164.05</v>
      </c>
      <c r="O26" s="281">
        <v>315.72000000000003</v>
      </c>
      <c r="P26" s="225">
        <f t="shared" si="10"/>
        <v>848.32999999999993</v>
      </c>
      <c r="Q26" s="224">
        <f t="shared" si="11"/>
        <v>2525.9500000000003</v>
      </c>
      <c r="R26" s="231"/>
      <c r="S26" s="235"/>
    </row>
    <row r="27" spans="3:19" ht="30" customHeight="1" x14ac:dyDescent="0.25">
      <c r="C27" s="182">
        <v>17</v>
      </c>
      <c r="D27" s="213" t="s">
        <v>62</v>
      </c>
      <c r="E27" s="215" t="s">
        <v>64</v>
      </c>
      <c r="F27" s="43">
        <v>15</v>
      </c>
      <c r="G27" s="220">
        <v>4017</v>
      </c>
      <c r="H27" s="23">
        <f t="shared" si="6"/>
        <v>267.8</v>
      </c>
      <c r="I27" s="220">
        <v>10.4</v>
      </c>
      <c r="J27" s="23">
        <f t="shared" si="7"/>
        <v>2785.1200000000003</v>
      </c>
      <c r="K27" s="23">
        <f t="shared" si="8"/>
        <v>10819.12</v>
      </c>
      <c r="L27" s="181"/>
      <c r="M27" s="23">
        <f t="shared" si="9"/>
        <v>10819.12</v>
      </c>
      <c r="N27" s="228">
        <v>1164.05</v>
      </c>
      <c r="O27" s="23">
        <v>315.72000000000003</v>
      </c>
      <c r="P27" s="222">
        <f t="shared" si="10"/>
        <v>848.32999999999993</v>
      </c>
      <c r="Q27" s="227">
        <f t="shared" si="11"/>
        <v>1936.7900000000004</v>
      </c>
      <c r="R27" s="229"/>
    </row>
    <row r="28" spans="3:19" ht="30" customHeight="1" x14ac:dyDescent="0.25">
      <c r="C28" s="182">
        <v>18</v>
      </c>
      <c r="D28" s="213" t="s">
        <v>62</v>
      </c>
      <c r="E28" s="215" t="s">
        <v>64</v>
      </c>
      <c r="F28" s="215">
        <v>15</v>
      </c>
      <c r="G28" s="220">
        <v>4017</v>
      </c>
      <c r="H28" s="23">
        <f t="shared" si="6"/>
        <v>267.8</v>
      </c>
      <c r="I28" s="220">
        <v>10.4</v>
      </c>
      <c r="J28" s="23">
        <f t="shared" ref="J28:J31" si="12">I28*H28</f>
        <v>2785.1200000000003</v>
      </c>
      <c r="K28" s="23">
        <f t="shared" ref="K28:K31" si="13">G28*2+J28</f>
        <v>10819.12</v>
      </c>
      <c r="L28" s="181"/>
      <c r="M28" s="23">
        <f t="shared" ref="M28:M31" si="14">K28-L28</f>
        <v>10819.12</v>
      </c>
      <c r="N28" s="16">
        <v>1164.05</v>
      </c>
      <c r="O28" s="23">
        <v>315.72000000000003</v>
      </c>
      <c r="P28" s="222">
        <f t="shared" ref="P28:P31" si="15">N28-O28</f>
        <v>848.32999999999993</v>
      </c>
      <c r="Q28" s="227">
        <f t="shared" ref="Q28:Q31" si="16">J28-P28</f>
        <v>1936.7900000000004</v>
      </c>
      <c r="R28" s="41"/>
      <c r="S28" s="235"/>
    </row>
    <row r="29" spans="3:19" ht="30" customHeight="1" x14ac:dyDescent="0.25">
      <c r="C29" s="182">
        <v>19</v>
      </c>
      <c r="D29" s="213" t="s">
        <v>62</v>
      </c>
      <c r="E29" s="215" t="s">
        <v>64</v>
      </c>
      <c r="F29" s="43">
        <v>15</v>
      </c>
      <c r="G29" s="220">
        <v>4017</v>
      </c>
      <c r="H29" s="23">
        <f t="shared" si="6"/>
        <v>267.8</v>
      </c>
      <c r="I29" s="220">
        <v>8.3000000000000007</v>
      </c>
      <c r="J29" s="23">
        <f t="shared" si="12"/>
        <v>2222.7400000000002</v>
      </c>
      <c r="K29" s="23">
        <f t="shared" si="13"/>
        <v>10256.74</v>
      </c>
      <c r="L29" s="181"/>
      <c r="M29" s="23">
        <f t="shared" si="14"/>
        <v>10256.74</v>
      </c>
      <c r="N29" s="229">
        <v>1164.05</v>
      </c>
      <c r="O29" s="23">
        <v>315.72000000000003</v>
      </c>
      <c r="P29" s="222">
        <f t="shared" si="15"/>
        <v>848.32999999999993</v>
      </c>
      <c r="Q29" s="227">
        <f t="shared" si="16"/>
        <v>1374.4100000000003</v>
      </c>
      <c r="R29" s="231"/>
      <c r="S29" s="235"/>
    </row>
    <row r="30" spans="3:19" ht="30" customHeight="1" x14ac:dyDescent="0.25">
      <c r="C30" s="182">
        <v>20</v>
      </c>
      <c r="D30" s="213" t="s">
        <v>62</v>
      </c>
      <c r="E30" s="215" t="s">
        <v>64</v>
      </c>
      <c r="F30" s="43">
        <v>15</v>
      </c>
      <c r="G30" s="220">
        <v>4017</v>
      </c>
      <c r="H30" s="23">
        <f t="shared" si="6"/>
        <v>267.8</v>
      </c>
      <c r="I30" s="220">
        <v>8.3000000000000007</v>
      </c>
      <c r="J30" s="23">
        <f t="shared" si="12"/>
        <v>2222.7400000000002</v>
      </c>
      <c r="K30" s="23">
        <f t="shared" si="13"/>
        <v>10256.74</v>
      </c>
      <c r="L30" s="181"/>
      <c r="M30" s="23">
        <f t="shared" si="14"/>
        <v>10256.74</v>
      </c>
      <c r="N30" s="229">
        <v>1164.05</v>
      </c>
      <c r="O30" s="23">
        <v>315.72000000000003</v>
      </c>
      <c r="P30" s="222">
        <f t="shared" si="15"/>
        <v>848.32999999999993</v>
      </c>
      <c r="Q30" s="227">
        <f t="shared" si="16"/>
        <v>1374.4100000000003</v>
      </c>
      <c r="R30" s="231"/>
      <c r="S30" s="235"/>
    </row>
    <row r="31" spans="3:19" ht="30" customHeight="1" x14ac:dyDescent="0.25">
      <c r="C31" s="242">
        <v>21</v>
      </c>
      <c r="D31" s="213" t="s">
        <v>62</v>
      </c>
      <c r="E31" s="241" t="s">
        <v>64</v>
      </c>
      <c r="F31" s="245">
        <v>15</v>
      </c>
      <c r="G31" s="240">
        <v>4017</v>
      </c>
      <c r="H31" s="237">
        <f t="shared" si="6"/>
        <v>267.8</v>
      </c>
      <c r="I31" s="240">
        <v>8.3000000000000007</v>
      </c>
      <c r="J31" s="237">
        <f t="shared" si="12"/>
        <v>2222.7400000000002</v>
      </c>
      <c r="K31" s="237">
        <f t="shared" si="13"/>
        <v>10256.74</v>
      </c>
      <c r="L31" s="238"/>
      <c r="M31" s="237">
        <f t="shared" si="14"/>
        <v>10256.74</v>
      </c>
      <c r="N31" s="236">
        <v>1164.05</v>
      </c>
      <c r="O31" s="237">
        <v>315.72000000000003</v>
      </c>
      <c r="P31" s="246">
        <f t="shared" si="15"/>
        <v>848.32999999999993</v>
      </c>
      <c r="Q31" s="247">
        <f t="shared" si="16"/>
        <v>1374.4100000000003</v>
      </c>
      <c r="R31" s="236"/>
      <c r="S31" s="235"/>
    </row>
    <row r="32" spans="3:19" ht="30" customHeight="1" x14ac:dyDescent="0.25">
      <c r="C32" s="242">
        <v>21</v>
      </c>
      <c r="D32" s="213" t="s">
        <v>62</v>
      </c>
      <c r="E32" s="241" t="s">
        <v>64</v>
      </c>
      <c r="F32" s="245">
        <v>15</v>
      </c>
      <c r="G32" s="240">
        <v>4017</v>
      </c>
      <c r="H32" s="237">
        <f t="shared" ref="H32:H33" si="17">G32/15</f>
        <v>267.8</v>
      </c>
      <c r="I32" s="240">
        <v>4</v>
      </c>
      <c r="J32" s="237">
        <f t="shared" ref="J32:J33" si="18">I32*H32</f>
        <v>1071.2</v>
      </c>
      <c r="K32" s="237">
        <f t="shared" ref="K32:K33" si="19">G32*2+J32</f>
        <v>9105.2000000000007</v>
      </c>
      <c r="L32" s="238"/>
      <c r="M32" s="237">
        <f t="shared" ref="M32:M33" si="20">K32-L32</f>
        <v>9105.2000000000007</v>
      </c>
      <c r="N32" s="236">
        <v>1164.05</v>
      </c>
      <c r="O32" s="237">
        <v>315.72000000000003</v>
      </c>
      <c r="P32" s="246">
        <f t="shared" ref="P32:P33" si="21">N32-O32</f>
        <v>848.32999999999993</v>
      </c>
      <c r="Q32" s="247">
        <f t="shared" ref="Q32:Q33" si="22">J32-P32</f>
        <v>222.87000000000012</v>
      </c>
      <c r="R32" s="236"/>
      <c r="S32" s="235"/>
    </row>
    <row r="33" spans="3:19" ht="30" customHeight="1" x14ac:dyDescent="0.25">
      <c r="C33" s="242">
        <v>21</v>
      </c>
      <c r="D33" s="213" t="s">
        <v>62</v>
      </c>
      <c r="E33" s="241" t="s">
        <v>64</v>
      </c>
      <c r="F33" s="245">
        <v>15</v>
      </c>
      <c r="G33" s="240">
        <v>4017</v>
      </c>
      <c r="H33" s="237">
        <f t="shared" si="17"/>
        <v>267.8</v>
      </c>
      <c r="I33" s="240">
        <v>4</v>
      </c>
      <c r="J33" s="237">
        <f t="shared" si="18"/>
        <v>1071.2</v>
      </c>
      <c r="K33" s="237">
        <f t="shared" si="19"/>
        <v>9105.2000000000007</v>
      </c>
      <c r="L33" s="238"/>
      <c r="M33" s="237">
        <f t="shared" si="20"/>
        <v>9105.2000000000007</v>
      </c>
      <c r="N33" s="236">
        <v>1164.05</v>
      </c>
      <c r="O33" s="237">
        <v>315.72000000000003</v>
      </c>
      <c r="P33" s="246">
        <f t="shared" si="21"/>
        <v>848.32999999999993</v>
      </c>
      <c r="Q33" s="247">
        <f t="shared" si="22"/>
        <v>222.87000000000012</v>
      </c>
      <c r="R33" s="236"/>
      <c r="S33" s="235"/>
    </row>
    <row r="34" spans="3:19" ht="26.1" customHeight="1" x14ac:dyDescent="0.2">
      <c r="C34" s="39"/>
      <c r="D34" s="24"/>
      <c r="E34" s="24"/>
      <c r="F34" s="24"/>
      <c r="G34" s="27"/>
      <c r="H34" s="210"/>
      <c r="I34" s="29"/>
      <c r="J34" s="29"/>
      <c r="K34" s="29"/>
      <c r="L34" s="29"/>
      <c r="M34" s="29"/>
    </row>
    <row r="35" spans="3:19" ht="26.1" customHeight="1" thickBot="1" x14ac:dyDescent="0.3">
      <c r="C35" s="410" t="s">
        <v>70</v>
      </c>
      <c r="D35" s="411"/>
      <c r="E35" s="411"/>
      <c r="F35" s="286"/>
      <c r="G35" s="183">
        <f>SUM(G11:G34)</f>
        <v>94445.440000000002</v>
      </c>
      <c r="H35" s="183">
        <f>SUM(H11:H31)</f>
        <v>5760.7626666666683</v>
      </c>
      <c r="I35" s="183"/>
      <c r="J35" s="183">
        <f>SUM(J11:J34)</f>
        <v>69505.909599999999</v>
      </c>
      <c r="K35" s="183">
        <f t="shared" ref="K35:O35" si="23">SUM(K11:K31)</f>
        <v>240186.38959999997</v>
      </c>
      <c r="L35" s="183">
        <f t="shared" si="23"/>
        <v>0</v>
      </c>
      <c r="M35" s="183">
        <f t="shared" si="23"/>
        <v>240186.38959999997</v>
      </c>
      <c r="N35" s="183">
        <f t="shared" si="23"/>
        <v>25766.80999999999</v>
      </c>
      <c r="O35" s="183">
        <f t="shared" si="23"/>
        <v>6806.0200000000032</v>
      </c>
      <c r="P35" s="183">
        <f>SUM(P11:P33)</f>
        <v>20657.450000000004</v>
      </c>
      <c r="Q35" s="183">
        <f>SUM(Q11:Q33)</f>
        <v>48848.459600000017</v>
      </c>
      <c r="R35" s="50"/>
    </row>
    <row r="36" spans="3:19" ht="13.5" thickTop="1" x14ac:dyDescent="0.2"/>
    <row r="37" spans="3:19" x14ac:dyDescent="0.2">
      <c r="D37" s="33" t="s">
        <v>129</v>
      </c>
      <c r="G37" s="33"/>
      <c r="H37" s="33"/>
      <c r="I37" s="33"/>
      <c r="J37" s="33"/>
      <c r="K37" s="33"/>
      <c r="L37" s="69"/>
      <c r="M37" s="69"/>
    </row>
    <row r="38" spans="3:19" x14ac:dyDescent="0.2">
      <c r="D38" s="32" t="s">
        <v>205</v>
      </c>
      <c r="J38" s="380" t="s">
        <v>326</v>
      </c>
      <c r="K38" s="68"/>
      <c r="L38" s="426" t="s">
        <v>201</v>
      </c>
      <c r="M38" s="426"/>
    </row>
    <row r="39" spans="3:19" ht="14.25" x14ac:dyDescent="0.2">
      <c r="D39" s="33" t="s">
        <v>10</v>
      </c>
      <c r="E39" s="33"/>
      <c r="F39" s="33"/>
      <c r="G39" s="33"/>
      <c r="H39" s="33"/>
      <c r="I39" s="33"/>
      <c r="J39" s="377" t="s">
        <v>201</v>
      </c>
      <c r="K39" s="377"/>
      <c r="L39" s="378" t="s">
        <v>172</v>
      </c>
      <c r="M39" s="378"/>
    </row>
    <row r="40" spans="3:19" ht="15" x14ac:dyDescent="0.25">
      <c r="J40" s="379" t="s">
        <v>174</v>
      </c>
      <c r="K40" s="379"/>
      <c r="M40" s="58"/>
    </row>
    <row r="41" spans="3:19" x14ac:dyDescent="0.2">
      <c r="M41" s="58"/>
    </row>
    <row r="42" spans="3:19" x14ac:dyDescent="0.2">
      <c r="M42" s="58"/>
    </row>
    <row r="43" spans="3:19" x14ac:dyDescent="0.2">
      <c r="M43" s="58"/>
    </row>
    <row r="44" spans="3:19" ht="18" x14ac:dyDescent="0.25">
      <c r="C44" s="456"/>
      <c r="D44" s="456"/>
      <c r="E44" s="456"/>
      <c r="F44" s="456"/>
      <c r="G44" s="456"/>
      <c r="H44" s="456"/>
      <c r="I44" s="456"/>
      <c r="J44" s="456"/>
      <c r="K44" s="456"/>
      <c r="L44" s="456"/>
      <c r="M44" s="456"/>
    </row>
    <row r="45" spans="3:19" ht="35.1" customHeight="1" x14ac:dyDescent="0.4">
      <c r="C45" s="460" t="s">
        <v>11</v>
      </c>
      <c r="D45" s="461"/>
      <c r="E45" s="461"/>
      <c r="F45" s="461"/>
      <c r="G45" s="461"/>
      <c r="H45" s="461"/>
      <c r="I45" s="461"/>
      <c r="J45" s="461"/>
      <c r="K45" s="461"/>
      <c r="L45" s="461"/>
      <c r="M45" s="462"/>
      <c r="N45" s="397"/>
      <c r="O45" s="397"/>
      <c r="P45" s="397"/>
      <c r="Q45" s="397"/>
      <c r="R45" s="398"/>
    </row>
    <row r="46" spans="3:19" ht="24.75" customHeight="1" x14ac:dyDescent="0.4">
      <c r="C46" s="420" t="str">
        <f>C5</f>
        <v>NOMINA AGUINALDO DE  2018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2"/>
      <c r="N46" s="399"/>
      <c r="O46" s="399"/>
      <c r="P46" s="399"/>
      <c r="Q46" s="399"/>
      <c r="R46" s="400"/>
    </row>
    <row r="47" spans="3:19" ht="28.5" customHeight="1" x14ac:dyDescent="0.4">
      <c r="C47" s="463" t="s">
        <v>328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5"/>
      <c r="N47" s="399"/>
      <c r="O47" s="399"/>
      <c r="P47" s="399"/>
      <c r="Q47" s="399"/>
      <c r="R47" s="400"/>
    </row>
    <row r="48" spans="3:19" x14ac:dyDescent="0.2">
      <c r="C48" s="382"/>
      <c r="D48" s="382"/>
      <c r="E48" s="382"/>
      <c r="F48" s="383"/>
      <c r="G48" s="384"/>
      <c r="H48" s="307"/>
      <c r="I48" s="457"/>
      <c r="J48" s="458"/>
      <c r="K48" s="458"/>
      <c r="L48" s="458"/>
      <c r="M48" s="459"/>
      <c r="N48" s="457"/>
      <c r="O48" s="458"/>
      <c r="P48" s="458"/>
      <c r="Q48" s="458"/>
      <c r="R48" s="459"/>
    </row>
    <row r="49" spans="3:18" ht="25.5" x14ac:dyDescent="0.2">
      <c r="C49" s="385" t="s">
        <v>2</v>
      </c>
      <c r="D49" s="386"/>
      <c r="E49" s="386"/>
      <c r="F49" s="386"/>
      <c r="G49" s="108" t="s">
        <v>1</v>
      </c>
      <c r="H49" s="306" t="s">
        <v>1</v>
      </c>
      <c r="I49" s="306" t="s">
        <v>316</v>
      </c>
      <c r="J49" s="306"/>
      <c r="K49" s="360" t="s">
        <v>318</v>
      </c>
      <c r="L49" s="360" t="s">
        <v>310</v>
      </c>
      <c r="M49" s="360" t="s">
        <v>320</v>
      </c>
      <c r="N49" s="360" t="s">
        <v>321</v>
      </c>
      <c r="O49" s="109" t="s">
        <v>313</v>
      </c>
      <c r="P49" s="109" t="s">
        <v>313</v>
      </c>
      <c r="Q49" s="359" t="s">
        <v>167</v>
      </c>
      <c r="R49" s="360"/>
    </row>
    <row r="50" spans="3:18" x14ac:dyDescent="0.2">
      <c r="C50" s="385"/>
      <c r="D50" s="108"/>
      <c r="E50" s="108" t="s">
        <v>9</v>
      </c>
      <c r="F50" s="386"/>
      <c r="G50" s="386" t="s">
        <v>166</v>
      </c>
      <c r="H50" s="359" t="s">
        <v>315</v>
      </c>
      <c r="I50" s="359" t="s">
        <v>158</v>
      </c>
      <c r="J50" s="359" t="s">
        <v>158</v>
      </c>
      <c r="K50" s="361" t="s">
        <v>307</v>
      </c>
      <c r="L50" s="361" t="s">
        <v>306</v>
      </c>
      <c r="M50" s="361" t="s">
        <v>312</v>
      </c>
      <c r="N50" s="361" t="s">
        <v>164</v>
      </c>
      <c r="O50" s="108" t="s">
        <v>314</v>
      </c>
      <c r="P50" s="108" t="s">
        <v>306</v>
      </c>
      <c r="Q50" s="359" t="s">
        <v>170</v>
      </c>
      <c r="R50" s="361" t="s">
        <v>322</v>
      </c>
    </row>
    <row r="51" spans="3:18" x14ac:dyDescent="0.2">
      <c r="C51" s="109"/>
      <c r="D51" s="109" t="s">
        <v>303</v>
      </c>
      <c r="E51" s="109" t="s">
        <v>8</v>
      </c>
      <c r="F51" s="109" t="s">
        <v>176</v>
      </c>
      <c r="G51" s="109"/>
      <c r="H51" s="306"/>
      <c r="I51" s="306"/>
      <c r="J51" s="306"/>
      <c r="K51" s="109" t="s">
        <v>319</v>
      </c>
      <c r="L51" s="109" t="s">
        <v>309</v>
      </c>
      <c r="M51" s="108"/>
      <c r="N51" s="307"/>
      <c r="O51" s="308"/>
      <c r="P51" s="308"/>
      <c r="Q51" s="306"/>
      <c r="R51" s="401"/>
    </row>
    <row r="52" spans="3:18" x14ac:dyDescent="0.2">
      <c r="C52" s="402"/>
      <c r="D52" s="25"/>
      <c r="E52" s="387"/>
      <c r="F52" s="387"/>
      <c r="G52" s="387"/>
      <c r="H52" s="387"/>
      <c r="I52" s="387"/>
      <c r="J52" s="387"/>
      <c r="K52" s="387"/>
      <c r="L52" s="387"/>
      <c r="M52" s="387"/>
      <c r="N52" s="25"/>
      <c r="O52" s="25"/>
      <c r="P52" s="25"/>
      <c r="Q52" s="25"/>
      <c r="R52" s="403"/>
    </row>
    <row r="53" spans="3:18" ht="39.950000000000003" customHeight="1" x14ac:dyDescent="0.2">
      <c r="C53" s="6">
        <v>1</v>
      </c>
      <c r="D53" s="5" t="s">
        <v>132</v>
      </c>
      <c r="E53" s="5" t="s">
        <v>133</v>
      </c>
      <c r="F53" s="5">
        <v>15</v>
      </c>
      <c r="G53" s="282">
        <v>3486.55</v>
      </c>
      <c r="H53" s="23">
        <f t="shared" ref="H53:H56" si="24">G53/15</f>
        <v>232.43666666666667</v>
      </c>
      <c r="I53" s="23">
        <v>12.6</v>
      </c>
      <c r="J53" s="237">
        <f t="shared" ref="J53:J56" si="25">I53*H53</f>
        <v>2928.7019999999998</v>
      </c>
      <c r="K53" s="237">
        <f t="shared" ref="K53:K56" si="26">G53*2+J53</f>
        <v>9901.8019999999997</v>
      </c>
      <c r="L53" s="23"/>
      <c r="M53" s="237">
        <f t="shared" ref="M53:M56" si="27">K53-L53</f>
        <v>9901.8019999999997</v>
      </c>
      <c r="N53" s="25">
        <v>896.57</v>
      </c>
      <c r="O53" s="23">
        <v>132.9</v>
      </c>
      <c r="P53" s="390">
        <f t="shared" ref="P53" si="28">N53-O53</f>
        <v>763.67000000000007</v>
      </c>
      <c r="Q53" s="391">
        <f t="shared" ref="Q53" si="29">J53-P53</f>
        <v>2165.0319999999997</v>
      </c>
      <c r="R53" s="392"/>
    </row>
    <row r="54" spans="3:18" ht="39.950000000000003" customHeight="1" x14ac:dyDescent="0.2">
      <c r="C54" s="393">
        <v>2</v>
      </c>
      <c r="D54" s="5" t="s">
        <v>134</v>
      </c>
      <c r="E54" s="5" t="s">
        <v>135</v>
      </c>
      <c r="F54" s="5">
        <v>15</v>
      </c>
      <c r="G54" s="282">
        <v>3486.55</v>
      </c>
      <c r="H54" s="23">
        <f t="shared" si="24"/>
        <v>232.43666666666667</v>
      </c>
      <c r="I54" s="23">
        <v>12.6</v>
      </c>
      <c r="J54" s="237">
        <f t="shared" si="25"/>
        <v>2928.7019999999998</v>
      </c>
      <c r="K54" s="237">
        <f t="shared" si="26"/>
        <v>9901.8019999999997</v>
      </c>
      <c r="L54" s="23"/>
      <c r="M54" s="237">
        <f t="shared" si="27"/>
        <v>9901.8019999999997</v>
      </c>
      <c r="N54" s="25">
        <v>896.57</v>
      </c>
      <c r="O54" s="23">
        <v>132.9</v>
      </c>
      <c r="P54" s="390">
        <f t="shared" ref="P54:P55" si="30">N54-O54</f>
        <v>763.67000000000007</v>
      </c>
      <c r="Q54" s="391">
        <f t="shared" ref="Q54:Q55" si="31">J54-P54</f>
        <v>2165.0319999999997</v>
      </c>
      <c r="R54" s="392"/>
    </row>
    <row r="55" spans="3:18" ht="39.950000000000003" customHeight="1" x14ac:dyDescent="0.2">
      <c r="C55" s="362">
        <v>3</v>
      </c>
      <c r="D55" s="5" t="s">
        <v>257</v>
      </c>
      <c r="E55" s="5" t="s">
        <v>135</v>
      </c>
      <c r="F55" s="5">
        <v>15</v>
      </c>
      <c r="G55" s="282">
        <v>2575</v>
      </c>
      <c r="H55" s="23">
        <f t="shared" si="24"/>
        <v>171.66666666666666</v>
      </c>
      <c r="I55" s="23">
        <v>12.6</v>
      </c>
      <c r="J55" s="237">
        <f t="shared" si="25"/>
        <v>2163</v>
      </c>
      <c r="K55" s="237">
        <f t="shared" si="26"/>
        <v>7313</v>
      </c>
      <c r="L55" s="23"/>
      <c r="M55" s="237">
        <f t="shared" si="27"/>
        <v>7313</v>
      </c>
      <c r="N55" s="283">
        <v>332.15</v>
      </c>
      <c r="O55" s="23">
        <v>0</v>
      </c>
      <c r="P55" s="390">
        <f t="shared" si="30"/>
        <v>332.15</v>
      </c>
      <c r="Q55" s="391">
        <f t="shared" si="31"/>
        <v>1830.85</v>
      </c>
      <c r="R55" s="392"/>
    </row>
    <row r="56" spans="3:18" ht="39.950000000000003" customHeight="1" x14ac:dyDescent="0.2">
      <c r="C56" s="297">
        <v>4</v>
      </c>
      <c r="D56" s="5" t="s">
        <v>184</v>
      </c>
      <c r="E56" s="5" t="s">
        <v>38</v>
      </c>
      <c r="F56" s="5">
        <v>15</v>
      </c>
      <c r="G56" s="282">
        <v>2575</v>
      </c>
      <c r="H56" s="23">
        <f t="shared" si="24"/>
        <v>171.66666666666666</v>
      </c>
      <c r="I56" s="23">
        <v>12.6</v>
      </c>
      <c r="J56" s="237">
        <f t="shared" si="25"/>
        <v>2163</v>
      </c>
      <c r="K56" s="237">
        <f t="shared" si="26"/>
        <v>7313</v>
      </c>
      <c r="L56" s="23"/>
      <c r="M56" s="237">
        <f t="shared" si="27"/>
        <v>7313</v>
      </c>
      <c r="N56" s="283">
        <v>332.15</v>
      </c>
      <c r="O56" s="23">
        <v>0</v>
      </c>
      <c r="P56" s="390">
        <f t="shared" ref="P56" si="32">N56-O56</f>
        <v>332.15</v>
      </c>
      <c r="Q56" s="391">
        <f t="shared" ref="Q56" si="33">J56-P56</f>
        <v>1830.85</v>
      </c>
      <c r="R56" s="392"/>
    </row>
    <row r="57" spans="3:18" ht="50.1" customHeight="1" x14ac:dyDescent="0.2">
      <c r="C57" s="404"/>
      <c r="D57" s="274"/>
      <c r="E57" s="274"/>
      <c r="F57" s="274"/>
      <c r="G57" s="394"/>
      <c r="H57" s="395"/>
      <c r="I57" s="25"/>
      <c r="J57" s="25"/>
      <c r="K57" s="25"/>
      <c r="L57" s="25"/>
      <c r="M57" s="25"/>
      <c r="N57" s="396"/>
      <c r="O57" s="25"/>
      <c r="P57" s="396"/>
      <c r="Q57" s="25"/>
      <c r="R57" s="403"/>
    </row>
    <row r="58" spans="3:18" ht="28.5" customHeight="1" x14ac:dyDescent="0.2">
      <c r="C58" s="410" t="s">
        <v>70</v>
      </c>
      <c r="D58" s="411"/>
      <c r="E58" s="411"/>
      <c r="F58" s="270"/>
      <c r="G58" s="405">
        <f>SUM(G53:G57)</f>
        <v>12123.1</v>
      </c>
      <c r="H58" s="405">
        <f>SUM(H53:H57)</f>
        <v>808.20666666666659</v>
      </c>
      <c r="I58" s="405"/>
      <c r="J58" s="405">
        <f t="shared" ref="J58:Q58" si="34">SUM(J53:J57)</f>
        <v>10183.403999999999</v>
      </c>
      <c r="K58" s="405">
        <f t="shared" si="34"/>
        <v>34429.603999999999</v>
      </c>
      <c r="L58" s="405">
        <f t="shared" si="34"/>
        <v>0</v>
      </c>
      <c r="M58" s="405">
        <f t="shared" si="34"/>
        <v>34429.603999999999</v>
      </c>
      <c r="N58" s="405">
        <f t="shared" si="34"/>
        <v>2457.44</v>
      </c>
      <c r="O58" s="405">
        <f t="shared" si="34"/>
        <v>265.8</v>
      </c>
      <c r="P58" s="405">
        <f t="shared" si="34"/>
        <v>2191.6400000000003</v>
      </c>
      <c r="Q58" s="405">
        <f t="shared" si="34"/>
        <v>7991.7639999999992</v>
      </c>
      <c r="R58" s="406"/>
    </row>
    <row r="59" spans="3:18" x14ac:dyDescent="0.2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</row>
    <row r="66" spans="4:17" x14ac:dyDescent="0.2">
      <c r="D66" s="33" t="s">
        <v>129</v>
      </c>
      <c r="F66" s="73"/>
      <c r="G66" s="73"/>
      <c r="H66" s="33"/>
      <c r="I66" s="33"/>
      <c r="J66" s="455" t="s">
        <v>327</v>
      </c>
      <c r="K66" s="455"/>
      <c r="L66" s="455"/>
      <c r="M66" s="455"/>
      <c r="N66" s="455"/>
      <c r="O66" s="455"/>
      <c r="P66" s="455"/>
      <c r="Q66" s="455"/>
    </row>
    <row r="67" spans="4:17" ht="24.95" customHeight="1" x14ac:dyDescent="0.2">
      <c r="D67" s="32" t="s">
        <v>205</v>
      </c>
      <c r="F67" s="454"/>
      <c r="G67" s="454"/>
      <c r="J67" s="381" t="s">
        <v>201</v>
      </c>
      <c r="K67" s="381"/>
      <c r="L67" s="381" t="s">
        <v>323</v>
      </c>
      <c r="M67" s="381"/>
      <c r="N67" s="32"/>
      <c r="O67" s="32"/>
      <c r="P67" s="32"/>
      <c r="Q67" s="32"/>
    </row>
    <row r="68" spans="4:17" ht="15" x14ac:dyDescent="0.25">
      <c r="D68" s="33" t="s">
        <v>10</v>
      </c>
      <c r="E68" s="33"/>
      <c r="F68" s="435"/>
      <c r="G68" s="435"/>
      <c r="H68" s="33"/>
      <c r="I68" s="33"/>
      <c r="J68" s="378" t="s">
        <v>174</v>
      </c>
      <c r="K68" s="378"/>
      <c r="L68" s="378" t="s">
        <v>172</v>
      </c>
      <c r="M68" s="378"/>
      <c r="N68" s="32"/>
      <c r="O68" s="32"/>
      <c r="P68" s="32"/>
      <c r="Q68" s="32"/>
    </row>
    <row r="71" spans="4:17" ht="24.95" customHeight="1" x14ac:dyDescent="0.2"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4:17" ht="24.95" customHeight="1" x14ac:dyDescent="0.2">
      <c r="D72" s="42"/>
      <c r="E72" s="41"/>
      <c r="F72" s="41"/>
      <c r="G72" s="42"/>
      <c r="H72" s="42"/>
      <c r="I72" s="42"/>
      <c r="J72" s="42"/>
      <c r="K72" s="42"/>
      <c r="L72" s="42"/>
      <c r="M72" s="42"/>
    </row>
    <row r="73" spans="4:17" x14ac:dyDescent="0.2">
      <c r="D73" s="25"/>
      <c r="E73" s="41"/>
      <c r="F73" s="41"/>
      <c r="G73" s="41"/>
      <c r="H73" s="41"/>
      <c r="I73" s="41"/>
      <c r="J73" s="41"/>
      <c r="K73" s="41"/>
      <c r="L73" s="41"/>
      <c r="M73" s="41"/>
    </row>
    <row r="74" spans="4:17" x14ac:dyDescent="0.2">
      <c r="D74" s="35"/>
      <c r="E74" s="33"/>
      <c r="F74" s="33"/>
      <c r="G74" s="33"/>
      <c r="H74" s="33"/>
      <c r="I74" s="33"/>
      <c r="J74" s="33"/>
      <c r="K74" s="33"/>
      <c r="L74" s="33"/>
      <c r="M74" s="33"/>
    </row>
  </sheetData>
  <sheetProtection selectLockedCells="1" selectUnlockedCells="1"/>
  <mergeCells count="18">
    <mergeCell ref="C35:E35"/>
    <mergeCell ref="F67:G67"/>
    <mergeCell ref="F68:G68"/>
    <mergeCell ref="J66:Q66"/>
    <mergeCell ref="C44:M44"/>
    <mergeCell ref="L38:M38"/>
    <mergeCell ref="C58:E58"/>
    <mergeCell ref="N48:R48"/>
    <mergeCell ref="I48:M48"/>
    <mergeCell ref="C45:M45"/>
    <mergeCell ref="C46:M46"/>
    <mergeCell ref="C47:M47"/>
    <mergeCell ref="C3:R3"/>
    <mergeCell ref="C4:R4"/>
    <mergeCell ref="C5:R5"/>
    <mergeCell ref="C6:R6"/>
    <mergeCell ref="N7:R7"/>
    <mergeCell ref="I7:M7"/>
  </mergeCells>
  <phoneticPr fontId="0" type="noConversion"/>
  <pageMargins left="0" right="0" top="0" bottom="0" header="0.11811023622047245" footer="0.31496062992125984"/>
  <pageSetup scale="6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L31"/>
  <sheetViews>
    <sheetView topLeftCell="C6" workbookViewId="0">
      <selection activeCell="J16" sqref="J16"/>
    </sheetView>
  </sheetViews>
  <sheetFormatPr baseColWidth="10" defaultRowHeight="12.75" x14ac:dyDescent="0.2"/>
  <cols>
    <col min="1" max="2" width="0" hidden="1" customWidth="1"/>
    <col min="3" max="3" width="6.28515625" customWidth="1"/>
    <col min="4" max="4" width="34.140625" customWidth="1"/>
    <col min="5" max="5" width="30.42578125" customWidth="1"/>
    <col min="6" max="6" width="7" customWidth="1"/>
    <col min="7" max="7" width="11.140625" customWidth="1"/>
    <col min="8" max="8" width="7.5703125" customWidth="1"/>
    <col min="9" max="9" width="11.42578125" customWidth="1"/>
    <col min="10" max="10" width="60.28515625" customWidth="1"/>
  </cols>
  <sheetData>
    <row r="2" spans="3:12" x14ac:dyDescent="0.2">
      <c r="C2" s="14"/>
      <c r="D2" s="14"/>
      <c r="E2" s="14"/>
      <c r="F2" s="14"/>
      <c r="G2" s="14"/>
      <c r="H2" s="14"/>
      <c r="I2" s="14"/>
      <c r="J2" s="14"/>
    </row>
    <row r="3" spans="3:12" ht="19.5" x14ac:dyDescent="0.25">
      <c r="C3" s="467" t="s">
        <v>11</v>
      </c>
      <c r="D3" s="468"/>
      <c r="E3" s="468"/>
      <c r="F3" s="468"/>
      <c r="G3" s="468"/>
      <c r="H3" s="468"/>
      <c r="I3" s="468"/>
      <c r="J3" s="469"/>
    </row>
    <row r="4" spans="3:12" ht="19.5" hidden="1" x14ac:dyDescent="0.25">
      <c r="C4" s="470" t="s">
        <v>7</v>
      </c>
      <c r="D4" s="471"/>
      <c r="E4" s="471"/>
      <c r="F4" s="471"/>
      <c r="G4" s="471"/>
      <c r="H4" s="471"/>
      <c r="I4" s="471"/>
      <c r="J4" s="472"/>
    </row>
    <row r="5" spans="3:12" ht="19.5" x14ac:dyDescent="0.25">
      <c r="C5" s="470" t="s">
        <v>175</v>
      </c>
      <c r="D5" s="471"/>
      <c r="E5" s="471"/>
      <c r="F5" s="471"/>
      <c r="G5" s="471"/>
      <c r="H5" s="471"/>
      <c r="I5" s="471"/>
      <c r="J5" s="472"/>
    </row>
    <row r="6" spans="3:12" ht="19.5" x14ac:dyDescent="0.25">
      <c r="C6" s="470" t="s">
        <v>302</v>
      </c>
      <c r="D6" s="471"/>
      <c r="E6" s="471"/>
      <c r="F6" s="471"/>
      <c r="G6" s="471"/>
      <c r="H6" s="471"/>
      <c r="I6" s="471"/>
      <c r="J6" s="472"/>
    </row>
    <row r="7" spans="3:12" x14ac:dyDescent="0.2">
      <c r="C7" s="115"/>
      <c r="D7" s="115"/>
      <c r="E7" s="115"/>
      <c r="F7" s="116"/>
      <c r="G7" s="439" t="s">
        <v>0</v>
      </c>
      <c r="H7" s="473"/>
      <c r="I7" s="117"/>
      <c r="J7" s="125"/>
    </row>
    <row r="8" spans="3:12" x14ac:dyDescent="0.2">
      <c r="C8" s="116" t="s">
        <v>2</v>
      </c>
      <c r="D8" s="116"/>
      <c r="E8" s="116"/>
      <c r="F8" s="116"/>
      <c r="G8" s="120" t="s">
        <v>1</v>
      </c>
      <c r="H8" s="120"/>
      <c r="I8" s="117" t="s">
        <v>164</v>
      </c>
      <c r="J8" s="116" t="s">
        <v>173</v>
      </c>
    </row>
    <row r="9" spans="3:12" ht="15" x14ac:dyDescent="0.25">
      <c r="C9" s="118"/>
      <c r="D9" s="122" t="s">
        <v>177</v>
      </c>
      <c r="E9" s="122" t="s">
        <v>178</v>
      </c>
      <c r="F9" s="116" t="s">
        <v>176</v>
      </c>
      <c r="G9" s="116" t="s">
        <v>6</v>
      </c>
      <c r="H9" s="116"/>
      <c r="I9" s="116" t="s">
        <v>167</v>
      </c>
      <c r="J9" s="116"/>
    </row>
    <row r="10" spans="3:12" ht="15" x14ac:dyDescent="0.25">
      <c r="C10" s="116"/>
      <c r="D10" s="123" t="s">
        <v>74</v>
      </c>
      <c r="E10" s="132"/>
      <c r="F10" s="133"/>
      <c r="G10" s="133"/>
      <c r="H10" s="133"/>
      <c r="I10" s="134"/>
      <c r="J10" s="133"/>
    </row>
    <row r="11" spans="3:12" ht="35.1" customHeight="1" x14ac:dyDescent="0.25">
      <c r="C11" s="11"/>
      <c r="D11" s="12"/>
      <c r="E11" s="12"/>
      <c r="F11" s="11"/>
      <c r="G11" s="11"/>
      <c r="H11" s="11"/>
      <c r="I11" s="3"/>
      <c r="J11" s="11"/>
    </row>
    <row r="12" spans="3:12" ht="39.950000000000003" customHeight="1" x14ac:dyDescent="0.2">
      <c r="C12" s="74">
        <v>1</v>
      </c>
      <c r="D12" s="43" t="s">
        <v>65</v>
      </c>
      <c r="E12" s="43" t="s">
        <v>66</v>
      </c>
      <c r="F12" s="75">
        <v>15</v>
      </c>
      <c r="G12" s="76">
        <v>877.56</v>
      </c>
      <c r="H12" s="77"/>
      <c r="I12" s="83">
        <f>G12</f>
        <v>877.56</v>
      </c>
      <c r="J12" s="7"/>
      <c r="L12" s="7"/>
    </row>
    <row r="13" spans="3:12" ht="39.950000000000003" customHeight="1" x14ac:dyDescent="0.2">
      <c r="C13" s="74">
        <v>2</v>
      </c>
      <c r="D13" s="43" t="s">
        <v>67</v>
      </c>
      <c r="E13" s="43" t="s">
        <v>41</v>
      </c>
      <c r="F13" s="75">
        <v>15</v>
      </c>
      <c r="G13" s="76">
        <v>1841.64</v>
      </c>
      <c r="H13" s="77"/>
      <c r="I13" s="84">
        <f>G13</f>
        <v>1841.64</v>
      </c>
      <c r="J13" s="7"/>
      <c r="L13" s="7"/>
    </row>
    <row r="14" spans="3:12" ht="39.950000000000003" customHeight="1" x14ac:dyDescent="0.2">
      <c r="C14" s="74">
        <v>3</v>
      </c>
      <c r="D14" s="43" t="s">
        <v>68</v>
      </c>
      <c r="E14" s="43" t="s">
        <v>69</v>
      </c>
      <c r="F14" s="75">
        <v>15</v>
      </c>
      <c r="G14" s="76">
        <v>2248.4899999999998</v>
      </c>
      <c r="H14" s="77"/>
      <c r="I14" s="84">
        <f>G14</f>
        <v>2248.4899999999998</v>
      </c>
      <c r="J14" s="7"/>
      <c r="L14" s="7"/>
    </row>
    <row r="15" spans="3:12" ht="39.950000000000003" customHeight="1" x14ac:dyDescent="0.2">
      <c r="C15" s="74">
        <v>4</v>
      </c>
      <c r="D15" s="43" t="s">
        <v>34</v>
      </c>
      <c r="E15" s="43" t="s">
        <v>32</v>
      </c>
      <c r="F15" s="75">
        <v>15</v>
      </c>
      <c r="G15" s="76">
        <v>2953.93</v>
      </c>
      <c r="H15" s="77"/>
      <c r="I15" s="84">
        <v>2953.93</v>
      </c>
      <c r="J15" s="7"/>
      <c r="L15" s="7"/>
    </row>
    <row r="16" spans="3:12" ht="35.1" customHeight="1" x14ac:dyDescent="0.2">
      <c r="C16" s="78"/>
      <c r="D16" s="78"/>
      <c r="E16" s="78"/>
      <c r="F16" s="78"/>
      <c r="G16" s="78"/>
      <c r="H16" s="78"/>
      <c r="I16" s="78"/>
      <c r="J16" s="1"/>
    </row>
    <row r="17" spans="3:10" ht="35.1" customHeight="1" x14ac:dyDescent="0.25">
      <c r="C17" s="78"/>
      <c r="D17" s="78"/>
      <c r="E17" s="79" t="s">
        <v>70</v>
      </c>
      <c r="F17" s="80"/>
      <c r="G17" s="81">
        <f>SUM(G12:G16)</f>
        <v>7921.619999999999</v>
      </c>
      <c r="H17" s="81">
        <f>SUM(H12:H16)</f>
        <v>0</v>
      </c>
      <c r="I17" s="81">
        <f>SUM(I12:I16)</f>
        <v>7921.619999999999</v>
      </c>
      <c r="J17" s="57"/>
    </row>
    <row r="18" spans="3:10" ht="35.1" customHeight="1" x14ac:dyDescent="0.25">
      <c r="C18" s="78"/>
      <c r="D18" s="78"/>
      <c r="E18" s="139"/>
      <c r="F18" s="140"/>
      <c r="G18" s="141"/>
      <c r="H18" s="141"/>
      <c r="I18" s="141"/>
      <c r="J18" s="142"/>
    </row>
    <row r="19" spans="3:10" ht="35.1" customHeight="1" x14ac:dyDescent="0.25">
      <c r="C19" s="78"/>
      <c r="D19" s="78"/>
      <c r="E19" s="139"/>
      <c r="F19" s="140"/>
      <c r="G19" s="141"/>
      <c r="H19" s="141"/>
      <c r="I19" s="141"/>
      <c r="J19" s="142"/>
    </row>
    <row r="20" spans="3:10" ht="35.1" customHeight="1" x14ac:dyDescent="0.2">
      <c r="C20" s="1"/>
      <c r="D20" s="1"/>
      <c r="E20" s="1"/>
      <c r="F20" s="1"/>
      <c r="G20" s="1"/>
      <c r="H20" s="1"/>
      <c r="I20" s="1"/>
      <c r="J20" s="1"/>
    </row>
    <row r="21" spans="3:10" x14ac:dyDescent="0.2">
      <c r="C21" s="1"/>
      <c r="D21" s="1"/>
      <c r="E21" s="1"/>
      <c r="F21" s="1"/>
      <c r="G21" s="1"/>
      <c r="H21" s="1"/>
      <c r="I21" s="1"/>
      <c r="J21" s="1"/>
    </row>
    <row r="22" spans="3:10" x14ac:dyDescent="0.2">
      <c r="C22" s="1"/>
      <c r="D22" s="68"/>
      <c r="E22" s="1"/>
      <c r="F22" s="1"/>
      <c r="G22" s="1"/>
      <c r="H22" s="1"/>
      <c r="I22" s="68"/>
      <c r="J22" s="68"/>
    </row>
    <row r="23" spans="3:10" x14ac:dyDescent="0.2">
      <c r="C23" s="1"/>
      <c r="D23" s="32" t="s">
        <v>205</v>
      </c>
      <c r="E23" s="1"/>
      <c r="F23" s="1"/>
      <c r="G23" s="1"/>
      <c r="H23" s="1"/>
      <c r="I23" s="466" t="s">
        <v>201</v>
      </c>
      <c r="J23" s="466"/>
    </row>
    <row r="24" spans="3:10" x14ac:dyDescent="0.2">
      <c r="C24" s="1"/>
      <c r="D24" s="33" t="s">
        <v>10</v>
      </c>
      <c r="E24" s="8"/>
      <c r="F24" s="8"/>
      <c r="G24" s="8"/>
      <c r="H24" s="8"/>
      <c r="I24" s="427" t="s">
        <v>172</v>
      </c>
      <c r="J24" s="427"/>
    </row>
    <row r="25" spans="3:10" x14ac:dyDescent="0.2">
      <c r="C25" s="1"/>
      <c r="D25" s="1"/>
      <c r="E25" s="1"/>
      <c r="F25" s="1"/>
      <c r="G25" s="1"/>
      <c r="H25" s="1"/>
      <c r="I25" s="1"/>
      <c r="J25" s="1"/>
    </row>
    <row r="26" spans="3:10" x14ac:dyDescent="0.2">
      <c r="C26" s="1"/>
      <c r="D26" s="1"/>
      <c r="E26" s="1"/>
      <c r="F26" s="1"/>
      <c r="G26" s="1"/>
      <c r="H26" s="1"/>
      <c r="I26" s="1"/>
      <c r="J26" s="1"/>
    </row>
    <row r="27" spans="3:10" x14ac:dyDescent="0.2">
      <c r="C27" s="1"/>
      <c r="D27" s="1"/>
      <c r="E27" s="1"/>
      <c r="F27" s="1"/>
      <c r="G27" s="1"/>
      <c r="H27" s="1"/>
      <c r="I27" s="1"/>
      <c r="J27" s="1"/>
    </row>
    <row r="28" spans="3:10" x14ac:dyDescent="0.2">
      <c r="C28" s="1"/>
      <c r="D28" s="1"/>
      <c r="E28" s="1"/>
      <c r="F28" s="1"/>
      <c r="G28" s="1"/>
      <c r="H28" s="1"/>
      <c r="I28" s="1"/>
      <c r="J28" s="1"/>
    </row>
    <row r="29" spans="3:10" x14ac:dyDescent="0.2">
      <c r="C29" s="1"/>
      <c r="D29" s="2"/>
      <c r="E29" s="1"/>
      <c r="F29" s="1"/>
      <c r="G29" s="2"/>
      <c r="H29" s="1"/>
      <c r="I29" s="1"/>
      <c r="J29" s="1"/>
    </row>
    <row r="30" spans="3:10" x14ac:dyDescent="0.2">
      <c r="C30" s="1"/>
      <c r="D30" s="8"/>
      <c r="E30" s="8"/>
      <c r="F30" s="8"/>
      <c r="G30" s="8"/>
      <c r="H30" s="8"/>
      <c r="I30" s="8"/>
      <c r="J30" s="8"/>
    </row>
    <row r="31" spans="3:10" x14ac:dyDescent="0.2">
      <c r="C31" s="1"/>
      <c r="D31" s="1"/>
      <c r="E31" s="1"/>
      <c r="F31" s="1"/>
      <c r="G31" s="1"/>
      <c r="H31" s="1"/>
      <c r="I31" s="1"/>
      <c r="J31" s="1"/>
    </row>
  </sheetData>
  <sheetProtection selectLockedCells="1" selectUnlockedCells="1"/>
  <mergeCells count="7">
    <mergeCell ref="I23:J23"/>
    <mergeCell ref="I24:J24"/>
    <mergeCell ref="C3:J3"/>
    <mergeCell ref="C4:J4"/>
    <mergeCell ref="G7:H7"/>
    <mergeCell ref="C5:J5"/>
    <mergeCell ref="C6:J6"/>
  </mergeCells>
  <phoneticPr fontId="0" type="noConversion"/>
  <pageMargins left="0.39370078740157483" right="0.31496062992125984" top="1.9291338582677167" bottom="0.74803149606299213" header="0.31496062992125984" footer="0.31496062992125984"/>
  <pageSetup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Concentrado General</vt:lpstr>
      <vt:lpstr>REGIDORES</vt:lpstr>
      <vt:lpstr>PERMANENTES</vt:lpstr>
      <vt:lpstr>SUPERNUMERARIO</vt:lpstr>
      <vt:lpstr>ORDEN DE PAGO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2018-12-15T18:40:59Z</cp:lastPrinted>
  <dcterms:created xsi:type="dcterms:W3CDTF">2000-05-05T04:08:27Z</dcterms:created>
  <dcterms:modified xsi:type="dcterms:W3CDTF">2019-01-28T17:59:54Z</dcterms:modified>
</cp:coreProperties>
</file>