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61B920EE-38C6-49C9-9A51-9D7C878F5394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24_16 - 31 dic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4" i="1" l="1"/>
  <c r="AF52" i="1"/>
  <c r="Q52" i="1"/>
  <c r="AD50" i="1"/>
  <c r="T50" i="1"/>
  <c r="P50" i="1"/>
  <c r="R50" i="1" s="1"/>
  <c r="L50" i="1"/>
  <c r="K50" i="1"/>
  <c r="J50" i="1"/>
  <c r="Z50" i="1" s="1"/>
  <c r="AD49" i="1"/>
  <c r="T49" i="1"/>
  <c r="P49" i="1"/>
  <c r="R49" i="1" s="1"/>
  <c r="N49" i="1"/>
  <c r="L49" i="1"/>
  <c r="K49" i="1"/>
  <c r="J49" i="1"/>
  <c r="AD48" i="1"/>
  <c r="T48" i="1"/>
  <c r="P48" i="1"/>
  <c r="R48" i="1" s="1"/>
  <c r="L48" i="1"/>
  <c r="K48" i="1"/>
  <c r="J48" i="1"/>
  <c r="AC48" i="1" s="1"/>
  <c r="AD47" i="1"/>
  <c r="T47" i="1"/>
  <c r="P47" i="1"/>
  <c r="R47" i="1" s="1"/>
  <c r="L47" i="1"/>
  <c r="K47" i="1"/>
  <c r="J47" i="1"/>
  <c r="X47" i="1" s="1"/>
  <c r="AD46" i="1"/>
  <c r="T46" i="1"/>
  <c r="P46" i="1"/>
  <c r="R46" i="1" s="1"/>
  <c r="U46" i="1" s="1"/>
  <c r="L46" i="1"/>
  <c r="K46" i="1"/>
  <c r="J46" i="1"/>
  <c r="AA46" i="1" s="1"/>
  <c r="AD45" i="1"/>
  <c r="T45" i="1"/>
  <c r="P45" i="1"/>
  <c r="R45" i="1" s="1"/>
  <c r="L45" i="1"/>
  <c r="K45" i="1"/>
  <c r="J45" i="1"/>
  <c r="AD44" i="1"/>
  <c r="T44" i="1"/>
  <c r="O44" i="1"/>
  <c r="P44" i="1" s="1"/>
  <c r="R44" i="1" s="1"/>
  <c r="N44" i="1"/>
  <c r="L44" i="1"/>
  <c r="K44" i="1"/>
  <c r="J44" i="1"/>
  <c r="AC44" i="1" s="1"/>
  <c r="AD43" i="1"/>
  <c r="T43" i="1"/>
  <c r="O43" i="1"/>
  <c r="P43" i="1" s="1"/>
  <c r="R43" i="1" s="1"/>
  <c r="U43" i="1" s="1"/>
  <c r="N43" i="1"/>
  <c r="L43" i="1"/>
  <c r="K43" i="1"/>
  <c r="J43" i="1"/>
  <c r="AD42" i="1"/>
  <c r="T42" i="1"/>
  <c r="O42" i="1"/>
  <c r="P42" i="1" s="1"/>
  <c r="R42" i="1" s="1"/>
  <c r="N42" i="1"/>
  <c r="L42" i="1"/>
  <c r="K42" i="1"/>
  <c r="J42" i="1"/>
  <c r="AD41" i="1"/>
  <c r="T41" i="1"/>
  <c r="O41" i="1"/>
  <c r="P41" i="1" s="1"/>
  <c r="R41" i="1" s="1"/>
  <c r="U41" i="1" s="1"/>
  <c r="N41" i="1"/>
  <c r="L41" i="1"/>
  <c r="K41" i="1"/>
  <c r="J41" i="1"/>
  <c r="AD40" i="1"/>
  <c r="T40" i="1"/>
  <c r="O40" i="1"/>
  <c r="P40" i="1" s="1"/>
  <c r="R40" i="1" s="1"/>
  <c r="N40" i="1"/>
  <c r="L40" i="1"/>
  <c r="K40" i="1"/>
  <c r="J40" i="1"/>
  <c r="AD39" i="1"/>
  <c r="T39" i="1"/>
  <c r="O39" i="1"/>
  <c r="P39" i="1" s="1"/>
  <c r="R39" i="1" s="1"/>
  <c r="U39" i="1" s="1"/>
  <c r="N39" i="1"/>
  <c r="L39" i="1"/>
  <c r="K39" i="1"/>
  <c r="J39" i="1"/>
  <c r="AD38" i="1"/>
  <c r="T38" i="1"/>
  <c r="O38" i="1"/>
  <c r="P38" i="1" s="1"/>
  <c r="R38" i="1" s="1"/>
  <c r="N38" i="1"/>
  <c r="L38" i="1"/>
  <c r="K38" i="1"/>
  <c r="J38" i="1"/>
  <c r="AD37" i="1"/>
  <c r="T37" i="1"/>
  <c r="O37" i="1"/>
  <c r="P37" i="1" s="1"/>
  <c r="R37" i="1" s="1"/>
  <c r="U37" i="1" s="1"/>
  <c r="N37" i="1"/>
  <c r="L37" i="1"/>
  <c r="K37" i="1"/>
  <c r="J37" i="1"/>
  <c r="AD36" i="1"/>
  <c r="X36" i="1"/>
  <c r="T36" i="1"/>
  <c r="O36" i="1"/>
  <c r="P36" i="1" s="1"/>
  <c r="R36" i="1" s="1"/>
  <c r="N36" i="1"/>
  <c r="L36" i="1"/>
  <c r="K36" i="1"/>
  <c r="J36" i="1"/>
  <c r="AD35" i="1"/>
  <c r="T35" i="1"/>
  <c r="O35" i="1"/>
  <c r="P35" i="1" s="1"/>
  <c r="R35" i="1" s="1"/>
  <c r="U35" i="1" s="1"/>
  <c r="N35" i="1"/>
  <c r="L35" i="1"/>
  <c r="K35" i="1"/>
  <c r="J35" i="1"/>
  <c r="AD34" i="1"/>
  <c r="T34" i="1"/>
  <c r="O34" i="1"/>
  <c r="P34" i="1" s="1"/>
  <c r="R34" i="1" s="1"/>
  <c r="N34" i="1"/>
  <c r="L34" i="1"/>
  <c r="K34" i="1"/>
  <c r="J34" i="1"/>
  <c r="AD33" i="1"/>
  <c r="T33" i="1"/>
  <c r="O33" i="1"/>
  <c r="P33" i="1" s="1"/>
  <c r="R33" i="1" s="1"/>
  <c r="U33" i="1" s="1"/>
  <c r="N33" i="1"/>
  <c r="L33" i="1"/>
  <c r="K33" i="1"/>
  <c r="J33" i="1"/>
  <c r="AD32" i="1"/>
  <c r="T32" i="1"/>
  <c r="O32" i="1"/>
  <c r="P32" i="1" s="1"/>
  <c r="R32" i="1" s="1"/>
  <c r="N32" i="1"/>
  <c r="X32" i="1" s="1"/>
  <c r="L32" i="1"/>
  <c r="K32" i="1"/>
  <c r="J32" i="1"/>
  <c r="AD31" i="1"/>
  <c r="T31" i="1"/>
  <c r="O31" i="1"/>
  <c r="P31" i="1" s="1"/>
  <c r="R31" i="1" s="1"/>
  <c r="U31" i="1" s="1"/>
  <c r="N31" i="1"/>
  <c r="L31" i="1"/>
  <c r="K31" i="1"/>
  <c r="J31" i="1"/>
  <c r="AD30" i="1"/>
  <c r="T30" i="1"/>
  <c r="O30" i="1"/>
  <c r="P30" i="1" s="1"/>
  <c r="R30" i="1" s="1"/>
  <c r="N30" i="1"/>
  <c r="L30" i="1"/>
  <c r="K30" i="1"/>
  <c r="J30" i="1"/>
  <c r="AD29" i="1"/>
  <c r="T29" i="1"/>
  <c r="O29" i="1"/>
  <c r="P29" i="1" s="1"/>
  <c r="R29" i="1" s="1"/>
  <c r="U29" i="1" s="1"/>
  <c r="V29" i="1" s="1"/>
  <c r="N29" i="1"/>
  <c r="L29" i="1"/>
  <c r="K29" i="1"/>
  <c r="J29" i="1"/>
  <c r="AD28" i="1"/>
  <c r="T28" i="1"/>
  <c r="O28" i="1"/>
  <c r="P28" i="1" s="1"/>
  <c r="R28" i="1" s="1"/>
  <c r="N28" i="1"/>
  <c r="L28" i="1"/>
  <c r="K28" i="1"/>
  <c r="J28" i="1"/>
  <c r="AD27" i="1"/>
  <c r="T27" i="1"/>
  <c r="O27" i="1"/>
  <c r="P27" i="1" s="1"/>
  <c r="R27" i="1" s="1"/>
  <c r="U27" i="1" s="1"/>
  <c r="N27" i="1"/>
  <c r="L27" i="1"/>
  <c r="K27" i="1"/>
  <c r="J27" i="1"/>
  <c r="AD26" i="1"/>
  <c r="T26" i="1"/>
  <c r="O26" i="1"/>
  <c r="P26" i="1" s="1"/>
  <c r="R26" i="1" s="1"/>
  <c r="N26" i="1"/>
  <c r="L26" i="1"/>
  <c r="K26" i="1"/>
  <c r="J26" i="1"/>
  <c r="AD25" i="1"/>
  <c r="T25" i="1"/>
  <c r="O25" i="1"/>
  <c r="P25" i="1" s="1"/>
  <c r="R25" i="1" s="1"/>
  <c r="U25" i="1" s="1"/>
  <c r="V25" i="1" s="1"/>
  <c r="N25" i="1"/>
  <c r="AC25" i="1" s="1"/>
  <c r="L25" i="1"/>
  <c r="K25" i="1"/>
  <c r="J25" i="1"/>
  <c r="T24" i="1"/>
  <c r="O24" i="1"/>
  <c r="P24" i="1" s="1"/>
  <c r="R24" i="1" s="1"/>
  <c r="N24" i="1"/>
  <c r="L24" i="1"/>
  <c r="K24" i="1"/>
  <c r="J24" i="1"/>
  <c r="AD23" i="1"/>
  <c r="T23" i="1"/>
  <c r="O23" i="1"/>
  <c r="P23" i="1" s="1"/>
  <c r="R23" i="1" s="1"/>
  <c r="U23" i="1" s="1"/>
  <c r="V23" i="1" s="1"/>
  <c r="N23" i="1"/>
  <c r="L23" i="1"/>
  <c r="K23" i="1"/>
  <c r="J23" i="1"/>
  <c r="AD22" i="1"/>
  <c r="T22" i="1"/>
  <c r="O22" i="1"/>
  <c r="P22" i="1" s="1"/>
  <c r="R22" i="1" s="1"/>
  <c r="N22" i="1"/>
  <c r="L22" i="1"/>
  <c r="K22" i="1"/>
  <c r="J22" i="1"/>
  <c r="AD21" i="1"/>
  <c r="T21" i="1"/>
  <c r="O21" i="1"/>
  <c r="P21" i="1" s="1"/>
  <c r="R21" i="1" s="1"/>
  <c r="U21" i="1" s="1"/>
  <c r="N21" i="1"/>
  <c r="L21" i="1"/>
  <c r="K21" i="1"/>
  <c r="J21" i="1"/>
  <c r="AD20" i="1"/>
  <c r="T20" i="1"/>
  <c r="O20" i="1"/>
  <c r="P20" i="1" s="1"/>
  <c r="R20" i="1" s="1"/>
  <c r="N20" i="1"/>
  <c r="L20" i="1"/>
  <c r="K20" i="1"/>
  <c r="J20" i="1"/>
  <c r="AD19" i="1"/>
  <c r="T19" i="1"/>
  <c r="P19" i="1"/>
  <c r="R19" i="1" s="1"/>
  <c r="U19" i="1" s="1"/>
  <c r="V19" i="1" s="1"/>
  <c r="N19" i="1"/>
  <c r="L19" i="1"/>
  <c r="K19" i="1"/>
  <c r="J19" i="1"/>
  <c r="AD18" i="1"/>
  <c r="T18" i="1"/>
  <c r="P18" i="1"/>
  <c r="R18" i="1" s="1"/>
  <c r="N18" i="1"/>
  <c r="L18" i="1"/>
  <c r="K18" i="1"/>
  <c r="J18" i="1"/>
  <c r="AD17" i="1"/>
  <c r="T17" i="1"/>
  <c r="P17" i="1"/>
  <c r="R17" i="1" s="1"/>
  <c r="N17" i="1"/>
  <c r="L17" i="1"/>
  <c r="K17" i="1"/>
  <c r="J17" i="1"/>
  <c r="AD16" i="1"/>
  <c r="T16" i="1"/>
  <c r="P16" i="1"/>
  <c r="R16" i="1" s="1"/>
  <c r="N16" i="1"/>
  <c r="L16" i="1"/>
  <c r="K16" i="1"/>
  <c r="J16" i="1"/>
  <c r="AD15" i="1"/>
  <c r="T15" i="1"/>
  <c r="P15" i="1"/>
  <c r="R15" i="1" s="1"/>
  <c r="N15" i="1"/>
  <c r="L15" i="1"/>
  <c r="K15" i="1"/>
  <c r="J15" i="1"/>
  <c r="AD14" i="1"/>
  <c r="T14" i="1"/>
  <c r="P14" i="1"/>
  <c r="R14" i="1" s="1"/>
  <c r="N14" i="1"/>
  <c r="L14" i="1"/>
  <c r="K14" i="1"/>
  <c r="J14" i="1"/>
  <c r="AD13" i="1"/>
  <c r="T13" i="1"/>
  <c r="P13" i="1"/>
  <c r="R13" i="1" s="1"/>
  <c r="N13" i="1"/>
  <c r="L13" i="1"/>
  <c r="K13" i="1"/>
  <c r="J13" i="1"/>
  <c r="AD12" i="1"/>
  <c r="T12" i="1"/>
  <c r="P12" i="1"/>
  <c r="R12" i="1" s="1"/>
  <c r="N12" i="1"/>
  <c r="L12" i="1"/>
  <c r="K12" i="1"/>
  <c r="J12" i="1"/>
  <c r="AD11" i="1"/>
  <c r="T11" i="1"/>
  <c r="P11" i="1"/>
  <c r="R11" i="1" s="1"/>
  <c r="U11" i="1" s="1"/>
  <c r="N11" i="1"/>
  <c r="L11" i="1"/>
  <c r="K11" i="1"/>
  <c r="J11" i="1"/>
  <c r="X11" i="1" s="1"/>
  <c r="AE11" i="1" s="1"/>
  <c r="AD10" i="1"/>
  <c r="T10" i="1"/>
  <c r="P10" i="1"/>
  <c r="R10" i="1" s="1"/>
  <c r="N10" i="1"/>
  <c r="L10" i="1"/>
  <c r="K10" i="1"/>
  <c r="J10" i="1"/>
  <c r="AD9" i="1"/>
  <c r="T9" i="1"/>
  <c r="P9" i="1"/>
  <c r="R9" i="1" s="1"/>
  <c r="N9" i="1"/>
  <c r="L9" i="1"/>
  <c r="K9" i="1"/>
  <c r="J9" i="1"/>
  <c r="AD8" i="1"/>
  <c r="Y8" i="1"/>
  <c r="Y52" i="1" s="1"/>
  <c r="T8" i="1"/>
  <c r="P8" i="1"/>
  <c r="R8" i="1" s="1"/>
  <c r="N8" i="1"/>
  <c r="L8" i="1"/>
  <c r="K8" i="1"/>
  <c r="J8" i="1"/>
  <c r="AD7" i="1"/>
  <c r="T7" i="1"/>
  <c r="P7" i="1"/>
  <c r="R7" i="1" s="1"/>
  <c r="N7" i="1"/>
  <c r="L7" i="1"/>
  <c r="K7" i="1"/>
  <c r="J7" i="1"/>
  <c r="AD6" i="1"/>
  <c r="T6" i="1"/>
  <c r="P6" i="1"/>
  <c r="R6" i="1" s="1"/>
  <c r="N6" i="1"/>
  <c r="AA6" i="1" s="1"/>
  <c r="L6" i="1"/>
  <c r="K6" i="1"/>
  <c r="J6" i="1"/>
  <c r="S6" i="1" l="1"/>
  <c r="AC12" i="1"/>
  <c r="AC27" i="1"/>
  <c r="V46" i="1"/>
  <c r="X14" i="1"/>
  <c r="AE14" i="1" s="1"/>
  <c r="S8" i="1"/>
  <c r="AC13" i="1"/>
  <c r="X21" i="1"/>
  <c r="AE21" i="1" s="1"/>
  <c r="V41" i="1"/>
  <c r="AC9" i="1"/>
  <c r="AC8" i="1"/>
  <c r="X26" i="1"/>
  <c r="AC40" i="1"/>
  <c r="Z11" i="1"/>
  <c r="Z9" i="1"/>
  <c r="AA11" i="1"/>
  <c r="AB11" i="1" s="1"/>
  <c r="AA14" i="1"/>
  <c r="S18" i="1"/>
  <c r="X23" i="1"/>
  <c r="AE23" i="1" s="1"/>
  <c r="V37" i="1"/>
  <c r="Z6" i="1"/>
  <c r="Z19" i="1"/>
  <c r="V33" i="1"/>
  <c r="AC38" i="1"/>
  <c r="AC28" i="1"/>
  <c r="AC36" i="1"/>
  <c r="Z48" i="1"/>
  <c r="W7" i="1"/>
  <c r="V11" i="1"/>
  <c r="S13" i="1"/>
  <c r="V21" i="1"/>
  <c r="X30" i="1"/>
  <c r="AE30" i="1" s="1"/>
  <c r="AC47" i="1"/>
  <c r="AA48" i="1"/>
  <c r="S10" i="1"/>
  <c r="AC26" i="1"/>
  <c r="AC34" i="1"/>
  <c r="AA21" i="1"/>
  <c r="AA49" i="1"/>
  <c r="U16" i="1"/>
  <c r="V16" i="1" s="1"/>
  <c r="S16" i="1"/>
  <c r="X9" i="1"/>
  <c r="W15" i="1"/>
  <c r="Z21" i="1"/>
  <c r="W24" i="1"/>
  <c r="AC30" i="1"/>
  <c r="X34" i="1"/>
  <c r="S45" i="1"/>
  <c r="AC46" i="1"/>
  <c r="AA47" i="1"/>
  <c r="X48" i="1"/>
  <c r="X6" i="1"/>
  <c r="AE6" i="1" s="1"/>
  <c r="W12" i="1"/>
  <c r="W17" i="1"/>
  <c r="AA23" i="1"/>
  <c r="X44" i="1"/>
  <c r="AE44" i="1" s="1"/>
  <c r="AC49" i="1"/>
  <c r="AA50" i="1"/>
  <c r="X12" i="1"/>
  <c r="AE12" i="1" s="1"/>
  <c r="Z14" i="1"/>
  <c r="Z17" i="1"/>
  <c r="W20" i="1"/>
  <c r="W40" i="1"/>
  <c r="W48" i="1"/>
  <c r="X38" i="1"/>
  <c r="AE38" i="1" s="1"/>
  <c r="Z23" i="1"/>
  <c r="Z16" i="1"/>
  <c r="AA16" i="1"/>
  <c r="W22" i="1"/>
  <c r="AC32" i="1"/>
  <c r="X40" i="1"/>
  <c r="AE40" i="1" s="1"/>
  <c r="AG40" i="1" s="1"/>
  <c r="AC43" i="1"/>
  <c r="W32" i="1"/>
  <c r="W42" i="1"/>
  <c r="AC15" i="1"/>
  <c r="AC16" i="1"/>
  <c r="X19" i="1"/>
  <c r="AE19" i="1" s="1"/>
  <c r="AA19" i="1"/>
  <c r="X28" i="1"/>
  <c r="AE28" i="1" s="1"/>
  <c r="AC42" i="1"/>
  <c r="Z47" i="1"/>
  <c r="AB47" i="1" s="1"/>
  <c r="AE34" i="1"/>
  <c r="U14" i="1"/>
  <c r="V14" i="1" s="1"/>
  <c r="S14" i="1"/>
  <c r="AE26" i="1"/>
  <c r="U28" i="1"/>
  <c r="V28" i="1" s="1"/>
  <c r="S28" i="1"/>
  <c r="U36" i="1"/>
  <c r="V36" i="1" s="1"/>
  <c r="S36" i="1"/>
  <c r="U44" i="1"/>
  <c r="V44" i="1" s="1"/>
  <c r="S44" i="1"/>
  <c r="N52" i="1"/>
  <c r="U22" i="1"/>
  <c r="V22" i="1" s="1"/>
  <c r="S22" i="1"/>
  <c r="U47" i="1"/>
  <c r="V47" i="1" s="1"/>
  <c r="S47" i="1"/>
  <c r="J52" i="1"/>
  <c r="U10" i="1"/>
  <c r="V10" i="1" s="1"/>
  <c r="AA31" i="1"/>
  <c r="Z31" i="1"/>
  <c r="X31" i="1"/>
  <c r="W31" i="1"/>
  <c r="AA39" i="1"/>
  <c r="Z39" i="1"/>
  <c r="X39" i="1"/>
  <c r="W39" i="1"/>
  <c r="AC39" i="1"/>
  <c r="U15" i="1"/>
  <c r="V15" i="1" s="1"/>
  <c r="S15" i="1"/>
  <c r="S29" i="1"/>
  <c r="S33" i="1"/>
  <c r="AE36" i="1"/>
  <c r="S37" i="1"/>
  <c r="S41" i="1"/>
  <c r="L52" i="1"/>
  <c r="AC10" i="1"/>
  <c r="AA10" i="1"/>
  <c r="Z10" i="1"/>
  <c r="X10" i="1"/>
  <c r="W10" i="1"/>
  <c r="S11" i="1"/>
  <c r="AA13" i="1"/>
  <c r="Z13" i="1"/>
  <c r="X13" i="1"/>
  <c r="W13" i="1"/>
  <c r="X17" i="1"/>
  <c r="U26" i="1"/>
  <c r="V26" i="1" s="1"/>
  <c r="S26" i="1"/>
  <c r="U30" i="1"/>
  <c r="V30" i="1" s="1"/>
  <c r="S30" i="1"/>
  <c r="U34" i="1"/>
  <c r="V34" i="1" s="1"/>
  <c r="S34" i="1"/>
  <c r="U38" i="1"/>
  <c r="V38" i="1" s="1"/>
  <c r="S38" i="1"/>
  <c r="U42" i="1"/>
  <c r="V42" i="1" s="1"/>
  <c r="S42" i="1"/>
  <c r="U40" i="1"/>
  <c r="V40" i="1" s="1"/>
  <c r="S40" i="1"/>
  <c r="U17" i="1"/>
  <c r="V17" i="1" s="1"/>
  <c r="S17" i="1"/>
  <c r="AC31" i="1"/>
  <c r="AA35" i="1"/>
  <c r="Z35" i="1"/>
  <c r="X35" i="1"/>
  <c r="W35" i="1"/>
  <c r="W36" i="1"/>
  <c r="AA43" i="1"/>
  <c r="Z43" i="1"/>
  <c r="X43" i="1"/>
  <c r="W43" i="1"/>
  <c r="AD52" i="1"/>
  <c r="X7" i="1"/>
  <c r="W9" i="1"/>
  <c r="W14" i="1"/>
  <c r="U18" i="1"/>
  <c r="V18" i="1" s="1"/>
  <c r="AC20" i="1"/>
  <c r="AC22" i="1"/>
  <c r="AC24" i="1"/>
  <c r="AE48" i="1"/>
  <c r="U20" i="1"/>
  <c r="V20" i="1" s="1"/>
  <c r="S20" i="1"/>
  <c r="U13" i="1"/>
  <c r="V13" i="1" s="1"/>
  <c r="W28" i="1"/>
  <c r="AC35" i="1"/>
  <c r="U48" i="1"/>
  <c r="V48" i="1" s="1"/>
  <c r="S48" i="1"/>
  <c r="K52" i="1"/>
  <c r="U12" i="1"/>
  <c r="V12" i="1" s="1"/>
  <c r="S12" i="1"/>
  <c r="AC17" i="1"/>
  <c r="AA25" i="1"/>
  <c r="Z25" i="1"/>
  <c r="X25" i="1"/>
  <c r="W25" i="1"/>
  <c r="W26" i="1"/>
  <c r="V27" i="1"/>
  <c r="AA29" i="1"/>
  <c r="Z29" i="1"/>
  <c r="X29" i="1"/>
  <c r="W29" i="1"/>
  <c r="AC29" i="1"/>
  <c r="W30" i="1"/>
  <c r="V31" i="1"/>
  <c r="AA33" i="1"/>
  <c r="Z33" i="1"/>
  <c r="X33" i="1"/>
  <c r="W33" i="1"/>
  <c r="AC33" i="1"/>
  <c r="W34" i="1"/>
  <c r="V35" i="1"/>
  <c r="AA37" i="1"/>
  <c r="Z37" i="1"/>
  <c r="X37" i="1"/>
  <c r="W37" i="1"/>
  <c r="AC37" i="1"/>
  <c r="W38" i="1"/>
  <c r="V39" i="1"/>
  <c r="AA41" i="1"/>
  <c r="Z41" i="1"/>
  <c r="X41" i="1"/>
  <c r="W41" i="1"/>
  <c r="AC41" i="1"/>
  <c r="V43" i="1"/>
  <c r="AC45" i="1"/>
  <c r="AA45" i="1"/>
  <c r="Z45" i="1"/>
  <c r="X45" i="1"/>
  <c r="W45" i="1"/>
  <c r="W46" i="1"/>
  <c r="AE47" i="1"/>
  <c r="AA8" i="1"/>
  <c r="Z8" i="1"/>
  <c r="X8" i="1"/>
  <c r="W8" i="1"/>
  <c r="U32" i="1"/>
  <c r="V32" i="1" s="1"/>
  <c r="S32" i="1"/>
  <c r="AE9" i="1"/>
  <c r="U24" i="1"/>
  <c r="V24" i="1" s="1"/>
  <c r="S24" i="1"/>
  <c r="S46" i="1"/>
  <c r="U7" i="1"/>
  <c r="V7" i="1" s="1"/>
  <c r="S7" i="1"/>
  <c r="AA27" i="1"/>
  <c r="Z27" i="1"/>
  <c r="X27" i="1"/>
  <c r="W27" i="1"/>
  <c r="W44" i="1"/>
  <c r="S25" i="1"/>
  <c r="AE32" i="1"/>
  <c r="AA42" i="1"/>
  <c r="Z42" i="1"/>
  <c r="U45" i="1"/>
  <c r="V45" i="1" s="1"/>
  <c r="P52" i="1"/>
  <c r="AC7" i="1"/>
  <c r="U8" i="1"/>
  <c r="V8" i="1" s="1"/>
  <c r="R52" i="1"/>
  <c r="U6" i="1"/>
  <c r="V6" i="1" s="1"/>
  <c r="U9" i="1"/>
  <c r="V9" i="1" s="1"/>
  <c r="S9" i="1"/>
  <c r="AC18" i="1"/>
  <c r="AA18" i="1"/>
  <c r="Z18" i="1"/>
  <c r="X18" i="1"/>
  <c r="W18" i="1"/>
  <c r="S19" i="1"/>
  <c r="S21" i="1"/>
  <c r="S23" i="1"/>
  <c r="S27" i="1"/>
  <c r="S31" i="1"/>
  <c r="S35" i="1"/>
  <c r="S39" i="1"/>
  <c r="X42" i="1"/>
  <c r="S43" i="1"/>
  <c r="AA44" i="1"/>
  <c r="Z44" i="1"/>
  <c r="S49" i="1"/>
  <c r="U49" i="1"/>
  <c r="V49" i="1" s="1"/>
  <c r="S50" i="1"/>
  <c r="U50" i="1"/>
  <c r="V50" i="1" s="1"/>
  <c r="AC6" i="1"/>
  <c r="Z7" i="1"/>
  <c r="AA9" i="1"/>
  <c r="AC11" i="1"/>
  <c r="Z12" i="1"/>
  <c r="X15" i="1"/>
  <c r="AA17" i="1"/>
  <c r="AC19" i="1"/>
  <c r="X20" i="1"/>
  <c r="AC21" i="1"/>
  <c r="X22" i="1"/>
  <c r="AC23" i="1"/>
  <c r="X24" i="1"/>
  <c r="Z26" i="1"/>
  <c r="Z28" i="1"/>
  <c r="Z30" i="1"/>
  <c r="Z32" i="1"/>
  <c r="Z34" i="1"/>
  <c r="Z36" i="1"/>
  <c r="Z38" i="1"/>
  <c r="Z40" i="1"/>
  <c r="AC50" i="1"/>
  <c r="AA7" i="1"/>
  <c r="AA12" i="1"/>
  <c r="AC14" i="1"/>
  <c r="Z15" i="1"/>
  <c r="Z20" i="1"/>
  <c r="Z22" i="1"/>
  <c r="Z24" i="1"/>
  <c r="AA26" i="1"/>
  <c r="AA28" i="1"/>
  <c r="AA30" i="1"/>
  <c r="AA32" i="1"/>
  <c r="AA34" i="1"/>
  <c r="AA36" i="1"/>
  <c r="AA38" i="1"/>
  <c r="AA40" i="1"/>
  <c r="W49" i="1"/>
  <c r="AA15" i="1"/>
  <c r="W16" i="1"/>
  <c r="AA20" i="1"/>
  <c r="AA22" i="1"/>
  <c r="AA24" i="1"/>
  <c r="X49" i="1"/>
  <c r="W6" i="1"/>
  <c r="W11" i="1"/>
  <c r="AG11" i="1" s="1"/>
  <c r="X16" i="1"/>
  <c r="W19" i="1"/>
  <c r="W21" i="1"/>
  <c r="W23" i="1"/>
  <c r="X46" i="1"/>
  <c r="Z49" i="1"/>
  <c r="W50" i="1"/>
  <c r="Z46" i="1"/>
  <c r="W47" i="1"/>
  <c r="X50" i="1"/>
  <c r="AB14" i="1" l="1"/>
  <c r="AG26" i="1"/>
  <c r="AG21" i="1"/>
  <c r="AG19" i="1"/>
  <c r="AG12" i="1"/>
  <c r="AB21" i="1"/>
  <c r="AG48" i="1"/>
  <c r="AB23" i="1"/>
  <c r="AB48" i="1"/>
  <c r="AB19" i="1"/>
  <c r="AB9" i="1"/>
  <c r="AG38" i="1"/>
  <c r="AG23" i="1"/>
  <c r="AB34" i="1"/>
  <c r="AG32" i="1"/>
  <c r="AB26" i="1"/>
  <c r="AG36" i="1"/>
  <c r="AB28" i="1"/>
  <c r="AB44" i="1"/>
  <c r="AG44" i="1"/>
  <c r="AB38" i="1"/>
  <c r="X52" i="1"/>
  <c r="AG30" i="1"/>
  <c r="AG34" i="1"/>
  <c r="AB40" i="1"/>
  <c r="AB6" i="1"/>
  <c r="AA52" i="1"/>
  <c r="AB32" i="1"/>
  <c r="AB12" i="1"/>
  <c r="AB36" i="1"/>
  <c r="AB30" i="1"/>
  <c r="AB15" i="1"/>
  <c r="AE15" i="1"/>
  <c r="AG15" i="1" s="1"/>
  <c r="AE24" i="1"/>
  <c r="AG24" i="1" s="1"/>
  <c r="AB24" i="1"/>
  <c r="AE29" i="1"/>
  <c r="AG29" i="1" s="1"/>
  <c r="AB29" i="1"/>
  <c r="AB49" i="1"/>
  <c r="AE49" i="1"/>
  <c r="AG49" i="1" s="1"/>
  <c r="AE33" i="1"/>
  <c r="AG33" i="1" s="1"/>
  <c r="AB33" i="1"/>
  <c r="AE31" i="1"/>
  <c r="AG31" i="1" s="1"/>
  <c r="AB31" i="1"/>
  <c r="W52" i="1"/>
  <c r="AG6" i="1"/>
  <c r="AE35" i="1"/>
  <c r="AG35" i="1" s="1"/>
  <c r="AB35" i="1"/>
  <c r="AE46" i="1"/>
  <c r="AG46" i="1" s="1"/>
  <c r="AB46" i="1"/>
  <c r="AB22" i="1"/>
  <c r="AE22" i="1"/>
  <c r="AG22" i="1" s="1"/>
  <c r="AE37" i="1"/>
  <c r="AG37" i="1" s="1"/>
  <c r="AB37" i="1"/>
  <c r="AG28" i="1"/>
  <c r="Z52" i="1"/>
  <c r="AE41" i="1"/>
  <c r="AG41" i="1" s="1"/>
  <c r="AB41" i="1"/>
  <c r="AE43" i="1"/>
  <c r="AG43" i="1" s="1"/>
  <c r="AB43" i="1"/>
  <c r="AB10" i="1"/>
  <c r="AE10" i="1"/>
  <c r="AG10" i="1" s="1"/>
  <c r="AG14" i="1"/>
  <c r="AE17" i="1"/>
  <c r="AG17" i="1" s="1"/>
  <c r="AB17" i="1"/>
  <c r="AC52" i="1"/>
  <c r="AB18" i="1"/>
  <c r="AE18" i="1"/>
  <c r="AG18" i="1" s="1"/>
  <c r="AE8" i="1"/>
  <c r="AG8" i="1" s="1"/>
  <c r="AB8" i="1"/>
  <c r="AG9" i="1"/>
  <c r="AE39" i="1"/>
  <c r="AG39" i="1" s="1"/>
  <c r="AB39" i="1"/>
  <c r="AB20" i="1"/>
  <c r="AE20" i="1"/>
  <c r="AG20" i="1" s="1"/>
  <c r="AE42" i="1"/>
  <c r="AG42" i="1" s="1"/>
  <c r="AB42" i="1"/>
  <c r="AB45" i="1"/>
  <c r="AE45" i="1"/>
  <c r="AG45" i="1" s="1"/>
  <c r="AB50" i="1"/>
  <c r="AE50" i="1"/>
  <c r="AG50" i="1" s="1"/>
  <c r="AG47" i="1"/>
  <c r="AE16" i="1"/>
  <c r="AG16" i="1" s="1"/>
  <c r="AB16" i="1"/>
  <c r="AE27" i="1"/>
  <c r="AG27" i="1" s="1"/>
  <c r="AB27" i="1"/>
  <c r="AE25" i="1"/>
  <c r="AG25" i="1" s="1"/>
  <c r="AB25" i="1"/>
  <c r="AE7" i="1"/>
  <c r="AG7" i="1" s="1"/>
  <c r="AB7" i="1"/>
  <c r="AB13" i="1"/>
  <c r="AE13" i="1"/>
  <c r="AG13" i="1" s="1"/>
  <c r="AB52" i="1" l="1"/>
  <c r="AE52" i="1"/>
  <c r="AG52" i="1"/>
</calcChain>
</file>

<file path=xl/sharedStrings.xml><?xml version="1.0" encoding="utf-8"?>
<sst xmlns="http://schemas.openxmlformats.org/spreadsheetml/2006/main" count="256" uniqueCount="167">
  <si>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</si>
  <si>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</si>
  <si>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</si>
  <si>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</si>
  <si>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</si>
  <si>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</si>
  <si>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</si>
  <si>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</si>
  <si>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</si>
  <si>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</si>
  <si>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</si>
  <si>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</si>
  <si>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DIAS DE VAC CORRESP DEL PERIODO</t>
  </si>
  <si>
    <t>VAC</t>
  </si>
  <si>
    <t>DIAS DE VAC CORRESP DEL AÑO</t>
  </si>
  <si>
    <t>PRIMA VAC TOTAL</t>
  </si>
  <si>
    <t>PRIMA VAC PAGADA EN NOM 18</t>
  </si>
  <si>
    <t xml:space="preserve">PRIMA VAC A PAGAR 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</si>
  <si>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</si>
  <si>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</si>
  <si>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</si>
  <si>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</si>
  <si>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</si>
  <si>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</si>
  <si>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</si>
  <si>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</si>
  <si>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</si>
  <si>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</si>
  <si>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0120-006</t>
  </si>
  <si>
    <t>Flores Terrones Mayra Paulina</t>
  </si>
  <si>
    <t>Confianza</t>
  </si>
  <si>
    <t>Direccion de Planeación</t>
  </si>
  <si>
    <t>Coordinadora de Protocolo y Eventos</t>
  </si>
  <si>
    <t>0120-009</t>
  </si>
  <si>
    <t>López Campos Jorge Enrique</t>
  </si>
  <si>
    <t>Dirección de Conocimiento</t>
  </si>
  <si>
    <t>Director de Conocimiento</t>
  </si>
  <si>
    <t>0120-010</t>
  </si>
  <si>
    <t>Rentería Villaseñor Pablo Arturo</t>
  </si>
  <si>
    <t>Dirección de Innovación y Tecnología</t>
  </si>
  <si>
    <t>Director de Innovación y Tecnología</t>
  </si>
  <si>
    <t>0120-007</t>
  </si>
  <si>
    <t xml:space="preserve">Cruz Gutiérrez Alejandra </t>
  </si>
  <si>
    <t>Coordinadora de Diseño de Programas y Cursos</t>
  </si>
  <si>
    <t>0120-011</t>
  </si>
  <si>
    <t>Santana González Alejandra</t>
  </si>
  <si>
    <t>Coordinadora de Planeación</t>
  </si>
  <si>
    <t>0120-008</t>
  </si>
  <si>
    <t>Higashi Minami Sergio Ramón Itsuo</t>
  </si>
  <si>
    <t>Coordinador de Redes y Servidores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</si>
  <si>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</si>
  <si>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</si>
  <si>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</si>
  <si>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</si>
  <si>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</si>
  <si>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</si>
  <si>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</si>
  <si>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0120-015</t>
  </si>
  <si>
    <t>Caballero Saucedo Claudia</t>
  </si>
  <si>
    <t>Coordinadora de Comunicación Social</t>
  </si>
  <si>
    <t>0120-014</t>
  </si>
  <si>
    <t>Martínez Torres Armando</t>
  </si>
  <si>
    <t>Coordinadora de Arquitectura de Software</t>
  </si>
  <si>
    <t>0120-016</t>
  </si>
  <si>
    <t>García Toscano Jesús Antonio</t>
  </si>
  <si>
    <t>Coordinador de Operación de Plataformas</t>
  </si>
  <si>
    <t>0120-003</t>
  </si>
  <si>
    <t xml:space="preserve">De Santos Alba Carmen Jemina </t>
  </si>
  <si>
    <t>Coordinadora de Diseño Instruccional</t>
  </si>
  <si>
    <t>0120-005</t>
  </si>
  <si>
    <t>Niño Montoya Margarita</t>
  </si>
  <si>
    <t>Director de Planeación</t>
  </si>
  <si>
    <t>0120-001</t>
  </si>
  <si>
    <t>Mireles Torres Nadia Paola</t>
  </si>
  <si>
    <t>Dirección General</t>
  </si>
  <si>
    <t>Directora General de la Plataforma Abierta de Innovación</t>
  </si>
  <si>
    <t>0320-024</t>
  </si>
  <si>
    <t xml:space="preserve">Rodríguez Rubio David </t>
  </si>
  <si>
    <t>Responsable de Producción</t>
  </si>
  <si>
    <t>0320-020</t>
  </si>
  <si>
    <t xml:space="preserve">Sánchez Gálvez Loren Michel </t>
  </si>
  <si>
    <t>Análisis Estadístico</t>
  </si>
  <si>
    <t>0320-026</t>
  </si>
  <si>
    <t xml:space="preserve">Acosta Ponce Natalia </t>
  </si>
  <si>
    <t>Analista Escritor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</si>
  <si>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</si>
  <si>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</si>
  <si>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</si>
  <si>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</si>
  <si>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</si>
  <si>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</si>
  <si>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0320-022</t>
  </si>
  <si>
    <t xml:space="preserve">Fernández Hernández Iván </t>
  </si>
  <si>
    <t>Operador de Laboratorios de Innovación</t>
  </si>
  <si>
    <t>0320-029</t>
  </si>
  <si>
    <t>Corona Sánchez Graciella Suzannet</t>
  </si>
  <si>
    <t>Responsable de Seguimiento al Aprendizaje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</si>
  <si>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</si>
  <si>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</si>
  <si>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</si>
  <si>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</si>
  <si>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</si>
  <si>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</si>
  <si>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0320-023</t>
  </si>
  <si>
    <t>Jaramillo Rodríguez Ruth Dayra</t>
  </si>
  <si>
    <t>Auxiliar de Diseño Instruccional</t>
  </si>
  <si>
    <t>0420-032</t>
  </si>
  <si>
    <t xml:space="preserve">Domínguez Navarro Mariana </t>
  </si>
  <si>
    <t>Analista de Recursos Humanos y Nómina</t>
  </si>
  <si>
    <t>0420-036</t>
  </si>
  <si>
    <t>Soto Maldonado Héctor Daniel</t>
  </si>
  <si>
    <t>Especialista en Investigación e Innovación</t>
  </si>
  <si>
    <t>0420-034</t>
  </si>
  <si>
    <t>Salas Jimenez Héctor Alejandro</t>
  </si>
  <si>
    <t>Especialista en Ciberseguridad</t>
  </si>
  <si>
    <t>0420-030</t>
  </si>
  <si>
    <t>Espino Guerrero José Luis</t>
  </si>
  <si>
    <t>Jefe Administrativo</t>
  </si>
  <si>
    <t>0420-037</t>
  </si>
  <si>
    <t xml:space="preserve">Flores Solano Jorge Ismael </t>
  </si>
  <si>
    <t>Auxiliar Especialista en Plataformas Tecnológicas</t>
  </si>
  <si>
    <t>0420-035</t>
  </si>
  <si>
    <t xml:space="preserve">Martínez Sarabía Francisco Jesús </t>
  </si>
  <si>
    <t>Coordinador de Alianzas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</si>
  <si>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</si>
  <si>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</si>
  <si>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</si>
  <si>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</si>
  <si>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</si>
  <si>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0320-025</t>
  </si>
  <si>
    <t>Hernández Villanueva Ivette Eugenia</t>
  </si>
  <si>
    <t>Recepcionista</t>
  </si>
  <si>
    <t>0620-043</t>
  </si>
  <si>
    <t xml:space="preserve">Sangabriel Martínez Sunni Araceli </t>
  </si>
  <si>
    <t>Técnico Administrativo A</t>
  </si>
  <si>
    <t>0620-042</t>
  </si>
  <si>
    <t>González Domínguez Jennyfer</t>
  </si>
  <si>
    <t>0620-041</t>
  </si>
  <si>
    <t xml:space="preserve">Lara Abarca Laura Andrea </t>
  </si>
  <si>
    <t>0520-040</t>
  </si>
  <si>
    <t>Cervera Zambrano David Adrián</t>
  </si>
  <si>
    <t>0620-044</t>
  </si>
  <si>
    <t xml:space="preserve">Alvarado López Francisco José </t>
  </si>
  <si>
    <t>Auxiliar de Comunicación Social</t>
  </si>
  <si>
    <t>0620-045</t>
  </si>
  <si>
    <t xml:space="preserve">Carrazco Castañeda Candice </t>
  </si>
  <si>
    <t>Secretaria de Dirección General</t>
  </si>
  <si>
    <t>0820-046</t>
  </si>
  <si>
    <t>Hernández Larios José Luis</t>
  </si>
  <si>
    <t>Chofer Mensajero</t>
  </si>
  <si>
    <t>0920-048</t>
  </si>
  <si>
    <t xml:space="preserve">Hernández Orozco Alejandro </t>
  </si>
  <si>
    <t>Auxiliar de Produccion</t>
  </si>
  <si>
    <t>0920-047</t>
  </si>
  <si>
    <t>Sauceda Aguilar Carlos</t>
  </si>
  <si>
    <t>Ayudante General</t>
  </si>
  <si>
    <t>1020-049</t>
  </si>
  <si>
    <t>Guzmán Hernández J. Jesús</t>
  </si>
  <si>
    <t>Supervisor de Almacén</t>
  </si>
  <si>
    <t>0120-004</t>
  </si>
  <si>
    <t>Gleason Chimal Karla Paulina</t>
  </si>
  <si>
    <t>Coordinador de Desarrollo Multimedia</t>
  </si>
  <si>
    <t>1020-050</t>
  </si>
  <si>
    <t>Núñez Enriquez Luis Humberto</t>
  </si>
  <si>
    <t>PLATAFORMA ABIERTA DE INNOVACIÓN Y DESARROLLO DE JALISCO</t>
  </si>
  <si>
    <t>Nómina quincenal 2020</t>
  </si>
  <si>
    <t>Período: del 16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</si>
</sst>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#,##0.00_ ;"/>
    <numFmt numFmtId="166" formatCode="#,##0_ ;"/>
    <numFmt numFmtId="167" formatCode="#,##0.00;\(#,##0.00\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0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Alignment="1"/>
    <xf numFmtId="0" fontId="7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0" fontId="8" fillId="0" borderId="2" xfId="0" applyFont="1" applyBorder="1" applyAlignment="1"/>
    <xf numFmtId="0" fontId="6" fillId="0" borderId="2" xfId="0" applyFont="1" applyBorder="1"/>
    <xf numFmtId="0" fontId="6" fillId="0" borderId="2" xfId="0" applyFont="1" applyBorder="1" applyAlignment="1"/>
    <xf numFmtId="167" fontId="7" fillId="0" borderId="2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/>
    <xf numFmtId="165" fontId="7" fillId="3" borderId="2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/>
    <xf numFmtId="165" fontId="7" fillId="3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165" fontId="7" fillId="0" borderId="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/>
    <xf numFmtId="164" fontId="6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0" fontId="10" fillId="4" borderId="9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right" vertical="center"/>
    </xf>
    <xf numFmtId="4" fontId="10" fillId="4" borderId="11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/>
    </xf>
  </cellXfs>
  <cellStyles count="2">
    <cellStyle name="Normal" xfId="0" builtinId="0"/>
    <cellStyle name="Normal 2" xfId="1" xr:uid="{FF2068D5-8A0E-45B7-BECC-A5353F22E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1457325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150AF4-74C9-4D15-9FB8-CD64EEF3D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54"/>
  <sheetViews>
    <sheetView tabSelected="1" workbookViewId="0">
      <selection activeCell="A4" sqref="A4"/>
    </sheetView>
  </sheetViews>
  <sheetFormatPr baseColWidth="10" defaultColWidth="14.42578125" defaultRowHeight="15" x14ac:dyDescent="0.3"/>
  <cols>
    <col min="1" max="1" width="11.85546875" style="9" bestFit="1" customWidth="1"/>
    <col min="2" max="2" width="41.5703125" style="9" bestFit="1" customWidth="1"/>
    <col min="3" max="3" width="8.5703125" style="9" bestFit="1" customWidth="1"/>
    <col min="4" max="4" width="6.28515625" style="9" bestFit="1" customWidth="1"/>
    <col min="5" max="5" width="12" style="9" bestFit="1" customWidth="1"/>
    <col min="6" max="6" width="41.42578125" style="9" bestFit="1" customWidth="1"/>
    <col min="7" max="7" width="63.85546875" style="9" bestFit="1" customWidth="1"/>
    <col min="8" max="8" width="9.85546875" style="9" bestFit="1" customWidth="1"/>
    <col min="9" max="10" width="11.85546875" style="9" bestFit="1" customWidth="1"/>
    <col min="11" max="11" width="14.42578125" style="9" bestFit="1" customWidth="1"/>
    <col min="12" max="12" width="11.28515625" style="9" bestFit="1" customWidth="1"/>
    <col min="13" max="13" width="11.42578125" style="9" bestFit="1" customWidth="1"/>
    <col min="14" max="14" width="13.28515625" style="9" bestFit="1" customWidth="1"/>
    <col min="15" max="15" width="13.140625" style="9" bestFit="1" customWidth="1"/>
    <col min="16" max="16" width="12.85546875" style="9" bestFit="1" customWidth="1"/>
    <col min="17" max="17" width="15.85546875" style="9" bestFit="1" customWidth="1"/>
    <col min="18" max="18" width="17.7109375" style="9" bestFit="1" customWidth="1"/>
    <col min="19" max="19" width="6.5703125" style="9" bestFit="1" customWidth="1"/>
    <col min="20" max="20" width="10" style="9" bestFit="1" customWidth="1"/>
    <col min="21" max="21" width="11.85546875" style="9" bestFit="1" customWidth="1"/>
    <col min="22" max="22" width="4" style="9" bestFit="1" customWidth="1"/>
    <col min="23" max="23" width="20.7109375" style="9" customWidth="1"/>
    <col min="24" max="24" width="16.5703125" style="9" bestFit="1" customWidth="1"/>
    <col min="25" max="25" width="14.5703125" style="9" customWidth="1"/>
    <col min="26" max="26" width="14" style="9" bestFit="1" customWidth="1"/>
    <col min="27" max="27" width="11.42578125" style="9" bestFit="1" customWidth="1"/>
    <col min="28" max="28" width="14" style="9" bestFit="1" customWidth="1"/>
    <col min="29" max="29" width="9.5703125" style="9" bestFit="1" customWidth="1"/>
    <col min="30" max="30" width="11.42578125" style="9" bestFit="1" customWidth="1"/>
    <col min="31" max="31" width="17.42578125" style="9" bestFit="1" customWidth="1"/>
    <col min="32" max="32" width="12.140625" style="9" bestFit="1" customWidth="1"/>
    <col min="33" max="33" width="13.5703125" style="9" bestFit="1" customWidth="1"/>
    <col min="34" max="16384" width="14.42578125" style="9"/>
  </cols>
  <sheetData>
    <row r="1" spans="1:33" ht="24" x14ac:dyDescent="0.3">
      <c r="A1" s="58" t="s">
        <v>164</v>
      </c>
      <c r="B1" s="58"/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33" ht="18.75" x14ac:dyDescent="0.3">
      <c r="A2" s="59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33" ht="18" x14ac:dyDescent="0.3">
      <c r="A3" s="60" t="s">
        <v>166</v>
      </c>
      <c r="B3" s="60"/>
      <c r="C3" s="60"/>
      <c r="D3" s="60"/>
      <c r="E3" s="60"/>
      <c r="F3" s="60"/>
      <c r="G3" s="60"/>
      <c r="H3" s="60"/>
      <c r="I3" s="60"/>
      <c r="J3" s="60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33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33" ht="112.5" x14ac:dyDescent="0.3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2" t="s">
        <v>10</v>
      </c>
      <c r="L5" s="2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5"/>
      <c r="T5" s="5"/>
      <c r="U5" s="5"/>
      <c r="V5" s="5"/>
      <c r="W5" s="5" t="s">
        <v>18</v>
      </c>
      <c r="X5" s="5" t="s">
        <v>19</v>
      </c>
      <c r="Y5" s="4" t="s">
        <v>20</v>
      </c>
      <c r="Z5" s="5" t="s">
        <v>21</v>
      </c>
      <c r="AA5" s="6" t="s">
        <v>22</v>
      </c>
      <c r="AB5" s="7" t="s">
        <v>23</v>
      </c>
      <c r="AC5" s="8" t="s">
        <v>24</v>
      </c>
      <c r="AD5" s="5" t="s">
        <v>25</v>
      </c>
      <c r="AE5" s="5" t="s">
        <v>26</v>
      </c>
      <c r="AF5" s="5"/>
      <c r="AG5" s="5" t="s">
        <v>27</v>
      </c>
    </row>
    <row r="6" spans="1:33" ht="18" x14ac:dyDescent="0.35">
      <c r="A6" s="13" t="s">
        <v>28</v>
      </c>
      <c r="B6" s="14" t="s">
        <v>29</v>
      </c>
      <c r="C6" s="15">
        <v>16</v>
      </c>
      <c r="D6" s="15">
        <v>40</v>
      </c>
      <c r="E6" s="15" t="s">
        <v>30</v>
      </c>
      <c r="F6" s="16" t="s">
        <v>31</v>
      </c>
      <c r="G6" s="17" t="s">
        <v>32</v>
      </c>
      <c r="H6" s="18">
        <v>5</v>
      </c>
      <c r="I6" s="19">
        <v>22832</v>
      </c>
      <c r="J6" s="19">
        <f t="shared" ref="J6:J50" si="0">I6/30*H6</f>
        <v>3805.3333333333335</v>
      </c>
      <c r="K6" s="20">
        <f>1247/2</f>
        <v>623.5</v>
      </c>
      <c r="L6" s="21">
        <f>999/2</f>
        <v>499.5</v>
      </c>
      <c r="M6" s="22">
        <v>10</v>
      </c>
      <c r="N6" s="21">
        <f t="shared" ref="N6:N44" si="1">I6/30*M6</f>
        <v>7610.666666666667</v>
      </c>
      <c r="O6" s="23">
        <v>20</v>
      </c>
      <c r="P6" s="21">
        <f t="shared" ref="P6:P50" si="2">((I6/30)*O6)*0.25</f>
        <v>3805.3333333333335</v>
      </c>
      <c r="Q6" s="20">
        <v>1331.8666666666668</v>
      </c>
      <c r="R6" s="20">
        <f t="shared" ref="R6:R50" si="3">P6-Q6</f>
        <v>2473.4666666666667</v>
      </c>
      <c r="S6" s="20">
        <f t="shared" ref="S6:S50" si="4">R6/T6</f>
        <v>3.25</v>
      </c>
      <c r="T6" s="20">
        <f t="shared" ref="T6:T50" si="5">I6/30</f>
        <v>761.06666666666672</v>
      </c>
      <c r="U6" s="20">
        <f t="shared" ref="U6:U50" si="6">R6*100/25</f>
        <v>9893.8666666666668</v>
      </c>
      <c r="V6" s="22">
        <f t="shared" ref="V6:V50" si="7">U6/T6</f>
        <v>13</v>
      </c>
      <c r="W6" s="20">
        <f t="shared" ref="W6:W50" si="8">J6+K6+L6+N6+R6</f>
        <v>15012.466666666667</v>
      </c>
      <c r="X6" s="20">
        <f t="shared" ref="X6:X50" si="9">(J6+N6)*0.115</f>
        <v>1312.8400000000001</v>
      </c>
      <c r="Y6" s="20"/>
      <c r="Z6" s="20">
        <f t="shared" ref="Z6:Z50" si="10">(J6+N6)*0.175</f>
        <v>1997.8</v>
      </c>
      <c r="AA6" s="20">
        <f t="shared" ref="AA6:AA50" si="11">(J6+N6)*0.03</f>
        <v>342.47999999999996</v>
      </c>
      <c r="AB6" s="20">
        <f t="shared" ref="AB6:AB50" si="12">X6+Y6+Z6+AA6</f>
        <v>3653.1200000000003</v>
      </c>
      <c r="AC6" s="20">
        <f t="shared" ref="AC6:AC50" si="13">(J6+N6)*0.02</f>
        <v>228.32</v>
      </c>
      <c r="AD6" s="20">
        <f>2291.98-0.37</f>
        <v>2291.61</v>
      </c>
      <c r="AE6" s="20">
        <f t="shared" ref="AE6:AE7" si="14">+X6+AD6</f>
        <v>3604.4500000000003</v>
      </c>
      <c r="AF6" s="24">
        <v>-1211.02</v>
      </c>
      <c r="AG6" s="20">
        <f t="shared" ref="AG6:AG50" si="15">+W6-AE6+AF6</f>
        <v>10196.996666666666</v>
      </c>
    </row>
    <row r="7" spans="1:33" ht="18" x14ac:dyDescent="0.35">
      <c r="A7" s="25" t="s">
        <v>33</v>
      </c>
      <c r="B7" s="14" t="s">
        <v>34</v>
      </c>
      <c r="C7" s="15">
        <v>23</v>
      </c>
      <c r="D7" s="15">
        <v>40</v>
      </c>
      <c r="E7" s="15" t="s">
        <v>30</v>
      </c>
      <c r="F7" s="26" t="s">
        <v>35</v>
      </c>
      <c r="G7" s="14" t="s">
        <v>36</v>
      </c>
      <c r="H7" s="18">
        <v>5</v>
      </c>
      <c r="I7" s="19">
        <v>47094</v>
      </c>
      <c r="J7" s="19">
        <f t="shared" si="0"/>
        <v>7849</v>
      </c>
      <c r="K7" s="20">
        <f t="shared" ref="K7:K8" si="16">1920/2</f>
        <v>960</v>
      </c>
      <c r="L7" s="20">
        <f t="shared" ref="L7:L8" si="17">1376/2</f>
        <v>688</v>
      </c>
      <c r="M7" s="22">
        <v>10</v>
      </c>
      <c r="N7" s="21">
        <f t="shared" si="1"/>
        <v>15698</v>
      </c>
      <c r="O7" s="23">
        <v>20</v>
      </c>
      <c r="P7" s="21">
        <f t="shared" si="2"/>
        <v>7849</v>
      </c>
      <c r="Q7" s="20">
        <v>1962.25</v>
      </c>
      <c r="R7" s="20">
        <f t="shared" si="3"/>
        <v>5886.75</v>
      </c>
      <c r="S7" s="20">
        <f t="shared" si="4"/>
        <v>3.75</v>
      </c>
      <c r="T7" s="20">
        <f t="shared" si="5"/>
        <v>1569.8</v>
      </c>
      <c r="U7" s="20">
        <f t="shared" si="6"/>
        <v>23547</v>
      </c>
      <c r="V7" s="22">
        <f t="shared" si="7"/>
        <v>15</v>
      </c>
      <c r="W7" s="20">
        <f t="shared" si="8"/>
        <v>31081.75</v>
      </c>
      <c r="X7" s="20">
        <f t="shared" si="9"/>
        <v>2707.9050000000002</v>
      </c>
      <c r="Y7" s="20"/>
      <c r="Z7" s="20">
        <f t="shared" si="10"/>
        <v>4120.7249999999995</v>
      </c>
      <c r="AA7" s="20">
        <f t="shared" si="11"/>
        <v>706.41</v>
      </c>
      <c r="AB7" s="20">
        <f t="shared" si="12"/>
        <v>7535.0399999999991</v>
      </c>
      <c r="AC7" s="20">
        <f t="shared" si="13"/>
        <v>470.94</v>
      </c>
      <c r="AD7" s="21">
        <f>6020.6+0.39</f>
        <v>6020.9900000000007</v>
      </c>
      <c r="AE7" s="20">
        <f t="shared" si="14"/>
        <v>8728.8950000000004</v>
      </c>
      <c r="AF7" s="24">
        <v>-3861.86</v>
      </c>
      <c r="AG7" s="20">
        <f t="shared" si="15"/>
        <v>18490.994999999999</v>
      </c>
    </row>
    <row r="8" spans="1:33" ht="18" x14ac:dyDescent="0.35">
      <c r="A8" s="13" t="s">
        <v>37</v>
      </c>
      <c r="B8" s="14" t="s">
        <v>38</v>
      </c>
      <c r="C8" s="15">
        <v>23</v>
      </c>
      <c r="D8" s="15">
        <v>40</v>
      </c>
      <c r="E8" s="15" t="s">
        <v>30</v>
      </c>
      <c r="F8" s="26" t="s">
        <v>39</v>
      </c>
      <c r="G8" s="17" t="s">
        <v>40</v>
      </c>
      <c r="H8" s="18">
        <v>5</v>
      </c>
      <c r="I8" s="19">
        <v>47094</v>
      </c>
      <c r="J8" s="19">
        <f t="shared" si="0"/>
        <v>7849</v>
      </c>
      <c r="K8" s="20">
        <f t="shared" si="16"/>
        <v>960</v>
      </c>
      <c r="L8" s="20">
        <f t="shared" si="17"/>
        <v>688</v>
      </c>
      <c r="M8" s="22">
        <v>10</v>
      </c>
      <c r="N8" s="21">
        <f t="shared" si="1"/>
        <v>15698</v>
      </c>
      <c r="O8" s="23">
        <v>20</v>
      </c>
      <c r="P8" s="21">
        <f t="shared" si="2"/>
        <v>7849</v>
      </c>
      <c r="Q8" s="20">
        <v>1962.25</v>
      </c>
      <c r="R8" s="20">
        <f t="shared" si="3"/>
        <v>5886.75</v>
      </c>
      <c r="S8" s="20">
        <f t="shared" si="4"/>
        <v>3.75</v>
      </c>
      <c r="T8" s="20">
        <f t="shared" si="5"/>
        <v>1569.8</v>
      </c>
      <c r="U8" s="20">
        <f t="shared" si="6"/>
        <v>23547</v>
      </c>
      <c r="V8" s="22">
        <f t="shared" si="7"/>
        <v>15</v>
      </c>
      <c r="W8" s="20">
        <f t="shared" si="8"/>
        <v>31081.75</v>
      </c>
      <c r="X8" s="20">
        <f t="shared" si="9"/>
        <v>2707.9050000000002</v>
      </c>
      <c r="Y8" s="20">
        <f>3364+1782.44</f>
        <v>5146.4400000000005</v>
      </c>
      <c r="Z8" s="20">
        <f t="shared" si="10"/>
        <v>4120.7249999999995</v>
      </c>
      <c r="AA8" s="20">
        <f t="shared" si="11"/>
        <v>706.41</v>
      </c>
      <c r="AB8" s="20">
        <f t="shared" si="12"/>
        <v>12681.48</v>
      </c>
      <c r="AC8" s="20">
        <f t="shared" si="13"/>
        <v>470.94</v>
      </c>
      <c r="AD8" s="21">
        <f>6020.6-0.05</f>
        <v>6020.55</v>
      </c>
      <c r="AE8" s="20">
        <f>+X8+Y8+AD8</f>
        <v>13874.895</v>
      </c>
      <c r="AF8" s="24">
        <v>-3861.86</v>
      </c>
      <c r="AG8" s="20">
        <f t="shared" si="15"/>
        <v>13344.994999999999</v>
      </c>
    </row>
    <row r="9" spans="1:33" ht="18" x14ac:dyDescent="0.35">
      <c r="A9" s="13" t="s">
        <v>41</v>
      </c>
      <c r="B9" s="14" t="s">
        <v>42</v>
      </c>
      <c r="C9" s="15">
        <v>16</v>
      </c>
      <c r="D9" s="15">
        <v>40</v>
      </c>
      <c r="E9" s="15" t="s">
        <v>30</v>
      </c>
      <c r="F9" s="26" t="s">
        <v>35</v>
      </c>
      <c r="G9" s="17" t="s">
        <v>43</v>
      </c>
      <c r="H9" s="18">
        <v>5</v>
      </c>
      <c r="I9" s="19">
        <v>22832</v>
      </c>
      <c r="J9" s="19">
        <f t="shared" si="0"/>
        <v>3805.3333333333335</v>
      </c>
      <c r="K9" s="20">
        <f t="shared" ref="K9:K11" si="18">1247/2</f>
        <v>623.5</v>
      </c>
      <c r="L9" s="21">
        <f t="shared" ref="L9:L11" si="19">999/2</f>
        <v>499.5</v>
      </c>
      <c r="M9" s="22">
        <v>10</v>
      </c>
      <c r="N9" s="21">
        <f t="shared" si="1"/>
        <v>7610.666666666667</v>
      </c>
      <c r="O9" s="23">
        <v>20</v>
      </c>
      <c r="P9" s="21">
        <f t="shared" si="2"/>
        <v>3805.3333333333335</v>
      </c>
      <c r="Q9" s="20">
        <v>951.33333333333337</v>
      </c>
      <c r="R9" s="20">
        <f t="shared" si="3"/>
        <v>2854</v>
      </c>
      <c r="S9" s="20">
        <f t="shared" si="4"/>
        <v>3.7499999999999996</v>
      </c>
      <c r="T9" s="20">
        <f t="shared" si="5"/>
        <v>761.06666666666672</v>
      </c>
      <c r="U9" s="20">
        <f t="shared" si="6"/>
        <v>11416</v>
      </c>
      <c r="V9" s="22">
        <f t="shared" si="7"/>
        <v>14.999999999999998</v>
      </c>
      <c r="W9" s="20">
        <f t="shared" si="8"/>
        <v>15393</v>
      </c>
      <c r="X9" s="20">
        <f t="shared" si="9"/>
        <v>1312.8400000000001</v>
      </c>
      <c r="Y9" s="20"/>
      <c r="Z9" s="20">
        <f t="shared" si="10"/>
        <v>1997.8</v>
      </c>
      <c r="AA9" s="20">
        <f t="shared" si="11"/>
        <v>342.47999999999996</v>
      </c>
      <c r="AB9" s="20">
        <f t="shared" si="12"/>
        <v>3653.1200000000003</v>
      </c>
      <c r="AC9" s="20">
        <f t="shared" si="13"/>
        <v>228.32</v>
      </c>
      <c r="AD9" s="20">
        <f t="shared" ref="AD9:AD10" si="20">2373.27-0.13</f>
        <v>2373.14</v>
      </c>
      <c r="AE9" s="20">
        <f t="shared" ref="AE9:AE18" si="21">+X9+AD9</f>
        <v>3685.98</v>
      </c>
      <c r="AF9" s="24">
        <v>-1211.02</v>
      </c>
      <c r="AG9" s="20">
        <f t="shared" si="15"/>
        <v>10496</v>
      </c>
    </row>
    <row r="10" spans="1:33" ht="18" x14ac:dyDescent="0.35">
      <c r="A10" s="13" t="s">
        <v>44</v>
      </c>
      <c r="B10" s="14" t="s">
        <v>45</v>
      </c>
      <c r="C10" s="15">
        <v>16</v>
      </c>
      <c r="D10" s="15">
        <v>40</v>
      </c>
      <c r="E10" s="15" t="s">
        <v>30</v>
      </c>
      <c r="F10" s="26" t="s">
        <v>35</v>
      </c>
      <c r="G10" s="17" t="s">
        <v>46</v>
      </c>
      <c r="H10" s="18">
        <v>5</v>
      </c>
      <c r="I10" s="19">
        <v>22832</v>
      </c>
      <c r="J10" s="19">
        <f t="shared" si="0"/>
        <v>3805.3333333333335</v>
      </c>
      <c r="K10" s="20">
        <f t="shared" si="18"/>
        <v>623.5</v>
      </c>
      <c r="L10" s="21">
        <f t="shared" si="19"/>
        <v>499.5</v>
      </c>
      <c r="M10" s="22">
        <v>10</v>
      </c>
      <c r="N10" s="21">
        <f t="shared" si="1"/>
        <v>7610.666666666667</v>
      </c>
      <c r="O10" s="23">
        <v>20</v>
      </c>
      <c r="P10" s="21">
        <f t="shared" si="2"/>
        <v>3805.3333333333335</v>
      </c>
      <c r="Q10" s="20">
        <v>951.33333333333337</v>
      </c>
      <c r="R10" s="20">
        <f t="shared" si="3"/>
        <v>2854</v>
      </c>
      <c r="S10" s="20">
        <f t="shared" si="4"/>
        <v>3.7499999999999996</v>
      </c>
      <c r="T10" s="20">
        <f t="shared" si="5"/>
        <v>761.06666666666672</v>
      </c>
      <c r="U10" s="20">
        <f t="shared" si="6"/>
        <v>11416</v>
      </c>
      <c r="V10" s="22">
        <f t="shared" si="7"/>
        <v>14.999999999999998</v>
      </c>
      <c r="W10" s="20">
        <f t="shared" si="8"/>
        <v>15393</v>
      </c>
      <c r="X10" s="20">
        <f t="shared" si="9"/>
        <v>1312.8400000000001</v>
      </c>
      <c r="Y10" s="20"/>
      <c r="Z10" s="20">
        <f t="shared" si="10"/>
        <v>1997.8</v>
      </c>
      <c r="AA10" s="20">
        <f t="shared" si="11"/>
        <v>342.47999999999996</v>
      </c>
      <c r="AB10" s="20">
        <f t="shared" si="12"/>
        <v>3653.1200000000003</v>
      </c>
      <c r="AC10" s="20">
        <f t="shared" si="13"/>
        <v>228.32</v>
      </c>
      <c r="AD10" s="20">
        <f t="shared" si="20"/>
        <v>2373.14</v>
      </c>
      <c r="AE10" s="20">
        <f t="shared" si="21"/>
        <v>3685.98</v>
      </c>
      <c r="AF10" s="24">
        <v>-1211.02</v>
      </c>
      <c r="AG10" s="20">
        <f t="shared" si="15"/>
        <v>10496</v>
      </c>
    </row>
    <row r="11" spans="1:33" ht="18" x14ac:dyDescent="0.35">
      <c r="A11" s="13" t="s">
        <v>47</v>
      </c>
      <c r="B11" s="14" t="s">
        <v>48</v>
      </c>
      <c r="C11" s="15">
        <v>16</v>
      </c>
      <c r="D11" s="15">
        <v>40</v>
      </c>
      <c r="E11" s="15" t="s">
        <v>30</v>
      </c>
      <c r="F11" s="26" t="s">
        <v>39</v>
      </c>
      <c r="G11" s="14" t="s">
        <v>49</v>
      </c>
      <c r="H11" s="18">
        <v>5</v>
      </c>
      <c r="I11" s="19">
        <v>22832</v>
      </c>
      <c r="J11" s="19">
        <f t="shared" si="0"/>
        <v>3805.3333333333335</v>
      </c>
      <c r="K11" s="20">
        <f t="shared" si="18"/>
        <v>623.5</v>
      </c>
      <c r="L11" s="21">
        <f t="shared" si="19"/>
        <v>499.5</v>
      </c>
      <c r="M11" s="22">
        <v>10</v>
      </c>
      <c r="N11" s="21">
        <f t="shared" si="1"/>
        <v>7610.666666666667</v>
      </c>
      <c r="O11" s="23">
        <v>20</v>
      </c>
      <c r="P11" s="21">
        <f t="shared" si="2"/>
        <v>3805.3333333333335</v>
      </c>
      <c r="Q11" s="20">
        <v>1902.6666666666667</v>
      </c>
      <c r="R11" s="20">
        <f t="shared" si="3"/>
        <v>1902.6666666666667</v>
      </c>
      <c r="S11" s="20">
        <f t="shared" si="4"/>
        <v>2.5</v>
      </c>
      <c r="T11" s="20">
        <f t="shared" si="5"/>
        <v>761.06666666666672</v>
      </c>
      <c r="U11" s="20">
        <f t="shared" si="6"/>
        <v>7610.6666666666679</v>
      </c>
      <c r="V11" s="22">
        <f t="shared" si="7"/>
        <v>10.000000000000002</v>
      </c>
      <c r="W11" s="20">
        <f t="shared" si="8"/>
        <v>14441.666666666666</v>
      </c>
      <c r="X11" s="20">
        <f t="shared" si="9"/>
        <v>1312.8400000000001</v>
      </c>
      <c r="Y11" s="20"/>
      <c r="Z11" s="20">
        <f t="shared" si="10"/>
        <v>1997.8</v>
      </c>
      <c r="AA11" s="20">
        <f t="shared" si="11"/>
        <v>342.47999999999996</v>
      </c>
      <c r="AB11" s="20">
        <f t="shared" si="12"/>
        <v>3653.1200000000003</v>
      </c>
      <c r="AC11" s="20">
        <f t="shared" si="13"/>
        <v>228.32</v>
      </c>
      <c r="AD11" s="20">
        <f>2170.33+0.48</f>
        <v>2170.81</v>
      </c>
      <c r="AE11" s="20">
        <f t="shared" si="21"/>
        <v>3483.65</v>
      </c>
      <c r="AF11" s="24">
        <v>-1210.02</v>
      </c>
      <c r="AG11" s="20">
        <f t="shared" si="15"/>
        <v>9747.996666666666</v>
      </c>
    </row>
    <row r="12" spans="1:33" ht="18" x14ac:dyDescent="0.35">
      <c r="A12" s="13" t="s">
        <v>50</v>
      </c>
      <c r="B12" s="14" t="s">
        <v>51</v>
      </c>
      <c r="C12" s="15">
        <v>15</v>
      </c>
      <c r="D12" s="15">
        <v>40</v>
      </c>
      <c r="E12" s="15" t="s">
        <v>30</v>
      </c>
      <c r="F12" s="26" t="s">
        <v>39</v>
      </c>
      <c r="G12" s="14" t="s">
        <v>52</v>
      </c>
      <c r="H12" s="18">
        <v>5</v>
      </c>
      <c r="I12" s="19">
        <v>20272</v>
      </c>
      <c r="J12" s="19">
        <f t="shared" si="0"/>
        <v>3378.666666666667</v>
      </c>
      <c r="K12" s="20">
        <f>1206/2</f>
        <v>603</v>
      </c>
      <c r="L12" s="21">
        <f>975/2</f>
        <v>487.5</v>
      </c>
      <c r="M12" s="22">
        <v>10</v>
      </c>
      <c r="N12" s="21">
        <f t="shared" si="1"/>
        <v>6757.3333333333339</v>
      </c>
      <c r="O12" s="23">
        <v>20</v>
      </c>
      <c r="P12" s="21">
        <f t="shared" si="2"/>
        <v>3378.666666666667</v>
      </c>
      <c r="Q12" s="20">
        <v>844.66666666666674</v>
      </c>
      <c r="R12" s="20">
        <f t="shared" si="3"/>
        <v>2534</v>
      </c>
      <c r="S12" s="20">
        <f t="shared" si="4"/>
        <v>3.75</v>
      </c>
      <c r="T12" s="20">
        <f t="shared" si="5"/>
        <v>675.73333333333335</v>
      </c>
      <c r="U12" s="20">
        <f t="shared" si="6"/>
        <v>10136</v>
      </c>
      <c r="V12" s="22">
        <f t="shared" si="7"/>
        <v>15</v>
      </c>
      <c r="W12" s="20">
        <f t="shared" si="8"/>
        <v>13760.5</v>
      </c>
      <c r="X12" s="20">
        <f t="shared" si="9"/>
        <v>1165.6400000000001</v>
      </c>
      <c r="Y12" s="20"/>
      <c r="Z12" s="20">
        <f t="shared" si="10"/>
        <v>1773.8</v>
      </c>
      <c r="AA12" s="20">
        <f t="shared" si="11"/>
        <v>304.08</v>
      </c>
      <c r="AB12" s="20">
        <f t="shared" si="12"/>
        <v>3243.52</v>
      </c>
      <c r="AC12" s="20">
        <f t="shared" si="13"/>
        <v>202.72</v>
      </c>
      <c r="AD12" s="20">
        <f>2063.03+0.49</f>
        <v>2063.52</v>
      </c>
      <c r="AE12" s="20">
        <f t="shared" si="21"/>
        <v>3229.16</v>
      </c>
      <c r="AF12" s="24">
        <v>-1074.3399999999999</v>
      </c>
      <c r="AG12" s="20">
        <f t="shared" si="15"/>
        <v>9457</v>
      </c>
    </row>
    <row r="13" spans="1:33" ht="18" x14ac:dyDescent="0.35">
      <c r="A13" s="13" t="s">
        <v>53</v>
      </c>
      <c r="B13" s="14" t="s">
        <v>54</v>
      </c>
      <c r="C13" s="10">
        <v>21</v>
      </c>
      <c r="D13" s="15">
        <v>40</v>
      </c>
      <c r="E13" s="15" t="s">
        <v>30</v>
      </c>
      <c r="F13" s="26" t="s">
        <v>55</v>
      </c>
      <c r="G13" s="27" t="s">
        <v>56</v>
      </c>
      <c r="H13" s="18">
        <v>5</v>
      </c>
      <c r="I13" s="19">
        <v>39023</v>
      </c>
      <c r="J13" s="19">
        <f t="shared" si="0"/>
        <v>6503.833333333333</v>
      </c>
      <c r="K13" s="20">
        <f>1808/2</f>
        <v>904</v>
      </c>
      <c r="L13" s="21">
        <f>1299/2</f>
        <v>649.5</v>
      </c>
      <c r="M13" s="22">
        <v>10</v>
      </c>
      <c r="N13" s="21">
        <f t="shared" si="1"/>
        <v>13007.666666666666</v>
      </c>
      <c r="O13" s="23">
        <v>20</v>
      </c>
      <c r="P13" s="21">
        <f t="shared" si="2"/>
        <v>6503.833333333333</v>
      </c>
      <c r="Q13" s="20">
        <v>3251.9166666666665</v>
      </c>
      <c r="R13" s="20">
        <f t="shared" si="3"/>
        <v>3251.9166666666665</v>
      </c>
      <c r="S13" s="20">
        <f t="shared" si="4"/>
        <v>2.5</v>
      </c>
      <c r="T13" s="20">
        <f t="shared" si="5"/>
        <v>1300.7666666666667</v>
      </c>
      <c r="U13" s="20">
        <f t="shared" si="6"/>
        <v>13007.666666666664</v>
      </c>
      <c r="V13" s="22">
        <f t="shared" si="7"/>
        <v>9.9999999999999982</v>
      </c>
      <c r="W13" s="20">
        <f t="shared" si="8"/>
        <v>24316.916666666668</v>
      </c>
      <c r="X13" s="20">
        <f t="shared" si="9"/>
        <v>2243.8225000000002</v>
      </c>
      <c r="Y13" s="20"/>
      <c r="Z13" s="20">
        <f t="shared" si="10"/>
        <v>3414.5124999999998</v>
      </c>
      <c r="AA13" s="20">
        <f t="shared" si="11"/>
        <v>585.34500000000003</v>
      </c>
      <c r="AB13" s="20">
        <f t="shared" si="12"/>
        <v>6243.68</v>
      </c>
      <c r="AC13" s="20">
        <f t="shared" si="13"/>
        <v>390.23</v>
      </c>
      <c r="AD13" s="20">
        <f>4693.11-0.13</f>
        <v>4692.9799999999996</v>
      </c>
      <c r="AE13" s="20">
        <f t="shared" si="21"/>
        <v>6936.8024999999998</v>
      </c>
      <c r="AF13" s="24">
        <v>-1522.11</v>
      </c>
      <c r="AG13" s="20">
        <f t="shared" si="15"/>
        <v>15858.004166666666</v>
      </c>
    </row>
    <row r="14" spans="1:33" ht="18" x14ac:dyDescent="0.35">
      <c r="A14" s="13" t="s">
        <v>57</v>
      </c>
      <c r="B14" s="27" t="s">
        <v>58</v>
      </c>
      <c r="C14" s="15">
        <v>16</v>
      </c>
      <c r="D14" s="15">
        <v>40</v>
      </c>
      <c r="E14" s="15" t="s">
        <v>30</v>
      </c>
      <c r="F14" s="26" t="s">
        <v>39</v>
      </c>
      <c r="G14" s="17" t="s">
        <v>59</v>
      </c>
      <c r="H14" s="18">
        <v>6</v>
      </c>
      <c r="I14" s="19">
        <v>22832</v>
      </c>
      <c r="J14" s="19">
        <f t="shared" si="0"/>
        <v>4566.4000000000005</v>
      </c>
      <c r="K14" s="20">
        <f t="shared" ref="K14:K17" si="22">1247/2</f>
        <v>623.5</v>
      </c>
      <c r="L14" s="21">
        <f t="shared" ref="L14:L17" si="23">999/2</f>
        <v>499.5</v>
      </c>
      <c r="M14" s="22">
        <v>9</v>
      </c>
      <c r="N14" s="21">
        <f t="shared" si="1"/>
        <v>6849.6</v>
      </c>
      <c r="O14" s="23">
        <v>20</v>
      </c>
      <c r="P14" s="21">
        <f t="shared" si="2"/>
        <v>3805.3333333333335</v>
      </c>
      <c r="Q14" s="20">
        <v>1522.1333333333334</v>
      </c>
      <c r="R14" s="20">
        <f t="shared" si="3"/>
        <v>2283.1999999999998</v>
      </c>
      <c r="S14" s="20">
        <f t="shared" si="4"/>
        <v>2.9999999999999996</v>
      </c>
      <c r="T14" s="20">
        <f t="shared" si="5"/>
        <v>761.06666666666672</v>
      </c>
      <c r="U14" s="20">
        <f t="shared" si="6"/>
        <v>9132.7999999999993</v>
      </c>
      <c r="V14" s="22">
        <f t="shared" si="7"/>
        <v>11.999999999999998</v>
      </c>
      <c r="W14" s="20">
        <f t="shared" si="8"/>
        <v>14822.2</v>
      </c>
      <c r="X14" s="20">
        <f t="shared" si="9"/>
        <v>1312.8400000000001</v>
      </c>
      <c r="Y14" s="20"/>
      <c r="Z14" s="20">
        <f t="shared" si="10"/>
        <v>1997.8</v>
      </c>
      <c r="AA14" s="20">
        <f t="shared" si="11"/>
        <v>342.47999999999996</v>
      </c>
      <c r="AB14" s="20">
        <f t="shared" si="12"/>
        <v>3653.1200000000003</v>
      </c>
      <c r="AC14" s="20">
        <f t="shared" si="13"/>
        <v>228.32</v>
      </c>
      <c r="AD14" s="20">
        <f>2251.41-0.07</f>
        <v>2251.3399999999997</v>
      </c>
      <c r="AE14" s="20">
        <f t="shared" si="21"/>
        <v>3564.18</v>
      </c>
      <c r="AF14" s="24">
        <v>-1211.02</v>
      </c>
      <c r="AG14" s="20">
        <f t="shared" si="15"/>
        <v>10047</v>
      </c>
    </row>
    <row r="15" spans="1:33" ht="18" x14ac:dyDescent="0.35">
      <c r="A15" s="13" t="s">
        <v>60</v>
      </c>
      <c r="B15" s="14" t="s">
        <v>61</v>
      </c>
      <c r="C15" s="15">
        <v>16</v>
      </c>
      <c r="D15" s="15">
        <v>40</v>
      </c>
      <c r="E15" s="15" t="s">
        <v>30</v>
      </c>
      <c r="F15" s="26" t="s">
        <v>39</v>
      </c>
      <c r="G15" s="17" t="s">
        <v>62</v>
      </c>
      <c r="H15" s="18">
        <v>5</v>
      </c>
      <c r="I15" s="19">
        <v>22832</v>
      </c>
      <c r="J15" s="19">
        <f t="shared" si="0"/>
        <v>3805.3333333333335</v>
      </c>
      <c r="K15" s="20">
        <f t="shared" si="22"/>
        <v>623.5</v>
      </c>
      <c r="L15" s="21">
        <f t="shared" si="23"/>
        <v>499.5</v>
      </c>
      <c r="M15" s="22">
        <v>10</v>
      </c>
      <c r="N15" s="21">
        <f t="shared" si="1"/>
        <v>7610.666666666667</v>
      </c>
      <c r="O15" s="23">
        <v>20</v>
      </c>
      <c r="P15" s="21">
        <f t="shared" si="2"/>
        <v>3805.3333333333335</v>
      </c>
      <c r="Q15" s="20">
        <v>951.33333333333337</v>
      </c>
      <c r="R15" s="20">
        <f t="shared" si="3"/>
        <v>2854</v>
      </c>
      <c r="S15" s="20">
        <f t="shared" si="4"/>
        <v>3.7499999999999996</v>
      </c>
      <c r="T15" s="20">
        <f t="shared" si="5"/>
        <v>761.06666666666672</v>
      </c>
      <c r="U15" s="20">
        <f t="shared" si="6"/>
        <v>11416</v>
      </c>
      <c r="V15" s="22">
        <f t="shared" si="7"/>
        <v>14.999999999999998</v>
      </c>
      <c r="W15" s="20">
        <f t="shared" si="8"/>
        <v>15393</v>
      </c>
      <c r="X15" s="20">
        <f t="shared" si="9"/>
        <v>1312.8400000000001</v>
      </c>
      <c r="Y15" s="20"/>
      <c r="Z15" s="20">
        <f t="shared" si="10"/>
        <v>1997.8</v>
      </c>
      <c r="AA15" s="20">
        <f t="shared" si="11"/>
        <v>342.47999999999996</v>
      </c>
      <c r="AB15" s="20">
        <f t="shared" si="12"/>
        <v>3653.1200000000003</v>
      </c>
      <c r="AC15" s="20">
        <f t="shared" si="13"/>
        <v>228.32</v>
      </c>
      <c r="AD15" s="20">
        <f t="shared" ref="AD15:AD17" si="24">2373.27-0.13</f>
        <v>2373.14</v>
      </c>
      <c r="AE15" s="20">
        <f t="shared" si="21"/>
        <v>3685.98</v>
      </c>
      <c r="AF15" s="24">
        <v>-1211.02</v>
      </c>
      <c r="AG15" s="20">
        <f t="shared" si="15"/>
        <v>10496</v>
      </c>
    </row>
    <row r="16" spans="1:33" ht="18" x14ac:dyDescent="0.35">
      <c r="A16" s="13" t="s">
        <v>63</v>
      </c>
      <c r="B16" s="14" t="s">
        <v>64</v>
      </c>
      <c r="C16" s="15">
        <v>16</v>
      </c>
      <c r="D16" s="15">
        <v>40</v>
      </c>
      <c r="E16" s="15" t="s">
        <v>30</v>
      </c>
      <c r="F16" s="26" t="s">
        <v>39</v>
      </c>
      <c r="G16" s="14" t="s">
        <v>65</v>
      </c>
      <c r="H16" s="18">
        <v>5</v>
      </c>
      <c r="I16" s="19">
        <v>22832</v>
      </c>
      <c r="J16" s="19">
        <f t="shared" si="0"/>
        <v>3805.3333333333335</v>
      </c>
      <c r="K16" s="20">
        <f t="shared" si="22"/>
        <v>623.5</v>
      </c>
      <c r="L16" s="21">
        <f t="shared" si="23"/>
        <v>499.5</v>
      </c>
      <c r="M16" s="22">
        <v>10</v>
      </c>
      <c r="N16" s="21">
        <f t="shared" si="1"/>
        <v>7610.666666666667</v>
      </c>
      <c r="O16" s="23">
        <v>20</v>
      </c>
      <c r="P16" s="21">
        <f t="shared" si="2"/>
        <v>3805.3333333333335</v>
      </c>
      <c r="Q16" s="20">
        <v>951.33333333333337</v>
      </c>
      <c r="R16" s="20">
        <f t="shared" si="3"/>
        <v>2854</v>
      </c>
      <c r="S16" s="20">
        <f t="shared" si="4"/>
        <v>3.7499999999999996</v>
      </c>
      <c r="T16" s="20">
        <f t="shared" si="5"/>
        <v>761.06666666666672</v>
      </c>
      <c r="U16" s="20">
        <f t="shared" si="6"/>
        <v>11416</v>
      </c>
      <c r="V16" s="22">
        <f t="shared" si="7"/>
        <v>14.999999999999998</v>
      </c>
      <c r="W16" s="20">
        <f t="shared" si="8"/>
        <v>15393</v>
      </c>
      <c r="X16" s="20">
        <f t="shared" si="9"/>
        <v>1312.8400000000001</v>
      </c>
      <c r="Y16" s="20"/>
      <c r="Z16" s="20">
        <f t="shared" si="10"/>
        <v>1997.8</v>
      </c>
      <c r="AA16" s="20">
        <f t="shared" si="11"/>
        <v>342.47999999999996</v>
      </c>
      <c r="AB16" s="20">
        <f t="shared" si="12"/>
        <v>3653.1200000000003</v>
      </c>
      <c r="AC16" s="20">
        <f t="shared" si="13"/>
        <v>228.32</v>
      </c>
      <c r="AD16" s="20">
        <f t="shared" si="24"/>
        <v>2373.14</v>
      </c>
      <c r="AE16" s="20">
        <f t="shared" si="21"/>
        <v>3685.98</v>
      </c>
      <c r="AF16" s="24">
        <v>-1211.02</v>
      </c>
      <c r="AG16" s="20">
        <f t="shared" si="15"/>
        <v>10496</v>
      </c>
    </row>
    <row r="17" spans="1:33" ht="18" x14ac:dyDescent="0.35">
      <c r="A17" s="13" t="s">
        <v>66</v>
      </c>
      <c r="B17" s="14" t="s">
        <v>67</v>
      </c>
      <c r="C17" s="15">
        <v>16</v>
      </c>
      <c r="D17" s="15">
        <v>40</v>
      </c>
      <c r="E17" s="15" t="s">
        <v>30</v>
      </c>
      <c r="F17" s="26" t="s">
        <v>35</v>
      </c>
      <c r="G17" s="17" t="s">
        <v>68</v>
      </c>
      <c r="H17" s="18">
        <v>5</v>
      </c>
      <c r="I17" s="19">
        <v>22832</v>
      </c>
      <c r="J17" s="19">
        <f t="shared" si="0"/>
        <v>3805.3333333333335</v>
      </c>
      <c r="K17" s="20">
        <f t="shared" si="22"/>
        <v>623.5</v>
      </c>
      <c r="L17" s="21">
        <f t="shared" si="23"/>
        <v>499.5</v>
      </c>
      <c r="M17" s="22">
        <v>10</v>
      </c>
      <c r="N17" s="21">
        <f t="shared" si="1"/>
        <v>7610.666666666667</v>
      </c>
      <c r="O17" s="23">
        <v>20</v>
      </c>
      <c r="P17" s="21">
        <f t="shared" si="2"/>
        <v>3805.3333333333335</v>
      </c>
      <c r="Q17" s="20">
        <v>951.33333333333337</v>
      </c>
      <c r="R17" s="20">
        <f t="shared" si="3"/>
        <v>2854</v>
      </c>
      <c r="S17" s="20">
        <f t="shared" si="4"/>
        <v>3.7499999999999996</v>
      </c>
      <c r="T17" s="20">
        <f t="shared" si="5"/>
        <v>761.06666666666672</v>
      </c>
      <c r="U17" s="20">
        <f t="shared" si="6"/>
        <v>11416</v>
      </c>
      <c r="V17" s="22">
        <f t="shared" si="7"/>
        <v>14.999999999999998</v>
      </c>
      <c r="W17" s="20">
        <f t="shared" si="8"/>
        <v>15393</v>
      </c>
      <c r="X17" s="20">
        <f t="shared" si="9"/>
        <v>1312.8400000000001</v>
      </c>
      <c r="Y17" s="20"/>
      <c r="Z17" s="20">
        <f t="shared" si="10"/>
        <v>1997.8</v>
      </c>
      <c r="AA17" s="20">
        <f t="shared" si="11"/>
        <v>342.47999999999996</v>
      </c>
      <c r="AB17" s="20">
        <f t="shared" si="12"/>
        <v>3653.1200000000003</v>
      </c>
      <c r="AC17" s="20">
        <f t="shared" si="13"/>
        <v>228.32</v>
      </c>
      <c r="AD17" s="20">
        <f t="shared" si="24"/>
        <v>2373.14</v>
      </c>
      <c r="AE17" s="20">
        <f t="shared" si="21"/>
        <v>3685.98</v>
      </c>
      <c r="AF17" s="24">
        <v>-1211.02</v>
      </c>
      <c r="AG17" s="20">
        <f t="shared" si="15"/>
        <v>10496</v>
      </c>
    </row>
    <row r="18" spans="1:33" ht="18" x14ac:dyDescent="0.35">
      <c r="A18" s="13" t="s">
        <v>69</v>
      </c>
      <c r="B18" s="14" t="s">
        <v>70</v>
      </c>
      <c r="C18" s="15">
        <v>23</v>
      </c>
      <c r="D18" s="15">
        <v>40</v>
      </c>
      <c r="E18" s="15" t="s">
        <v>30</v>
      </c>
      <c r="F18" s="26" t="s">
        <v>31</v>
      </c>
      <c r="G18" s="14" t="s">
        <v>71</v>
      </c>
      <c r="H18" s="18">
        <v>5</v>
      </c>
      <c r="I18" s="19">
        <v>47094</v>
      </c>
      <c r="J18" s="19">
        <f t="shared" si="0"/>
        <v>7849</v>
      </c>
      <c r="K18" s="20">
        <f>1920/2</f>
        <v>960</v>
      </c>
      <c r="L18" s="20">
        <f>1376/2</f>
        <v>688</v>
      </c>
      <c r="M18" s="22">
        <v>10</v>
      </c>
      <c r="N18" s="21">
        <f t="shared" si="1"/>
        <v>15698</v>
      </c>
      <c r="O18" s="23">
        <v>20</v>
      </c>
      <c r="P18" s="21">
        <f t="shared" si="2"/>
        <v>7849</v>
      </c>
      <c r="Q18" s="20">
        <v>1962.25</v>
      </c>
      <c r="R18" s="20">
        <f t="shared" si="3"/>
        <v>5886.75</v>
      </c>
      <c r="S18" s="20">
        <f t="shared" si="4"/>
        <v>3.75</v>
      </c>
      <c r="T18" s="20">
        <f t="shared" si="5"/>
        <v>1569.8</v>
      </c>
      <c r="U18" s="20">
        <f t="shared" si="6"/>
        <v>23547</v>
      </c>
      <c r="V18" s="22">
        <f t="shared" si="7"/>
        <v>15</v>
      </c>
      <c r="W18" s="20">
        <f t="shared" si="8"/>
        <v>31081.75</v>
      </c>
      <c r="X18" s="20">
        <f t="shared" si="9"/>
        <v>2707.9050000000002</v>
      </c>
      <c r="Y18" s="20"/>
      <c r="Z18" s="20">
        <f t="shared" si="10"/>
        <v>4120.7249999999995</v>
      </c>
      <c r="AA18" s="20">
        <f t="shared" si="11"/>
        <v>706.41</v>
      </c>
      <c r="AB18" s="20">
        <f t="shared" si="12"/>
        <v>7535.0399999999991</v>
      </c>
      <c r="AC18" s="20">
        <f t="shared" si="13"/>
        <v>470.94</v>
      </c>
      <c r="AD18" s="21">
        <f>6020.6+0.39</f>
        <v>6020.9900000000007</v>
      </c>
      <c r="AE18" s="20">
        <f t="shared" si="21"/>
        <v>8728.8950000000004</v>
      </c>
      <c r="AF18" s="24">
        <v>-3861.86</v>
      </c>
      <c r="AG18" s="20">
        <f t="shared" si="15"/>
        <v>18490.994999999999</v>
      </c>
    </row>
    <row r="19" spans="1:33" ht="18" x14ac:dyDescent="0.35">
      <c r="A19" s="13" t="s">
        <v>72</v>
      </c>
      <c r="B19" s="14" t="s">
        <v>73</v>
      </c>
      <c r="C19" s="15">
        <v>26</v>
      </c>
      <c r="D19" s="15">
        <v>40</v>
      </c>
      <c r="E19" s="15" t="s">
        <v>30</v>
      </c>
      <c r="F19" s="28" t="s">
        <v>74</v>
      </c>
      <c r="G19" s="17" t="s">
        <v>75</v>
      </c>
      <c r="H19" s="18">
        <v>5</v>
      </c>
      <c r="I19" s="19">
        <v>69445</v>
      </c>
      <c r="J19" s="19">
        <f t="shared" si="0"/>
        <v>11574.166666666668</v>
      </c>
      <c r="K19" s="20">
        <f>2544/2</f>
        <v>1272</v>
      </c>
      <c r="L19" s="20">
        <f>1794/2</f>
        <v>897</v>
      </c>
      <c r="M19" s="22">
        <v>10</v>
      </c>
      <c r="N19" s="21">
        <f t="shared" si="1"/>
        <v>23148.333333333336</v>
      </c>
      <c r="O19" s="23">
        <v>20</v>
      </c>
      <c r="P19" s="21">
        <f t="shared" si="2"/>
        <v>11574.166666666668</v>
      </c>
      <c r="Q19" s="20">
        <v>5787.0833333333339</v>
      </c>
      <c r="R19" s="20">
        <f t="shared" si="3"/>
        <v>5787.0833333333339</v>
      </c>
      <c r="S19" s="20">
        <f t="shared" si="4"/>
        <v>2.5</v>
      </c>
      <c r="T19" s="20">
        <f t="shared" si="5"/>
        <v>2314.8333333333335</v>
      </c>
      <c r="U19" s="20">
        <f t="shared" si="6"/>
        <v>23148.333333333336</v>
      </c>
      <c r="V19" s="22">
        <f t="shared" si="7"/>
        <v>10</v>
      </c>
      <c r="W19" s="20">
        <f t="shared" si="8"/>
        <v>42678.583333333336</v>
      </c>
      <c r="X19" s="20">
        <f t="shared" si="9"/>
        <v>3993.0875000000001</v>
      </c>
      <c r="Y19" s="20">
        <v>7871</v>
      </c>
      <c r="Z19" s="20">
        <f t="shared" si="10"/>
        <v>6076.4375</v>
      </c>
      <c r="AA19" s="20">
        <f t="shared" si="11"/>
        <v>1041.675</v>
      </c>
      <c r="AB19" s="20">
        <f t="shared" si="12"/>
        <v>18982.2</v>
      </c>
      <c r="AC19" s="20">
        <f t="shared" si="13"/>
        <v>694.45</v>
      </c>
      <c r="AD19" s="20">
        <f>9172-0.03</f>
        <v>9171.9699999999993</v>
      </c>
      <c r="AE19" s="20">
        <f>+X19+Y19+AD19</f>
        <v>21036.057499999999</v>
      </c>
      <c r="AF19" s="24">
        <v>-4924.53</v>
      </c>
      <c r="AG19" s="20">
        <f t="shared" si="15"/>
        <v>16717.995833333338</v>
      </c>
    </row>
    <row r="20" spans="1:33" ht="18" x14ac:dyDescent="0.35">
      <c r="A20" s="13" t="s">
        <v>76</v>
      </c>
      <c r="B20" s="28" t="s">
        <v>77</v>
      </c>
      <c r="C20" s="10">
        <v>11</v>
      </c>
      <c r="D20" s="15">
        <v>40</v>
      </c>
      <c r="E20" s="15" t="s">
        <v>30</v>
      </c>
      <c r="F20" s="26" t="s">
        <v>39</v>
      </c>
      <c r="G20" s="27" t="s">
        <v>78</v>
      </c>
      <c r="H20" s="18">
        <v>5</v>
      </c>
      <c r="I20" s="19">
        <v>14733</v>
      </c>
      <c r="J20" s="19">
        <f t="shared" si="0"/>
        <v>2455.5</v>
      </c>
      <c r="K20" s="20">
        <f>1093/2</f>
        <v>546.5</v>
      </c>
      <c r="L20" s="21">
        <f>899/2</f>
        <v>449.5</v>
      </c>
      <c r="M20" s="22">
        <v>10</v>
      </c>
      <c r="N20" s="21">
        <f t="shared" si="1"/>
        <v>4911</v>
      </c>
      <c r="O20" s="23">
        <f t="shared" ref="O20:O29" si="25">20/365*290</f>
        <v>15.890410958904109</v>
      </c>
      <c r="P20" s="21">
        <f t="shared" si="2"/>
        <v>1950.9452054794522</v>
      </c>
      <c r="Q20" s="20">
        <v>1227.75</v>
      </c>
      <c r="R20" s="20">
        <f t="shared" si="3"/>
        <v>723.19520547945217</v>
      </c>
      <c r="S20" s="20">
        <f t="shared" si="4"/>
        <v>1.4726027397260275</v>
      </c>
      <c r="T20" s="20">
        <f t="shared" si="5"/>
        <v>491.1</v>
      </c>
      <c r="U20" s="20">
        <f t="shared" si="6"/>
        <v>2892.7808219178087</v>
      </c>
      <c r="V20" s="22">
        <f t="shared" si="7"/>
        <v>5.89041095890411</v>
      </c>
      <c r="W20" s="20">
        <f t="shared" si="8"/>
        <v>9085.6952054794529</v>
      </c>
      <c r="X20" s="20">
        <f t="shared" si="9"/>
        <v>847.14750000000004</v>
      </c>
      <c r="Y20" s="20"/>
      <c r="Z20" s="20">
        <f t="shared" si="10"/>
        <v>1289.1374999999998</v>
      </c>
      <c r="AA20" s="20">
        <f t="shared" si="11"/>
        <v>220.995</v>
      </c>
      <c r="AB20" s="20">
        <f t="shared" si="12"/>
        <v>2357.2799999999997</v>
      </c>
      <c r="AC20" s="20">
        <f t="shared" si="13"/>
        <v>147.33000000000001</v>
      </c>
      <c r="AD20" s="20">
        <f>1297.96-0.02</f>
        <v>1297.94</v>
      </c>
      <c r="AE20" s="20">
        <f t="shared" ref="AE20:AE50" si="26">+X20+AD20</f>
        <v>2145.0875000000001</v>
      </c>
      <c r="AF20" s="24">
        <v>95.39</v>
      </c>
      <c r="AG20" s="20">
        <f t="shared" si="15"/>
        <v>7035.9977054794535</v>
      </c>
    </row>
    <row r="21" spans="1:33" ht="18" x14ac:dyDescent="0.35">
      <c r="A21" s="13" t="s">
        <v>79</v>
      </c>
      <c r="B21" s="28" t="s">
        <v>80</v>
      </c>
      <c r="C21" s="10">
        <v>15</v>
      </c>
      <c r="D21" s="15">
        <v>40</v>
      </c>
      <c r="E21" s="15" t="s">
        <v>30</v>
      </c>
      <c r="F21" s="26" t="s">
        <v>39</v>
      </c>
      <c r="G21" s="27" t="s">
        <v>81</v>
      </c>
      <c r="H21" s="18">
        <v>5</v>
      </c>
      <c r="I21" s="19">
        <v>20272</v>
      </c>
      <c r="J21" s="19">
        <f t="shared" si="0"/>
        <v>3378.666666666667</v>
      </c>
      <c r="K21" s="20">
        <f>1206/2</f>
        <v>603</v>
      </c>
      <c r="L21" s="21">
        <f>975/2</f>
        <v>487.5</v>
      </c>
      <c r="M21" s="22">
        <v>10</v>
      </c>
      <c r="N21" s="21">
        <f t="shared" si="1"/>
        <v>6757.3333333333339</v>
      </c>
      <c r="O21" s="23">
        <f t="shared" si="25"/>
        <v>15.890410958904109</v>
      </c>
      <c r="P21" s="21">
        <f t="shared" si="2"/>
        <v>2684.4200913242007</v>
      </c>
      <c r="Q21" s="20">
        <v>1689.3333333333335</v>
      </c>
      <c r="R21" s="20">
        <f t="shared" si="3"/>
        <v>995.08675799086723</v>
      </c>
      <c r="S21" s="20">
        <f t="shared" si="4"/>
        <v>1.4726027397260268</v>
      </c>
      <c r="T21" s="20">
        <f t="shared" si="5"/>
        <v>675.73333333333335</v>
      </c>
      <c r="U21" s="20">
        <f t="shared" si="6"/>
        <v>3980.3470319634689</v>
      </c>
      <c r="V21" s="22">
        <f t="shared" si="7"/>
        <v>5.8904109589041074</v>
      </c>
      <c r="W21" s="20">
        <f t="shared" si="8"/>
        <v>12221.586757990866</v>
      </c>
      <c r="X21" s="20">
        <f t="shared" si="9"/>
        <v>1165.6400000000001</v>
      </c>
      <c r="Y21" s="20"/>
      <c r="Z21" s="20">
        <f t="shared" si="10"/>
        <v>1773.8</v>
      </c>
      <c r="AA21" s="20">
        <f t="shared" si="11"/>
        <v>304.08</v>
      </c>
      <c r="AB21" s="20">
        <f t="shared" si="12"/>
        <v>3243.52</v>
      </c>
      <c r="AC21" s="20">
        <f t="shared" si="13"/>
        <v>202.72</v>
      </c>
      <c r="AD21" s="20">
        <f>1902.45+0.13</f>
        <v>1902.5800000000002</v>
      </c>
      <c r="AE21" s="20">
        <f t="shared" si="26"/>
        <v>3068.2200000000003</v>
      </c>
      <c r="AF21" s="24">
        <v>-285.37</v>
      </c>
      <c r="AG21" s="20">
        <f t="shared" si="15"/>
        <v>8867.9967579908644</v>
      </c>
    </row>
    <row r="22" spans="1:33" ht="18" x14ac:dyDescent="0.35">
      <c r="A22" s="13" t="s">
        <v>82</v>
      </c>
      <c r="B22" s="28" t="s">
        <v>83</v>
      </c>
      <c r="C22" s="10">
        <v>6</v>
      </c>
      <c r="D22" s="15">
        <v>40</v>
      </c>
      <c r="E22" s="15" t="s">
        <v>30</v>
      </c>
      <c r="F22" s="26" t="s">
        <v>31</v>
      </c>
      <c r="G22" s="27" t="s">
        <v>84</v>
      </c>
      <c r="H22" s="18">
        <v>5</v>
      </c>
      <c r="I22" s="19">
        <v>12058</v>
      </c>
      <c r="J22" s="19">
        <f t="shared" si="0"/>
        <v>2009.6666666666667</v>
      </c>
      <c r="K22" s="20">
        <f>915/2</f>
        <v>457.5</v>
      </c>
      <c r="L22" s="21">
        <f>836/2</f>
        <v>418</v>
      </c>
      <c r="M22" s="22">
        <v>10</v>
      </c>
      <c r="N22" s="21">
        <f t="shared" si="1"/>
        <v>4019.3333333333335</v>
      </c>
      <c r="O22" s="23">
        <f t="shared" si="25"/>
        <v>15.890410958904109</v>
      </c>
      <c r="P22" s="21">
        <f t="shared" si="2"/>
        <v>1596.7214611872146</v>
      </c>
      <c r="Q22" s="20">
        <v>1004.8333333333334</v>
      </c>
      <c r="R22" s="20">
        <f t="shared" si="3"/>
        <v>591.8881278538812</v>
      </c>
      <c r="S22" s="20">
        <f t="shared" si="4"/>
        <v>1.4726027397260273</v>
      </c>
      <c r="T22" s="20">
        <f t="shared" si="5"/>
        <v>401.93333333333334</v>
      </c>
      <c r="U22" s="20">
        <f t="shared" si="6"/>
        <v>2367.5525114155248</v>
      </c>
      <c r="V22" s="22">
        <f t="shared" si="7"/>
        <v>5.8904109589041092</v>
      </c>
      <c r="W22" s="20">
        <f t="shared" si="8"/>
        <v>7496.3881278538811</v>
      </c>
      <c r="X22" s="20">
        <f t="shared" si="9"/>
        <v>693.33500000000004</v>
      </c>
      <c r="Y22" s="20"/>
      <c r="Z22" s="20">
        <f t="shared" si="10"/>
        <v>1055.075</v>
      </c>
      <c r="AA22" s="20">
        <f t="shared" si="11"/>
        <v>180.87</v>
      </c>
      <c r="AB22" s="20">
        <f t="shared" si="12"/>
        <v>1929.2800000000002</v>
      </c>
      <c r="AC22" s="20">
        <f t="shared" si="13"/>
        <v>120.58</v>
      </c>
      <c r="AD22" s="20">
        <f>910.99+0.45</f>
        <v>911.44</v>
      </c>
      <c r="AE22" s="20">
        <f t="shared" si="26"/>
        <v>1604.7750000000001</v>
      </c>
      <c r="AF22" s="24">
        <v>95.39</v>
      </c>
      <c r="AG22" s="20">
        <f t="shared" si="15"/>
        <v>5987.0031278538818</v>
      </c>
    </row>
    <row r="23" spans="1:33" ht="18" x14ac:dyDescent="0.35">
      <c r="A23" s="13" t="s">
        <v>85</v>
      </c>
      <c r="B23" s="28" t="s">
        <v>86</v>
      </c>
      <c r="C23" s="10">
        <v>11</v>
      </c>
      <c r="D23" s="15">
        <v>40</v>
      </c>
      <c r="E23" s="15" t="s">
        <v>30</v>
      </c>
      <c r="F23" s="26" t="s">
        <v>39</v>
      </c>
      <c r="G23" s="27" t="s">
        <v>87</v>
      </c>
      <c r="H23" s="18">
        <v>5</v>
      </c>
      <c r="I23" s="19">
        <v>14733</v>
      </c>
      <c r="J23" s="19">
        <f t="shared" si="0"/>
        <v>2455.5</v>
      </c>
      <c r="K23" s="20">
        <f>1093/2</f>
        <v>546.5</v>
      </c>
      <c r="L23" s="21">
        <f>899/2</f>
        <v>449.5</v>
      </c>
      <c r="M23" s="22">
        <v>10</v>
      </c>
      <c r="N23" s="21">
        <f t="shared" si="1"/>
        <v>4911</v>
      </c>
      <c r="O23" s="23">
        <f t="shared" si="25"/>
        <v>15.890410958904109</v>
      </c>
      <c r="P23" s="21">
        <f t="shared" si="2"/>
        <v>1950.9452054794522</v>
      </c>
      <c r="Q23" s="20">
        <v>1227.75</v>
      </c>
      <c r="R23" s="20">
        <f t="shared" si="3"/>
        <v>723.19520547945217</v>
      </c>
      <c r="S23" s="20">
        <f t="shared" si="4"/>
        <v>1.4726027397260275</v>
      </c>
      <c r="T23" s="20">
        <f t="shared" si="5"/>
        <v>491.1</v>
      </c>
      <c r="U23" s="20">
        <f t="shared" si="6"/>
        <v>2892.7808219178087</v>
      </c>
      <c r="V23" s="22">
        <f t="shared" si="7"/>
        <v>5.89041095890411</v>
      </c>
      <c r="W23" s="20">
        <f t="shared" si="8"/>
        <v>9085.6952054794529</v>
      </c>
      <c r="X23" s="20">
        <f t="shared" si="9"/>
        <v>847.14750000000004</v>
      </c>
      <c r="Y23" s="20"/>
      <c r="Z23" s="20">
        <f t="shared" si="10"/>
        <v>1289.1374999999998</v>
      </c>
      <c r="AA23" s="20">
        <f t="shared" si="11"/>
        <v>220.995</v>
      </c>
      <c r="AB23" s="20">
        <f t="shared" si="12"/>
        <v>2357.2799999999997</v>
      </c>
      <c r="AC23" s="20">
        <f t="shared" si="13"/>
        <v>147.33000000000001</v>
      </c>
      <c r="AD23" s="20">
        <f>1222.13-0.22</f>
        <v>1221.9100000000001</v>
      </c>
      <c r="AE23" s="20">
        <f t="shared" si="26"/>
        <v>2069.0574999999999</v>
      </c>
      <c r="AF23" s="24">
        <v>-259.64</v>
      </c>
      <c r="AG23" s="20">
        <f t="shared" si="15"/>
        <v>6756.9977054794526</v>
      </c>
    </row>
    <row r="24" spans="1:33" ht="18" x14ac:dyDescent="0.35">
      <c r="A24" s="13" t="s">
        <v>88</v>
      </c>
      <c r="B24" s="28" t="s">
        <v>89</v>
      </c>
      <c r="C24" s="10">
        <v>21</v>
      </c>
      <c r="D24" s="15">
        <v>40</v>
      </c>
      <c r="E24" s="15" t="s">
        <v>30</v>
      </c>
      <c r="F24" s="28" t="s">
        <v>74</v>
      </c>
      <c r="G24" s="27" t="s">
        <v>90</v>
      </c>
      <c r="H24" s="18">
        <v>5</v>
      </c>
      <c r="I24" s="19">
        <v>39023</v>
      </c>
      <c r="J24" s="19">
        <f t="shared" si="0"/>
        <v>6503.833333333333</v>
      </c>
      <c r="K24" s="20">
        <f>1808/2</f>
        <v>904</v>
      </c>
      <c r="L24" s="21">
        <f>1299/2</f>
        <v>649.5</v>
      </c>
      <c r="M24" s="22">
        <v>10</v>
      </c>
      <c r="N24" s="21">
        <f t="shared" si="1"/>
        <v>13007.666666666666</v>
      </c>
      <c r="O24" s="23">
        <f t="shared" si="25"/>
        <v>15.890410958904109</v>
      </c>
      <c r="P24" s="21">
        <f t="shared" si="2"/>
        <v>5167.4292237442924</v>
      </c>
      <c r="Q24" s="20">
        <v>3251.9166666666665</v>
      </c>
      <c r="R24" s="20">
        <f t="shared" si="3"/>
        <v>1915.5125570776258</v>
      </c>
      <c r="S24" s="20">
        <f t="shared" si="4"/>
        <v>1.4726027397260277</v>
      </c>
      <c r="T24" s="20">
        <f t="shared" si="5"/>
        <v>1300.7666666666667</v>
      </c>
      <c r="U24" s="20">
        <f t="shared" si="6"/>
        <v>7662.0502283105034</v>
      </c>
      <c r="V24" s="22">
        <f t="shared" si="7"/>
        <v>5.8904109589041109</v>
      </c>
      <c r="W24" s="20">
        <f t="shared" si="8"/>
        <v>22980.512557077625</v>
      </c>
      <c r="X24" s="20">
        <f t="shared" si="9"/>
        <v>2243.8225000000002</v>
      </c>
      <c r="Y24" s="20"/>
      <c r="Z24" s="20">
        <f t="shared" si="10"/>
        <v>3414.5124999999998</v>
      </c>
      <c r="AA24" s="20">
        <f t="shared" si="11"/>
        <v>585.34500000000003</v>
      </c>
      <c r="AB24" s="20">
        <f t="shared" si="12"/>
        <v>6243.68</v>
      </c>
      <c r="AC24" s="20">
        <f t="shared" si="13"/>
        <v>390.23</v>
      </c>
      <c r="AD24" s="20">
        <v>4560.21</v>
      </c>
      <c r="AE24" s="20">
        <f t="shared" si="26"/>
        <v>6804.0325000000003</v>
      </c>
      <c r="AF24" s="24">
        <v>-625.48</v>
      </c>
      <c r="AG24" s="20">
        <f t="shared" si="15"/>
        <v>15551.000057077625</v>
      </c>
    </row>
    <row r="25" spans="1:33" ht="18" x14ac:dyDescent="0.35">
      <c r="A25" s="13" t="s">
        <v>91</v>
      </c>
      <c r="B25" s="28" t="s">
        <v>92</v>
      </c>
      <c r="C25" s="10">
        <v>11</v>
      </c>
      <c r="D25" s="15">
        <v>40</v>
      </c>
      <c r="E25" s="15" t="s">
        <v>30</v>
      </c>
      <c r="F25" s="26" t="s">
        <v>39</v>
      </c>
      <c r="G25" s="27" t="s">
        <v>93</v>
      </c>
      <c r="H25" s="18">
        <v>5</v>
      </c>
      <c r="I25" s="19">
        <v>14733</v>
      </c>
      <c r="J25" s="19">
        <f t="shared" si="0"/>
        <v>2455.5</v>
      </c>
      <c r="K25" s="20">
        <f t="shared" ref="K25:K26" si="27">1093/2</f>
        <v>546.5</v>
      </c>
      <c r="L25" s="21">
        <f t="shared" ref="L25:L26" si="28">899/2</f>
        <v>449.5</v>
      </c>
      <c r="M25" s="22">
        <v>10</v>
      </c>
      <c r="N25" s="21">
        <f t="shared" si="1"/>
        <v>4911</v>
      </c>
      <c r="O25" s="23">
        <f t="shared" si="25"/>
        <v>15.890410958904109</v>
      </c>
      <c r="P25" s="21">
        <f t="shared" si="2"/>
        <v>1950.9452054794522</v>
      </c>
      <c r="Q25" s="20">
        <v>1227.75</v>
      </c>
      <c r="R25" s="20">
        <f t="shared" si="3"/>
        <v>723.19520547945217</v>
      </c>
      <c r="S25" s="20">
        <f t="shared" si="4"/>
        <v>1.4726027397260275</v>
      </c>
      <c r="T25" s="20">
        <f t="shared" si="5"/>
        <v>491.1</v>
      </c>
      <c r="U25" s="20">
        <f t="shared" si="6"/>
        <v>2892.7808219178087</v>
      </c>
      <c r="V25" s="22">
        <f t="shared" si="7"/>
        <v>5.89041095890411</v>
      </c>
      <c r="W25" s="20">
        <f t="shared" si="8"/>
        <v>9085.6952054794529</v>
      </c>
      <c r="X25" s="20">
        <f t="shared" si="9"/>
        <v>847.14750000000004</v>
      </c>
      <c r="Y25" s="20"/>
      <c r="Z25" s="20">
        <f t="shared" si="10"/>
        <v>1289.1374999999998</v>
      </c>
      <c r="AA25" s="20">
        <f t="shared" si="11"/>
        <v>220.995</v>
      </c>
      <c r="AB25" s="20">
        <f t="shared" si="12"/>
        <v>2357.2799999999997</v>
      </c>
      <c r="AC25" s="20">
        <f t="shared" si="13"/>
        <v>147.33000000000001</v>
      </c>
      <c r="AD25" s="20">
        <f t="shared" ref="AD25:AD26" si="29">1222.13-0.22</f>
        <v>1221.9100000000001</v>
      </c>
      <c r="AE25" s="20">
        <f t="shared" si="26"/>
        <v>2069.0574999999999</v>
      </c>
      <c r="AF25" s="24">
        <v>-259.64</v>
      </c>
      <c r="AG25" s="20">
        <f t="shared" si="15"/>
        <v>6756.9977054794526</v>
      </c>
    </row>
    <row r="26" spans="1:33" ht="18" x14ac:dyDescent="0.35">
      <c r="A26" s="13" t="s">
        <v>94</v>
      </c>
      <c r="B26" s="28" t="s">
        <v>95</v>
      </c>
      <c r="C26" s="10">
        <v>11</v>
      </c>
      <c r="D26" s="15">
        <v>40</v>
      </c>
      <c r="E26" s="15" t="s">
        <v>30</v>
      </c>
      <c r="F26" s="26" t="s">
        <v>35</v>
      </c>
      <c r="G26" s="27" t="s">
        <v>96</v>
      </c>
      <c r="H26" s="18">
        <v>5</v>
      </c>
      <c r="I26" s="19">
        <v>14733</v>
      </c>
      <c r="J26" s="19">
        <f t="shared" si="0"/>
        <v>2455.5</v>
      </c>
      <c r="K26" s="20">
        <f t="shared" si="27"/>
        <v>546.5</v>
      </c>
      <c r="L26" s="21">
        <f t="shared" si="28"/>
        <v>449.5</v>
      </c>
      <c r="M26" s="22">
        <v>10</v>
      </c>
      <c r="N26" s="21">
        <f t="shared" si="1"/>
        <v>4911</v>
      </c>
      <c r="O26" s="23">
        <f t="shared" si="25"/>
        <v>15.890410958904109</v>
      </c>
      <c r="P26" s="21">
        <f t="shared" si="2"/>
        <v>1950.9452054794522</v>
      </c>
      <c r="Q26" s="20">
        <v>1227.75</v>
      </c>
      <c r="R26" s="20">
        <f t="shared" si="3"/>
        <v>723.19520547945217</v>
      </c>
      <c r="S26" s="20">
        <f t="shared" si="4"/>
        <v>1.4726027397260275</v>
      </c>
      <c r="T26" s="20">
        <f t="shared" si="5"/>
        <v>491.1</v>
      </c>
      <c r="U26" s="20">
        <f t="shared" si="6"/>
        <v>2892.7808219178087</v>
      </c>
      <c r="V26" s="22">
        <f t="shared" si="7"/>
        <v>5.89041095890411</v>
      </c>
      <c r="W26" s="20">
        <f t="shared" si="8"/>
        <v>9085.6952054794529</v>
      </c>
      <c r="X26" s="20">
        <f t="shared" si="9"/>
        <v>847.14750000000004</v>
      </c>
      <c r="Y26" s="20"/>
      <c r="Z26" s="20">
        <f t="shared" si="10"/>
        <v>1289.1374999999998</v>
      </c>
      <c r="AA26" s="20">
        <f t="shared" si="11"/>
        <v>220.995</v>
      </c>
      <c r="AB26" s="20">
        <f t="shared" si="12"/>
        <v>2357.2799999999997</v>
      </c>
      <c r="AC26" s="20">
        <f t="shared" si="13"/>
        <v>147.33000000000001</v>
      </c>
      <c r="AD26" s="20">
        <f t="shared" si="29"/>
        <v>1221.9100000000001</v>
      </c>
      <c r="AE26" s="20">
        <f t="shared" si="26"/>
        <v>2069.0574999999999</v>
      </c>
      <c r="AF26" s="24">
        <v>-259.64</v>
      </c>
      <c r="AG26" s="20">
        <f t="shared" si="15"/>
        <v>6756.9977054794526</v>
      </c>
    </row>
    <row r="27" spans="1:33" ht="18" x14ac:dyDescent="0.35">
      <c r="A27" s="13" t="s">
        <v>97</v>
      </c>
      <c r="B27" s="28" t="s">
        <v>98</v>
      </c>
      <c r="C27" s="10">
        <v>5</v>
      </c>
      <c r="D27" s="15">
        <v>40</v>
      </c>
      <c r="E27" s="15" t="s">
        <v>30</v>
      </c>
      <c r="F27" s="26" t="s">
        <v>35</v>
      </c>
      <c r="G27" s="27" t="s">
        <v>99</v>
      </c>
      <c r="H27" s="18">
        <v>5</v>
      </c>
      <c r="I27" s="19">
        <v>11597</v>
      </c>
      <c r="J27" s="19">
        <f t="shared" si="0"/>
        <v>1932.8333333333333</v>
      </c>
      <c r="K27" s="20">
        <f>815/2</f>
        <v>407.5</v>
      </c>
      <c r="L27" s="21">
        <f>716/2</f>
        <v>358</v>
      </c>
      <c r="M27" s="22">
        <v>10</v>
      </c>
      <c r="N27" s="21">
        <f t="shared" si="1"/>
        <v>3865.6666666666665</v>
      </c>
      <c r="O27" s="23">
        <f t="shared" si="25"/>
        <v>15.890410958904109</v>
      </c>
      <c r="P27" s="21">
        <f t="shared" si="2"/>
        <v>1535.6757990867579</v>
      </c>
      <c r="Q27" s="20">
        <v>966.41666666666663</v>
      </c>
      <c r="R27" s="20">
        <f t="shared" si="3"/>
        <v>569.2591324200913</v>
      </c>
      <c r="S27" s="20">
        <f t="shared" si="4"/>
        <v>1.4726027397260273</v>
      </c>
      <c r="T27" s="20">
        <f t="shared" si="5"/>
        <v>386.56666666666666</v>
      </c>
      <c r="U27" s="20">
        <f t="shared" si="6"/>
        <v>2277.0365296803652</v>
      </c>
      <c r="V27" s="22">
        <f t="shared" si="7"/>
        <v>5.8904109589041092</v>
      </c>
      <c r="W27" s="20">
        <f t="shared" si="8"/>
        <v>7133.2591324200912</v>
      </c>
      <c r="X27" s="20">
        <f t="shared" si="9"/>
        <v>666.82749999999999</v>
      </c>
      <c r="Y27" s="20"/>
      <c r="Z27" s="20">
        <f t="shared" si="10"/>
        <v>1014.7375</v>
      </c>
      <c r="AA27" s="20">
        <f t="shared" si="11"/>
        <v>173.95499999999998</v>
      </c>
      <c r="AB27" s="20">
        <f t="shared" si="12"/>
        <v>1855.52</v>
      </c>
      <c r="AC27" s="20">
        <f t="shared" si="13"/>
        <v>115.97</v>
      </c>
      <c r="AD27" s="20">
        <f>824.84+0.41</f>
        <v>825.25</v>
      </c>
      <c r="AE27" s="20">
        <f t="shared" si="26"/>
        <v>1492.0774999999999</v>
      </c>
      <c r="AF27" s="24">
        <v>130.82</v>
      </c>
      <c r="AG27" s="20">
        <f t="shared" si="15"/>
        <v>5772.0016324200915</v>
      </c>
    </row>
    <row r="28" spans="1:33" ht="18" x14ac:dyDescent="0.35">
      <c r="A28" s="13" t="s">
        <v>100</v>
      </c>
      <c r="B28" s="28" t="s">
        <v>101</v>
      </c>
      <c r="C28" s="10">
        <v>15</v>
      </c>
      <c r="D28" s="15">
        <v>40</v>
      </c>
      <c r="E28" s="15" t="s">
        <v>30</v>
      </c>
      <c r="F28" s="26" t="s">
        <v>35</v>
      </c>
      <c r="G28" s="27" t="s">
        <v>102</v>
      </c>
      <c r="H28" s="18">
        <v>5</v>
      </c>
      <c r="I28" s="19">
        <v>20272</v>
      </c>
      <c r="J28" s="19">
        <f t="shared" si="0"/>
        <v>3378.666666666667</v>
      </c>
      <c r="K28" s="20">
        <f>1206/2</f>
        <v>603</v>
      </c>
      <c r="L28" s="21">
        <f>975/2</f>
        <v>487.5</v>
      </c>
      <c r="M28" s="22">
        <v>10</v>
      </c>
      <c r="N28" s="21">
        <f t="shared" si="1"/>
        <v>6757.3333333333339</v>
      </c>
      <c r="O28" s="23">
        <f t="shared" si="25"/>
        <v>15.890410958904109</v>
      </c>
      <c r="P28" s="21">
        <f t="shared" si="2"/>
        <v>2684.4200913242007</v>
      </c>
      <c r="Q28" s="20">
        <v>1689.3333333333335</v>
      </c>
      <c r="R28" s="20">
        <f t="shared" si="3"/>
        <v>995.08675799086723</v>
      </c>
      <c r="S28" s="20">
        <f t="shared" si="4"/>
        <v>1.4726027397260268</v>
      </c>
      <c r="T28" s="20">
        <f t="shared" si="5"/>
        <v>675.73333333333335</v>
      </c>
      <c r="U28" s="20">
        <f t="shared" si="6"/>
        <v>3980.3470319634689</v>
      </c>
      <c r="V28" s="22">
        <f t="shared" si="7"/>
        <v>5.8904109589041074</v>
      </c>
      <c r="W28" s="20">
        <f t="shared" si="8"/>
        <v>12221.586757990866</v>
      </c>
      <c r="X28" s="20">
        <f t="shared" si="9"/>
        <v>1165.6400000000001</v>
      </c>
      <c r="Y28" s="20"/>
      <c r="Z28" s="20">
        <f t="shared" si="10"/>
        <v>1773.8</v>
      </c>
      <c r="AA28" s="20">
        <f t="shared" si="11"/>
        <v>304.08</v>
      </c>
      <c r="AB28" s="20">
        <f t="shared" si="12"/>
        <v>3243.52</v>
      </c>
      <c r="AC28" s="20">
        <f t="shared" si="13"/>
        <v>202.72</v>
      </c>
      <c r="AD28" s="20">
        <f>1902.45+0.13</f>
        <v>1902.5800000000002</v>
      </c>
      <c r="AE28" s="20">
        <f t="shared" si="26"/>
        <v>3068.2200000000003</v>
      </c>
      <c r="AF28" s="24">
        <v>-285.37</v>
      </c>
      <c r="AG28" s="20">
        <f t="shared" si="15"/>
        <v>8867.9967579908644</v>
      </c>
    </row>
    <row r="29" spans="1:33" ht="18" x14ac:dyDescent="0.35">
      <c r="A29" s="13" t="s">
        <v>103</v>
      </c>
      <c r="B29" s="28" t="s">
        <v>104</v>
      </c>
      <c r="C29" s="10">
        <v>6</v>
      </c>
      <c r="D29" s="15">
        <v>40</v>
      </c>
      <c r="E29" s="15" t="s">
        <v>30</v>
      </c>
      <c r="F29" s="26" t="s">
        <v>35</v>
      </c>
      <c r="G29" s="27" t="s">
        <v>105</v>
      </c>
      <c r="H29" s="18">
        <v>5</v>
      </c>
      <c r="I29" s="19">
        <v>12058</v>
      </c>
      <c r="J29" s="19">
        <f t="shared" si="0"/>
        <v>2009.6666666666667</v>
      </c>
      <c r="K29" s="20">
        <f>915/2</f>
        <v>457.5</v>
      </c>
      <c r="L29" s="21">
        <f>836/2</f>
        <v>418</v>
      </c>
      <c r="M29" s="22">
        <v>10</v>
      </c>
      <c r="N29" s="21">
        <f t="shared" si="1"/>
        <v>4019.3333333333335</v>
      </c>
      <c r="O29" s="23">
        <f t="shared" si="25"/>
        <v>15.890410958904109</v>
      </c>
      <c r="P29" s="21">
        <f t="shared" si="2"/>
        <v>1596.7214611872146</v>
      </c>
      <c r="Q29" s="20">
        <v>1004.8333333333334</v>
      </c>
      <c r="R29" s="20">
        <f t="shared" si="3"/>
        <v>591.8881278538812</v>
      </c>
      <c r="S29" s="20">
        <f t="shared" si="4"/>
        <v>1.4726027397260273</v>
      </c>
      <c r="T29" s="20">
        <f t="shared" si="5"/>
        <v>401.93333333333334</v>
      </c>
      <c r="U29" s="20">
        <f t="shared" si="6"/>
        <v>2367.5525114155248</v>
      </c>
      <c r="V29" s="22">
        <f t="shared" si="7"/>
        <v>5.8904109589041092</v>
      </c>
      <c r="W29" s="20">
        <f t="shared" si="8"/>
        <v>7496.3881278538811</v>
      </c>
      <c r="X29" s="20">
        <f t="shared" si="9"/>
        <v>693.33500000000004</v>
      </c>
      <c r="Y29" s="20"/>
      <c r="Z29" s="20">
        <f t="shared" si="10"/>
        <v>1055.075</v>
      </c>
      <c r="AA29" s="20">
        <f t="shared" si="11"/>
        <v>180.87</v>
      </c>
      <c r="AB29" s="20">
        <f t="shared" si="12"/>
        <v>1929.2800000000002</v>
      </c>
      <c r="AC29" s="20">
        <f t="shared" si="13"/>
        <v>120.58</v>
      </c>
      <c r="AD29" s="20">
        <f>910.99+0.45</f>
        <v>911.44</v>
      </c>
      <c r="AE29" s="20">
        <f t="shared" si="26"/>
        <v>1604.7750000000001</v>
      </c>
      <c r="AF29" s="24">
        <v>95.39</v>
      </c>
      <c r="AG29" s="20">
        <f t="shared" si="15"/>
        <v>5987.0031278538818</v>
      </c>
    </row>
    <row r="30" spans="1:33" ht="18" x14ac:dyDescent="0.35">
      <c r="A30" s="13" t="s">
        <v>106</v>
      </c>
      <c r="B30" s="28" t="s">
        <v>107</v>
      </c>
      <c r="C30" s="10">
        <v>7</v>
      </c>
      <c r="D30" s="15">
        <v>40</v>
      </c>
      <c r="E30" s="15" t="s">
        <v>30</v>
      </c>
      <c r="F30" s="26" t="s">
        <v>55</v>
      </c>
      <c r="G30" s="27" t="s">
        <v>108</v>
      </c>
      <c r="H30" s="18">
        <v>5</v>
      </c>
      <c r="I30" s="19">
        <v>12556</v>
      </c>
      <c r="J30" s="19">
        <f t="shared" si="0"/>
        <v>2092.666666666667</v>
      </c>
      <c r="K30" s="19">
        <f>926/2</f>
        <v>463</v>
      </c>
      <c r="L30" s="19">
        <f>850/2</f>
        <v>425</v>
      </c>
      <c r="M30" s="22">
        <v>10</v>
      </c>
      <c r="N30" s="21">
        <f t="shared" si="1"/>
        <v>4185.3333333333339</v>
      </c>
      <c r="O30" s="23">
        <f t="shared" ref="O30:O34" si="30">20/365*274</f>
        <v>15.013698630136986</v>
      </c>
      <c r="P30" s="21">
        <f t="shared" si="2"/>
        <v>1570.9333333333334</v>
      </c>
      <c r="Q30" s="20">
        <v>1046.3333333333335</v>
      </c>
      <c r="R30" s="20">
        <f t="shared" si="3"/>
        <v>524.59999999999991</v>
      </c>
      <c r="S30" s="20">
        <f t="shared" si="4"/>
        <v>1.2534246575342463</v>
      </c>
      <c r="T30" s="20">
        <f t="shared" si="5"/>
        <v>418.53333333333336</v>
      </c>
      <c r="U30" s="20">
        <f t="shared" si="6"/>
        <v>2098.3999999999996</v>
      </c>
      <c r="V30" s="22">
        <f t="shared" si="7"/>
        <v>5.013698630136985</v>
      </c>
      <c r="W30" s="20">
        <f t="shared" si="8"/>
        <v>7690.6</v>
      </c>
      <c r="X30" s="20">
        <f t="shared" si="9"/>
        <v>721.97000000000014</v>
      </c>
      <c r="Y30" s="20"/>
      <c r="Z30" s="20">
        <f t="shared" si="10"/>
        <v>1098.6500000000001</v>
      </c>
      <c r="AA30" s="20">
        <f t="shared" si="11"/>
        <v>188.34000000000003</v>
      </c>
      <c r="AB30" s="20">
        <f t="shared" si="12"/>
        <v>2008.9600000000005</v>
      </c>
      <c r="AC30" s="20">
        <f t="shared" si="13"/>
        <v>125.56000000000002</v>
      </c>
      <c r="AD30" s="20">
        <f>940.83-0.2</f>
        <v>940.63</v>
      </c>
      <c r="AE30" s="20">
        <f t="shared" si="26"/>
        <v>1662.6000000000001</v>
      </c>
      <c r="AF30" s="24"/>
      <c r="AG30" s="20">
        <f t="shared" si="15"/>
        <v>6028</v>
      </c>
    </row>
    <row r="31" spans="1:33" ht="18" x14ac:dyDescent="0.35">
      <c r="A31" s="13" t="s">
        <v>109</v>
      </c>
      <c r="B31" s="28" t="s">
        <v>110</v>
      </c>
      <c r="C31" s="10">
        <v>15</v>
      </c>
      <c r="D31" s="15">
        <v>40</v>
      </c>
      <c r="E31" s="15" t="s">
        <v>30</v>
      </c>
      <c r="F31" s="26" t="s">
        <v>39</v>
      </c>
      <c r="G31" s="27" t="s">
        <v>111</v>
      </c>
      <c r="H31" s="18">
        <v>5</v>
      </c>
      <c r="I31" s="19">
        <v>20272</v>
      </c>
      <c r="J31" s="19">
        <f t="shared" si="0"/>
        <v>3378.666666666667</v>
      </c>
      <c r="K31" s="19">
        <f>1206/2</f>
        <v>603</v>
      </c>
      <c r="L31" s="19">
        <f>975/2</f>
        <v>487.5</v>
      </c>
      <c r="M31" s="22">
        <v>10</v>
      </c>
      <c r="N31" s="21">
        <f t="shared" si="1"/>
        <v>6757.3333333333339</v>
      </c>
      <c r="O31" s="23">
        <f t="shared" si="30"/>
        <v>15.013698630136986</v>
      </c>
      <c r="P31" s="21">
        <f t="shared" si="2"/>
        <v>2536.3141552511415</v>
      </c>
      <c r="Q31" s="20">
        <v>1689.3333333333335</v>
      </c>
      <c r="R31" s="20">
        <f t="shared" si="3"/>
        <v>846.98082191780804</v>
      </c>
      <c r="S31" s="20">
        <f t="shared" si="4"/>
        <v>1.2534246575342463</v>
      </c>
      <c r="T31" s="20">
        <f t="shared" si="5"/>
        <v>675.73333333333335</v>
      </c>
      <c r="U31" s="20">
        <f t="shared" si="6"/>
        <v>3387.9232876712322</v>
      </c>
      <c r="V31" s="22">
        <f t="shared" si="7"/>
        <v>5.013698630136985</v>
      </c>
      <c r="W31" s="20">
        <f t="shared" si="8"/>
        <v>12073.480821917808</v>
      </c>
      <c r="X31" s="20">
        <f t="shared" si="9"/>
        <v>1165.6400000000001</v>
      </c>
      <c r="Y31" s="20"/>
      <c r="Z31" s="20">
        <f t="shared" si="10"/>
        <v>1773.8</v>
      </c>
      <c r="AA31" s="20">
        <f t="shared" si="11"/>
        <v>304.08</v>
      </c>
      <c r="AB31" s="20">
        <f t="shared" si="12"/>
        <v>3243.52</v>
      </c>
      <c r="AC31" s="20">
        <f t="shared" si="13"/>
        <v>202.72</v>
      </c>
      <c r="AD31" s="20">
        <f>1931.58+0.26</f>
        <v>1931.84</v>
      </c>
      <c r="AE31" s="20">
        <f t="shared" si="26"/>
        <v>3097.48</v>
      </c>
      <c r="AF31" s="24"/>
      <c r="AG31" s="20">
        <f t="shared" si="15"/>
        <v>8976.0008219178089</v>
      </c>
    </row>
    <row r="32" spans="1:33" ht="18" x14ac:dyDescent="0.35">
      <c r="A32" s="13" t="s">
        <v>112</v>
      </c>
      <c r="B32" s="28" t="s">
        <v>113</v>
      </c>
      <c r="C32" s="10">
        <v>11</v>
      </c>
      <c r="D32" s="15">
        <v>40</v>
      </c>
      <c r="E32" s="15" t="s">
        <v>30</v>
      </c>
      <c r="F32" s="26" t="s">
        <v>39</v>
      </c>
      <c r="G32" s="27" t="s">
        <v>114</v>
      </c>
      <c r="H32" s="18">
        <v>5</v>
      </c>
      <c r="I32" s="19">
        <v>14733</v>
      </c>
      <c r="J32" s="19">
        <f t="shared" si="0"/>
        <v>2455.5</v>
      </c>
      <c r="K32" s="19">
        <f>1093/2</f>
        <v>546.5</v>
      </c>
      <c r="L32" s="19">
        <f>899/2</f>
        <v>449.5</v>
      </c>
      <c r="M32" s="22">
        <v>10</v>
      </c>
      <c r="N32" s="21">
        <f t="shared" si="1"/>
        <v>4911</v>
      </c>
      <c r="O32" s="23">
        <f t="shared" si="30"/>
        <v>15.013698630136986</v>
      </c>
      <c r="P32" s="21">
        <f t="shared" si="2"/>
        <v>1843.3068493150686</v>
      </c>
      <c r="Q32" s="20">
        <v>1227.75</v>
      </c>
      <c r="R32" s="20">
        <f t="shared" si="3"/>
        <v>615.55684931506858</v>
      </c>
      <c r="S32" s="20">
        <f t="shared" si="4"/>
        <v>1.2534246575342467</v>
      </c>
      <c r="T32" s="20">
        <f t="shared" si="5"/>
        <v>491.1</v>
      </c>
      <c r="U32" s="20">
        <f t="shared" si="6"/>
        <v>2462.2273972602743</v>
      </c>
      <c r="V32" s="22">
        <f t="shared" si="7"/>
        <v>5.0136986301369868</v>
      </c>
      <c r="W32" s="20">
        <f t="shared" si="8"/>
        <v>8978.0568493150677</v>
      </c>
      <c r="X32" s="20">
        <f t="shared" si="9"/>
        <v>847.14750000000004</v>
      </c>
      <c r="Y32" s="20"/>
      <c r="Z32" s="20">
        <f t="shared" si="10"/>
        <v>1289.1374999999998</v>
      </c>
      <c r="AA32" s="20">
        <f t="shared" si="11"/>
        <v>220.995</v>
      </c>
      <c r="AB32" s="20">
        <f t="shared" si="12"/>
        <v>2357.2799999999997</v>
      </c>
      <c r="AC32" s="20">
        <f t="shared" si="13"/>
        <v>147.33000000000001</v>
      </c>
      <c r="AD32" s="20">
        <f>1254.53+0.38</f>
        <v>1254.9100000000001</v>
      </c>
      <c r="AE32" s="20">
        <f t="shared" si="26"/>
        <v>2102.0574999999999</v>
      </c>
      <c r="AF32" s="24"/>
      <c r="AG32" s="20">
        <f t="shared" si="15"/>
        <v>6875.9993493150678</v>
      </c>
    </row>
    <row r="33" spans="1:33" ht="18" x14ac:dyDescent="0.35">
      <c r="A33" s="13" t="s">
        <v>115</v>
      </c>
      <c r="B33" s="28" t="s">
        <v>116</v>
      </c>
      <c r="C33" s="10">
        <v>16</v>
      </c>
      <c r="D33" s="15">
        <v>40</v>
      </c>
      <c r="E33" s="15" t="s">
        <v>30</v>
      </c>
      <c r="F33" s="28" t="s">
        <v>55</v>
      </c>
      <c r="G33" s="27" t="s">
        <v>117</v>
      </c>
      <c r="H33" s="18">
        <v>5</v>
      </c>
      <c r="I33" s="19">
        <v>22832</v>
      </c>
      <c r="J33" s="19">
        <f t="shared" si="0"/>
        <v>3805.3333333333335</v>
      </c>
      <c r="K33" s="19">
        <f>1247/2</f>
        <v>623.5</v>
      </c>
      <c r="L33" s="21">
        <f>999/2</f>
        <v>499.5</v>
      </c>
      <c r="M33" s="22">
        <v>10</v>
      </c>
      <c r="N33" s="21">
        <f t="shared" si="1"/>
        <v>7610.666666666667</v>
      </c>
      <c r="O33" s="23">
        <f t="shared" si="30"/>
        <v>15.013698630136986</v>
      </c>
      <c r="P33" s="21">
        <f t="shared" si="2"/>
        <v>2856.6063926940642</v>
      </c>
      <c r="Q33" s="20">
        <v>1902.6666666666667</v>
      </c>
      <c r="R33" s="20">
        <f t="shared" si="3"/>
        <v>953.93972602739746</v>
      </c>
      <c r="S33" s="20">
        <f t="shared" si="4"/>
        <v>1.2534246575342467</v>
      </c>
      <c r="T33" s="20">
        <f t="shared" si="5"/>
        <v>761.06666666666672</v>
      </c>
      <c r="U33" s="20">
        <f t="shared" si="6"/>
        <v>3815.7589041095898</v>
      </c>
      <c r="V33" s="22">
        <f t="shared" si="7"/>
        <v>5.0136986301369868</v>
      </c>
      <c r="W33" s="20">
        <f t="shared" si="8"/>
        <v>13492.939726027398</v>
      </c>
      <c r="X33" s="20">
        <f t="shared" si="9"/>
        <v>1312.8400000000001</v>
      </c>
      <c r="Y33" s="20"/>
      <c r="Z33" s="20">
        <f t="shared" si="10"/>
        <v>1997.8</v>
      </c>
      <c r="AA33" s="20">
        <f t="shared" si="11"/>
        <v>342.47999999999996</v>
      </c>
      <c r="AB33" s="20">
        <f t="shared" si="12"/>
        <v>3653.1200000000003</v>
      </c>
      <c r="AC33" s="20">
        <f t="shared" si="13"/>
        <v>228.32</v>
      </c>
      <c r="AD33" s="20">
        <f>2244.02+0.08</f>
        <v>2244.1</v>
      </c>
      <c r="AE33" s="20">
        <f t="shared" si="26"/>
        <v>3556.94</v>
      </c>
      <c r="AF33" s="24"/>
      <c r="AG33" s="20">
        <f t="shared" si="15"/>
        <v>9935.9997260273976</v>
      </c>
    </row>
    <row r="34" spans="1:33" ht="18" x14ac:dyDescent="0.35">
      <c r="A34" s="13" t="s">
        <v>118</v>
      </c>
      <c r="B34" s="28" t="s">
        <v>119</v>
      </c>
      <c r="C34" s="10">
        <v>6</v>
      </c>
      <c r="D34" s="15">
        <v>40</v>
      </c>
      <c r="E34" s="15" t="s">
        <v>30</v>
      </c>
      <c r="F34" s="28" t="s">
        <v>55</v>
      </c>
      <c r="G34" s="27" t="s">
        <v>120</v>
      </c>
      <c r="H34" s="18">
        <v>5</v>
      </c>
      <c r="I34" s="19">
        <v>12058</v>
      </c>
      <c r="J34" s="19">
        <f t="shared" si="0"/>
        <v>2009.6666666666667</v>
      </c>
      <c r="K34" s="19">
        <f>915/2</f>
        <v>457.5</v>
      </c>
      <c r="L34" s="19">
        <f>836/2</f>
        <v>418</v>
      </c>
      <c r="M34" s="22">
        <v>10</v>
      </c>
      <c r="N34" s="21">
        <f t="shared" si="1"/>
        <v>4019.3333333333335</v>
      </c>
      <c r="O34" s="23">
        <f t="shared" si="30"/>
        <v>15.013698630136986</v>
      </c>
      <c r="P34" s="21">
        <f t="shared" si="2"/>
        <v>1508.6264840182648</v>
      </c>
      <c r="Q34" s="20">
        <v>1004.8333333333334</v>
      </c>
      <c r="R34" s="20">
        <f t="shared" si="3"/>
        <v>503.79315068493145</v>
      </c>
      <c r="S34" s="20">
        <f t="shared" si="4"/>
        <v>1.2534246575342465</v>
      </c>
      <c r="T34" s="20">
        <f t="shared" si="5"/>
        <v>401.93333333333334</v>
      </c>
      <c r="U34" s="20">
        <f t="shared" si="6"/>
        <v>2015.1726027397258</v>
      </c>
      <c r="V34" s="22">
        <f t="shared" si="7"/>
        <v>5.0136986301369859</v>
      </c>
      <c r="W34" s="20">
        <f t="shared" si="8"/>
        <v>7408.2931506849318</v>
      </c>
      <c r="X34" s="20">
        <f t="shared" si="9"/>
        <v>693.33500000000004</v>
      </c>
      <c r="Y34" s="20"/>
      <c r="Z34" s="20">
        <f t="shared" si="10"/>
        <v>1055.075</v>
      </c>
      <c r="AA34" s="20">
        <f t="shared" si="11"/>
        <v>180.87</v>
      </c>
      <c r="AB34" s="20">
        <f t="shared" si="12"/>
        <v>1929.2800000000002</v>
      </c>
      <c r="AC34" s="20">
        <f t="shared" si="13"/>
        <v>120.58</v>
      </c>
      <c r="AD34" s="20">
        <f>871.66+0.3</f>
        <v>871.95999999999992</v>
      </c>
      <c r="AE34" s="20">
        <f t="shared" si="26"/>
        <v>1565.2950000000001</v>
      </c>
      <c r="AF34" s="24"/>
      <c r="AG34" s="20">
        <f t="shared" si="15"/>
        <v>5842.9981506849317</v>
      </c>
    </row>
    <row r="35" spans="1:33" ht="18" x14ac:dyDescent="0.35">
      <c r="A35" s="13" t="s">
        <v>121</v>
      </c>
      <c r="B35" s="28" t="s">
        <v>122</v>
      </c>
      <c r="C35" s="10">
        <v>16</v>
      </c>
      <c r="D35" s="15">
        <v>40</v>
      </c>
      <c r="E35" s="15" t="s">
        <v>30</v>
      </c>
      <c r="F35" s="26" t="s">
        <v>31</v>
      </c>
      <c r="G35" s="27" t="s">
        <v>123</v>
      </c>
      <c r="H35" s="18">
        <v>5</v>
      </c>
      <c r="I35" s="19">
        <v>22832</v>
      </c>
      <c r="J35" s="19">
        <f t="shared" si="0"/>
        <v>3805.3333333333335</v>
      </c>
      <c r="K35" s="19">
        <f t="shared" ref="K35:K36" si="31">1247/2</f>
        <v>623.5</v>
      </c>
      <c r="L35" s="21">
        <f t="shared" ref="L35:L36" si="32">999/2</f>
        <v>499.5</v>
      </c>
      <c r="M35" s="22">
        <v>10</v>
      </c>
      <c r="N35" s="21">
        <f t="shared" si="1"/>
        <v>7610.666666666667</v>
      </c>
      <c r="O35" s="23">
        <f>20/365*269</f>
        <v>14.739726027397259</v>
      </c>
      <c r="P35" s="21">
        <f t="shared" si="2"/>
        <v>2804.4785388127852</v>
      </c>
      <c r="Q35" s="20">
        <v>1881.5259259259258</v>
      </c>
      <c r="R35" s="20">
        <f t="shared" si="3"/>
        <v>922.95261288685947</v>
      </c>
      <c r="S35" s="20">
        <f t="shared" si="4"/>
        <v>1.2127092846270928</v>
      </c>
      <c r="T35" s="20">
        <f t="shared" si="5"/>
        <v>761.06666666666672</v>
      </c>
      <c r="U35" s="20">
        <f t="shared" si="6"/>
        <v>3691.8104515474379</v>
      </c>
      <c r="V35" s="22">
        <f t="shared" si="7"/>
        <v>4.8508371385083713</v>
      </c>
      <c r="W35" s="20">
        <f t="shared" si="8"/>
        <v>13461.95261288686</v>
      </c>
      <c r="X35" s="20">
        <f t="shared" si="9"/>
        <v>1312.8400000000001</v>
      </c>
      <c r="Y35" s="20"/>
      <c r="Z35" s="20">
        <f t="shared" si="10"/>
        <v>1997.8</v>
      </c>
      <c r="AA35" s="20">
        <f t="shared" si="11"/>
        <v>342.47999999999996</v>
      </c>
      <c r="AB35" s="20">
        <f t="shared" si="12"/>
        <v>3653.1200000000003</v>
      </c>
      <c r="AC35" s="20">
        <f t="shared" si="13"/>
        <v>228.32</v>
      </c>
      <c r="AD35" s="20">
        <f>2237.52-0.41</f>
        <v>2237.11</v>
      </c>
      <c r="AE35" s="20">
        <f t="shared" si="26"/>
        <v>3549.9500000000003</v>
      </c>
      <c r="AF35" s="24"/>
      <c r="AG35" s="20">
        <f t="shared" si="15"/>
        <v>9912.0026128868594</v>
      </c>
    </row>
    <row r="36" spans="1:33" ht="18" x14ac:dyDescent="0.35">
      <c r="A36" s="13" t="s">
        <v>124</v>
      </c>
      <c r="B36" s="28" t="s">
        <v>125</v>
      </c>
      <c r="C36" s="10">
        <v>16</v>
      </c>
      <c r="D36" s="15">
        <v>40</v>
      </c>
      <c r="E36" s="15" t="s">
        <v>30</v>
      </c>
      <c r="F36" s="26" t="s">
        <v>31</v>
      </c>
      <c r="G36" s="27" t="s">
        <v>126</v>
      </c>
      <c r="H36" s="18">
        <v>6</v>
      </c>
      <c r="I36" s="19">
        <v>22832</v>
      </c>
      <c r="J36" s="19">
        <f t="shared" si="0"/>
        <v>4566.4000000000005</v>
      </c>
      <c r="K36" s="19">
        <f t="shared" si="31"/>
        <v>623.5</v>
      </c>
      <c r="L36" s="21">
        <f t="shared" si="32"/>
        <v>499.5</v>
      </c>
      <c r="M36" s="22">
        <v>9</v>
      </c>
      <c r="N36" s="21">
        <f t="shared" si="1"/>
        <v>6849.6</v>
      </c>
      <c r="O36" s="23">
        <f>20/365*248</f>
        <v>13.58904109589041</v>
      </c>
      <c r="P36" s="21">
        <f t="shared" si="2"/>
        <v>2585.5415525114154</v>
      </c>
      <c r="Q36" s="20">
        <v>1659.5481481481481</v>
      </c>
      <c r="R36" s="20">
        <f t="shared" si="3"/>
        <v>925.99340436326725</v>
      </c>
      <c r="S36" s="20">
        <f t="shared" si="4"/>
        <v>1.216704718417047</v>
      </c>
      <c r="T36" s="20">
        <f t="shared" si="5"/>
        <v>761.06666666666672</v>
      </c>
      <c r="U36" s="20">
        <f t="shared" si="6"/>
        <v>3703.9736174530685</v>
      </c>
      <c r="V36" s="22">
        <f t="shared" si="7"/>
        <v>4.866818873668187</v>
      </c>
      <c r="W36" s="20">
        <f t="shared" si="8"/>
        <v>13464.993404363267</v>
      </c>
      <c r="X36" s="20">
        <f t="shared" si="9"/>
        <v>1312.8400000000001</v>
      </c>
      <c r="Y36" s="20"/>
      <c r="Z36" s="20">
        <f t="shared" si="10"/>
        <v>1997.8</v>
      </c>
      <c r="AA36" s="20">
        <f t="shared" si="11"/>
        <v>342.47999999999996</v>
      </c>
      <c r="AB36" s="20">
        <f t="shared" si="12"/>
        <v>3653.1200000000003</v>
      </c>
      <c r="AC36" s="20">
        <f t="shared" si="13"/>
        <v>228.32</v>
      </c>
      <c r="AD36" s="20">
        <f>2239.1+0.05</f>
        <v>2239.15</v>
      </c>
      <c r="AE36" s="20">
        <f t="shared" si="26"/>
        <v>3551.9900000000002</v>
      </c>
      <c r="AF36" s="24"/>
      <c r="AG36" s="20">
        <f t="shared" si="15"/>
        <v>9913.0034043632677</v>
      </c>
    </row>
    <row r="37" spans="1:33" ht="18" x14ac:dyDescent="0.35">
      <c r="A37" s="13" t="s">
        <v>127</v>
      </c>
      <c r="B37" s="28" t="s">
        <v>128</v>
      </c>
      <c r="C37" s="10">
        <v>5</v>
      </c>
      <c r="D37" s="15">
        <v>40</v>
      </c>
      <c r="E37" s="15" t="s">
        <v>30</v>
      </c>
      <c r="F37" s="26" t="s">
        <v>39</v>
      </c>
      <c r="G37" s="27" t="s">
        <v>99</v>
      </c>
      <c r="H37" s="18">
        <v>5</v>
      </c>
      <c r="I37" s="19">
        <v>11597</v>
      </c>
      <c r="J37" s="19">
        <f t="shared" si="0"/>
        <v>1932.8333333333333</v>
      </c>
      <c r="K37" s="19">
        <f>815/2</f>
        <v>407.5</v>
      </c>
      <c r="L37" s="19">
        <f>716/2</f>
        <v>358</v>
      </c>
      <c r="M37" s="22">
        <v>10</v>
      </c>
      <c r="N37" s="21">
        <f t="shared" si="1"/>
        <v>3865.6666666666665</v>
      </c>
      <c r="O37" s="23">
        <f>20/365*241</f>
        <v>13.205479452054794</v>
      </c>
      <c r="P37" s="21">
        <f t="shared" si="2"/>
        <v>1276.1995433789953</v>
      </c>
      <c r="Q37" s="20">
        <v>805.34722222222206</v>
      </c>
      <c r="R37" s="20">
        <f t="shared" si="3"/>
        <v>470.8523211567732</v>
      </c>
      <c r="S37" s="20">
        <f t="shared" si="4"/>
        <v>1.2180365296803652</v>
      </c>
      <c r="T37" s="20">
        <f t="shared" si="5"/>
        <v>386.56666666666666</v>
      </c>
      <c r="U37" s="20">
        <f t="shared" si="6"/>
        <v>1883.4092846270928</v>
      </c>
      <c r="V37" s="22">
        <f t="shared" si="7"/>
        <v>4.872146118721461</v>
      </c>
      <c r="W37" s="20">
        <f t="shared" si="8"/>
        <v>7034.8523211567735</v>
      </c>
      <c r="X37" s="20">
        <f t="shared" si="9"/>
        <v>666.82749999999999</v>
      </c>
      <c r="Y37" s="20"/>
      <c r="Z37" s="20">
        <f t="shared" si="10"/>
        <v>1014.7375</v>
      </c>
      <c r="AA37" s="20">
        <f t="shared" si="11"/>
        <v>173.95499999999998</v>
      </c>
      <c r="AB37" s="20">
        <f t="shared" si="12"/>
        <v>1855.52</v>
      </c>
      <c r="AC37" s="20">
        <f t="shared" si="13"/>
        <v>115.97</v>
      </c>
      <c r="AD37" s="20">
        <f>755.36-0.34</f>
        <v>755.02</v>
      </c>
      <c r="AE37" s="20">
        <f t="shared" si="26"/>
        <v>1421.8474999999999</v>
      </c>
      <c r="AF37" s="24"/>
      <c r="AG37" s="20">
        <f t="shared" si="15"/>
        <v>5613.0048211567737</v>
      </c>
    </row>
    <row r="38" spans="1:33" ht="18" x14ac:dyDescent="0.35">
      <c r="A38" s="13" t="s">
        <v>129</v>
      </c>
      <c r="B38" s="28" t="s">
        <v>130</v>
      </c>
      <c r="C38" s="10">
        <v>1</v>
      </c>
      <c r="D38" s="15">
        <v>40</v>
      </c>
      <c r="E38" s="15" t="s">
        <v>30</v>
      </c>
      <c r="F38" s="28" t="s">
        <v>55</v>
      </c>
      <c r="G38" s="27" t="s">
        <v>131</v>
      </c>
      <c r="H38" s="18">
        <v>5</v>
      </c>
      <c r="I38" s="19">
        <v>10307</v>
      </c>
      <c r="J38" s="19">
        <f t="shared" si="0"/>
        <v>1717.8333333333333</v>
      </c>
      <c r="K38" s="20">
        <f t="shared" ref="K38:K42" si="33">717/2</f>
        <v>358.5</v>
      </c>
      <c r="L38" s="21">
        <f t="shared" ref="L38:L42" si="34">667/2</f>
        <v>333.5</v>
      </c>
      <c r="M38" s="22">
        <v>10</v>
      </c>
      <c r="N38" s="21">
        <f t="shared" si="1"/>
        <v>3435.6666666666665</v>
      </c>
      <c r="O38" s="23">
        <f>20/365*290</f>
        <v>15.890410958904109</v>
      </c>
      <c r="P38" s="21">
        <f t="shared" si="2"/>
        <v>1364.8538812785387</v>
      </c>
      <c r="Q38" s="20">
        <v>858.91666666666663</v>
      </c>
      <c r="R38" s="20">
        <f t="shared" si="3"/>
        <v>505.93721461187204</v>
      </c>
      <c r="S38" s="20">
        <f t="shared" si="4"/>
        <v>1.4726027397260271</v>
      </c>
      <c r="T38" s="20">
        <f t="shared" si="5"/>
        <v>343.56666666666666</v>
      </c>
      <c r="U38" s="20">
        <f t="shared" si="6"/>
        <v>2023.7488584474881</v>
      </c>
      <c r="V38" s="22">
        <f t="shared" si="7"/>
        <v>5.8904109589041083</v>
      </c>
      <c r="W38" s="20">
        <f t="shared" si="8"/>
        <v>6351.4372146118722</v>
      </c>
      <c r="X38" s="20">
        <f t="shared" si="9"/>
        <v>592.65250000000003</v>
      </c>
      <c r="Y38" s="20"/>
      <c r="Z38" s="20">
        <f t="shared" si="10"/>
        <v>901.86249999999995</v>
      </c>
      <c r="AA38" s="20">
        <f t="shared" si="11"/>
        <v>154.60499999999999</v>
      </c>
      <c r="AB38" s="20">
        <f t="shared" si="12"/>
        <v>1649.12</v>
      </c>
      <c r="AC38" s="20">
        <f t="shared" si="13"/>
        <v>103.07000000000001</v>
      </c>
      <c r="AD38" s="20">
        <f>656.62-0.13</f>
        <v>656.49</v>
      </c>
      <c r="AE38" s="20">
        <f t="shared" si="26"/>
        <v>1249.1424999999999</v>
      </c>
      <c r="AF38" s="24">
        <v>214.71</v>
      </c>
      <c r="AG38" s="20">
        <f t="shared" si="15"/>
        <v>5317.0047146118723</v>
      </c>
    </row>
    <row r="39" spans="1:33" ht="18" x14ac:dyDescent="0.35">
      <c r="A39" s="13" t="s">
        <v>132</v>
      </c>
      <c r="B39" s="28" t="s">
        <v>133</v>
      </c>
      <c r="C39" s="10">
        <v>1</v>
      </c>
      <c r="D39" s="15">
        <v>40</v>
      </c>
      <c r="E39" s="15" t="s">
        <v>30</v>
      </c>
      <c r="F39" s="28" t="s">
        <v>55</v>
      </c>
      <c r="G39" s="28" t="s">
        <v>134</v>
      </c>
      <c r="H39" s="18">
        <v>5</v>
      </c>
      <c r="I39" s="19">
        <v>10307</v>
      </c>
      <c r="J39" s="19">
        <f t="shared" si="0"/>
        <v>1717.8333333333333</v>
      </c>
      <c r="K39" s="20">
        <f t="shared" si="33"/>
        <v>358.5</v>
      </c>
      <c r="L39" s="21">
        <f t="shared" si="34"/>
        <v>333.5</v>
      </c>
      <c r="M39" s="22">
        <v>10</v>
      </c>
      <c r="N39" s="21">
        <f t="shared" si="1"/>
        <v>3435.6666666666665</v>
      </c>
      <c r="O39" s="23">
        <f t="shared" ref="O39:O41" si="35">20/365*213</f>
        <v>11.671232876712327</v>
      </c>
      <c r="P39" s="21">
        <f t="shared" si="2"/>
        <v>1002.4616438356163</v>
      </c>
      <c r="Q39" s="20">
        <v>582.15462962962965</v>
      </c>
      <c r="R39" s="20">
        <f t="shared" si="3"/>
        <v>420.30701420598666</v>
      </c>
      <c r="S39" s="20">
        <f t="shared" si="4"/>
        <v>1.2233637747336372</v>
      </c>
      <c r="T39" s="20">
        <f t="shared" si="5"/>
        <v>343.56666666666666</v>
      </c>
      <c r="U39" s="20">
        <f t="shared" si="6"/>
        <v>1681.2280568239466</v>
      </c>
      <c r="V39" s="22">
        <f t="shared" si="7"/>
        <v>4.8934550989345489</v>
      </c>
      <c r="W39" s="20">
        <f t="shared" si="8"/>
        <v>6265.8070142059869</v>
      </c>
      <c r="X39" s="20">
        <f t="shared" si="9"/>
        <v>592.65250000000003</v>
      </c>
      <c r="Y39" s="20"/>
      <c r="Z39" s="20">
        <f t="shared" si="10"/>
        <v>901.86249999999995</v>
      </c>
      <c r="AA39" s="20">
        <f t="shared" si="11"/>
        <v>154.60499999999999</v>
      </c>
      <c r="AB39" s="20">
        <f t="shared" si="12"/>
        <v>1649.12</v>
      </c>
      <c r="AC39" s="20">
        <f t="shared" si="13"/>
        <v>103.07000000000001</v>
      </c>
      <c r="AD39" s="20">
        <f t="shared" ref="AD39:AD41" si="36">607.34-0.19</f>
        <v>607.15</v>
      </c>
      <c r="AE39" s="20">
        <f t="shared" si="26"/>
        <v>1199.8025</v>
      </c>
      <c r="AF39" s="24"/>
      <c r="AG39" s="20">
        <f t="shared" si="15"/>
        <v>5066.0045142059871</v>
      </c>
    </row>
    <row r="40" spans="1:33" ht="18" x14ac:dyDescent="0.35">
      <c r="A40" s="13" t="s">
        <v>135</v>
      </c>
      <c r="B40" s="28" t="s">
        <v>136</v>
      </c>
      <c r="C40" s="10">
        <v>1</v>
      </c>
      <c r="D40" s="15">
        <v>40</v>
      </c>
      <c r="E40" s="15" t="s">
        <v>30</v>
      </c>
      <c r="F40" s="28" t="s">
        <v>55</v>
      </c>
      <c r="G40" s="28" t="s">
        <v>134</v>
      </c>
      <c r="H40" s="18">
        <v>5</v>
      </c>
      <c r="I40" s="19">
        <v>10307</v>
      </c>
      <c r="J40" s="19">
        <f t="shared" si="0"/>
        <v>1717.8333333333333</v>
      </c>
      <c r="K40" s="20">
        <f t="shared" si="33"/>
        <v>358.5</v>
      </c>
      <c r="L40" s="21">
        <f t="shared" si="34"/>
        <v>333.5</v>
      </c>
      <c r="M40" s="22">
        <v>10</v>
      </c>
      <c r="N40" s="21">
        <f t="shared" si="1"/>
        <v>3435.6666666666665</v>
      </c>
      <c r="O40" s="23">
        <f t="shared" si="35"/>
        <v>11.671232876712327</v>
      </c>
      <c r="P40" s="21">
        <f t="shared" si="2"/>
        <v>1002.4616438356163</v>
      </c>
      <c r="Q40" s="20">
        <v>582.15462962962965</v>
      </c>
      <c r="R40" s="20">
        <f t="shared" si="3"/>
        <v>420.30701420598666</v>
      </c>
      <c r="S40" s="20">
        <f t="shared" si="4"/>
        <v>1.2233637747336372</v>
      </c>
      <c r="T40" s="20">
        <f t="shared" si="5"/>
        <v>343.56666666666666</v>
      </c>
      <c r="U40" s="20">
        <f t="shared" si="6"/>
        <v>1681.2280568239466</v>
      </c>
      <c r="V40" s="22">
        <f t="shared" si="7"/>
        <v>4.8934550989345489</v>
      </c>
      <c r="W40" s="20">
        <f t="shared" si="8"/>
        <v>6265.8070142059869</v>
      </c>
      <c r="X40" s="20">
        <f t="shared" si="9"/>
        <v>592.65250000000003</v>
      </c>
      <c r="Y40" s="20"/>
      <c r="Z40" s="20">
        <f t="shared" si="10"/>
        <v>901.86249999999995</v>
      </c>
      <c r="AA40" s="20">
        <f t="shared" si="11"/>
        <v>154.60499999999999</v>
      </c>
      <c r="AB40" s="20">
        <f t="shared" si="12"/>
        <v>1649.12</v>
      </c>
      <c r="AC40" s="20">
        <f t="shared" si="13"/>
        <v>103.07000000000001</v>
      </c>
      <c r="AD40" s="20">
        <f t="shared" si="36"/>
        <v>607.15</v>
      </c>
      <c r="AE40" s="20">
        <f t="shared" si="26"/>
        <v>1199.8025</v>
      </c>
      <c r="AF40" s="24"/>
      <c r="AG40" s="20">
        <f t="shared" si="15"/>
        <v>5066.0045142059871</v>
      </c>
    </row>
    <row r="41" spans="1:33" ht="18" x14ac:dyDescent="0.35">
      <c r="A41" s="13" t="s">
        <v>137</v>
      </c>
      <c r="B41" s="28" t="s">
        <v>138</v>
      </c>
      <c r="C41" s="10">
        <v>1</v>
      </c>
      <c r="D41" s="15">
        <v>40</v>
      </c>
      <c r="E41" s="15" t="s">
        <v>30</v>
      </c>
      <c r="F41" s="28" t="s">
        <v>55</v>
      </c>
      <c r="G41" s="28" t="s">
        <v>134</v>
      </c>
      <c r="H41" s="18">
        <v>5</v>
      </c>
      <c r="I41" s="19">
        <v>10307</v>
      </c>
      <c r="J41" s="19">
        <f t="shared" si="0"/>
        <v>1717.8333333333333</v>
      </c>
      <c r="K41" s="20">
        <f t="shared" si="33"/>
        <v>358.5</v>
      </c>
      <c r="L41" s="21">
        <f t="shared" si="34"/>
        <v>333.5</v>
      </c>
      <c r="M41" s="22">
        <v>10</v>
      </c>
      <c r="N41" s="21">
        <f t="shared" si="1"/>
        <v>3435.6666666666665</v>
      </c>
      <c r="O41" s="23">
        <f t="shared" si="35"/>
        <v>11.671232876712327</v>
      </c>
      <c r="P41" s="21">
        <f t="shared" si="2"/>
        <v>1002.4616438356163</v>
      </c>
      <c r="Q41" s="20">
        <v>582.15462962962965</v>
      </c>
      <c r="R41" s="20">
        <f t="shared" si="3"/>
        <v>420.30701420598666</v>
      </c>
      <c r="S41" s="20">
        <f t="shared" si="4"/>
        <v>1.2233637747336372</v>
      </c>
      <c r="T41" s="20">
        <f t="shared" si="5"/>
        <v>343.56666666666666</v>
      </c>
      <c r="U41" s="20">
        <f t="shared" si="6"/>
        <v>1681.2280568239466</v>
      </c>
      <c r="V41" s="22">
        <f t="shared" si="7"/>
        <v>4.8934550989345489</v>
      </c>
      <c r="W41" s="20">
        <f t="shared" si="8"/>
        <v>6265.8070142059869</v>
      </c>
      <c r="X41" s="20">
        <f t="shared" si="9"/>
        <v>592.65250000000003</v>
      </c>
      <c r="Y41" s="20"/>
      <c r="Z41" s="20">
        <f t="shared" si="10"/>
        <v>901.86249999999995</v>
      </c>
      <c r="AA41" s="20">
        <f t="shared" si="11"/>
        <v>154.60499999999999</v>
      </c>
      <c r="AB41" s="20">
        <f t="shared" si="12"/>
        <v>1649.12</v>
      </c>
      <c r="AC41" s="20">
        <f t="shared" si="13"/>
        <v>103.07000000000001</v>
      </c>
      <c r="AD41" s="20">
        <f t="shared" si="36"/>
        <v>607.15</v>
      </c>
      <c r="AE41" s="20">
        <f t="shared" si="26"/>
        <v>1199.8025</v>
      </c>
      <c r="AF41" s="24"/>
      <c r="AG41" s="20">
        <f t="shared" si="15"/>
        <v>5066.0045142059871</v>
      </c>
    </row>
    <row r="42" spans="1:33" ht="18" x14ac:dyDescent="0.35">
      <c r="A42" s="13" t="s">
        <v>139</v>
      </c>
      <c r="B42" s="28" t="s">
        <v>140</v>
      </c>
      <c r="C42" s="10">
        <v>1</v>
      </c>
      <c r="D42" s="15">
        <v>40</v>
      </c>
      <c r="E42" s="15" t="s">
        <v>30</v>
      </c>
      <c r="F42" s="28" t="s">
        <v>55</v>
      </c>
      <c r="G42" s="28" t="s">
        <v>134</v>
      </c>
      <c r="H42" s="18">
        <v>4</v>
      </c>
      <c r="I42" s="19">
        <v>10307</v>
      </c>
      <c r="J42" s="19">
        <f t="shared" si="0"/>
        <v>1374.2666666666667</v>
      </c>
      <c r="K42" s="20">
        <f t="shared" si="33"/>
        <v>358.5</v>
      </c>
      <c r="L42" s="21">
        <f t="shared" si="34"/>
        <v>333.5</v>
      </c>
      <c r="M42" s="22">
        <v>11</v>
      </c>
      <c r="N42" s="21">
        <f t="shared" si="1"/>
        <v>3779.2333333333331</v>
      </c>
      <c r="O42" s="23">
        <f>20/365*229</f>
        <v>12.547945205479451</v>
      </c>
      <c r="P42" s="21">
        <f t="shared" si="2"/>
        <v>1077.7639269406391</v>
      </c>
      <c r="Q42" s="20">
        <v>658.50277777777774</v>
      </c>
      <c r="R42" s="20">
        <f t="shared" si="3"/>
        <v>419.26114916286133</v>
      </c>
      <c r="S42" s="20">
        <f t="shared" si="4"/>
        <v>1.2203196347031959</v>
      </c>
      <c r="T42" s="20">
        <f t="shared" si="5"/>
        <v>343.56666666666666</v>
      </c>
      <c r="U42" s="20">
        <f t="shared" si="6"/>
        <v>1677.0445966514453</v>
      </c>
      <c r="V42" s="22">
        <f t="shared" si="7"/>
        <v>4.8812785388127837</v>
      </c>
      <c r="W42" s="20">
        <f t="shared" si="8"/>
        <v>6264.7611491628613</v>
      </c>
      <c r="X42" s="20">
        <f t="shared" si="9"/>
        <v>592.65250000000003</v>
      </c>
      <c r="Y42" s="20"/>
      <c r="Z42" s="20">
        <f t="shared" si="10"/>
        <v>901.86249999999995</v>
      </c>
      <c r="AA42" s="20">
        <f t="shared" si="11"/>
        <v>154.60499999999999</v>
      </c>
      <c r="AB42" s="20">
        <f t="shared" si="12"/>
        <v>1649.12</v>
      </c>
      <c r="AC42" s="20">
        <f t="shared" si="13"/>
        <v>103.07000000000001</v>
      </c>
      <c r="AD42" s="20">
        <f>607.38-0.27</f>
        <v>607.11</v>
      </c>
      <c r="AE42" s="20">
        <f t="shared" si="26"/>
        <v>1199.7625</v>
      </c>
      <c r="AF42" s="24"/>
      <c r="AG42" s="20">
        <f t="shared" si="15"/>
        <v>5064.9986491628615</v>
      </c>
    </row>
    <row r="43" spans="1:33" ht="18" x14ac:dyDescent="0.35">
      <c r="A43" s="13" t="s">
        <v>141</v>
      </c>
      <c r="B43" s="28" t="s">
        <v>142</v>
      </c>
      <c r="C43" s="10">
        <v>6</v>
      </c>
      <c r="D43" s="15">
        <v>40</v>
      </c>
      <c r="E43" s="15" t="s">
        <v>30</v>
      </c>
      <c r="F43" s="26" t="s">
        <v>31</v>
      </c>
      <c r="G43" s="28" t="s">
        <v>143</v>
      </c>
      <c r="H43" s="18">
        <v>5</v>
      </c>
      <c r="I43" s="19">
        <v>12058</v>
      </c>
      <c r="J43" s="19">
        <f t="shared" si="0"/>
        <v>2009.6666666666667</v>
      </c>
      <c r="K43" s="20">
        <f>915/2</f>
        <v>457.5</v>
      </c>
      <c r="L43" s="21">
        <f>836/2</f>
        <v>418</v>
      </c>
      <c r="M43" s="22">
        <v>10</v>
      </c>
      <c r="N43" s="21">
        <f t="shared" si="1"/>
        <v>4019.3333333333335</v>
      </c>
      <c r="O43" s="23">
        <f>20/365*198</f>
        <v>10.84931506849315</v>
      </c>
      <c r="P43" s="21">
        <f t="shared" si="2"/>
        <v>1090.1753424657534</v>
      </c>
      <c r="Q43" s="20">
        <v>597.31759259259252</v>
      </c>
      <c r="R43" s="20">
        <f t="shared" si="3"/>
        <v>492.85774987316086</v>
      </c>
      <c r="S43" s="20">
        <f t="shared" si="4"/>
        <v>1.2262176560121767</v>
      </c>
      <c r="T43" s="20">
        <f t="shared" si="5"/>
        <v>401.93333333333334</v>
      </c>
      <c r="U43" s="20">
        <f t="shared" si="6"/>
        <v>1971.4309994926434</v>
      </c>
      <c r="V43" s="22">
        <f t="shared" si="7"/>
        <v>4.9048706240487068</v>
      </c>
      <c r="W43" s="20">
        <f t="shared" si="8"/>
        <v>7397.3577498731611</v>
      </c>
      <c r="X43" s="20">
        <f t="shared" si="9"/>
        <v>693.33500000000004</v>
      </c>
      <c r="Y43" s="20"/>
      <c r="Z43" s="20">
        <f t="shared" si="10"/>
        <v>1055.075</v>
      </c>
      <c r="AA43" s="20">
        <f t="shared" si="11"/>
        <v>180.87</v>
      </c>
      <c r="AB43" s="20">
        <f t="shared" si="12"/>
        <v>1929.2800000000002</v>
      </c>
      <c r="AC43" s="20">
        <f t="shared" si="13"/>
        <v>120.58</v>
      </c>
      <c r="AD43" s="20">
        <f>828.07-0.05</f>
        <v>828.0200000000001</v>
      </c>
      <c r="AE43" s="20">
        <f t="shared" si="26"/>
        <v>1521.355</v>
      </c>
      <c r="AF43" s="24"/>
      <c r="AG43" s="20">
        <f t="shared" si="15"/>
        <v>5876.0027498731615</v>
      </c>
    </row>
    <row r="44" spans="1:33" ht="18" x14ac:dyDescent="0.35">
      <c r="A44" s="13" t="s">
        <v>144</v>
      </c>
      <c r="B44" s="28" t="s">
        <v>145</v>
      </c>
      <c r="C44" s="10">
        <v>9</v>
      </c>
      <c r="D44" s="15">
        <v>40</v>
      </c>
      <c r="E44" s="15" t="s">
        <v>30</v>
      </c>
      <c r="F44" s="28" t="s">
        <v>74</v>
      </c>
      <c r="G44" s="28" t="s">
        <v>146</v>
      </c>
      <c r="H44" s="18">
        <v>8</v>
      </c>
      <c r="I44" s="19">
        <v>13687</v>
      </c>
      <c r="J44" s="19">
        <f t="shared" si="0"/>
        <v>3649.8666666666668</v>
      </c>
      <c r="K44" s="20">
        <f>957/2</f>
        <v>478.5</v>
      </c>
      <c r="L44" s="21">
        <f>881/2</f>
        <v>440.5</v>
      </c>
      <c r="M44" s="22">
        <v>7</v>
      </c>
      <c r="N44" s="21">
        <f t="shared" si="1"/>
        <v>3193.6333333333332</v>
      </c>
      <c r="O44" s="23">
        <f>20/365*192</f>
        <v>10.520547945205479</v>
      </c>
      <c r="P44" s="21">
        <f t="shared" si="2"/>
        <v>1199.9561643835616</v>
      </c>
      <c r="Q44" s="20">
        <v>639.99398148148146</v>
      </c>
      <c r="R44" s="20">
        <f t="shared" si="3"/>
        <v>559.96218290208014</v>
      </c>
      <c r="S44" s="20">
        <f t="shared" si="4"/>
        <v>1.227359208523592</v>
      </c>
      <c r="T44" s="20">
        <f t="shared" si="5"/>
        <v>456.23333333333335</v>
      </c>
      <c r="U44" s="20">
        <f t="shared" si="6"/>
        <v>2239.8487316083206</v>
      </c>
      <c r="V44" s="22">
        <f t="shared" si="7"/>
        <v>4.9094368340943682</v>
      </c>
      <c r="W44" s="20">
        <f t="shared" si="8"/>
        <v>8322.4621829020798</v>
      </c>
      <c r="X44" s="20">
        <f t="shared" si="9"/>
        <v>787.00250000000005</v>
      </c>
      <c r="Y44" s="20"/>
      <c r="Z44" s="20">
        <f t="shared" si="10"/>
        <v>1197.6125</v>
      </c>
      <c r="AA44" s="20">
        <f t="shared" si="11"/>
        <v>205.30499999999998</v>
      </c>
      <c r="AB44" s="20">
        <f t="shared" si="12"/>
        <v>2189.92</v>
      </c>
      <c r="AC44" s="20">
        <f t="shared" si="13"/>
        <v>136.87</v>
      </c>
      <c r="AD44" s="21">
        <f>1011.33+0.13</f>
        <v>1011.46</v>
      </c>
      <c r="AE44" s="20">
        <f t="shared" si="26"/>
        <v>1798.4625000000001</v>
      </c>
      <c r="AF44" s="24"/>
      <c r="AG44" s="20">
        <f t="shared" si="15"/>
        <v>6523.9996829020802</v>
      </c>
    </row>
    <row r="45" spans="1:33" ht="18" x14ac:dyDescent="0.35">
      <c r="A45" s="13" t="s">
        <v>147</v>
      </c>
      <c r="B45" s="28" t="s">
        <v>148</v>
      </c>
      <c r="C45" s="10">
        <v>3</v>
      </c>
      <c r="D45" s="15">
        <v>40</v>
      </c>
      <c r="E45" s="15" t="s">
        <v>30</v>
      </c>
      <c r="F45" s="28" t="s">
        <v>55</v>
      </c>
      <c r="G45" s="28" t="s">
        <v>149</v>
      </c>
      <c r="H45" s="18">
        <v>15</v>
      </c>
      <c r="I45" s="19">
        <v>11069</v>
      </c>
      <c r="J45" s="19">
        <f t="shared" si="0"/>
        <v>5534.5</v>
      </c>
      <c r="K45" s="20">
        <f>788/2</f>
        <v>394</v>
      </c>
      <c r="L45" s="21">
        <f>688/2</f>
        <v>344</v>
      </c>
      <c r="M45" s="22"/>
      <c r="N45" s="20"/>
      <c r="O45" s="21"/>
      <c r="P45" s="21">
        <f t="shared" si="2"/>
        <v>0</v>
      </c>
      <c r="Q45" s="20">
        <v>266.47592592592588</v>
      </c>
      <c r="R45" s="29">
        <f t="shared" si="3"/>
        <v>-266.47592592592588</v>
      </c>
      <c r="S45" s="20">
        <f t="shared" si="4"/>
        <v>-0.7222222222222221</v>
      </c>
      <c r="T45" s="20">
        <f t="shared" si="5"/>
        <v>368.96666666666664</v>
      </c>
      <c r="U45" s="20">
        <f t="shared" si="6"/>
        <v>-1065.9037037037035</v>
      </c>
      <c r="V45" s="22">
        <f t="shared" si="7"/>
        <v>-2.8888888888888884</v>
      </c>
      <c r="W45" s="20">
        <f t="shared" si="8"/>
        <v>6006.0240740740737</v>
      </c>
      <c r="X45" s="20">
        <f t="shared" si="9"/>
        <v>636.46749999999997</v>
      </c>
      <c r="Y45" s="20"/>
      <c r="Z45" s="20">
        <f t="shared" si="10"/>
        <v>968.53749999999991</v>
      </c>
      <c r="AA45" s="20">
        <f t="shared" si="11"/>
        <v>166.035</v>
      </c>
      <c r="AB45" s="20">
        <f t="shared" si="12"/>
        <v>1771.04</v>
      </c>
      <c r="AC45" s="20">
        <f t="shared" si="13"/>
        <v>110.69</v>
      </c>
      <c r="AD45" s="30">
        <f>636.17+0.39</f>
        <v>636.55999999999995</v>
      </c>
      <c r="AE45" s="20">
        <f t="shared" si="26"/>
        <v>1273.0274999999999</v>
      </c>
      <c r="AF45" s="24"/>
      <c r="AG45" s="20">
        <f t="shared" si="15"/>
        <v>4732.9965740740736</v>
      </c>
    </row>
    <row r="46" spans="1:33" ht="18" x14ac:dyDescent="0.35">
      <c r="A46" s="13" t="s">
        <v>150</v>
      </c>
      <c r="B46" s="28" t="s">
        <v>151</v>
      </c>
      <c r="C46" s="31">
        <v>6</v>
      </c>
      <c r="D46" s="15">
        <v>40</v>
      </c>
      <c r="E46" s="15" t="s">
        <v>30</v>
      </c>
      <c r="F46" s="26" t="s">
        <v>35</v>
      </c>
      <c r="G46" s="32" t="s">
        <v>152</v>
      </c>
      <c r="H46" s="18">
        <v>15</v>
      </c>
      <c r="I46" s="19">
        <v>12058</v>
      </c>
      <c r="J46" s="19">
        <f t="shared" si="0"/>
        <v>6029</v>
      </c>
      <c r="K46" s="20">
        <f>915/2</f>
        <v>457.5</v>
      </c>
      <c r="L46" s="21">
        <f>836/2</f>
        <v>418</v>
      </c>
      <c r="M46" s="22"/>
      <c r="N46" s="33"/>
      <c r="O46" s="21"/>
      <c r="P46" s="21">
        <f t="shared" si="2"/>
        <v>0</v>
      </c>
      <c r="Q46" s="20">
        <v>83.7361111111111</v>
      </c>
      <c r="R46" s="29">
        <f t="shared" si="3"/>
        <v>-83.7361111111111</v>
      </c>
      <c r="S46" s="20">
        <f t="shared" si="4"/>
        <v>-0.20833333333333331</v>
      </c>
      <c r="T46" s="20">
        <f t="shared" si="5"/>
        <v>401.93333333333334</v>
      </c>
      <c r="U46" s="20">
        <f t="shared" si="6"/>
        <v>-334.9444444444444</v>
      </c>
      <c r="V46" s="22">
        <f t="shared" si="7"/>
        <v>-0.83333333333333326</v>
      </c>
      <c r="W46" s="20">
        <f t="shared" si="8"/>
        <v>6820.7638888888887</v>
      </c>
      <c r="X46" s="20">
        <f t="shared" si="9"/>
        <v>693.33500000000004</v>
      </c>
      <c r="Y46" s="20"/>
      <c r="Z46" s="20">
        <f t="shared" si="10"/>
        <v>1055.075</v>
      </c>
      <c r="AA46" s="20">
        <f t="shared" si="11"/>
        <v>180.87</v>
      </c>
      <c r="AB46" s="20">
        <f t="shared" si="12"/>
        <v>1929.2800000000002</v>
      </c>
      <c r="AC46" s="20">
        <f t="shared" si="13"/>
        <v>120.58</v>
      </c>
      <c r="AD46" s="30">
        <f>810.18+0.25</f>
        <v>810.43</v>
      </c>
      <c r="AE46" s="20">
        <f t="shared" si="26"/>
        <v>1503.7649999999999</v>
      </c>
      <c r="AF46" s="24"/>
      <c r="AG46" s="20">
        <f t="shared" si="15"/>
        <v>5316.9988888888893</v>
      </c>
    </row>
    <row r="47" spans="1:33" ht="18" x14ac:dyDescent="0.35">
      <c r="A47" s="13" t="s">
        <v>153</v>
      </c>
      <c r="B47" s="28" t="s">
        <v>154</v>
      </c>
      <c r="C47" s="34">
        <v>1</v>
      </c>
      <c r="D47" s="15">
        <v>40</v>
      </c>
      <c r="E47" s="15" t="s">
        <v>30</v>
      </c>
      <c r="F47" s="28" t="s">
        <v>55</v>
      </c>
      <c r="G47" s="35" t="s">
        <v>155</v>
      </c>
      <c r="H47" s="18">
        <v>15</v>
      </c>
      <c r="I47" s="19">
        <v>10307</v>
      </c>
      <c r="J47" s="19">
        <f t="shared" si="0"/>
        <v>5153.5</v>
      </c>
      <c r="K47" s="20">
        <f>717/2</f>
        <v>358.5</v>
      </c>
      <c r="L47" s="21">
        <f>667/2</f>
        <v>333.5</v>
      </c>
      <c r="M47" s="22"/>
      <c r="N47" s="36"/>
      <c r="O47" s="37"/>
      <c r="P47" s="21">
        <f t="shared" si="2"/>
        <v>0</v>
      </c>
      <c r="Q47" s="20">
        <v>71.576388888888886</v>
      </c>
      <c r="R47" s="29">
        <f t="shared" si="3"/>
        <v>-71.576388888888886</v>
      </c>
      <c r="S47" s="20">
        <f t="shared" si="4"/>
        <v>-0.20833333333333331</v>
      </c>
      <c r="T47" s="20">
        <f t="shared" si="5"/>
        <v>343.56666666666666</v>
      </c>
      <c r="U47" s="20">
        <f t="shared" si="6"/>
        <v>-286.30555555555554</v>
      </c>
      <c r="V47" s="22">
        <f t="shared" si="7"/>
        <v>-0.83333333333333326</v>
      </c>
      <c r="W47" s="20">
        <f t="shared" si="8"/>
        <v>5773.9236111111113</v>
      </c>
      <c r="X47" s="20">
        <f t="shared" si="9"/>
        <v>592.65250000000003</v>
      </c>
      <c r="Y47" s="20"/>
      <c r="Z47" s="20">
        <f t="shared" si="10"/>
        <v>901.86249999999995</v>
      </c>
      <c r="AA47" s="20">
        <f t="shared" si="11"/>
        <v>154.60499999999999</v>
      </c>
      <c r="AB47" s="20">
        <f t="shared" si="12"/>
        <v>1649.12</v>
      </c>
      <c r="AC47" s="20">
        <f t="shared" si="13"/>
        <v>103.07000000000001</v>
      </c>
      <c r="AD47" s="20">
        <f>594.51-0.24</f>
        <v>594.27</v>
      </c>
      <c r="AE47" s="20">
        <f t="shared" si="26"/>
        <v>1186.9225000000001</v>
      </c>
      <c r="AF47" s="24"/>
      <c r="AG47" s="20">
        <f t="shared" si="15"/>
        <v>4587.0011111111107</v>
      </c>
    </row>
    <row r="48" spans="1:33" ht="18" x14ac:dyDescent="0.35">
      <c r="A48" s="13" t="s">
        <v>156</v>
      </c>
      <c r="B48" s="28" t="s">
        <v>157</v>
      </c>
      <c r="C48" s="38">
        <v>7</v>
      </c>
      <c r="D48" s="15">
        <v>40</v>
      </c>
      <c r="E48" s="15" t="s">
        <v>30</v>
      </c>
      <c r="F48" s="28" t="s">
        <v>55</v>
      </c>
      <c r="G48" s="39" t="s">
        <v>158</v>
      </c>
      <c r="H48" s="18">
        <v>15</v>
      </c>
      <c r="I48" s="19">
        <v>12556</v>
      </c>
      <c r="J48" s="19">
        <f t="shared" si="0"/>
        <v>6278</v>
      </c>
      <c r="K48" s="19">
        <f>926/30*H48</f>
        <v>463</v>
      </c>
      <c r="L48" s="19">
        <f>850/30*H48</f>
        <v>425</v>
      </c>
      <c r="M48" s="22"/>
      <c r="N48" s="40"/>
      <c r="O48" s="37"/>
      <c r="P48" s="21">
        <f t="shared" si="2"/>
        <v>0</v>
      </c>
      <c r="Q48" s="14"/>
      <c r="R48" s="29">
        <f t="shared" si="3"/>
        <v>0</v>
      </c>
      <c r="S48" s="20">
        <f t="shared" si="4"/>
        <v>0</v>
      </c>
      <c r="T48" s="20">
        <f t="shared" si="5"/>
        <v>418.53333333333336</v>
      </c>
      <c r="U48" s="20">
        <f t="shared" si="6"/>
        <v>0</v>
      </c>
      <c r="V48" s="22">
        <f t="shared" si="7"/>
        <v>0</v>
      </c>
      <c r="W48" s="20">
        <f t="shared" si="8"/>
        <v>7166</v>
      </c>
      <c r="X48" s="20">
        <f t="shared" si="9"/>
        <v>721.97</v>
      </c>
      <c r="Y48" s="20"/>
      <c r="Z48" s="20">
        <f t="shared" si="10"/>
        <v>1098.6499999999999</v>
      </c>
      <c r="AA48" s="20">
        <f t="shared" si="11"/>
        <v>188.34</v>
      </c>
      <c r="AB48" s="20">
        <f t="shared" si="12"/>
        <v>2008.9599999999998</v>
      </c>
      <c r="AC48" s="20">
        <f t="shared" si="13"/>
        <v>125.56</v>
      </c>
      <c r="AD48" s="20">
        <f>883.92+0.11</f>
        <v>884.03</v>
      </c>
      <c r="AE48" s="20">
        <f t="shared" si="26"/>
        <v>1606</v>
      </c>
      <c r="AF48" s="24"/>
      <c r="AG48" s="20">
        <f t="shared" si="15"/>
        <v>5560</v>
      </c>
    </row>
    <row r="49" spans="1:33" ht="18" x14ac:dyDescent="0.35">
      <c r="A49" s="13" t="s">
        <v>159</v>
      </c>
      <c r="B49" s="28" t="s">
        <v>160</v>
      </c>
      <c r="C49" s="15">
        <v>16</v>
      </c>
      <c r="D49" s="15">
        <v>40</v>
      </c>
      <c r="E49" s="15" t="s">
        <v>30</v>
      </c>
      <c r="F49" s="26" t="s">
        <v>35</v>
      </c>
      <c r="G49" s="14" t="s">
        <v>161</v>
      </c>
      <c r="H49" s="18">
        <v>5</v>
      </c>
      <c r="I49" s="19">
        <v>22832</v>
      </c>
      <c r="J49" s="19">
        <f t="shared" si="0"/>
        <v>3805.3333333333335</v>
      </c>
      <c r="K49" s="20">
        <f>1247/2</f>
        <v>623.5</v>
      </c>
      <c r="L49" s="21">
        <f>999/2</f>
        <v>499.5</v>
      </c>
      <c r="M49" s="22">
        <v>10</v>
      </c>
      <c r="N49" s="21">
        <f>I49/30*M49</f>
        <v>7610.666666666667</v>
      </c>
      <c r="O49" s="23">
        <v>20</v>
      </c>
      <c r="P49" s="21">
        <f t="shared" si="2"/>
        <v>3805.3333333333335</v>
      </c>
      <c r="Q49" s="41">
        <v>951.33333333333337</v>
      </c>
      <c r="R49" s="20">
        <f t="shared" si="3"/>
        <v>2854</v>
      </c>
      <c r="S49" s="20">
        <f t="shared" si="4"/>
        <v>3.7499999999999996</v>
      </c>
      <c r="T49" s="20">
        <f t="shared" si="5"/>
        <v>761.06666666666672</v>
      </c>
      <c r="U49" s="20">
        <f t="shared" si="6"/>
        <v>11416</v>
      </c>
      <c r="V49" s="22">
        <f t="shared" si="7"/>
        <v>14.999999999999998</v>
      </c>
      <c r="W49" s="20">
        <f t="shared" si="8"/>
        <v>15393</v>
      </c>
      <c r="X49" s="20">
        <f t="shared" si="9"/>
        <v>1312.8400000000001</v>
      </c>
      <c r="Y49" s="20"/>
      <c r="Z49" s="20">
        <f t="shared" si="10"/>
        <v>1997.8</v>
      </c>
      <c r="AA49" s="20">
        <f t="shared" si="11"/>
        <v>342.47999999999996</v>
      </c>
      <c r="AB49" s="20">
        <f t="shared" si="12"/>
        <v>3653.1200000000003</v>
      </c>
      <c r="AC49" s="20">
        <f t="shared" si="13"/>
        <v>228.32</v>
      </c>
      <c r="AD49" s="20">
        <f>2345.75-0.48</f>
        <v>2345.27</v>
      </c>
      <c r="AE49" s="20">
        <f t="shared" si="26"/>
        <v>3658.11</v>
      </c>
      <c r="AF49" s="24">
        <v>-1339.89</v>
      </c>
      <c r="AG49" s="20">
        <f t="shared" si="15"/>
        <v>10395</v>
      </c>
    </row>
    <row r="50" spans="1:33" ht="18" x14ac:dyDescent="0.35">
      <c r="A50" s="13" t="s">
        <v>162</v>
      </c>
      <c r="B50" s="28" t="s">
        <v>163</v>
      </c>
      <c r="C50" s="10">
        <v>1</v>
      </c>
      <c r="D50" s="15">
        <v>40</v>
      </c>
      <c r="E50" s="15" t="s">
        <v>30</v>
      </c>
      <c r="F50" s="28" t="s">
        <v>55</v>
      </c>
      <c r="G50" s="42" t="s">
        <v>134</v>
      </c>
      <c r="H50" s="18">
        <v>15</v>
      </c>
      <c r="I50" s="19">
        <v>10307</v>
      </c>
      <c r="J50" s="19">
        <f t="shared" si="0"/>
        <v>5153.5</v>
      </c>
      <c r="K50" s="19">
        <f>717/2</f>
        <v>358.5</v>
      </c>
      <c r="L50" s="19">
        <f>667/2</f>
        <v>333.5</v>
      </c>
      <c r="M50" s="22"/>
      <c r="N50" s="36"/>
      <c r="O50" s="37"/>
      <c r="P50" s="21">
        <f t="shared" si="2"/>
        <v>0</v>
      </c>
      <c r="Q50" s="43"/>
      <c r="R50" s="29">
        <f t="shared" si="3"/>
        <v>0</v>
      </c>
      <c r="S50" s="20">
        <f t="shared" si="4"/>
        <v>0</v>
      </c>
      <c r="T50" s="20">
        <f t="shared" si="5"/>
        <v>343.56666666666666</v>
      </c>
      <c r="U50" s="20">
        <f t="shared" si="6"/>
        <v>0</v>
      </c>
      <c r="V50" s="22">
        <f t="shared" si="7"/>
        <v>0</v>
      </c>
      <c r="W50" s="20">
        <f t="shared" si="8"/>
        <v>5845.5</v>
      </c>
      <c r="X50" s="20">
        <f t="shared" si="9"/>
        <v>592.65250000000003</v>
      </c>
      <c r="Y50" s="20"/>
      <c r="Z50" s="20">
        <f t="shared" si="10"/>
        <v>901.86249999999995</v>
      </c>
      <c r="AA50" s="20">
        <f t="shared" si="11"/>
        <v>154.60499999999999</v>
      </c>
      <c r="AB50" s="20">
        <f t="shared" si="12"/>
        <v>1649.12</v>
      </c>
      <c r="AC50" s="20">
        <f t="shared" si="13"/>
        <v>103.07000000000001</v>
      </c>
      <c r="AD50" s="20">
        <f>607.34+0.51</f>
        <v>607.85</v>
      </c>
      <c r="AE50" s="20">
        <f t="shared" si="26"/>
        <v>1200.5025000000001</v>
      </c>
      <c r="AF50" s="24"/>
      <c r="AG50" s="20">
        <f t="shared" si="15"/>
        <v>4644.9974999999995</v>
      </c>
    </row>
    <row r="51" spans="1:33" ht="18" x14ac:dyDescent="0.35">
      <c r="A51" s="44"/>
      <c r="B51" s="35"/>
      <c r="C51" s="34"/>
      <c r="D51" s="45"/>
      <c r="E51" s="45"/>
      <c r="F51" s="46"/>
      <c r="G51" s="46"/>
      <c r="H51" s="47"/>
      <c r="I51" s="48"/>
      <c r="J51" s="49"/>
      <c r="K51" s="49"/>
      <c r="L51" s="49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50"/>
      <c r="Y51" s="50"/>
      <c r="Z51" s="50"/>
      <c r="AA51" s="51"/>
      <c r="AB51" s="52"/>
      <c r="AC51" s="52"/>
      <c r="AD51" s="50"/>
      <c r="AE51" s="50"/>
      <c r="AF51" s="40"/>
      <c r="AG51" s="40"/>
    </row>
    <row r="52" spans="1:33" ht="18" x14ac:dyDescent="0.3">
      <c r="A52" s="53"/>
      <c r="B52" s="53"/>
      <c r="C52" s="53"/>
      <c r="D52" s="53"/>
      <c r="E52" s="53"/>
      <c r="F52" s="53"/>
      <c r="G52" s="53"/>
      <c r="H52" s="54"/>
      <c r="I52" s="55"/>
      <c r="J52" s="56">
        <f t="shared" ref="J52:L52" si="37">SUM(J6:J51)</f>
        <v>175148.10000000003</v>
      </c>
      <c r="K52" s="56">
        <f t="shared" si="37"/>
        <v>25997</v>
      </c>
      <c r="L52" s="56">
        <f t="shared" si="37"/>
        <v>21226.5</v>
      </c>
      <c r="M52" s="56"/>
      <c r="N52" s="56">
        <f>SUM(N6:N51)</f>
        <v>286357.40000000008</v>
      </c>
      <c r="O52" s="56"/>
      <c r="P52" s="56">
        <f t="shared" ref="P52:R52" si="38">SUM(P6:P51)</f>
        <v>127042.97671232877</v>
      </c>
      <c r="Q52" s="56">
        <f t="shared" si="38"/>
        <v>56893.071296296286</v>
      </c>
      <c r="R52" s="56">
        <f t="shared" si="38"/>
        <v>70149.905416032474</v>
      </c>
      <c r="S52" s="56"/>
      <c r="T52" s="56"/>
      <c r="U52" s="56"/>
      <c r="V52" s="56"/>
      <c r="W52" s="56">
        <f t="shared" ref="W52:AG52" si="39">SUM(W6:W51)</f>
        <v>578878.9054160323</v>
      </c>
      <c r="X52" s="56">
        <f t="shared" si="39"/>
        <v>53073.132499999963</v>
      </c>
      <c r="Y52" s="56">
        <f t="shared" si="39"/>
        <v>13017.44</v>
      </c>
      <c r="Z52" s="56">
        <f t="shared" si="39"/>
        <v>80763.462500000009</v>
      </c>
      <c r="AA52" s="56">
        <f t="shared" si="39"/>
        <v>13845.164999999999</v>
      </c>
      <c r="AB52" s="56">
        <f t="shared" si="39"/>
        <v>160699.19999999995</v>
      </c>
      <c r="AC52" s="56">
        <f t="shared" si="39"/>
        <v>9230.11</v>
      </c>
      <c r="AD52" s="56">
        <f t="shared" si="39"/>
        <v>91825.290000000037</v>
      </c>
      <c r="AE52" s="56">
        <f t="shared" si="39"/>
        <v>157915.86249999993</v>
      </c>
      <c r="AF52" s="56">
        <f t="shared" si="39"/>
        <v>-31477.05</v>
      </c>
      <c r="AG52" s="56">
        <f t="shared" si="39"/>
        <v>389485.99291603238</v>
      </c>
    </row>
    <row r="53" spans="1:33" x14ac:dyDescent="0.3">
      <c r="AF53" s="11"/>
      <c r="AG53" s="11">
        <v>389462.6</v>
      </c>
    </row>
    <row r="54" spans="1:33" x14ac:dyDescent="0.3">
      <c r="AG54" s="12" t="e">
        <f>AG53-#REF!</f>
        <v>#REF!</v>
      </c>
    </row>
  </sheetData>
  <mergeCells count="3">
    <mergeCell ref="A1:J1"/>
    <mergeCell ref="A2:J2"/>
    <mergeCell ref="A3:J3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Nóm_24_16 - 31 dic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2021-04-24T22:43:40Z</dcterms:modified>
</cp:coreProperties>
</file>