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G:\Unidades compartidas\11. Transparencia\2. Fracción V - Financiera Patrimonial y Administrativa\1. FV - Ejercicio 2020\g. Nominas completas del sujeto obligado\1.- Nóminas 2020 04 21\"/>
    </mc:Choice>
  </mc:AlternateContent>
  <xr:revisionPtr revIDLastSave="0" documentId="13_ncr:1_{946FAABB-D152-4280-91FF-90A2E3581DEA}" xr6:coauthVersionLast="46" xr6:coauthVersionMax="46" xr10:uidLastSave="{00000000-0000-0000-0000-000000000000}"/>
  <bookViews>
    <workbookView xWindow="-120" yWindow="-120" windowWidth="29040" windowHeight="15960" xr2:uid="{00000000-000D-0000-FFFF-FFFF00000000}"/>
  </bookViews>
  <sheets>
    <sheet name="Nóm_21_01-15 nov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1" l="1"/>
  <c r="W50" i="1"/>
  <c r="L50" i="1"/>
  <c r="K50" i="1"/>
  <c r="J50" i="1"/>
  <c r="W49" i="1"/>
  <c r="L49" i="1"/>
  <c r="K49" i="1"/>
  <c r="J49" i="1"/>
  <c r="T49" i="1" s="1"/>
  <c r="L48" i="1"/>
  <c r="K48" i="1"/>
  <c r="J48" i="1"/>
  <c r="V48" i="1" s="1"/>
  <c r="W47" i="1"/>
  <c r="L47" i="1"/>
  <c r="K47" i="1"/>
  <c r="J47" i="1"/>
  <c r="T47" i="1" s="1"/>
  <c r="W46" i="1"/>
  <c r="L46" i="1"/>
  <c r="K46" i="1"/>
  <c r="J46" i="1"/>
  <c r="V46" i="1" s="1"/>
  <c r="W45" i="1"/>
  <c r="L45" i="1"/>
  <c r="K45" i="1"/>
  <c r="J45" i="1"/>
  <c r="T45" i="1" s="1"/>
  <c r="W44" i="1"/>
  <c r="L44" i="1"/>
  <c r="K44" i="1"/>
  <c r="J44" i="1"/>
  <c r="V44" i="1" s="1"/>
  <c r="W43" i="1"/>
  <c r="L43" i="1"/>
  <c r="K43" i="1"/>
  <c r="J43" i="1"/>
  <c r="T43" i="1" s="1"/>
  <c r="W42" i="1"/>
  <c r="L42" i="1"/>
  <c r="K42" i="1"/>
  <c r="J42" i="1"/>
  <c r="V42" i="1" s="1"/>
  <c r="W41" i="1"/>
  <c r="L41" i="1"/>
  <c r="K41" i="1"/>
  <c r="J41" i="1"/>
  <c r="T41" i="1" s="1"/>
  <c r="W40" i="1"/>
  <c r="L40" i="1"/>
  <c r="K40" i="1"/>
  <c r="J40" i="1"/>
  <c r="V40" i="1" s="1"/>
  <c r="W39" i="1"/>
  <c r="Q39" i="1"/>
  <c r="L39" i="1"/>
  <c r="K39" i="1"/>
  <c r="J39" i="1"/>
  <c r="T39" i="1" s="1"/>
  <c r="L38" i="1"/>
  <c r="K38" i="1"/>
  <c r="J38" i="1"/>
  <c r="V38" i="1" s="1"/>
  <c r="W37" i="1"/>
  <c r="L37" i="1"/>
  <c r="K37" i="1"/>
  <c r="J37" i="1"/>
  <c r="S37" i="1" s="1"/>
  <c r="L36" i="1"/>
  <c r="K36" i="1"/>
  <c r="J36" i="1"/>
  <c r="V36" i="1" s="1"/>
  <c r="L35" i="1"/>
  <c r="K35" i="1"/>
  <c r="J35" i="1"/>
  <c r="W34" i="1"/>
  <c r="L34" i="1"/>
  <c r="K34" i="1"/>
  <c r="J34" i="1"/>
  <c r="V34" i="1" s="1"/>
  <c r="W33" i="1"/>
  <c r="L33" i="1"/>
  <c r="K33" i="1"/>
  <c r="J33" i="1"/>
  <c r="Q33" i="1" s="1"/>
  <c r="X33" i="1" s="1"/>
  <c r="L32" i="1"/>
  <c r="K32" i="1"/>
  <c r="J32" i="1"/>
  <c r="T32" i="1" s="1"/>
  <c r="W31" i="1"/>
  <c r="L31" i="1"/>
  <c r="K31" i="1"/>
  <c r="J31" i="1"/>
  <c r="V31" i="1" s="1"/>
  <c r="N30" i="1"/>
  <c r="V30" i="1" s="1"/>
  <c r="L30" i="1"/>
  <c r="K30" i="1"/>
  <c r="J30" i="1"/>
  <c r="W29" i="1"/>
  <c r="L29" i="1"/>
  <c r="K29" i="1"/>
  <c r="J29" i="1"/>
  <c r="V29" i="1" s="1"/>
  <c r="W28" i="1"/>
  <c r="N28" i="1"/>
  <c r="L28" i="1"/>
  <c r="K28" i="1"/>
  <c r="J28" i="1"/>
  <c r="T28" i="1" s="1"/>
  <c r="W27" i="1"/>
  <c r="L27" i="1"/>
  <c r="K27" i="1"/>
  <c r="J27" i="1"/>
  <c r="W26" i="1"/>
  <c r="N26" i="1"/>
  <c r="L26" i="1"/>
  <c r="K26" i="1"/>
  <c r="J26" i="1"/>
  <c r="W25" i="1"/>
  <c r="N25" i="1"/>
  <c r="S25" i="1" s="1"/>
  <c r="L25" i="1"/>
  <c r="K25" i="1"/>
  <c r="J25" i="1"/>
  <c r="W24" i="1"/>
  <c r="L24" i="1"/>
  <c r="K24" i="1"/>
  <c r="J24" i="1"/>
  <c r="V24" i="1" s="1"/>
  <c r="N23" i="1"/>
  <c r="L23" i="1"/>
  <c r="K23" i="1"/>
  <c r="J23" i="1"/>
  <c r="L22" i="1"/>
  <c r="K22" i="1"/>
  <c r="J22" i="1"/>
  <c r="V22" i="1" s="1"/>
  <c r="W21" i="1"/>
  <c r="L21" i="1"/>
  <c r="K21" i="1"/>
  <c r="J21" i="1"/>
  <c r="Q21" i="1" s="1"/>
  <c r="L20" i="1"/>
  <c r="K20" i="1"/>
  <c r="J20" i="1"/>
  <c r="V20" i="1" s="1"/>
  <c r="L19" i="1"/>
  <c r="K19" i="1"/>
  <c r="J19" i="1"/>
  <c r="V19" i="1" s="1"/>
  <c r="L18" i="1"/>
  <c r="K18" i="1"/>
  <c r="J18" i="1"/>
  <c r="S18" i="1" s="1"/>
  <c r="L17" i="1"/>
  <c r="K17" i="1"/>
  <c r="J17" i="1"/>
  <c r="V17" i="1" s="1"/>
  <c r="L16" i="1"/>
  <c r="K16" i="1"/>
  <c r="J16" i="1"/>
  <c r="T16" i="1" s="1"/>
  <c r="N15" i="1"/>
  <c r="L15" i="1"/>
  <c r="K15" i="1"/>
  <c r="J15" i="1"/>
  <c r="W14" i="1"/>
  <c r="T14" i="1"/>
  <c r="R14" i="1"/>
  <c r="R52" i="1" s="1"/>
  <c r="L14" i="1"/>
  <c r="K14" i="1"/>
  <c r="J14" i="1"/>
  <c r="Q14" i="1" s="1"/>
  <c r="L13" i="1"/>
  <c r="K13" i="1"/>
  <c r="J13" i="1"/>
  <c r="T13" i="1" s="1"/>
  <c r="L12" i="1"/>
  <c r="K12" i="1"/>
  <c r="J12" i="1"/>
  <c r="V12" i="1" s="1"/>
  <c r="N11" i="1"/>
  <c r="L11" i="1"/>
  <c r="K11" i="1"/>
  <c r="J11" i="1"/>
  <c r="N10" i="1"/>
  <c r="L10" i="1"/>
  <c r="K10" i="1"/>
  <c r="J10" i="1"/>
  <c r="L9" i="1"/>
  <c r="K9" i="1"/>
  <c r="J9" i="1"/>
  <c r="S9" i="1" s="1"/>
  <c r="N8" i="1"/>
  <c r="L8" i="1"/>
  <c r="K8" i="1"/>
  <c r="J8" i="1"/>
  <c r="N7" i="1"/>
  <c r="L7" i="1"/>
  <c r="K7" i="1"/>
  <c r="J7" i="1"/>
  <c r="N6" i="1"/>
  <c r="L6" i="1"/>
  <c r="K6" i="1"/>
  <c r="J6" i="1"/>
  <c r="S11" i="1" l="1"/>
  <c r="V26" i="1"/>
  <c r="P29" i="1"/>
  <c r="Q43" i="1"/>
  <c r="P30" i="1"/>
  <c r="S45" i="1"/>
  <c r="T22" i="1"/>
  <c r="S36" i="1"/>
  <c r="P44" i="1"/>
  <c r="S21" i="1"/>
  <c r="P7" i="1"/>
  <c r="P19" i="1"/>
  <c r="T17" i="1"/>
  <c r="S42" i="1"/>
  <c r="Q47" i="1"/>
  <c r="T33" i="1"/>
  <c r="Q41" i="1"/>
  <c r="X41" i="1" s="1"/>
  <c r="P46" i="1"/>
  <c r="Q16" i="1"/>
  <c r="X16" i="1" s="1"/>
  <c r="T30" i="1"/>
  <c r="V14" i="1"/>
  <c r="S22" i="1"/>
  <c r="V13" i="1"/>
  <c r="P21" i="1"/>
  <c r="Q23" i="1"/>
  <c r="X23" i="1" s="1"/>
  <c r="Q25" i="1"/>
  <c r="V11" i="1"/>
  <c r="S19" i="1"/>
  <c r="S26" i="1"/>
  <c r="S29" i="1"/>
  <c r="T36" i="1"/>
  <c r="S46" i="1"/>
  <c r="P35" i="1"/>
  <c r="P42" i="1"/>
  <c r="Q45" i="1"/>
  <c r="S7" i="1"/>
  <c r="V10" i="1"/>
  <c r="P25" i="1"/>
  <c r="P48" i="1"/>
  <c r="W52" i="1"/>
  <c r="P27" i="1"/>
  <c r="P50" i="1"/>
  <c r="V6" i="1"/>
  <c r="P11" i="1"/>
  <c r="T15" i="1"/>
  <c r="T21" i="1"/>
  <c r="P26" i="1"/>
  <c r="S30" i="1"/>
  <c r="Q32" i="1"/>
  <c r="X32" i="1" s="1"/>
  <c r="Q35" i="1"/>
  <c r="X35" i="1" s="1"/>
  <c r="S41" i="1"/>
  <c r="Q9" i="1"/>
  <c r="X9" i="1" s="1"/>
  <c r="P12" i="1"/>
  <c r="Q18" i="1"/>
  <c r="X18" i="1" s="1"/>
  <c r="S32" i="1"/>
  <c r="T35" i="1"/>
  <c r="P40" i="1"/>
  <c r="L52" i="1"/>
  <c r="V8" i="1"/>
  <c r="T9" i="1"/>
  <c r="S12" i="1"/>
  <c r="P14" i="1"/>
  <c r="Y14" i="1" s="1"/>
  <c r="P17" i="1"/>
  <c r="T18" i="1"/>
  <c r="U18" i="1" s="1"/>
  <c r="Q27" i="1"/>
  <c r="X27" i="1" s="1"/>
  <c r="P31" i="1"/>
  <c r="Q37" i="1"/>
  <c r="X37" i="1" s="1"/>
  <c r="S40" i="1"/>
  <c r="S44" i="1"/>
  <c r="S48" i="1"/>
  <c r="Q50" i="1"/>
  <c r="X50" i="1" s="1"/>
  <c r="K52" i="1"/>
  <c r="N52" i="1"/>
  <c r="Q11" i="1"/>
  <c r="X11" i="1" s="1"/>
  <c r="P22" i="1"/>
  <c r="P23" i="1"/>
  <c r="T27" i="1"/>
  <c r="S31" i="1"/>
  <c r="P33" i="1"/>
  <c r="Y33" i="1" s="1"/>
  <c r="P36" i="1"/>
  <c r="T37" i="1"/>
  <c r="U37" i="1" s="1"/>
  <c r="X39" i="1"/>
  <c r="X43" i="1"/>
  <c r="X47" i="1"/>
  <c r="T50" i="1"/>
  <c r="T10" i="1"/>
  <c r="Q7" i="1"/>
  <c r="X7" i="1" s="1"/>
  <c r="Y7" i="1" s="1"/>
  <c r="T11" i="1"/>
  <c r="S14" i="1"/>
  <c r="U14" i="1" s="1"/>
  <c r="P16" i="1"/>
  <c r="Y16" i="1" s="1"/>
  <c r="S17" i="1"/>
  <c r="S23" i="1"/>
  <c r="T26" i="1"/>
  <c r="Q30" i="1"/>
  <c r="X30" i="1" s="1"/>
  <c r="Y30" i="1" s="1"/>
  <c r="S39" i="1"/>
  <c r="U39" i="1" s="1"/>
  <c r="S43" i="1"/>
  <c r="U43" i="1" s="1"/>
  <c r="S47" i="1"/>
  <c r="U47" i="1" s="1"/>
  <c r="X14" i="1"/>
  <c r="X25" i="1"/>
  <c r="X21" i="1"/>
  <c r="U21" i="1"/>
  <c r="V49" i="1"/>
  <c r="J52" i="1"/>
  <c r="T7" i="1"/>
  <c r="U9" i="1"/>
  <c r="P10" i="1"/>
  <c r="Q12" i="1"/>
  <c r="V15" i="1"/>
  <c r="S16" i="1"/>
  <c r="U16" i="1" s="1"/>
  <c r="Q19" i="1"/>
  <c r="T23" i="1"/>
  <c r="P24" i="1"/>
  <c r="T25" i="1"/>
  <c r="U25" i="1" s="1"/>
  <c r="S27" i="1"/>
  <c r="V28" i="1"/>
  <c r="Q29" i="1"/>
  <c r="Q31" i="1"/>
  <c r="V32" i="1"/>
  <c r="S33" i="1"/>
  <c r="U33" i="1" s="1"/>
  <c r="S35" i="1"/>
  <c r="P38" i="1"/>
  <c r="V39" i="1"/>
  <c r="Q40" i="1"/>
  <c r="V41" i="1"/>
  <c r="Q42" i="1"/>
  <c r="V43" i="1"/>
  <c r="Q44" i="1"/>
  <c r="V45" i="1"/>
  <c r="Q46" i="1"/>
  <c r="V47" i="1"/>
  <c r="Q48" i="1"/>
  <c r="S50" i="1"/>
  <c r="P6" i="1"/>
  <c r="Q10" i="1"/>
  <c r="Q38" i="1"/>
  <c r="Q6" i="1"/>
  <c r="V7" i="1"/>
  <c r="Q8" i="1"/>
  <c r="S10" i="1"/>
  <c r="T12" i="1"/>
  <c r="P13" i="1"/>
  <c r="Q17" i="1"/>
  <c r="T19" i="1"/>
  <c r="P20" i="1"/>
  <c r="V21" i="1"/>
  <c r="Q22" i="1"/>
  <c r="V23" i="1"/>
  <c r="S24" i="1"/>
  <c r="V25" i="1"/>
  <c r="T29" i="1"/>
  <c r="T31" i="1"/>
  <c r="P34" i="1"/>
  <c r="Q36" i="1"/>
  <c r="S38" i="1"/>
  <c r="T40" i="1"/>
  <c r="T42" i="1"/>
  <c r="T44" i="1"/>
  <c r="T46" i="1"/>
  <c r="T48" i="1"/>
  <c r="P49" i="1"/>
  <c r="P8" i="1"/>
  <c r="V9" i="1"/>
  <c r="Q24" i="1"/>
  <c r="V37" i="1"/>
  <c r="S6" i="1"/>
  <c r="S8" i="1"/>
  <c r="Q13" i="1"/>
  <c r="P15" i="1"/>
  <c r="V16" i="1"/>
  <c r="Q20" i="1"/>
  <c r="T24" i="1"/>
  <c r="Q26" i="1"/>
  <c r="V27" i="1"/>
  <c r="P28" i="1"/>
  <c r="P32" i="1"/>
  <c r="V33" i="1"/>
  <c r="Q34" i="1"/>
  <c r="V35" i="1"/>
  <c r="T38" i="1"/>
  <c r="P39" i="1"/>
  <c r="P41" i="1"/>
  <c r="P43" i="1"/>
  <c r="Y43" i="1" s="1"/>
  <c r="P45" i="1"/>
  <c r="P47" i="1"/>
  <c r="Y47" i="1" s="1"/>
  <c r="Q49" i="1"/>
  <c r="V50" i="1"/>
  <c r="V18" i="1"/>
  <c r="T6" i="1"/>
  <c r="T8" i="1"/>
  <c r="P9" i="1"/>
  <c r="Y9" i="1" s="1"/>
  <c r="S13" i="1"/>
  <c r="Q15" i="1"/>
  <c r="P18" i="1"/>
  <c r="Y18" i="1" s="1"/>
  <c r="S20" i="1"/>
  <c r="Q28" i="1"/>
  <c r="S34" i="1"/>
  <c r="P37" i="1"/>
  <c r="Y37" i="1" s="1"/>
  <c r="S49" i="1"/>
  <c r="S15" i="1"/>
  <c r="T20" i="1"/>
  <c r="S28" i="1"/>
  <c r="T34" i="1"/>
  <c r="Y39" i="1" l="1"/>
  <c r="Y25" i="1"/>
  <c r="U45" i="1"/>
  <c r="Y35" i="1"/>
  <c r="Y23" i="1"/>
  <c r="Y41" i="1"/>
  <c r="U23" i="1"/>
  <c r="J53" i="1"/>
  <c r="U50" i="1"/>
  <c r="U30" i="1"/>
  <c r="Y21" i="1"/>
  <c r="U41" i="1"/>
  <c r="U11" i="1"/>
  <c r="U32" i="1"/>
  <c r="Y32" i="1"/>
  <c r="V52" i="1"/>
  <c r="X45" i="1"/>
  <c r="Y45" i="1" s="1"/>
  <c r="Y11" i="1"/>
  <c r="U27" i="1"/>
  <c r="U35" i="1"/>
  <c r="Y50" i="1"/>
  <c r="T52" i="1"/>
  <c r="U7" i="1"/>
  <c r="Y27" i="1"/>
  <c r="U26" i="1"/>
  <c r="X26" i="1"/>
  <c r="Y26" i="1" s="1"/>
  <c r="Q52" i="1"/>
  <c r="U6" i="1"/>
  <c r="X6" i="1"/>
  <c r="Y6" i="1" s="1"/>
  <c r="U20" i="1"/>
  <c r="X20" i="1"/>
  <c r="Y20" i="1" s="1"/>
  <c r="U17" i="1"/>
  <c r="X17" i="1"/>
  <c r="Y17" i="1" s="1"/>
  <c r="X38" i="1"/>
  <c r="U38" i="1"/>
  <c r="X44" i="1"/>
  <c r="Y44" i="1" s="1"/>
  <c r="U44" i="1"/>
  <c r="X46" i="1"/>
  <c r="Y46" i="1" s="1"/>
  <c r="U46" i="1"/>
  <c r="X12" i="1"/>
  <c r="Y12" i="1" s="1"/>
  <c r="U12" i="1"/>
  <c r="U49" i="1"/>
  <c r="X49" i="1"/>
  <c r="Y49" i="1" s="1"/>
  <c r="U34" i="1"/>
  <c r="X34" i="1"/>
  <c r="Y34" i="1" s="1"/>
  <c r="X10" i="1"/>
  <c r="Y10" i="1" s="1"/>
  <c r="U10" i="1"/>
  <c r="U36" i="1"/>
  <c r="X36" i="1"/>
  <c r="Y36" i="1" s="1"/>
  <c r="P52" i="1"/>
  <c r="X42" i="1"/>
  <c r="Y42" i="1" s="1"/>
  <c r="U42" i="1"/>
  <c r="Y38" i="1"/>
  <c r="U28" i="1"/>
  <c r="X28" i="1"/>
  <c r="Y28" i="1" s="1"/>
  <c r="X24" i="1"/>
  <c r="Y24" i="1" s="1"/>
  <c r="U24" i="1"/>
  <c r="X15" i="1"/>
  <c r="Y15" i="1" s="1"/>
  <c r="U15" i="1"/>
  <c r="U13" i="1"/>
  <c r="X13" i="1"/>
  <c r="Y13" i="1" s="1"/>
  <c r="X31" i="1"/>
  <c r="Y31" i="1" s="1"/>
  <c r="U31" i="1"/>
  <c r="X19" i="1"/>
  <c r="Y19" i="1" s="1"/>
  <c r="U19" i="1"/>
  <c r="X22" i="1"/>
  <c r="Y22" i="1" s="1"/>
  <c r="U22" i="1"/>
  <c r="X48" i="1"/>
  <c r="Y48" i="1" s="1"/>
  <c r="U48" i="1"/>
  <c r="X40" i="1"/>
  <c r="Y40" i="1" s="1"/>
  <c r="U40" i="1"/>
  <c r="S52" i="1"/>
  <c r="X8" i="1"/>
  <c r="Y8" i="1" s="1"/>
  <c r="U8" i="1"/>
  <c r="X29" i="1"/>
  <c r="Y29" i="1" s="1"/>
  <c r="U29" i="1"/>
  <c r="X52" i="1" l="1"/>
  <c r="U52" i="1"/>
  <c r="Y52" i="1"/>
  <c r="Y54" i="1" s="1"/>
</calcChain>
</file>

<file path=xl/sharedStrings.xml><?xml version="1.0" encoding="utf-8"?>
<sst xmlns="http://schemas.openxmlformats.org/spreadsheetml/2006/main" count="253" uniqueCount="164">
  <si>
    <t>NUM. CONS</t>
  </si>
  <si>
    <t>NOMBRE DEL BENEFICIARIO</t>
  </si>
  <si>
    <t>NIVEL</t>
  </si>
  <si>
    <t>JOR</t>
  </si>
  <si>
    <t>CATEG</t>
  </si>
  <si>
    <t>ADSCRIPCIÓN</t>
  </si>
  <si>
    <t>PUESTO</t>
  </si>
  <si>
    <t>DÍAS A PAGAR</t>
  </si>
  <si>
    <t>SUELDO MENSUAL</t>
  </si>
  <si>
    <t>SUELDO QUIN BRUTO</t>
  </si>
  <si>
    <t>DESPENSA</t>
  </si>
  <si>
    <t>PASAJE</t>
  </si>
  <si>
    <t>DIAS DE VAC CORRESP</t>
  </si>
  <si>
    <t>VAC</t>
  </si>
  <si>
    <t>PRIMA VAC</t>
  </si>
  <si>
    <t>SUBTOTAL PERCEPCIONES</t>
  </si>
  <si>
    <t>PENSIONES TRABAJADOR</t>
  </si>
  <si>
    <t>RETENCION PLMO Y FONDO DE GARANTIA PLMF</t>
  </si>
  <si>
    <t>PENSIONES PATRON</t>
  </si>
  <si>
    <t>VIVIENDA</t>
  </si>
  <si>
    <t>TOTAL PENSIONES</t>
  </si>
  <si>
    <t>SEDAR</t>
  </si>
  <si>
    <t>ISR</t>
  </si>
  <si>
    <t>SUBTOTAL RETENCIONES</t>
  </si>
  <si>
    <t>SUELDO NETO</t>
  </si>
  <si>
    <t>0120-001</t>
  </si>
  <si>
    <t>Mireles Torres Nadia Paola</t>
  </si>
  <si>
    <t>Confianza</t>
  </si>
  <si>
    <t>Dirección General</t>
  </si>
  <si>
    <t>Directora General de la Plataforma Abierta de Innovación</t>
  </si>
  <si>
    <t>0120-003</t>
  </si>
  <si>
    <t xml:space="preserve">De Santos Alba Carmen Jemina </t>
  </si>
  <si>
    <t>Dirección de Conocimiento</t>
  </si>
  <si>
    <t>Coordinadora de Diseño Instruccional</t>
  </si>
  <si>
    <t>0120-004</t>
  </si>
  <si>
    <t>Gleason Chimal Karla Paulina</t>
  </si>
  <si>
    <t>Direccion de Planeación</t>
  </si>
  <si>
    <t>Coordinadora de Desarrollo Multimedia</t>
  </si>
  <si>
    <t>0120-005</t>
  </si>
  <si>
    <t>Niño Montoya Margarita</t>
  </si>
  <si>
    <t>Directora de Planeación</t>
  </si>
  <si>
    <t>0120-006</t>
  </si>
  <si>
    <t>Flores Terrones Mayra Paulina</t>
  </si>
  <si>
    <t>Coordinadora de Protocolo y Eventos</t>
  </si>
  <si>
    <t>0120-007</t>
  </si>
  <si>
    <t xml:space="preserve">Cruz Gutiérrez Alejandra </t>
  </si>
  <si>
    <t>Coordinadora de Diseño de Programas y Cursos</t>
  </si>
  <si>
    <t>0120-008</t>
  </si>
  <si>
    <t>Higashi Minami Sergio Ramón Itsuo</t>
  </si>
  <si>
    <t>Dirección de Innovación y Tecnología</t>
  </si>
  <si>
    <t>Coordinador de Redes y Servidores</t>
  </si>
  <si>
    <t>0120-009</t>
  </si>
  <si>
    <t>López Campos Jorge Enrique</t>
  </si>
  <si>
    <t>Director de Conocimiento</t>
  </si>
  <si>
    <t>0120-010</t>
  </si>
  <si>
    <t>Rentería Villaseñor Pablo Arturo</t>
  </si>
  <si>
    <t>Director de Innovación y Tecnología</t>
  </si>
  <si>
    <t>0120-011</t>
  </si>
  <si>
    <t>Santana González Alejandra</t>
  </si>
  <si>
    <t>Coordinadora de Planeación</t>
  </si>
  <si>
    <t>0120-012</t>
  </si>
  <si>
    <t>Lamas Oliva Alejandra Paulina</t>
  </si>
  <si>
    <t>Especialista en Validez y Acreditación de Estudios</t>
  </si>
  <si>
    <t>0120-013</t>
  </si>
  <si>
    <t>Urrutia Díaz Abraham Iván</t>
  </si>
  <si>
    <t>Coordinación Administrativa</t>
  </si>
  <si>
    <t>Coordinador Administrativo H</t>
  </si>
  <si>
    <t>0120-014</t>
  </si>
  <si>
    <t>Martínez Torres Armando</t>
  </si>
  <si>
    <t>Coordinador de Arquitectura de Software</t>
  </si>
  <si>
    <t>0120-015</t>
  </si>
  <si>
    <t>Caballero Saucedo Claudia</t>
  </si>
  <si>
    <t>Coordinadora de Comunicación Social</t>
  </si>
  <si>
    <t>0120-016</t>
  </si>
  <si>
    <t>García Toscano Jesús Antonio</t>
  </si>
  <si>
    <t>Coordinador de Operación de Plataformas</t>
  </si>
  <si>
    <t>0320-018</t>
  </si>
  <si>
    <t>Romo Flores Daniel Hazael</t>
  </si>
  <si>
    <t>Técnico Desarrollador de Software</t>
  </si>
  <si>
    <t>0320-019</t>
  </si>
  <si>
    <t xml:space="preserve">Romero Villalobos Edgar Saúl </t>
  </si>
  <si>
    <t>Coordinador Jurídico H</t>
  </si>
  <si>
    <t>0320-020</t>
  </si>
  <si>
    <t xml:space="preserve">Sánchez Gálvez Loren Michel </t>
  </si>
  <si>
    <t>Análisis Estadístico</t>
  </si>
  <si>
    <t>0320-022</t>
  </si>
  <si>
    <t xml:space="preserve">Fernández Hernández Iván </t>
  </si>
  <si>
    <t>Operador de Laboratorios de Innovación</t>
  </si>
  <si>
    <t>0320-023</t>
  </si>
  <si>
    <t>Jaramillo Rodríguez Ruth Dayra</t>
  </si>
  <si>
    <t>Auxiliar de Diseño Instruccional</t>
  </si>
  <si>
    <t>0320-024</t>
  </si>
  <si>
    <t xml:space="preserve">Rodríguez Rubio David </t>
  </si>
  <si>
    <t>Responsable de Producción</t>
  </si>
  <si>
    <t>0320-025</t>
  </si>
  <si>
    <t>Hernández Villanueva Ivette Eugenia</t>
  </si>
  <si>
    <t>Recepcionista</t>
  </si>
  <si>
    <t>0320-026</t>
  </si>
  <si>
    <t xml:space="preserve">Acosta Ponce Natalia </t>
  </si>
  <si>
    <t>Analista Escritor</t>
  </si>
  <si>
    <t>0320-027</t>
  </si>
  <si>
    <t>Torres García María Nayeli</t>
  </si>
  <si>
    <t>Desarrollo y Diseño Gráfico</t>
  </si>
  <si>
    <t>0320-028</t>
  </si>
  <si>
    <t xml:space="preserve">Moya Hernández Alejandra </t>
  </si>
  <si>
    <t>Especialista en Desarrollo de Talento</t>
  </si>
  <si>
    <t>0320-029</t>
  </si>
  <si>
    <t>Corona Sánchez Graciella Suzannet</t>
  </si>
  <si>
    <t>Responsable de Seguimiento al Aprendizaje</t>
  </si>
  <si>
    <t>0420-030</t>
  </si>
  <si>
    <t>Espino Guerrero José Luis</t>
  </si>
  <si>
    <t>Jefe Administrativo</t>
  </si>
  <si>
    <t>0420-032</t>
  </si>
  <si>
    <t xml:space="preserve">Domínguez Navarro Mariana </t>
  </si>
  <si>
    <t>Analista de Recursos Humanos y Nómina</t>
  </si>
  <si>
    <t>0420-034</t>
  </si>
  <si>
    <t>Salas Jimenez Héctor Alejandro</t>
  </si>
  <si>
    <t>Especialista en Ciberseguridad</t>
  </si>
  <si>
    <t>0420-035</t>
  </si>
  <si>
    <t xml:space="preserve">Martínez Sarabía Francisco Jesús </t>
  </si>
  <si>
    <t>Coordinador de Alianzas</t>
  </si>
  <si>
    <t>0420-036</t>
  </si>
  <si>
    <t>Soto Maldonado Héctor Daniel</t>
  </si>
  <si>
    <t>Especialista en Investigación e Innovación</t>
  </si>
  <si>
    <t>0420-037</t>
  </si>
  <si>
    <t xml:space="preserve">Flores Solano Jorge Ismael </t>
  </si>
  <si>
    <t>Auxiliar Especialista en Plataformas Tecnológicas</t>
  </si>
  <si>
    <t>0420-038</t>
  </si>
  <si>
    <t>Huerta Raygoza Miriam Elizabeth</t>
  </si>
  <si>
    <t>Coordinadora de Gestión y Evaluación de Proyectos</t>
  </si>
  <si>
    <t>0520-039</t>
  </si>
  <si>
    <t>Aparicio Serna Laura Elena</t>
  </si>
  <si>
    <t>0520-040</t>
  </si>
  <si>
    <t>Cervera Zambrano David Adrián</t>
  </si>
  <si>
    <t>Técnico Administrativo A</t>
  </si>
  <si>
    <t>0620-041</t>
  </si>
  <si>
    <t xml:space="preserve">Lara Abarca Laura Andrea </t>
  </si>
  <si>
    <t>0620-042</t>
  </si>
  <si>
    <t>González Domínguez Jennyfer</t>
  </si>
  <si>
    <t>0620-043</t>
  </si>
  <si>
    <t xml:space="preserve">Sangabriel Martínez Sunni Araceli </t>
  </si>
  <si>
    <t>0620-044</t>
  </si>
  <si>
    <t xml:space="preserve">Alvarado López Francisco José </t>
  </si>
  <si>
    <t>Auxiliar de Comunicación Social</t>
  </si>
  <si>
    <t>0620-045</t>
  </si>
  <si>
    <t xml:space="preserve">Carrazco Castañeda Candice </t>
  </si>
  <si>
    <t>Secretaria de Dirección General</t>
  </si>
  <si>
    <t>0820-046</t>
  </si>
  <si>
    <t>Hernández Larios José Luis</t>
  </si>
  <si>
    <t>Chofer Mensajero</t>
  </si>
  <si>
    <t>0920-047</t>
  </si>
  <si>
    <t>Sauceda Aguilar Carlos</t>
  </si>
  <si>
    <t>Ayudante General</t>
  </si>
  <si>
    <t>0920-048</t>
  </si>
  <si>
    <t>Alejandro Hernández Orozco</t>
  </si>
  <si>
    <t>Auxiliar de Produccion</t>
  </si>
  <si>
    <t>1020-049</t>
  </si>
  <si>
    <t>Guzmán Hernández J. Jesús</t>
  </si>
  <si>
    <t>Supervisor de Almacén</t>
  </si>
  <si>
    <t>1020-050</t>
  </si>
  <si>
    <t>Núñez Enriquez Luis Humberto</t>
  </si>
  <si>
    <t>PLATAFORMA ABIERTA DE INNOVACIÓN Y DESARROLLO DE JALISCO</t>
  </si>
  <si>
    <t>Nómina quincenal 2020</t>
  </si>
  <si>
    <t>Período: del 01 al 15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</si>
</sst>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"/>
    <numFmt numFmtId="165" formatCode="#,##0.00_ ;"/>
    <numFmt numFmtId="166" formatCode="#,##0_ ;"/>
    <numFmt numFmtId="167" formatCode="#,##0.0000_ ;"/>
    <numFmt numFmtId="168" formatCode="#,##0.000_ ;"/>
    <numFmt numFmtId="169" formatCode="#,##0.00;\(#,##0.00\)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theme="0"/>
      <name val="Montserrat"/>
    </font>
    <font>
      <b/>
      <sz val="12"/>
      <color rgb="FFFFFFFF"/>
      <name val="Montserrat"/>
    </font>
    <font>
      <sz val="10"/>
      <color rgb="FF000000"/>
      <name val="Montserrat"/>
    </font>
    <font>
      <sz val="12"/>
      <color theme="1"/>
      <name val="Montserrat"/>
    </font>
    <font>
      <sz val="11"/>
      <color rgb="FF000000"/>
      <name val="Montserrat"/>
    </font>
    <font>
      <sz val="11"/>
      <color theme="1"/>
      <name val="Montserrat"/>
    </font>
    <font>
      <sz val="11"/>
      <name val="Montserrat"/>
    </font>
    <font>
      <sz val="11"/>
      <color rgb="FFFF0000"/>
      <name val="Montserrat"/>
    </font>
    <font>
      <b/>
      <sz val="11"/>
      <color theme="1"/>
      <name val="Montserrat"/>
    </font>
    <font>
      <b/>
      <sz val="11"/>
      <color rgb="FF000000"/>
      <name val="Montserrat"/>
    </font>
    <font>
      <b/>
      <sz val="12"/>
      <color rgb="FF000000"/>
      <name val="Montserrat"/>
    </font>
    <font>
      <b/>
      <sz val="16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/>
    <xf numFmtId="0" fontId="7" fillId="0" borderId="2" xfId="0" applyFont="1" applyBorder="1" applyAlignment="1"/>
    <xf numFmtId="0" fontId="6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/>
    </xf>
    <xf numFmtId="166" fontId="7" fillId="0" borderId="2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center"/>
    </xf>
    <xf numFmtId="0" fontId="8" fillId="0" borderId="2" xfId="0" applyFont="1" applyBorder="1" applyAlignment="1"/>
    <xf numFmtId="0" fontId="7" fillId="0" borderId="0" xfId="0" applyFont="1" applyAlignment="1"/>
    <xf numFmtId="0" fontId="6" fillId="0" borderId="2" xfId="0" applyFont="1" applyBorder="1"/>
    <xf numFmtId="167" fontId="7" fillId="0" borderId="2" xfId="0" applyNumberFormat="1" applyFont="1" applyBorder="1" applyAlignment="1">
      <alignment horizontal="right"/>
    </xf>
    <xf numFmtId="168" fontId="6" fillId="0" borderId="2" xfId="0" applyNumberFormat="1" applyFont="1" applyBorder="1" applyAlignment="1">
      <alignment horizontal="right"/>
    </xf>
    <xf numFmtId="169" fontId="6" fillId="0" borderId="2" xfId="0" applyNumberFormat="1" applyFont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/>
    <xf numFmtId="165" fontId="7" fillId="3" borderId="1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right"/>
    </xf>
    <xf numFmtId="0" fontId="6" fillId="0" borderId="0" xfId="0" applyFont="1"/>
    <xf numFmtId="164" fontId="6" fillId="0" borderId="7" xfId="0" applyNumberFormat="1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7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165" fontId="9" fillId="3" borderId="1" xfId="0" applyNumberFormat="1" applyFont="1" applyFill="1" applyBorder="1" applyAlignment="1">
      <alignment horizontal="right"/>
    </xf>
    <xf numFmtId="165" fontId="9" fillId="3" borderId="6" xfId="0" applyNumberFormat="1" applyFont="1" applyFill="1" applyBorder="1" applyAlignment="1">
      <alignment horizontal="right"/>
    </xf>
    <xf numFmtId="165" fontId="9" fillId="3" borderId="8" xfId="0" applyNumberFormat="1" applyFont="1" applyFill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0" fontId="10" fillId="4" borderId="9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center" vertical="center"/>
    </xf>
    <xf numFmtId="4" fontId="10" fillId="4" borderId="10" xfId="0" applyNumberFormat="1" applyFont="1" applyFill="1" applyBorder="1" applyAlignment="1">
      <alignment horizontal="right" vertical="center"/>
    </xf>
    <xf numFmtId="4" fontId="10" fillId="4" borderId="11" xfId="0" applyNumberFormat="1" applyFont="1" applyFill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/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/>
    </xf>
    <xf numFmtId="0" fontId="1" fillId="0" borderId="0" xfId="1" applyFont="1" applyAlignment="1"/>
  </cellXfs>
  <cellStyles count="2">
    <cellStyle name="Normal" xfId="0" builtinId="0"/>
    <cellStyle name="Normal 2" xfId="1" xr:uid="{81B79A8F-342C-4062-BB6F-EE80A51713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1457325</xdr:colOff>
      <xdr:row>3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1649E0-318A-4042-BC4E-804DDFD55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7150"/>
          <a:ext cx="21621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55"/>
  <sheetViews>
    <sheetView tabSelected="1" workbookViewId="0">
      <selection activeCell="A4" sqref="A4"/>
    </sheetView>
  </sheetViews>
  <sheetFormatPr baseColWidth="10" defaultColWidth="14.42578125" defaultRowHeight="15" x14ac:dyDescent="0.3"/>
  <cols>
    <col min="1" max="1" width="11.85546875" style="11" bestFit="1" customWidth="1"/>
    <col min="2" max="2" width="41.5703125" style="11" bestFit="1" customWidth="1"/>
    <col min="3" max="3" width="8.5703125" style="11" bestFit="1" customWidth="1"/>
    <col min="4" max="4" width="6.28515625" style="11" bestFit="1" customWidth="1"/>
    <col min="5" max="5" width="12" style="11" bestFit="1" customWidth="1"/>
    <col min="6" max="6" width="41.42578125" style="11" bestFit="1" customWidth="1"/>
    <col min="7" max="7" width="63.85546875" style="11" bestFit="1" customWidth="1"/>
    <col min="8" max="8" width="9.85546875" style="11" bestFit="1" customWidth="1"/>
    <col min="9" max="9" width="11.85546875" style="11" bestFit="1" customWidth="1"/>
    <col min="10" max="10" width="13.140625" style="11" bestFit="1" customWidth="1"/>
    <col min="11" max="11" width="14.42578125" style="11" bestFit="1" customWidth="1"/>
    <col min="12" max="12" width="11.28515625" style="11" bestFit="1" customWidth="1"/>
    <col min="13" max="13" width="13.140625" style="11" bestFit="1" customWidth="1"/>
    <col min="14" max="14" width="11" style="11" bestFit="1" customWidth="1"/>
    <col min="15" max="15" width="9.28515625" style="11" bestFit="1" customWidth="1"/>
    <col min="16" max="16" width="20.7109375" style="11" customWidth="1"/>
    <col min="17" max="17" width="16.5703125" style="11" bestFit="1" customWidth="1"/>
    <col min="18" max="18" width="15.7109375" style="11" bestFit="1" customWidth="1"/>
    <col min="19" max="19" width="15.42578125" style="11" bestFit="1" customWidth="1"/>
    <col min="20" max="20" width="11.42578125" style="11" bestFit="1" customWidth="1"/>
    <col min="21" max="21" width="14" style="11" bestFit="1" customWidth="1"/>
    <col min="22" max="22" width="9.5703125" style="11" bestFit="1" customWidth="1"/>
    <col min="23" max="23" width="12.140625" style="11" bestFit="1" customWidth="1"/>
    <col min="24" max="24" width="17.42578125" style="11" bestFit="1" customWidth="1"/>
    <col min="25" max="25" width="13.42578125" style="11" bestFit="1" customWidth="1"/>
    <col min="26" max="16384" width="14.42578125" style="11"/>
  </cols>
  <sheetData>
    <row r="1" spans="1:25" ht="24" x14ac:dyDescent="0.3">
      <c r="A1" s="58" t="s">
        <v>161</v>
      </c>
      <c r="B1" s="58"/>
      <c r="C1" s="58"/>
      <c r="D1" s="58"/>
      <c r="E1" s="58"/>
      <c r="F1" s="58"/>
      <c r="G1" s="58"/>
      <c r="H1" s="58"/>
      <c r="I1" s="58"/>
      <c r="J1" s="58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5" ht="18.75" x14ac:dyDescent="0.3">
      <c r="A2" s="59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5" ht="18" x14ac:dyDescent="0.3">
      <c r="A3" s="60" t="s">
        <v>163</v>
      </c>
      <c r="B3" s="60"/>
      <c r="C3" s="60"/>
      <c r="D3" s="60"/>
      <c r="E3" s="60"/>
      <c r="F3" s="60"/>
      <c r="G3" s="60"/>
      <c r="H3" s="60"/>
      <c r="I3" s="60"/>
      <c r="J3" s="60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5" x14ac:dyDescent="0.3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25" ht="93.75" x14ac:dyDescent="0.3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4" t="s">
        <v>5</v>
      </c>
      <c r="G5" s="2" t="s">
        <v>6</v>
      </c>
      <c r="H5" s="5" t="s">
        <v>7</v>
      </c>
      <c r="I5" s="5" t="s">
        <v>8</v>
      </c>
      <c r="J5" s="5" t="s">
        <v>9</v>
      </c>
      <c r="K5" s="2" t="s">
        <v>10</v>
      </c>
      <c r="L5" s="2" t="s">
        <v>11</v>
      </c>
      <c r="M5" s="6" t="s">
        <v>12</v>
      </c>
      <c r="N5" s="6" t="s">
        <v>13</v>
      </c>
      <c r="O5" s="6" t="s">
        <v>14</v>
      </c>
      <c r="P5" s="7" t="s">
        <v>15</v>
      </c>
      <c r="Q5" s="7" t="s">
        <v>16</v>
      </c>
      <c r="R5" s="6" t="s">
        <v>17</v>
      </c>
      <c r="S5" s="7" t="s">
        <v>18</v>
      </c>
      <c r="T5" s="8" t="s">
        <v>19</v>
      </c>
      <c r="U5" s="9" t="s">
        <v>20</v>
      </c>
      <c r="V5" s="10" t="s">
        <v>21</v>
      </c>
      <c r="W5" s="7" t="s">
        <v>22</v>
      </c>
      <c r="X5" s="7" t="s">
        <v>23</v>
      </c>
      <c r="Y5" s="7" t="s">
        <v>24</v>
      </c>
    </row>
    <row r="6" spans="1:25" ht="18" x14ac:dyDescent="0.35">
      <c r="A6" s="16" t="s">
        <v>25</v>
      </c>
      <c r="B6" s="17" t="s">
        <v>26</v>
      </c>
      <c r="C6" s="18">
        <v>26</v>
      </c>
      <c r="D6" s="18">
        <v>40</v>
      </c>
      <c r="E6" s="19" t="s">
        <v>27</v>
      </c>
      <c r="F6" s="20" t="s">
        <v>28</v>
      </c>
      <c r="G6" s="21" t="s">
        <v>29</v>
      </c>
      <c r="H6" s="22">
        <v>14</v>
      </c>
      <c r="I6" s="23">
        <v>69445</v>
      </c>
      <c r="J6" s="23">
        <f t="shared" ref="J6:J50" si="0">I6/30*H6</f>
        <v>32407.666666666668</v>
      </c>
      <c r="K6" s="24">
        <f>2544/2</f>
        <v>1272</v>
      </c>
      <c r="L6" s="24">
        <f>1794/2</f>
        <v>897</v>
      </c>
      <c r="M6" s="25">
        <v>1</v>
      </c>
      <c r="N6" s="26">
        <f t="shared" ref="N6:N8" si="1">I6/30*M6</f>
        <v>2314.8333333333335</v>
      </c>
      <c r="O6" s="26">
        <v>0</v>
      </c>
      <c r="P6" s="24">
        <f t="shared" ref="P6:P50" si="2">J6+K6+L6+N6+O6</f>
        <v>36891.500000000007</v>
      </c>
      <c r="Q6" s="24">
        <f t="shared" ref="Q6:Q50" si="3">(J6+N6)*0.115</f>
        <v>3993.0875000000001</v>
      </c>
      <c r="R6" s="24"/>
      <c r="S6" s="24">
        <f t="shared" ref="S6:S50" si="4">(J6+N6)*0.175</f>
        <v>6076.4375</v>
      </c>
      <c r="T6" s="24">
        <f t="shared" ref="T6:T50" si="5">(J6+N6)*0.03</f>
        <v>1041.675</v>
      </c>
      <c r="U6" s="24">
        <f t="shared" ref="U6:U50" si="6">Q6+R6+S6+T6</f>
        <v>11111.199999999999</v>
      </c>
      <c r="V6" s="24">
        <f t="shared" ref="V6:V50" si="7">(J6+N6)*0.02</f>
        <v>694.45</v>
      </c>
      <c r="W6" s="24">
        <v>8931.2099999999991</v>
      </c>
      <c r="X6" s="24">
        <f t="shared" ref="X6:X13" si="8">+Q6+W6</f>
        <v>12924.297499999999</v>
      </c>
      <c r="Y6" s="24">
        <f t="shared" ref="Y6:Y50" si="9">+P6-X6</f>
        <v>23967.202500000007</v>
      </c>
    </row>
    <row r="7" spans="1:25" ht="18" x14ac:dyDescent="0.35">
      <c r="A7" s="27" t="s">
        <v>30</v>
      </c>
      <c r="B7" s="17" t="s">
        <v>31</v>
      </c>
      <c r="C7" s="18">
        <v>16</v>
      </c>
      <c r="D7" s="18">
        <v>40</v>
      </c>
      <c r="E7" s="19" t="s">
        <v>27</v>
      </c>
      <c r="F7" s="28" t="s">
        <v>32</v>
      </c>
      <c r="G7" s="21" t="s">
        <v>33</v>
      </c>
      <c r="H7" s="22">
        <v>13</v>
      </c>
      <c r="I7" s="23">
        <v>22832</v>
      </c>
      <c r="J7" s="23">
        <f t="shared" si="0"/>
        <v>9893.8666666666668</v>
      </c>
      <c r="K7" s="24">
        <f t="shared" ref="K7:K8" si="10">1247/2</f>
        <v>623.5</v>
      </c>
      <c r="L7" s="26">
        <f t="shared" ref="L7:L8" si="11">999/2</f>
        <v>499.5</v>
      </c>
      <c r="M7" s="29">
        <v>2</v>
      </c>
      <c r="N7" s="26">
        <f t="shared" si="1"/>
        <v>1522.1333333333334</v>
      </c>
      <c r="O7" s="26">
        <v>0</v>
      </c>
      <c r="P7" s="24">
        <f t="shared" si="2"/>
        <v>12539</v>
      </c>
      <c r="Q7" s="24">
        <f t="shared" si="3"/>
        <v>1312.8400000000001</v>
      </c>
      <c r="R7" s="24"/>
      <c r="S7" s="24">
        <f t="shared" si="4"/>
        <v>1997.8</v>
      </c>
      <c r="T7" s="24">
        <f t="shared" si="5"/>
        <v>342.47999999999996</v>
      </c>
      <c r="U7" s="24">
        <f t="shared" si="6"/>
        <v>3653.1200000000003</v>
      </c>
      <c r="V7" s="24">
        <f t="shared" si="7"/>
        <v>228.32</v>
      </c>
      <c r="W7" s="24">
        <v>2040.76</v>
      </c>
      <c r="X7" s="24">
        <f t="shared" si="8"/>
        <v>3353.6000000000004</v>
      </c>
      <c r="Y7" s="24">
        <f t="shared" si="9"/>
        <v>9185.4</v>
      </c>
    </row>
    <row r="8" spans="1:25" ht="18" x14ac:dyDescent="0.35">
      <c r="A8" s="16" t="s">
        <v>34</v>
      </c>
      <c r="B8" s="17" t="s">
        <v>35</v>
      </c>
      <c r="C8" s="18">
        <v>16</v>
      </c>
      <c r="D8" s="18">
        <v>40</v>
      </c>
      <c r="E8" s="19" t="s">
        <v>27</v>
      </c>
      <c r="F8" s="28" t="s">
        <v>36</v>
      </c>
      <c r="G8" s="21" t="s">
        <v>37</v>
      </c>
      <c r="H8" s="22">
        <v>13</v>
      </c>
      <c r="I8" s="23">
        <v>22832</v>
      </c>
      <c r="J8" s="23">
        <f t="shared" si="0"/>
        <v>9893.8666666666668</v>
      </c>
      <c r="K8" s="24">
        <f t="shared" si="10"/>
        <v>623.5</v>
      </c>
      <c r="L8" s="26">
        <f t="shared" si="11"/>
        <v>499.5</v>
      </c>
      <c r="M8" s="25">
        <v>2</v>
      </c>
      <c r="N8" s="26">
        <f t="shared" si="1"/>
        <v>1522.1333333333334</v>
      </c>
      <c r="O8" s="26">
        <v>0</v>
      </c>
      <c r="P8" s="24">
        <f t="shared" si="2"/>
        <v>12539</v>
      </c>
      <c r="Q8" s="24">
        <f t="shared" si="3"/>
        <v>1312.8400000000001</v>
      </c>
      <c r="R8" s="24"/>
      <c r="S8" s="24">
        <f t="shared" si="4"/>
        <v>1997.8</v>
      </c>
      <c r="T8" s="24">
        <f t="shared" si="5"/>
        <v>342.47999999999996</v>
      </c>
      <c r="U8" s="24">
        <f t="shared" si="6"/>
        <v>3653.1200000000003</v>
      </c>
      <c r="V8" s="24">
        <f t="shared" si="7"/>
        <v>228.32</v>
      </c>
      <c r="W8" s="24">
        <v>2040.76</v>
      </c>
      <c r="X8" s="24">
        <f t="shared" si="8"/>
        <v>3353.6000000000004</v>
      </c>
      <c r="Y8" s="24">
        <f t="shared" si="9"/>
        <v>9185.4</v>
      </c>
    </row>
    <row r="9" spans="1:25" ht="18" x14ac:dyDescent="0.35">
      <c r="A9" s="16" t="s">
        <v>38</v>
      </c>
      <c r="B9" s="17" t="s">
        <v>39</v>
      </c>
      <c r="C9" s="18">
        <v>23</v>
      </c>
      <c r="D9" s="18">
        <v>40</v>
      </c>
      <c r="E9" s="19" t="s">
        <v>27</v>
      </c>
      <c r="F9" s="28" t="s">
        <v>36</v>
      </c>
      <c r="G9" s="21" t="s">
        <v>40</v>
      </c>
      <c r="H9" s="22">
        <v>15</v>
      </c>
      <c r="I9" s="23">
        <v>47094</v>
      </c>
      <c r="J9" s="23">
        <f t="shared" si="0"/>
        <v>23547</v>
      </c>
      <c r="K9" s="24">
        <f>1920/2</f>
        <v>960</v>
      </c>
      <c r="L9" s="24">
        <f>1376/2</f>
        <v>688</v>
      </c>
      <c r="M9" s="25"/>
      <c r="N9" s="23"/>
      <c r="O9" s="26">
        <v>0</v>
      </c>
      <c r="P9" s="24">
        <f t="shared" si="2"/>
        <v>25195</v>
      </c>
      <c r="Q9" s="24">
        <f t="shared" si="3"/>
        <v>2707.9050000000002</v>
      </c>
      <c r="R9" s="24"/>
      <c r="S9" s="24">
        <f t="shared" si="4"/>
        <v>4120.7249999999995</v>
      </c>
      <c r="T9" s="24">
        <f t="shared" si="5"/>
        <v>706.41</v>
      </c>
      <c r="U9" s="24">
        <f t="shared" si="6"/>
        <v>7535.0399999999991</v>
      </c>
      <c r="V9" s="24">
        <f t="shared" si="7"/>
        <v>470.94</v>
      </c>
      <c r="W9" s="26">
        <v>5413.3</v>
      </c>
      <c r="X9" s="24">
        <f t="shared" si="8"/>
        <v>8121.2049999999999</v>
      </c>
      <c r="Y9" s="24">
        <f t="shared" si="9"/>
        <v>17073.794999999998</v>
      </c>
    </row>
    <row r="10" spans="1:25" ht="18" x14ac:dyDescent="0.35">
      <c r="A10" s="16" t="s">
        <v>41</v>
      </c>
      <c r="B10" s="17" t="s">
        <v>42</v>
      </c>
      <c r="C10" s="18">
        <v>16</v>
      </c>
      <c r="D10" s="18">
        <v>40</v>
      </c>
      <c r="E10" s="19" t="s">
        <v>27</v>
      </c>
      <c r="F10" s="28" t="s">
        <v>36</v>
      </c>
      <c r="G10" s="21" t="s">
        <v>43</v>
      </c>
      <c r="H10" s="22">
        <v>13</v>
      </c>
      <c r="I10" s="23">
        <v>22832</v>
      </c>
      <c r="J10" s="23">
        <f t="shared" si="0"/>
        <v>9893.8666666666668</v>
      </c>
      <c r="K10" s="24">
        <f t="shared" ref="K10:K12" si="12">1247/2</f>
        <v>623.5</v>
      </c>
      <c r="L10" s="26">
        <f t="shared" ref="L10:L12" si="13">999/2</f>
        <v>499.5</v>
      </c>
      <c r="M10" s="25">
        <v>2</v>
      </c>
      <c r="N10" s="26">
        <f t="shared" ref="N10:N11" si="14">I10/30*M10</f>
        <v>1522.1333333333334</v>
      </c>
      <c r="O10" s="26">
        <v>0</v>
      </c>
      <c r="P10" s="24">
        <f t="shared" si="2"/>
        <v>12539</v>
      </c>
      <c r="Q10" s="24">
        <f t="shared" si="3"/>
        <v>1312.8400000000001</v>
      </c>
      <c r="R10" s="24"/>
      <c r="S10" s="24">
        <f t="shared" si="4"/>
        <v>1997.8</v>
      </c>
      <c r="T10" s="24">
        <f t="shared" si="5"/>
        <v>342.47999999999996</v>
      </c>
      <c r="U10" s="24">
        <f t="shared" si="6"/>
        <v>3653.1200000000003</v>
      </c>
      <c r="V10" s="24">
        <f t="shared" si="7"/>
        <v>228.32</v>
      </c>
      <c r="W10" s="24">
        <v>2040.76</v>
      </c>
      <c r="X10" s="24">
        <f t="shared" si="8"/>
        <v>3353.6000000000004</v>
      </c>
      <c r="Y10" s="24">
        <f t="shared" si="9"/>
        <v>9185.4</v>
      </c>
    </row>
    <row r="11" spans="1:25" ht="18" x14ac:dyDescent="0.35">
      <c r="A11" s="16" t="s">
        <v>44</v>
      </c>
      <c r="B11" s="17" t="s">
        <v>45</v>
      </c>
      <c r="C11" s="18">
        <v>16</v>
      </c>
      <c r="D11" s="18">
        <v>40</v>
      </c>
      <c r="E11" s="19" t="s">
        <v>27</v>
      </c>
      <c r="F11" s="28" t="s">
        <v>32</v>
      </c>
      <c r="G11" s="21" t="s">
        <v>46</v>
      </c>
      <c r="H11" s="22">
        <v>13</v>
      </c>
      <c r="I11" s="23">
        <v>22832</v>
      </c>
      <c r="J11" s="23">
        <f t="shared" si="0"/>
        <v>9893.8666666666668</v>
      </c>
      <c r="K11" s="24">
        <f t="shared" si="12"/>
        <v>623.5</v>
      </c>
      <c r="L11" s="26">
        <f t="shared" si="13"/>
        <v>499.5</v>
      </c>
      <c r="M11" s="25">
        <v>2</v>
      </c>
      <c r="N11" s="26">
        <f t="shared" si="14"/>
        <v>1522.1333333333334</v>
      </c>
      <c r="O11" s="26">
        <v>0</v>
      </c>
      <c r="P11" s="24">
        <f t="shared" si="2"/>
        <v>12539</v>
      </c>
      <c r="Q11" s="24">
        <f t="shared" si="3"/>
        <v>1312.8400000000001</v>
      </c>
      <c r="R11" s="24"/>
      <c r="S11" s="24">
        <f t="shared" si="4"/>
        <v>1997.8</v>
      </c>
      <c r="T11" s="24">
        <f t="shared" si="5"/>
        <v>342.47999999999996</v>
      </c>
      <c r="U11" s="24">
        <f t="shared" si="6"/>
        <v>3653.1200000000003</v>
      </c>
      <c r="V11" s="24">
        <f t="shared" si="7"/>
        <v>228.32</v>
      </c>
      <c r="W11" s="24">
        <v>2040.76</v>
      </c>
      <c r="X11" s="24">
        <f t="shared" si="8"/>
        <v>3353.6000000000004</v>
      </c>
      <c r="Y11" s="24">
        <f t="shared" si="9"/>
        <v>9185.4</v>
      </c>
    </row>
    <row r="12" spans="1:25" ht="18" x14ac:dyDescent="0.35">
      <c r="A12" s="16" t="s">
        <v>47</v>
      </c>
      <c r="B12" s="17" t="s">
        <v>48</v>
      </c>
      <c r="C12" s="18">
        <v>16</v>
      </c>
      <c r="D12" s="18">
        <v>40</v>
      </c>
      <c r="E12" s="19" t="s">
        <v>27</v>
      </c>
      <c r="F12" s="28" t="s">
        <v>49</v>
      </c>
      <c r="G12" s="17" t="s">
        <v>50</v>
      </c>
      <c r="H12" s="22">
        <v>15</v>
      </c>
      <c r="I12" s="23">
        <v>22832</v>
      </c>
      <c r="J12" s="23">
        <f t="shared" si="0"/>
        <v>11416</v>
      </c>
      <c r="K12" s="24">
        <f t="shared" si="12"/>
        <v>623.5</v>
      </c>
      <c r="L12" s="26">
        <f t="shared" si="13"/>
        <v>499.5</v>
      </c>
      <c r="M12" s="25"/>
      <c r="N12" s="26"/>
      <c r="O12" s="26">
        <v>0</v>
      </c>
      <c r="P12" s="24">
        <f t="shared" si="2"/>
        <v>12539</v>
      </c>
      <c r="Q12" s="24">
        <f t="shared" si="3"/>
        <v>1312.8400000000001</v>
      </c>
      <c r="R12" s="24"/>
      <c r="S12" s="24">
        <f t="shared" si="4"/>
        <v>1997.8</v>
      </c>
      <c r="T12" s="24">
        <f t="shared" si="5"/>
        <v>342.47999999999996</v>
      </c>
      <c r="U12" s="24">
        <f t="shared" si="6"/>
        <v>3653.1200000000003</v>
      </c>
      <c r="V12" s="24">
        <f t="shared" si="7"/>
        <v>228.32</v>
      </c>
      <c r="W12" s="24">
        <v>2040.76</v>
      </c>
      <c r="X12" s="24">
        <f t="shared" si="8"/>
        <v>3353.6000000000004</v>
      </c>
      <c r="Y12" s="24">
        <f t="shared" si="9"/>
        <v>9185.4</v>
      </c>
    </row>
    <row r="13" spans="1:25" ht="18" x14ac:dyDescent="0.35">
      <c r="A13" s="16" t="s">
        <v>51</v>
      </c>
      <c r="B13" s="17" t="s">
        <v>52</v>
      </c>
      <c r="C13" s="18">
        <v>23</v>
      </c>
      <c r="D13" s="18">
        <v>40</v>
      </c>
      <c r="E13" s="19" t="s">
        <v>27</v>
      </c>
      <c r="F13" s="28" t="s">
        <v>32</v>
      </c>
      <c r="G13" s="17" t="s">
        <v>53</v>
      </c>
      <c r="H13" s="22">
        <v>15</v>
      </c>
      <c r="I13" s="23">
        <v>47094</v>
      </c>
      <c r="J13" s="23">
        <f t="shared" si="0"/>
        <v>23547</v>
      </c>
      <c r="K13" s="24">
        <f t="shared" ref="K13:K14" si="15">1920/2</f>
        <v>960</v>
      </c>
      <c r="L13" s="24">
        <f t="shared" ref="L13:L14" si="16">1376/2</f>
        <v>688</v>
      </c>
      <c r="M13" s="25"/>
      <c r="N13" s="23"/>
      <c r="O13" s="26">
        <v>0</v>
      </c>
      <c r="P13" s="24">
        <f t="shared" si="2"/>
        <v>25195</v>
      </c>
      <c r="Q13" s="24">
        <f t="shared" si="3"/>
        <v>2707.9050000000002</v>
      </c>
      <c r="R13" s="24"/>
      <c r="S13" s="24">
        <f t="shared" si="4"/>
        <v>4120.7249999999995</v>
      </c>
      <c r="T13" s="24">
        <f t="shared" si="5"/>
        <v>706.41</v>
      </c>
      <c r="U13" s="24">
        <f t="shared" si="6"/>
        <v>7535.0399999999991</v>
      </c>
      <c r="V13" s="24">
        <f t="shared" si="7"/>
        <v>470.94</v>
      </c>
      <c r="W13" s="26">
        <v>5413.3</v>
      </c>
      <c r="X13" s="24">
        <f t="shared" si="8"/>
        <v>8121.2049999999999</v>
      </c>
      <c r="Y13" s="24">
        <f t="shared" si="9"/>
        <v>17073.794999999998</v>
      </c>
    </row>
    <row r="14" spans="1:25" ht="18" x14ac:dyDescent="0.35">
      <c r="A14" s="16" t="s">
        <v>54</v>
      </c>
      <c r="B14" s="17" t="s">
        <v>55</v>
      </c>
      <c r="C14" s="18">
        <v>23</v>
      </c>
      <c r="D14" s="18">
        <v>40</v>
      </c>
      <c r="E14" s="19" t="s">
        <v>27</v>
      </c>
      <c r="F14" s="28" t="s">
        <v>49</v>
      </c>
      <c r="G14" s="21" t="s">
        <v>56</v>
      </c>
      <c r="H14" s="22">
        <v>15</v>
      </c>
      <c r="I14" s="23">
        <v>47094</v>
      </c>
      <c r="J14" s="23">
        <f t="shared" si="0"/>
        <v>23547</v>
      </c>
      <c r="K14" s="24">
        <f t="shared" si="15"/>
        <v>960</v>
      </c>
      <c r="L14" s="24">
        <f t="shared" si="16"/>
        <v>688</v>
      </c>
      <c r="M14" s="25"/>
      <c r="N14" s="26"/>
      <c r="O14" s="26">
        <v>0</v>
      </c>
      <c r="P14" s="24">
        <f t="shared" si="2"/>
        <v>25195</v>
      </c>
      <c r="Q14" s="24">
        <f t="shared" si="3"/>
        <v>2707.9050000000002</v>
      </c>
      <c r="R14" s="24">
        <f>1645.04+137.4</f>
        <v>1782.44</v>
      </c>
      <c r="S14" s="24">
        <f t="shared" si="4"/>
        <v>4120.7249999999995</v>
      </c>
      <c r="T14" s="24">
        <f t="shared" si="5"/>
        <v>706.41</v>
      </c>
      <c r="U14" s="24">
        <f t="shared" si="6"/>
        <v>9317.48</v>
      </c>
      <c r="V14" s="24">
        <f t="shared" si="7"/>
        <v>470.94</v>
      </c>
      <c r="W14" s="26">
        <f>5413.22+0.04</f>
        <v>5413.26</v>
      </c>
      <c r="X14" s="24">
        <f>+Q14+R14+W14</f>
        <v>9903.6049999999996</v>
      </c>
      <c r="Y14" s="24">
        <f t="shared" si="9"/>
        <v>15291.395</v>
      </c>
    </row>
    <row r="15" spans="1:25" ht="18" x14ac:dyDescent="0.35">
      <c r="A15" s="16" t="s">
        <v>57</v>
      </c>
      <c r="B15" s="17" t="s">
        <v>58</v>
      </c>
      <c r="C15" s="18">
        <v>16</v>
      </c>
      <c r="D15" s="18">
        <v>40</v>
      </c>
      <c r="E15" s="19" t="s">
        <v>27</v>
      </c>
      <c r="F15" s="28" t="s">
        <v>36</v>
      </c>
      <c r="G15" s="21" t="s">
        <v>59</v>
      </c>
      <c r="H15" s="22">
        <v>14</v>
      </c>
      <c r="I15" s="23">
        <v>22832</v>
      </c>
      <c r="J15" s="23">
        <f t="shared" si="0"/>
        <v>10654.933333333334</v>
      </c>
      <c r="K15" s="24">
        <f>1247/2</f>
        <v>623.5</v>
      </c>
      <c r="L15" s="26">
        <f>999/2</f>
        <v>499.5</v>
      </c>
      <c r="M15" s="25">
        <v>1</v>
      </c>
      <c r="N15" s="26">
        <f>I15/30*M15</f>
        <v>761.06666666666672</v>
      </c>
      <c r="O15" s="26">
        <v>0</v>
      </c>
      <c r="P15" s="24">
        <f t="shared" si="2"/>
        <v>12539.000000000002</v>
      </c>
      <c r="Q15" s="24">
        <f t="shared" si="3"/>
        <v>1312.8400000000004</v>
      </c>
      <c r="R15" s="24"/>
      <c r="S15" s="24">
        <f t="shared" si="4"/>
        <v>1997.8000000000002</v>
      </c>
      <c r="T15" s="24">
        <f t="shared" si="5"/>
        <v>342.48</v>
      </c>
      <c r="U15" s="24">
        <f t="shared" si="6"/>
        <v>3653.1200000000003</v>
      </c>
      <c r="V15" s="24">
        <f t="shared" si="7"/>
        <v>228.32000000000005</v>
      </c>
      <c r="W15" s="24">
        <v>2040.76</v>
      </c>
      <c r="X15" s="24">
        <f t="shared" ref="X15:X50" si="17">+Q15+W15</f>
        <v>3353.6000000000004</v>
      </c>
      <c r="Y15" s="24">
        <f t="shared" si="9"/>
        <v>9185.4000000000015</v>
      </c>
    </row>
    <row r="16" spans="1:25" ht="18" x14ac:dyDescent="0.35">
      <c r="A16" s="16" t="s">
        <v>60</v>
      </c>
      <c r="B16" s="17" t="s">
        <v>61</v>
      </c>
      <c r="C16" s="18">
        <v>15</v>
      </c>
      <c r="D16" s="18">
        <v>40</v>
      </c>
      <c r="E16" s="19" t="s">
        <v>27</v>
      </c>
      <c r="F16" s="28" t="s">
        <v>32</v>
      </c>
      <c r="G16" s="17" t="s">
        <v>62</v>
      </c>
      <c r="H16" s="22">
        <v>15</v>
      </c>
      <c r="I16" s="23">
        <v>20272</v>
      </c>
      <c r="J16" s="23">
        <f t="shared" si="0"/>
        <v>10136</v>
      </c>
      <c r="K16" s="24">
        <f>1206/2</f>
        <v>603</v>
      </c>
      <c r="L16" s="26">
        <f>975/2</f>
        <v>487.5</v>
      </c>
      <c r="M16" s="25"/>
      <c r="N16" s="23"/>
      <c r="O16" s="26">
        <v>0</v>
      </c>
      <c r="P16" s="24">
        <f t="shared" si="2"/>
        <v>11226.5</v>
      </c>
      <c r="Q16" s="24">
        <f t="shared" si="3"/>
        <v>1165.6400000000001</v>
      </c>
      <c r="R16" s="24"/>
      <c r="S16" s="24">
        <f t="shared" si="4"/>
        <v>1773.8</v>
      </c>
      <c r="T16" s="24">
        <f t="shared" si="5"/>
        <v>304.08</v>
      </c>
      <c r="U16" s="24">
        <f t="shared" si="6"/>
        <v>3243.52</v>
      </c>
      <c r="V16" s="24">
        <f t="shared" si="7"/>
        <v>202.72</v>
      </c>
      <c r="W16" s="24">
        <v>1751.26</v>
      </c>
      <c r="X16" s="24">
        <f t="shared" si="17"/>
        <v>2916.9</v>
      </c>
      <c r="Y16" s="24">
        <f t="shared" si="9"/>
        <v>8309.6</v>
      </c>
    </row>
    <row r="17" spans="1:25" ht="18" x14ac:dyDescent="0.35">
      <c r="A17" s="16" t="s">
        <v>63</v>
      </c>
      <c r="B17" s="17" t="s">
        <v>64</v>
      </c>
      <c r="C17" s="13">
        <v>21</v>
      </c>
      <c r="D17" s="18">
        <v>40</v>
      </c>
      <c r="E17" s="19" t="s">
        <v>27</v>
      </c>
      <c r="F17" s="28" t="s">
        <v>65</v>
      </c>
      <c r="G17" s="30" t="s">
        <v>66</v>
      </c>
      <c r="H17" s="22">
        <v>15</v>
      </c>
      <c r="I17" s="23">
        <v>39023</v>
      </c>
      <c r="J17" s="23">
        <f t="shared" si="0"/>
        <v>19511.5</v>
      </c>
      <c r="K17" s="24">
        <f>1808/2</f>
        <v>904</v>
      </c>
      <c r="L17" s="26">
        <f>1299/2</f>
        <v>649.5</v>
      </c>
      <c r="M17" s="25"/>
      <c r="N17" s="24"/>
      <c r="O17" s="26">
        <v>0</v>
      </c>
      <c r="P17" s="24">
        <f t="shared" si="2"/>
        <v>21065</v>
      </c>
      <c r="Q17" s="24">
        <f t="shared" si="3"/>
        <v>2243.8225000000002</v>
      </c>
      <c r="R17" s="24"/>
      <c r="S17" s="24">
        <f t="shared" si="4"/>
        <v>3414.5124999999998</v>
      </c>
      <c r="T17" s="24">
        <f t="shared" si="5"/>
        <v>585.34500000000003</v>
      </c>
      <c r="U17" s="24">
        <f t="shared" si="6"/>
        <v>6243.68</v>
      </c>
      <c r="V17" s="24">
        <f t="shared" si="7"/>
        <v>390.23</v>
      </c>
      <c r="W17" s="24">
        <v>4174.18</v>
      </c>
      <c r="X17" s="24">
        <f t="shared" si="17"/>
        <v>6418.0025000000005</v>
      </c>
      <c r="Y17" s="24">
        <f t="shared" si="9"/>
        <v>14646.997499999999</v>
      </c>
    </row>
    <row r="18" spans="1:25" ht="18" x14ac:dyDescent="0.35">
      <c r="A18" s="16" t="s">
        <v>67</v>
      </c>
      <c r="B18" s="17" t="s">
        <v>68</v>
      </c>
      <c r="C18" s="18">
        <v>16</v>
      </c>
      <c r="D18" s="18">
        <v>40</v>
      </c>
      <c r="E18" s="19" t="s">
        <v>27</v>
      </c>
      <c r="F18" s="28" t="s">
        <v>49</v>
      </c>
      <c r="G18" s="17" t="s">
        <v>69</v>
      </c>
      <c r="H18" s="22">
        <v>15</v>
      </c>
      <c r="I18" s="23">
        <v>22832</v>
      </c>
      <c r="J18" s="23">
        <f t="shared" si="0"/>
        <v>11416</v>
      </c>
      <c r="K18" s="24">
        <f t="shared" ref="K18:K20" si="18">1247/2</f>
        <v>623.5</v>
      </c>
      <c r="L18" s="26">
        <f t="shared" ref="L18:L20" si="19">999/2</f>
        <v>499.5</v>
      </c>
      <c r="M18" s="25"/>
      <c r="N18" s="26"/>
      <c r="O18" s="26">
        <v>0</v>
      </c>
      <c r="P18" s="24">
        <f t="shared" si="2"/>
        <v>12539</v>
      </c>
      <c r="Q18" s="24">
        <f t="shared" si="3"/>
        <v>1312.8400000000001</v>
      </c>
      <c r="R18" s="24"/>
      <c r="S18" s="24">
        <f t="shared" si="4"/>
        <v>1997.8</v>
      </c>
      <c r="T18" s="24">
        <f t="shared" si="5"/>
        <v>342.47999999999996</v>
      </c>
      <c r="U18" s="24">
        <f t="shared" si="6"/>
        <v>3653.1200000000003</v>
      </c>
      <c r="V18" s="24">
        <f t="shared" si="7"/>
        <v>228.32</v>
      </c>
      <c r="W18" s="24">
        <v>2040.76</v>
      </c>
      <c r="X18" s="24">
        <f t="shared" si="17"/>
        <v>3353.6000000000004</v>
      </c>
      <c r="Y18" s="24">
        <f t="shared" si="9"/>
        <v>9185.4</v>
      </c>
    </row>
    <row r="19" spans="1:25" ht="18" x14ac:dyDescent="0.35">
      <c r="A19" s="16" t="s">
        <v>70</v>
      </c>
      <c r="B19" s="30" t="s">
        <v>71</v>
      </c>
      <c r="C19" s="18">
        <v>16</v>
      </c>
      <c r="D19" s="18">
        <v>40</v>
      </c>
      <c r="E19" s="19" t="s">
        <v>27</v>
      </c>
      <c r="F19" s="28" t="s">
        <v>36</v>
      </c>
      <c r="G19" s="21" t="s">
        <v>72</v>
      </c>
      <c r="H19" s="22">
        <v>15</v>
      </c>
      <c r="I19" s="23">
        <v>22832</v>
      </c>
      <c r="J19" s="23">
        <f t="shared" si="0"/>
        <v>11416</v>
      </c>
      <c r="K19" s="24">
        <f t="shared" si="18"/>
        <v>623.5</v>
      </c>
      <c r="L19" s="26">
        <f t="shared" si="19"/>
        <v>499.5</v>
      </c>
      <c r="M19" s="25"/>
      <c r="N19" s="26"/>
      <c r="O19" s="26">
        <v>0</v>
      </c>
      <c r="P19" s="24">
        <f t="shared" si="2"/>
        <v>12539</v>
      </c>
      <c r="Q19" s="24">
        <f t="shared" si="3"/>
        <v>1312.8400000000001</v>
      </c>
      <c r="R19" s="24"/>
      <c r="S19" s="24">
        <f t="shared" si="4"/>
        <v>1997.8</v>
      </c>
      <c r="T19" s="24">
        <f t="shared" si="5"/>
        <v>342.47999999999996</v>
      </c>
      <c r="U19" s="24">
        <f t="shared" si="6"/>
        <v>3653.1200000000003</v>
      </c>
      <c r="V19" s="24">
        <f t="shared" si="7"/>
        <v>228.32</v>
      </c>
      <c r="W19" s="24">
        <v>2040.76</v>
      </c>
      <c r="X19" s="24">
        <f t="shared" si="17"/>
        <v>3353.6000000000004</v>
      </c>
      <c r="Y19" s="24">
        <f t="shared" si="9"/>
        <v>9185.4</v>
      </c>
    </row>
    <row r="20" spans="1:25" ht="18" x14ac:dyDescent="0.35">
      <c r="A20" s="16" t="s">
        <v>73</v>
      </c>
      <c r="B20" s="17" t="s">
        <v>74</v>
      </c>
      <c r="C20" s="18">
        <v>16</v>
      </c>
      <c r="D20" s="18">
        <v>40</v>
      </c>
      <c r="E20" s="19" t="s">
        <v>27</v>
      </c>
      <c r="F20" s="28" t="s">
        <v>49</v>
      </c>
      <c r="G20" s="17" t="s">
        <v>75</v>
      </c>
      <c r="H20" s="22">
        <v>15</v>
      </c>
      <c r="I20" s="23">
        <v>22832</v>
      </c>
      <c r="J20" s="23">
        <f t="shared" si="0"/>
        <v>11416</v>
      </c>
      <c r="K20" s="24">
        <f t="shared" si="18"/>
        <v>623.5</v>
      </c>
      <c r="L20" s="26">
        <f t="shared" si="19"/>
        <v>499.5</v>
      </c>
      <c r="M20" s="25"/>
      <c r="N20" s="23"/>
      <c r="O20" s="26">
        <v>0</v>
      </c>
      <c r="P20" s="24">
        <f t="shared" si="2"/>
        <v>12539</v>
      </c>
      <c r="Q20" s="24">
        <f t="shared" si="3"/>
        <v>1312.8400000000001</v>
      </c>
      <c r="R20" s="24"/>
      <c r="S20" s="24">
        <f t="shared" si="4"/>
        <v>1997.8</v>
      </c>
      <c r="T20" s="24">
        <f t="shared" si="5"/>
        <v>342.47999999999996</v>
      </c>
      <c r="U20" s="24">
        <f t="shared" si="6"/>
        <v>3653.1200000000003</v>
      </c>
      <c r="V20" s="24">
        <f t="shared" si="7"/>
        <v>228.32</v>
      </c>
      <c r="W20" s="24">
        <v>2040.76</v>
      </c>
      <c r="X20" s="24">
        <f t="shared" si="17"/>
        <v>3353.6000000000004</v>
      </c>
      <c r="Y20" s="24">
        <f t="shared" si="9"/>
        <v>9185.4</v>
      </c>
    </row>
    <row r="21" spans="1:25" ht="18" x14ac:dyDescent="0.35">
      <c r="A21" s="16" t="s">
        <v>76</v>
      </c>
      <c r="B21" s="20" t="s">
        <v>77</v>
      </c>
      <c r="C21" s="13">
        <v>11</v>
      </c>
      <c r="D21" s="18">
        <v>40</v>
      </c>
      <c r="E21" s="19" t="s">
        <v>27</v>
      </c>
      <c r="F21" s="28" t="s">
        <v>49</v>
      </c>
      <c r="G21" s="30" t="s">
        <v>78</v>
      </c>
      <c r="H21" s="22">
        <v>15</v>
      </c>
      <c r="I21" s="23">
        <v>14733</v>
      </c>
      <c r="J21" s="23">
        <f t="shared" si="0"/>
        <v>7366.5</v>
      </c>
      <c r="K21" s="24">
        <f>1093/2</f>
        <v>546.5</v>
      </c>
      <c r="L21" s="26">
        <f>899/2</f>
        <v>449.5</v>
      </c>
      <c r="M21" s="25"/>
      <c r="N21" s="24"/>
      <c r="O21" s="26">
        <v>0</v>
      </c>
      <c r="P21" s="24">
        <f t="shared" si="2"/>
        <v>8362.5</v>
      </c>
      <c r="Q21" s="24">
        <f t="shared" si="3"/>
        <v>847.14750000000004</v>
      </c>
      <c r="R21" s="24"/>
      <c r="S21" s="24">
        <f t="shared" si="4"/>
        <v>1289.1374999999998</v>
      </c>
      <c r="T21" s="24">
        <f t="shared" si="5"/>
        <v>220.995</v>
      </c>
      <c r="U21" s="24">
        <f t="shared" si="6"/>
        <v>2357.2799999999997</v>
      </c>
      <c r="V21" s="24">
        <f t="shared" si="7"/>
        <v>147.33000000000001</v>
      </c>
      <c r="W21" s="24">
        <f>1139.55</f>
        <v>1139.55</v>
      </c>
      <c r="X21" s="24">
        <f t="shared" si="17"/>
        <v>1986.6975</v>
      </c>
      <c r="Y21" s="24">
        <f t="shared" si="9"/>
        <v>6375.8024999999998</v>
      </c>
    </row>
    <row r="22" spans="1:25" ht="18" x14ac:dyDescent="0.35">
      <c r="A22" s="16" t="s">
        <v>79</v>
      </c>
      <c r="B22" s="20" t="s">
        <v>80</v>
      </c>
      <c r="C22" s="13">
        <v>21</v>
      </c>
      <c r="D22" s="18">
        <v>40</v>
      </c>
      <c r="E22" s="19" t="s">
        <v>27</v>
      </c>
      <c r="F22" s="20" t="s">
        <v>28</v>
      </c>
      <c r="G22" s="30" t="s">
        <v>81</v>
      </c>
      <c r="H22" s="22">
        <v>15</v>
      </c>
      <c r="I22" s="23">
        <v>39023</v>
      </c>
      <c r="J22" s="23">
        <f t="shared" si="0"/>
        <v>19511.5</v>
      </c>
      <c r="K22" s="24">
        <f>1808/2</f>
        <v>904</v>
      </c>
      <c r="L22" s="26">
        <f>1299/2</f>
        <v>649.5</v>
      </c>
      <c r="M22" s="25"/>
      <c r="N22" s="24"/>
      <c r="O22" s="26">
        <v>0</v>
      </c>
      <c r="P22" s="24">
        <f t="shared" si="2"/>
        <v>21065</v>
      </c>
      <c r="Q22" s="24">
        <f t="shared" si="3"/>
        <v>2243.8225000000002</v>
      </c>
      <c r="R22" s="24"/>
      <c r="S22" s="24">
        <f t="shared" si="4"/>
        <v>3414.5124999999998</v>
      </c>
      <c r="T22" s="24">
        <f t="shared" si="5"/>
        <v>585.34500000000003</v>
      </c>
      <c r="U22" s="24">
        <f t="shared" si="6"/>
        <v>6243.68</v>
      </c>
      <c r="V22" s="24">
        <f t="shared" si="7"/>
        <v>390.23</v>
      </c>
      <c r="W22" s="24">
        <v>4174.18</v>
      </c>
      <c r="X22" s="24">
        <f t="shared" si="17"/>
        <v>6418.0025000000005</v>
      </c>
      <c r="Y22" s="24">
        <f t="shared" si="9"/>
        <v>14646.997499999999</v>
      </c>
    </row>
    <row r="23" spans="1:25" ht="18" x14ac:dyDescent="0.35">
      <c r="A23" s="16" t="s">
        <v>82</v>
      </c>
      <c r="B23" s="20" t="s">
        <v>83</v>
      </c>
      <c r="C23" s="13">
        <v>15</v>
      </c>
      <c r="D23" s="18">
        <v>40</v>
      </c>
      <c r="E23" s="19" t="s">
        <v>27</v>
      </c>
      <c r="F23" s="28" t="s">
        <v>36</v>
      </c>
      <c r="G23" s="30" t="s">
        <v>84</v>
      </c>
      <c r="H23" s="22">
        <v>13</v>
      </c>
      <c r="I23" s="23">
        <v>20272</v>
      </c>
      <c r="J23" s="23">
        <f t="shared" si="0"/>
        <v>8784.5333333333328</v>
      </c>
      <c r="K23" s="24">
        <f>1206/2</f>
        <v>603</v>
      </c>
      <c r="L23" s="26">
        <f>975/2</f>
        <v>487.5</v>
      </c>
      <c r="M23" s="25">
        <v>2</v>
      </c>
      <c r="N23" s="26">
        <f>I23/30*M23</f>
        <v>1351.4666666666667</v>
      </c>
      <c r="O23" s="26">
        <v>0</v>
      </c>
      <c r="P23" s="24">
        <f t="shared" si="2"/>
        <v>11226.5</v>
      </c>
      <c r="Q23" s="24">
        <f t="shared" si="3"/>
        <v>1165.6400000000001</v>
      </c>
      <c r="R23" s="24"/>
      <c r="S23" s="24">
        <f t="shared" si="4"/>
        <v>1773.8</v>
      </c>
      <c r="T23" s="24">
        <f t="shared" si="5"/>
        <v>304.08</v>
      </c>
      <c r="U23" s="24">
        <f t="shared" si="6"/>
        <v>3243.52</v>
      </c>
      <c r="V23" s="24">
        <f t="shared" si="7"/>
        <v>202.72</v>
      </c>
      <c r="W23" s="24">
        <v>1751.26</v>
      </c>
      <c r="X23" s="24">
        <f t="shared" si="17"/>
        <v>2916.9</v>
      </c>
      <c r="Y23" s="24">
        <f t="shared" si="9"/>
        <v>8309.6</v>
      </c>
    </row>
    <row r="24" spans="1:25" ht="18" x14ac:dyDescent="0.35">
      <c r="A24" s="16" t="s">
        <v>85</v>
      </c>
      <c r="B24" s="20" t="s">
        <v>86</v>
      </c>
      <c r="C24" s="13">
        <v>11</v>
      </c>
      <c r="D24" s="18">
        <v>40</v>
      </c>
      <c r="E24" s="19" t="s">
        <v>27</v>
      </c>
      <c r="F24" s="28" t="s">
        <v>49</v>
      </c>
      <c r="G24" s="30" t="s">
        <v>87</v>
      </c>
      <c r="H24" s="22">
        <v>15</v>
      </c>
      <c r="I24" s="23">
        <v>14733</v>
      </c>
      <c r="J24" s="23">
        <f t="shared" si="0"/>
        <v>7366.5</v>
      </c>
      <c r="K24" s="24">
        <f>1093/2</f>
        <v>546.5</v>
      </c>
      <c r="L24" s="26">
        <f>899/2</f>
        <v>449.5</v>
      </c>
      <c r="M24" s="25"/>
      <c r="N24" s="24"/>
      <c r="O24" s="26">
        <v>0</v>
      </c>
      <c r="P24" s="24">
        <f t="shared" si="2"/>
        <v>8362.5</v>
      </c>
      <c r="Q24" s="24">
        <f t="shared" si="3"/>
        <v>847.14750000000004</v>
      </c>
      <c r="R24" s="24"/>
      <c r="S24" s="24">
        <f t="shared" si="4"/>
        <v>1289.1374999999998</v>
      </c>
      <c r="T24" s="24">
        <f t="shared" si="5"/>
        <v>220.995</v>
      </c>
      <c r="U24" s="24">
        <f t="shared" si="6"/>
        <v>2357.2799999999997</v>
      </c>
      <c r="V24" s="24">
        <f t="shared" si="7"/>
        <v>147.33000000000001</v>
      </c>
      <c r="W24" s="24">
        <f>1139.55</f>
        <v>1139.55</v>
      </c>
      <c r="X24" s="24">
        <f t="shared" si="17"/>
        <v>1986.6975</v>
      </c>
      <c r="Y24" s="24">
        <f t="shared" si="9"/>
        <v>6375.8024999999998</v>
      </c>
    </row>
    <row r="25" spans="1:25" ht="18" x14ac:dyDescent="0.35">
      <c r="A25" s="16" t="s">
        <v>88</v>
      </c>
      <c r="B25" s="20" t="s">
        <v>89</v>
      </c>
      <c r="C25" s="13">
        <v>6</v>
      </c>
      <c r="D25" s="18">
        <v>40</v>
      </c>
      <c r="E25" s="19" t="s">
        <v>27</v>
      </c>
      <c r="F25" s="28" t="s">
        <v>32</v>
      </c>
      <c r="G25" s="30" t="s">
        <v>90</v>
      </c>
      <c r="H25" s="22">
        <v>14</v>
      </c>
      <c r="I25" s="23">
        <v>12058</v>
      </c>
      <c r="J25" s="23">
        <f t="shared" si="0"/>
        <v>5627.0666666666666</v>
      </c>
      <c r="K25" s="24">
        <f>915/2</f>
        <v>457.5</v>
      </c>
      <c r="L25" s="26">
        <f>836/2</f>
        <v>418</v>
      </c>
      <c r="M25" s="25">
        <v>1</v>
      </c>
      <c r="N25" s="26">
        <f t="shared" ref="N25:N26" si="20">I25/30*M25</f>
        <v>401.93333333333334</v>
      </c>
      <c r="O25" s="26">
        <v>0</v>
      </c>
      <c r="P25" s="24">
        <f t="shared" si="2"/>
        <v>6904.5</v>
      </c>
      <c r="Q25" s="24">
        <f t="shared" si="3"/>
        <v>693.33500000000004</v>
      </c>
      <c r="R25" s="24"/>
      <c r="S25" s="24">
        <f t="shared" si="4"/>
        <v>1055.075</v>
      </c>
      <c r="T25" s="24">
        <f t="shared" si="5"/>
        <v>180.87</v>
      </c>
      <c r="U25" s="24">
        <f t="shared" si="6"/>
        <v>1929.2800000000002</v>
      </c>
      <c r="V25" s="24">
        <f t="shared" si="7"/>
        <v>120.58</v>
      </c>
      <c r="W25" s="24">
        <f>828.17</f>
        <v>828.17</v>
      </c>
      <c r="X25" s="24">
        <f t="shared" si="17"/>
        <v>1521.5050000000001</v>
      </c>
      <c r="Y25" s="24">
        <f t="shared" si="9"/>
        <v>5382.9949999999999</v>
      </c>
    </row>
    <row r="26" spans="1:25" ht="18" x14ac:dyDescent="0.35">
      <c r="A26" s="16" t="s">
        <v>91</v>
      </c>
      <c r="B26" s="20" t="s">
        <v>92</v>
      </c>
      <c r="C26" s="13">
        <v>11</v>
      </c>
      <c r="D26" s="18">
        <v>40</v>
      </c>
      <c r="E26" s="19" t="s">
        <v>27</v>
      </c>
      <c r="F26" s="28" t="s">
        <v>32</v>
      </c>
      <c r="G26" s="30" t="s">
        <v>93</v>
      </c>
      <c r="H26" s="22">
        <v>14</v>
      </c>
      <c r="I26" s="23">
        <v>14733</v>
      </c>
      <c r="J26" s="23">
        <f t="shared" si="0"/>
        <v>6875.4000000000005</v>
      </c>
      <c r="K26" s="24">
        <f>1093/2</f>
        <v>546.5</v>
      </c>
      <c r="L26" s="26">
        <f>899/2</f>
        <v>449.5</v>
      </c>
      <c r="M26" s="25">
        <v>1</v>
      </c>
      <c r="N26" s="26">
        <f t="shared" si="20"/>
        <v>491.1</v>
      </c>
      <c r="O26" s="26">
        <v>0</v>
      </c>
      <c r="P26" s="24">
        <f t="shared" si="2"/>
        <v>8362.5</v>
      </c>
      <c r="Q26" s="24">
        <f t="shared" si="3"/>
        <v>847.14750000000015</v>
      </c>
      <c r="R26" s="24"/>
      <c r="S26" s="24">
        <f t="shared" si="4"/>
        <v>1289.1375</v>
      </c>
      <c r="T26" s="24">
        <f t="shared" si="5"/>
        <v>220.99500000000003</v>
      </c>
      <c r="U26" s="24">
        <f t="shared" si="6"/>
        <v>2357.2800000000002</v>
      </c>
      <c r="V26" s="24">
        <f t="shared" si="7"/>
        <v>147.33000000000001</v>
      </c>
      <c r="W26" s="24">
        <f>1139.55</f>
        <v>1139.55</v>
      </c>
      <c r="X26" s="24">
        <f t="shared" si="17"/>
        <v>1986.6975000000002</v>
      </c>
      <c r="Y26" s="24">
        <f t="shared" si="9"/>
        <v>6375.8024999999998</v>
      </c>
    </row>
    <row r="27" spans="1:25" ht="18" x14ac:dyDescent="0.35">
      <c r="A27" s="16" t="s">
        <v>94</v>
      </c>
      <c r="B27" s="20" t="s">
        <v>95</v>
      </c>
      <c r="C27" s="13">
        <v>1</v>
      </c>
      <c r="D27" s="18">
        <v>40</v>
      </c>
      <c r="E27" s="19" t="s">
        <v>27</v>
      </c>
      <c r="F27" s="20" t="s">
        <v>65</v>
      </c>
      <c r="G27" s="30" t="s">
        <v>96</v>
      </c>
      <c r="H27" s="22">
        <v>15</v>
      </c>
      <c r="I27" s="23">
        <v>10307</v>
      </c>
      <c r="J27" s="23">
        <f t="shared" si="0"/>
        <v>5153.5</v>
      </c>
      <c r="K27" s="24">
        <f>717/2</f>
        <v>358.5</v>
      </c>
      <c r="L27" s="26">
        <f>667/2</f>
        <v>333.5</v>
      </c>
      <c r="M27" s="25"/>
      <c r="N27" s="24"/>
      <c r="O27" s="26">
        <v>0</v>
      </c>
      <c r="P27" s="24">
        <f t="shared" si="2"/>
        <v>5845.5</v>
      </c>
      <c r="Q27" s="24">
        <f t="shared" si="3"/>
        <v>592.65250000000003</v>
      </c>
      <c r="R27" s="24"/>
      <c r="S27" s="24">
        <f t="shared" si="4"/>
        <v>901.86249999999995</v>
      </c>
      <c r="T27" s="24">
        <f t="shared" si="5"/>
        <v>154.60499999999999</v>
      </c>
      <c r="U27" s="24">
        <f t="shared" si="6"/>
        <v>1649.12</v>
      </c>
      <c r="V27" s="24">
        <f t="shared" si="7"/>
        <v>103.07000000000001</v>
      </c>
      <c r="W27" s="24">
        <f>607.45</f>
        <v>607.45000000000005</v>
      </c>
      <c r="X27" s="24">
        <f t="shared" si="17"/>
        <v>1200.1025</v>
      </c>
      <c r="Y27" s="24">
        <f t="shared" si="9"/>
        <v>4645.3975</v>
      </c>
    </row>
    <row r="28" spans="1:25" ht="18" x14ac:dyDescent="0.35">
      <c r="A28" s="16" t="s">
        <v>97</v>
      </c>
      <c r="B28" s="20" t="s">
        <v>98</v>
      </c>
      <c r="C28" s="13">
        <v>6</v>
      </c>
      <c r="D28" s="18">
        <v>40</v>
      </c>
      <c r="E28" s="19" t="s">
        <v>27</v>
      </c>
      <c r="F28" s="28" t="s">
        <v>36</v>
      </c>
      <c r="G28" s="30" t="s">
        <v>99</v>
      </c>
      <c r="H28" s="22">
        <v>14</v>
      </c>
      <c r="I28" s="23">
        <v>12058</v>
      </c>
      <c r="J28" s="23">
        <f t="shared" si="0"/>
        <v>5627.0666666666666</v>
      </c>
      <c r="K28" s="24">
        <f>915/2</f>
        <v>457.5</v>
      </c>
      <c r="L28" s="26">
        <f>836/2</f>
        <v>418</v>
      </c>
      <c r="M28" s="25">
        <v>1</v>
      </c>
      <c r="N28" s="26">
        <f>I28/30*M28</f>
        <v>401.93333333333334</v>
      </c>
      <c r="O28" s="26">
        <v>0</v>
      </c>
      <c r="P28" s="24">
        <f t="shared" si="2"/>
        <v>6904.5</v>
      </c>
      <c r="Q28" s="24">
        <f t="shared" si="3"/>
        <v>693.33500000000004</v>
      </c>
      <c r="R28" s="24"/>
      <c r="S28" s="24">
        <f t="shared" si="4"/>
        <v>1055.075</v>
      </c>
      <c r="T28" s="24">
        <f t="shared" si="5"/>
        <v>180.87</v>
      </c>
      <c r="U28" s="24">
        <f t="shared" si="6"/>
        <v>1929.2800000000002</v>
      </c>
      <c r="V28" s="24">
        <f t="shared" si="7"/>
        <v>120.58</v>
      </c>
      <c r="W28" s="24">
        <f>828.17</f>
        <v>828.17</v>
      </c>
      <c r="X28" s="24">
        <f t="shared" si="17"/>
        <v>1521.5050000000001</v>
      </c>
      <c r="Y28" s="24">
        <f t="shared" si="9"/>
        <v>5382.9949999999999</v>
      </c>
    </row>
    <row r="29" spans="1:25" ht="18" x14ac:dyDescent="0.35">
      <c r="A29" s="16" t="s">
        <v>100</v>
      </c>
      <c r="B29" s="20" t="s">
        <v>101</v>
      </c>
      <c r="C29" s="13">
        <v>5</v>
      </c>
      <c r="D29" s="18">
        <v>40</v>
      </c>
      <c r="E29" s="19" t="s">
        <v>27</v>
      </c>
      <c r="F29" s="28" t="s">
        <v>32</v>
      </c>
      <c r="G29" s="30" t="s">
        <v>102</v>
      </c>
      <c r="H29" s="22">
        <v>15</v>
      </c>
      <c r="I29" s="23">
        <v>11597</v>
      </c>
      <c r="J29" s="23">
        <f t="shared" si="0"/>
        <v>5798.5</v>
      </c>
      <c r="K29" s="24">
        <f>815/2</f>
        <v>407.5</v>
      </c>
      <c r="L29" s="26">
        <f>716/2</f>
        <v>358</v>
      </c>
      <c r="M29" s="25"/>
      <c r="N29" s="24"/>
      <c r="O29" s="26">
        <v>0</v>
      </c>
      <c r="P29" s="24">
        <f t="shared" si="2"/>
        <v>6564</v>
      </c>
      <c r="Q29" s="24">
        <f t="shared" si="3"/>
        <v>666.82749999999999</v>
      </c>
      <c r="R29" s="24"/>
      <c r="S29" s="24">
        <f t="shared" si="4"/>
        <v>1014.7375</v>
      </c>
      <c r="T29" s="24">
        <f t="shared" si="5"/>
        <v>173.95499999999998</v>
      </c>
      <c r="U29" s="24">
        <f t="shared" si="6"/>
        <v>1855.52</v>
      </c>
      <c r="V29" s="24">
        <f t="shared" si="7"/>
        <v>115.97</v>
      </c>
      <c r="W29" s="24">
        <f>755.37</f>
        <v>755.37</v>
      </c>
      <c r="X29" s="24">
        <f t="shared" si="17"/>
        <v>1422.1975</v>
      </c>
      <c r="Y29" s="24">
        <f t="shared" si="9"/>
        <v>5141.8024999999998</v>
      </c>
    </row>
    <row r="30" spans="1:25" ht="18" x14ac:dyDescent="0.35">
      <c r="A30" s="16" t="s">
        <v>103</v>
      </c>
      <c r="B30" s="20" t="s">
        <v>104</v>
      </c>
      <c r="C30" s="13">
        <v>15</v>
      </c>
      <c r="D30" s="18">
        <v>40</v>
      </c>
      <c r="E30" s="19" t="s">
        <v>27</v>
      </c>
      <c r="F30" s="28" t="s">
        <v>32</v>
      </c>
      <c r="G30" s="30" t="s">
        <v>105</v>
      </c>
      <c r="H30" s="22">
        <v>11</v>
      </c>
      <c r="I30" s="23">
        <v>20272</v>
      </c>
      <c r="J30" s="23">
        <f t="shared" si="0"/>
        <v>7433.0666666666666</v>
      </c>
      <c r="K30" s="24">
        <f>1206/2</f>
        <v>603</v>
      </c>
      <c r="L30" s="26">
        <f>975/2</f>
        <v>487.5</v>
      </c>
      <c r="M30" s="25">
        <v>4</v>
      </c>
      <c r="N30" s="26">
        <f>I30/30*M30</f>
        <v>2702.9333333333334</v>
      </c>
      <c r="O30" s="26">
        <v>0</v>
      </c>
      <c r="P30" s="24">
        <f t="shared" si="2"/>
        <v>11226.5</v>
      </c>
      <c r="Q30" s="24">
        <f t="shared" si="3"/>
        <v>1165.6400000000001</v>
      </c>
      <c r="R30" s="24"/>
      <c r="S30" s="24">
        <f t="shared" si="4"/>
        <v>1773.8</v>
      </c>
      <c r="T30" s="24">
        <f t="shared" si="5"/>
        <v>304.08</v>
      </c>
      <c r="U30" s="24">
        <f t="shared" si="6"/>
        <v>3243.52</v>
      </c>
      <c r="V30" s="24">
        <f t="shared" si="7"/>
        <v>202.72</v>
      </c>
      <c r="W30" s="24">
        <v>1751.26</v>
      </c>
      <c r="X30" s="24">
        <f t="shared" si="17"/>
        <v>2916.9</v>
      </c>
      <c r="Y30" s="24">
        <f t="shared" si="9"/>
        <v>8309.6</v>
      </c>
    </row>
    <row r="31" spans="1:25" ht="18" x14ac:dyDescent="0.35">
      <c r="A31" s="16" t="s">
        <v>106</v>
      </c>
      <c r="B31" s="20" t="s">
        <v>107</v>
      </c>
      <c r="C31" s="13">
        <v>11</v>
      </c>
      <c r="D31" s="18">
        <v>40</v>
      </c>
      <c r="E31" s="19" t="s">
        <v>27</v>
      </c>
      <c r="F31" s="28" t="s">
        <v>32</v>
      </c>
      <c r="G31" s="30" t="s">
        <v>108</v>
      </c>
      <c r="H31" s="22">
        <v>15</v>
      </c>
      <c r="I31" s="23">
        <v>14733</v>
      </c>
      <c r="J31" s="23">
        <f t="shared" si="0"/>
        <v>7366.5</v>
      </c>
      <c r="K31" s="24">
        <f>1093/2</f>
        <v>546.5</v>
      </c>
      <c r="L31" s="26">
        <f>899/2</f>
        <v>449.5</v>
      </c>
      <c r="M31" s="25"/>
      <c r="N31" s="24"/>
      <c r="O31" s="26">
        <v>0</v>
      </c>
      <c r="P31" s="24">
        <f t="shared" si="2"/>
        <v>8362.5</v>
      </c>
      <c r="Q31" s="24">
        <f t="shared" si="3"/>
        <v>847.14750000000004</v>
      </c>
      <c r="R31" s="24"/>
      <c r="S31" s="24">
        <f t="shared" si="4"/>
        <v>1289.1374999999998</v>
      </c>
      <c r="T31" s="24">
        <f t="shared" si="5"/>
        <v>220.995</v>
      </c>
      <c r="U31" s="24">
        <f t="shared" si="6"/>
        <v>2357.2799999999997</v>
      </c>
      <c r="V31" s="24">
        <f t="shared" si="7"/>
        <v>147.33000000000001</v>
      </c>
      <c r="W31" s="24">
        <f>1139.55</f>
        <v>1139.55</v>
      </c>
      <c r="X31" s="24">
        <f t="shared" si="17"/>
        <v>1986.6975</v>
      </c>
      <c r="Y31" s="24">
        <f t="shared" si="9"/>
        <v>6375.8024999999998</v>
      </c>
    </row>
    <row r="32" spans="1:25" ht="18" x14ac:dyDescent="0.35">
      <c r="A32" s="16" t="s">
        <v>109</v>
      </c>
      <c r="B32" s="20" t="s">
        <v>110</v>
      </c>
      <c r="C32" s="13">
        <v>16</v>
      </c>
      <c r="D32" s="18">
        <v>40</v>
      </c>
      <c r="E32" s="19" t="s">
        <v>27</v>
      </c>
      <c r="F32" s="20" t="s">
        <v>65</v>
      </c>
      <c r="G32" s="30" t="s">
        <v>111</v>
      </c>
      <c r="H32" s="22">
        <v>15</v>
      </c>
      <c r="I32" s="23">
        <v>22832</v>
      </c>
      <c r="J32" s="23">
        <f t="shared" si="0"/>
        <v>11416</v>
      </c>
      <c r="K32" s="23">
        <f>1247/2</f>
        <v>623.5</v>
      </c>
      <c r="L32" s="26">
        <f>999/2</f>
        <v>499.5</v>
      </c>
      <c r="M32" s="25"/>
      <c r="N32" s="24"/>
      <c r="O32" s="26">
        <v>0</v>
      </c>
      <c r="P32" s="24">
        <f t="shared" si="2"/>
        <v>12539</v>
      </c>
      <c r="Q32" s="24">
        <f t="shared" si="3"/>
        <v>1312.8400000000001</v>
      </c>
      <c r="R32" s="24"/>
      <c r="S32" s="24">
        <f t="shared" si="4"/>
        <v>1997.8</v>
      </c>
      <c r="T32" s="24">
        <f t="shared" si="5"/>
        <v>342.47999999999996</v>
      </c>
      <c r="U32" s="24">
        <f t="shared" si="6"/>
        <v>3653.1200000000003</v>
      </c>
      <c r="V32" s="24">
        <f t="shared" si="7"/>
        <v>228.32</v>
      </c>
      <c r="W32" s="24">
        <v>2040.76</v>
      </c>
      <c r="X32" s="24">
        <f t="shared" si="17"/>
        <v>3353.6000000000004</v>
      </c>
      <c r="Y32" s="24">
        <f t="shared" si="9"/>
        <v>9185.4</v>
      </c>
    </row>
    <row r="33" spans="1:25" ht="18" x14ac:dyDescent="0.35">
      <c r="A33" s="16" t="s">
        <v>112</v>
      </c>
      <c r="B33" s="20" t="s">
        <v>113</v>
      </c>
      <c r="C33" s="13">
        <v>7</v>
      </c>
      <c r="D33" s="18">
        <v>40</v>
      </c>
      <c r="E33" s="19" t="s">
        <v>27</v>
      </c>
      <c r="F33" s="20" t="s">
        <v>65</v>
      </c>
      <c r="G33" s="30" t="s">
        <v>114</v>
      </c>
      <c r="H33" s="22">
        <v>15</v>
      </c>
      <c r="I33" s="23">
        <v>12556</v>
      </c>
      <c r="J33" s="23">
        <f t="shared" si="0"/>
        <v>6278</v>
      </c>
      <c r="K33" s="23">
        <f>926/2</f>
        <v>463</v>
      </c>
      <c r="L33" s="23">
        <f>850/2</f>
        <v>425</v>
      </c>
      <c r="M33" s="25"/>
      <c r="N33" s="24"/>
      <c r="O33" s="26">
        <v>0</v>
      </c>
      <c r="P33" s="24">
        <f t="shared" si="2"/>
        <v>7166</v>
      </c>
      <c r="Q33" s="24">
        <f t="shared" si="3"/>
        <v>721.97</v>
      </c>
      <c r="R33" s="24"/>
      <c r="S33" s="24">
        <f t="shared" si="4"/>
        <v>1098.6499999999999</v>
      </c>
      <c r="T33" s="24">
        <f t="shared" si="5"/>
        <v>188.34</v>
      </c>
      <c r="U33" s="24">
        <f t="shared" si="6"/>
        <v>2008.9599999999998</v>
      </c>
      <c r="V33" s="24">
        <f t="shared" si="7"/>
        <v>125.56</v>
      </c>
      <c r="W33" s="24">
        <f>883.96+0.07</f>
        <v>884.03000000000009</v>
      </c>
      <c r="X33" s="24">
        <f t="shared" si="17"/>
        <v>1606</v>
      </c>
      <c r="Y33" s="24">
        <f t="shared" si="9"/>
        <v>5560</v>
      </c>
    </row>
    <row r="34" spans="1:25" ht="18" x14ac:dyDescent="0.35">
      <c r="A34" s="16" t="s">
        <v>115</v>
      </c>
      <c r="B34" s="20" t="s">
        <v>116</v>
      </c>
      <c r="C34" s="13">
        <v>11</v>
      </c>
      <c r="D34" s="18">
        <v>40</v>
      </c>
      <c r="E34" s="19" t="s">
        <v>27</v>
      </c>
      <c r="F34" s="20" t="s">
        <v>65</v>
      </c>
      <c r="G34" s="30" t="s">
        <v>117</v>
      </c>
      <c r="H34" s="22">
        <v>15</v>
      </c>
      <c r="I34" s="23">
        <v>14733</v>
      </c>
      <c r="J34" s="23">
        <f t="shared" si="0"/>
        <v>7366.5</v>
      </c>
      <c r="K34" s="23">
        <f>1093/2</f>
        <v>546.5</v>
      </c>
      <c r="L34" s="23">
        <f>899/2</f>
        <v>449.5</v>
      </c>
      <c r="M34" s="25"/>
      <c r="N34" s="24"/>
      <c r="O34" s="26">
        <v>0</v>
      </c>
      <c r="P34" s="24">
        <f t="shared" si="2"/>
        <v>8362.5</v>
      </c>
      <c r="Q34" s="24">
        <f t="shared" si="3"/>
        <v>847.14750000000004</v>
      </c>
      <c r="R34" s="24"/>
      <c r="S34" s="24">
        <f t="shared" si="4"/>
        <v>1289.1374999999998</v>
      </c>
      <c r="T34" s="24">
        <f t="shared" si="5"/>
        <v>220.995</v>
      </c>
      <c r="U34" s="24">
        <f t="shared" si="6"/>
        <v>2357.2799999999997</v>
      </c>
      <c r="V34" s="24">
        <f t="shared" si="7"/>
        <v>147.33000000000001</v>
      </c>
      <c r="W34" s="24">
        <f>1139.55</f>
        <v>1139.55</v>
      </c>
      <c r="X34" s="24">
        <f t="shared" si="17"/>
        <v>1986.6975</v>
      </c>
      <c r="Y34" s="24">
        <f t="shared" si="9"/>
        <v>6375.8024999999998</v>
      </c>
    </row>
    <row r="35" spans="1:25" ht="18" x14ac:dyDescent="0.35">
      <c r="A35" s="16" t="s">
        <v>118</v>
      </c>
      <c r="B35" s="20" t="s">
        <v>119</v>
      </c>
      <c r="C35" s="13">
        <v>16</v>
      </c>
      <c r="D35" s="18">
        <v>40</v>
      </c>
      <c r="E35" s="19" t="s">
        <v>27</v>
      </c>
      <c r="F35" s="28" t="s">
        <v>49</v>
      </c>
      <c r="G35" s="30" t="s">
        <v>120</v>
      </c>
      <c r="H35" s="22">
        <v>15</v>
      </c>
      <c r="I35" s="23">
        <v>22832</v>
      </c>
      <c r="J35" s="23">
        <f t="shared" si="0"/>
        <v>11416</v>
      </c>
      <c r="K35" s="23">
        <f>1247/2</f>
        <v>623.5</v>
      </c>
      <c r="L35" s="26">
        <f>999/2</f>
        <v>499.5</v>
      </c>
      <c r="M35" s="31"/>
      <c r="N35" s="24"/>
      <c r="O35" s="26">
        <v>0</v>
      </c>
      <c r="P35" s="24">
        <f t="shared" si="2"/>
        <v>12539</v>
      </c>
      <c r="Q35" s="24">
        <f t="shared" si="3"/>
        <v>1312.8400000000001</v>
      </c>
      <c r="R35" s="24"/>
      <c r="S35" s="24">
        <f t="shared" si="4"/>
        <v>1997.8</v>
      </c>
      <c r="T35" s="24">
        <f t="shared" si="5"/>
        <v>342.47999999999996</v>
      </c>
      <c r="U35" s="24">
        <f t="shared" si="6"/>
        <v>3653.1200000000003</v>
      </c>
      <c r="V35" s="24">
        <f t="shared" si="7"/>
        <v>228.32</v>
      </c>
      <c r="W35" s="24">
        <v>2040.76</v>
      </c>
      <c r="X35" s="24">
        <f t="shared" si="17"/>
        <v>3353.6000000000004</v>
      </c>
      <c r="Y35" s="24">
        <f t="shared" si="9"/>
        <v>9185.4</v>
      </c>
    </row>
    <row r="36" spans="1:25" ht="18" x14ac:dyDescent="0.35">
      <c r="A36" s="16" t="s">
        <v>121</v>
      </c>
      <c r="B36" s="20" t="s">
        <v>122</v>
      </c>
      <c r="C36" s="13">
        <v>15</v>
      </c>
      <c r="D36" s="18">
        <v>40</v>
      </c>
      <c r="E36" s="19" t="s">
        <v>27</v>
      </c>
      <c r="F36" s="28" t="s">
        <v>36</v>
      </c>
      <c r="G36" s="30" t="s">
        <v>123</v>
      </c>
      <c r="H36" s="22">
        <v>15</v>
      </c>
      <c r="I36" s="23">
        <v>20272</v>
      </c>
      <c r="J36" s="23">
        <f t="shared" si="0"/>
        <v>10136</v>
      </c>
      <c r="K36" s="23">
        <f>1206/2</f>
        <v>603</v>
      </c>
      <c r="L36" s="23">
        <f>975/2</f>
        <v>487.5</v>
      </c>
      <c r="M36" s="25"/>
      <c r="N36" s="26"/>
      <c r="O36" s="26">
        <v>0</v>
      </c>
      <c r="P36" s="24">
        <f t="shared" si="2"/>
        <v>11226.5</v>
      </c>
      <c r="Q36" s="24">
        <f t="shared" si="3"/>
        <v>1165.6400000000001</v>
      </c>
      <c r="R36" s="24"/>
      <c r="S36" s="24">
        <f t="shared" si="4"/>
        <v>1773.8</v>
      </c>
      <c r="T36" s="24">
        <f t="shared" si="5"/>
        <v>304.08</v>
      </c>
      <c r="U36" s="24">
        <f t="shared" si="6"/>
        <v>3243.52</v>
      </c>
      <c r="V36" s="24">
        <f t="shared" si="7"/>
        <v>202.72</v>
      </c>
      <c r="W36" s="24">
        <v>1751.26</v>
      </c>
      <c r="X36" s="24">
        <f t="shared" si="17"/>
        <v>2916.9</v>
      </c>
      <c r="Y36" s="24">
        <f t="shared" si="9"/>
        <v>8309.6</v>
      </c>
    </row>
    <row r="37" spans="1:25" ht="18" x14ac:dyDescent="0.35">
      <c r="A37" s="16" t="s">
        <v>124</v>
      </c>
      <c r="B37" s="20" t="s">
        <v>125</v>
      </c>
      <c r="C37" s="13">
        <v>6</v>
      </c>
      <c r="D37" s="18">
        <v>40</v>
      </c>
      <c r="E37" s="19" t="s">
        <v>27</v>
      </c>
      <c r="F37" s="28" t="s">
        <v>49</v>
      </c>
      <c r="G37" s="30" t="s">
        <v>126</v>
      </c>
      <c r="H37" s="22">
        <v>15</v>
      </c>
      <c r="I37" s="23">
        <v>12058</v>
      </c>
      <c r="J37" s="23">
        <f t="shared" si="0"/>
        <v>6029</v>
      </c>
      <c r="K37" s="23">
        <f>915/2</f>
        <v>457.5</v>
      </c>
      <c r="L37" s="23">
        <f>836/2</f>
        <v>418</v>
      </c>
      <c r="M37" s="25"/>
      <c r="N37" s="24"/>
      <c r="O37" s="26">
        <v>0</v>
      </c>
      <c r="P37" s="24">
        <f t="shared" si="2"/>
        <v>6904.5</v>
      </c>
      <c r="Q37" s="24">
        <f t="shared" si="3"/>
        <v>693.33500000000004</v>
      </c>
      <c r="R37" s="24"/>
      <c r="S37" s="24">
        <f t="shared" si="4"/>
        <v>1055.075</v>
      </c>
      <c r="T37" s="24">
        <f t="shared" si="5"/>
        <v>180.87</v>
      </c>
      <c r="U37" s="24">
        <f t="shared" si="6"/>
        <v>1929.2800000000002</v>
      </c>
      <c r="V37" s="24">
        <f t="shared" si="7"/>
        <v>120.58</v>
      </c>
      <c r="W37" s="24">
        <f>828.17</f>
        <v>828.17</v>
      </c>
      <c r="X37" s="24">
        <f t="shared" si="17"/>
        <v>1521.5050000000001</v>
      </c>
      <c r="Y37" s="24">
        <f t="shared" si="9"/>
        <v>5382.9949999999999</v>
      </c>
    </row>
    <row r="38" spans="1:25" ht="18" x14ac:dyDescent="0.35">
      <c r="A38" s="16" t="s">
        <v>127</v>
      </c>
      <c r="B38" s="20" t="s">
        <v>128</v>
      </c>
      <c r="C38" s="13">
        <v>16</v>
      </c>
      <c r="D38" s="18">
        <v>40</v>
      </c>
      <c r="E38" s="19" t="s">
        <v>27</v>
      </c>
      <c r="F38" s="28" t="s">
        <v>49</v>
      </c>
      <c r="G38" s="30" t="s">
        <v>129</v>
      </c>
      <c r="H38" s="22">
        <v>15</v>
      </c>
      <c r="I38" s="23">
        <v>22832</v>
      </c>
      <c r="J38" s="23">
        <f t="shared" si="0"/>
        <v>11416</v>
      </c>
      <c r="K38" s="23">
        <f>1247/2</f>
        <v>623.5</v>
      </c>
      <c r="L38" s="26">
        <f>999/2</f>
        <v>499.5</v>
      </c>
      <c r="M38" s="25"/>
      <c r="N38" s="26"/>
      <c r="O38" s="26">
        <v>0</v>
      </c>
      <c r="P38" s="24">
        <f t="shared" si="2"/>
        <v>12539</v>
      </c>
      <c r="Q38" s="24">
        <f t="shared" si="3"/>
        <v>1312.8400000000001</v>
      </c>
      <c r="R38" s="24"/>
      <c r="S38" s="24">
        <f t="shared" si="4"/>
        <v>1997.8</v>
      </c>
      <c r="T38" s="24">
        <f t="shared" si="5"/>
        <v>342.47999999999996</v>
      </c>
      <c r="U38" s="24">
        <f t="shared" si="6"/>
        <v>3653.1200000000003</v>
      </c>
      <c r="V38" s="24">
        <f t="shared" si="7"/>
        <v>228.32</v>
      </c>
      <c r="W38" s="24">
        <v>2040.76</v>
      </c>
      <c r="X38" s="24">
        <f t="shared" si="17"/>
        <v>3353.6000000000004</v>
      </c>
      <c r="Y38" s="24">
        <f t="shared" si="9"/>
        <v>9185.4</v>
      </c>
    </row>
    <row r="39" spans="1:25" ht="18" x14ac:dyDescent="0.35">
      <c r="A39" s="16" t="s">
        <v>130</v>
      </c>
      <c r="B39" s="20" t="s">
        <v>131</v>
      </c>
      <c r="C39" s="13">
        <v>5</v>
      </c>
      <c r="D39" s="18">
        <v>40</v>
      </c>
      <c r="E39" s="19" t="s">
        <v>27</v>
      </c>
      <c r="F39" s="28" t="s">
        <v>36</v>
      </c>
      <c r="G39" s="30" t="s">
        <v>102</v>
      </c>
      <c r="H39" s="22">
        <v>15</v>
      </c>
      <c r="I39" s="23">
        <v>11597</v>
      </c>
      <c r="J39" s="23">
        <f t="shared" si="0"/>
        <v>5798.5</v>
      </c>
      <c r="K39" s="23">
        <f>815/2</f>
        <v>407.5</v>
      </c>
      <c r="L39" s="23">
        <f>716/2</f>
        <v>358</v>
      </c>
      <c r="M39" s="32"/>
      <c r="N39" s="24"/>
      <c r="O39" s="26">
        <v>0</v>
      </c>
      <c r="P39" s="24">
        <f t="shared" si="2"/>
        <v>6564</v>
      </c>
      <c r="Q39" s="24">
        <f t="shared" si="3"/>
        <v>666.82749999999999</v>
      </c>
      <c r="R39" s="24"/>
      <c r="S39" s="24">
        <f t="shared" si="4"/>
        <v>1014.7375</v>
      </c>
      <c r="T39" s="24">
        <f t="shared" si="5"/>
        <v>173.95499999999998</v>
      </c>
      <c r="U39" s="24">
        <f t="shared" si="6"/>
        <v>1855.52</v>
      </c>
      <c r="V39" s="24">
        <f t="shared" si="7"/>
        <v>115.97</v>
      </c>
      <c r="W39" s="24">
        <f>755.37</f>
        <v>755.37</v>
      </c>
      <c r="X39" s="24">
        <f t="shared" si="17"/>
        <v>1422.1975</v>
      </c>
      <c r="Y39" s="24">
        <f t="shared" si="9"/>
        <v>5141.8024999999998</v>
      </c>
    </row>
    <row r="40" spans="1:25" ht="18" x14ac:dyDescent="0.35">
      <c r="A40" s="16" t="s">
        <v>132</v>
      </c>
      <c r="B40" s="20" t="s">
        <v>133</v>
      </c>
      <c r="C40" s="13">
        <v>1</v>
      </c>
      <c r="D40" s="18">
        <v>40</v>
      </c>
      <c r="E40" s="19" t="s">
        <v>27</v>
      </c>
      <c r="F40" s="28" t="s">
        <v>32</v>
      </c>
      <c r="G40" s="20" t="s">
        <v>134</v>
      </c>
      <c r="H40" s="22">
        <v>15</v>
      </c>
      <c r="I40" s="23">
        <v>10307</v>
      </c>
      <c r="J40" s="23">
        <f t="shared" si="0"/>
        <v>5153.5</v>
      </c>
      <c r="K40" s="24">
        <f t="shared" ref="K40:K43" si="21">717/2</f>
        <v>358.5</v>
      </c>
      <c r="L40" s="26">
        <f t="shared" ref="L40:L43" si="22">667/2</f>
        <v>333.5</v>
      </c>
      <c r="M40" s="32"/>
      <c r="N40" s="24"/>
      <c r="O40" s="26">
        <v>0</v>
      </c>
      <c r="P40" s="24">
        <f t="shared" si="2"/>
        <v>5845.5</v>
      </c>
      <c r="Q40" s="24">
        <f t="shared" si="3"/>
        <v>592.65250000000003</v>
      </c>
      <c r="R40" s="24"/>
      <c r="S40" s="24">
        <f t="shared" si="4"/>
        <v>901.86249999999995</v>
      </c>
      <c r="T40" s="24">
        <f t="shared" si="5"/>
        <v>154.60499999999999</v>
      </c>
      <c r="U40" s="24">
        <f t="shared" si="6"/>
        <v>1649.12</v>
      </c>
      <c r="V40" s="24">
        <f t="shared" si="7"/>
        <v>103.07000000000001</v>
      </c>
      <c r="W40" s="24">
        <f t="shared" ref="W40:W43" si="23">607.45</f>
        <v>607.45000000000005</v>
      </c>
      <c r="X40" s="24">
        <f t="shared" si="17"/>
        <v>1200.1025</v>
      </c>
      <c r="Y40" s="24">
        <f t="shared" si="9"/>
        <v>4645.3975</v>
      </c>
    </row>
    <row r="41" spans="1:25" ht="18" x14ac:dyDescent="0.35">
      <c r="A41" s="16" t="s">
        <v>135</v>
      </c>
      <c r="B41" s="20" t="s">
        <v>136</v>
      </c>
      <c r="C41" s="13">
        <v>1</v>
      </c>
      <c r="D41" s="18">
        <v>40</v>
      </c>
      <c r="E41" s="19" t="s">
        <v>27</v>
      </c>
      <c r="F41" s="20" t="s">
        <v>65</v>
      </c>
      <c r="G41" s="20" t="s">
        <v>134</v>
      </c>
      <c r="H41" s="22">
        <v>15</v>
      </c>
      <c r="I41" s="23">
        <v>10307</v>
      </c>
      <c r="J41" s="23">
        <f t="shared" si="0"/>
        <v>5153.5</v>
      </c>
      <c r="K41" s="24">
        <f t="shared" si="21"/>
        <v>358.5</v>
      </c>
      <c r="L41" s="26">
        <f t="shared" si="22"/>
        <v>333.5</v>
      </c>
      <c r="M41" s="32"/>
      <c r="N41" s="24"/>
      <c r="O41" s="26">
        <v>0</v>
      </c>
      <c r="P41" s="24">
        <f t="shared" si="2"/>
        <v>5845.5</v>
      </c>
      <c r="Q41" s="24">
        <f t="shared" si="3"/>
        <v>592.65250000000003</v>
      </c>
      <c r="R41" s="24"/>
      <c r="S41" s="24">
        <f t="shared" si="4"/>
        <v>901.86249999999995</v>
      </c>
      <c r="T41" s="24">
        <f t="shared" si="5"/>
        <v>154.60499999999999</v>
      </c>
      <c r="U41" s="24">
        <f t="shared" si="6"/>
        <v>1649.12</v>
      </c>
      <c r="V41" s="24">
        <f t="shared" si="7"/>
        <v>103.07000000000001</v>
      </c>
      <c r="W41" s="24">
        <f t="shared" si="23"/>
        <v>607.45000000000005</v>
      </c>
      <c r="X41" s="24">
        <f t="shared" si="17"/>
        <v>1200.1025</v>
      </c>
      <c r="Y41" s="24">
        <f t="shared" si="9"/>
        <v>4645.3975</v>
      </c>
    </row>
    <row r="42" spans="1:25" ht="18" x14ac:dyDescent="0.35">
      <c r="A42" s="16" t="s">
        <v>137</v>
      </c>
      <c r="B42" s="20" t="s">
        <v>138</v>
      </c>
      <c r="C42" s="13">
        <v>1</v>
      </c>
      <c r="D42" s="18">
        <v>40</v>
      </c>
      <c r="E42" s="19" t="s">
        <v>27</v>
      </c>
      <c r="F42" s="20" t="s">
        <v>65</v>
      </c>
      <c r="G42" s="20" t="s">
        <v>134</v>
      </c>
      <c r="H42" s="22">
        <v>15</v>
      </c>
      <c r="I42" s="23">
        <v>10307</v>
      </c>
      <c r="J42" s="23">
        <f t="shared" si="0"/>
        <v>5153.5</v>
      </c>
      <c r="K42" s="24">
        <f t="shared" si="21"/>
        <v>358.5</v>
      </c>
      <c r="L42" s="26">
        <f t="shared" si="22"/>
        <v>333.5</v>
      </c>
      <c r="M42" s="32"/>
      <c r="N42" s="24"/>
      <c r="O42" s="26">
        <v>0</v>
      </c>
      <c r="P42" s="24">
        <f t="shared" si="2"/>
        <v>5845.5</v>
      </c>
      <c r="Q42" s="24">
        <f t="shared" si="3"/>
        <v>592.65250000000003</v>
      </c>
      <c r="R42" s="24"/>
      <c r="S42" s="24">
        <f t="shared" si="4"/>
        <v>901.86249999999995</v>
      </c>
      <c r="T42" s="24">
        <f t="shared" si="5"/>
        <v>154.60499999999999</v>
      </c>
      <c r="U42" s="24">
        <f t="shared" si="6"/>
        <v>1649.12</v>
      </c>
      <c r="V42" s="24">
        <f t="shared" si="7"/>
        <v>103.07000000000001</v>
      </c>
      <c r="W42" s="24">
        <f t="shared" si="23"/>
        <v>607.45000000000005</v>
      </c>
      <c r="X42" s="24">
        <f t="shared" si="17"/>
        <v>1200.1025</v>
      </c>
      <c r="Y42" s="24">
        <f t="shared" si="9"/>
        <v>4645.3975</v>
      </c>
    </row>
    <row r="43" spans="1:25" ht="18" x14ac:dyDescent="0.35">
      <c r="A43" s="16" t="s">
        <v>139</v>
      </c>
      <c r="B43" s="20" t="s">
        <v>140</v>
      </c>
      <c r="C43" s="13">
        <v>1</v>
      </c>
      <c r="D43" s="18">
        <v>40</v>
      </c>
      <c r="E43" s="19" t="s">
        <v>27</v>
      </c>
      <c r="F43" s="20" t="s">
        <v>65</v>
      </c>
      <c r="G43" s="20" t="s">
        <v>134</v>
      </c>
      <c r="H43" s="22">
        <v>15</v>
      </c>
      <c r="I43" s="23">
        <v>10307</v>
      </c>
      <c r="J43" s="23">
        <f t="shared" si="0"/>
        <v>5153.5</v>
      </c>
      <c r="K43" s="24">
        <f t="shared" si="21"/>
        <v>358.5</v>
      </c>
      <c r="L43" s="26">
        <f t="shared" si="22"/>
        <v>333.5</v>
      </c>
      <c r="M43" s="32"/>
      <c r="N43" s="24"/>
      <c r="O43" s="26">
        <v>0</v>
      </c>
      <c r="P43" s="24">
        <f t="shared" si="2"/>
        <v>5845.5</v>
      </c>
      <c r="Q43" s="24">
        <f t="shared" si="3"/>
        <v>592.65250000000003</v>
      </c>
      <c r="R43" s="24"/>
      <c r="S43" s="24">
        <f t="shared" si="4"/>
        <v>901.86249999999995</v>
      </c>
      <c r="T43" s="24">
        <f t="shared" si="5"/>
        <v>154.60499999999999</v>
      </c>
      <c r="U43" s="24">
        <f t="shared" si="6"/>
        <v>1649.12</v>
      </c>
      <c r="V43" s="24">
        <f t="shared" si="7"/>
        <v>103.07000000000001</v>
      </c>
      <c r="W43" s="24">
        <f t="shared" si="23"/>
        <v>607.45000000000005</v>
      </c>
      <c r="X43" s="24">
        <f t="shared" si="17"/>
        <v>1200.1025</v>
      </c>
      <c r="Y43" s="24">
        <f t="shared" si="9"/>
        <v>4645.3975</v>
      </c>
    </row>
    <row r="44" spans="1:25" ht="18" x14ac:dyDescent="0.35">
      <c r="A44" s="16" t="s">
        <v>141</v>
      </c>
      <c r="B44" s="20" t="s">
        <v>142</v>
      </c>
      <c r="C44" s="13">
        <v>6</v>
      </c>
      <c r="D44" s="18">
        <v>40</v>
      </c>
      <c r="E44" s="19" t="s">
        <v>27</v>
      </c>
      <c r="F44" s="20" t="s">
        <v>65</v>
      </c>
      <c r="G44" s="20" t="s">
        <v>143</v>
      </c>
      <c r="H44" s="22">
        <v>15</v>
      </c>
      <c r="I44" s="23">
        <v>12058</v>
      </c>
      <c r="J44" s="23">
        <f t="shared" si="0"/>
        <v>6029</v>
      </c>
      <c r="K44" s="24">
        <f>915/2</f>
        <v>457.5</v>
      </c>
      <c r="L44" s="26">
        <f>836/2</f>
        <v>418</v>
      </c>
      <c r="M44" s="32"/>
      <c r="N44" s="24"/>
      <c r="O44" s="26">
        <v>0</v>
      </c>
      <c r="P44" s="24">
        <f t="shared" si="2"/>
        <v>6904.5</v>
      </c>
      <c r="Q44" s="24">
        <f t="shared" si="3"/>
        <v>693.33500000000004</v>
      </c>
      <c r="R44" s="24"/>
      <c r="S44" s="24">
        <f t="shared" si="4"/>
        <v>1055.075</v>
      </c>
      <c r="T44" s="24">
        <f t="shared" si="5"/>
        <v>180.87</v>
      </c>
      <c r="U44" s="24">
        <f t="shared" si="6"/>
        <v>1929.2800000000002</v>
      </c>
      <c r="V44" s="24">
        <f t="shared" si="7"/>
        <v>120.58</v>
      </c>
      <c r="W44" s="24">
        <f>828.17</f>
        <v>828.17</v>
      </c>
      <c r="X44" s="24">
        <f t="shared" si="17"/>
        <v>1521.5050000000001</v>
      </c>
      <c r="Y44" s="24">
        <f t="shared" si="9"/>
        <v>5382.9949999999999</v>
      </c>
    </row>
    <row r="45" spans="1:25" ht="18" x14ac:dyDescent="0.35">
      <c r="A45" s="16" t="s">
        <v>144</v>
      </c>
      <c r="B45" s="20" t="s">
        <v>145</v>
      </c>
      <c r="C45" s="13">
        <v>9</v>
      </c>
      <c r="D45" s="18">
        <v>40</v>
      </c>
      <c r="E45" s="19" t="s">
        <v>27</v>
      </c>
      <c r="F45" s="20" t="s">
        <v>28</v>
      </c>
      <c r="G45" s="20" t="s">
        <v>146</v>
      </c>
      <c r="H45" s="22">
        <v>15</v>
      </c>
      <c r="I45" s="23">
        <v>13687</v>
      </c>
      <c r="J45" s="23">
        <f t="shared" si="0"/>
        <v>6843.5</v>
      </c>
      <c r="K45" s="24">
        <f>957/2</f>
        <v>478.5</v>
      </c>
      <c r="L45" s="26">
        <f>881/2</f>
        <v>440.5</v>
      </c>
      <c r="M45" s="32"/>
      <c r="N45" s="24"/>
      <c r="O45" s="26">
        <v>0</v>
      </c>
      <c r="P45" s="24">
        <f t="shared" si="2"/>
        <v>7762.5</v>
      </c>
      <c r="Q45" s="24">
        <f t="shared" si="3"/>
        <v>787.00250000000005</v>
      </c>
      <c r="R45" s="24"/>
      <c r="S45" s="24">
        <f t="shared" si="4"/>
        <v>1197.6125</v>
      </c>
      <c r="T45" s="24">
        <f t="shared" si="5"/>
        <v>205.30499999999998</v>
      </c>
      <c r="U45" s="24">
        <f t="shared" si="6"/>
        <v>2189.92</v>
      </c>
      <c r="V45" s="24">
        <f t="shared" si="7"/>
        <v>136.87</v>
      </c>
      <c r="W45" s="26">
        <f>1011.3</f>
        <v>1011.3</v>
      </c>
      <c r="X45" s="24">
        <f t="shared" si="17"/>
        <v>1798.3025</v>
      </c>
      <c r="Y45" s="24">
        <f t="shared" si="9"/>
        <v>5964.1975000000002</v>
      </c>
    </row>
    <row r="46" spans="1:25" ht="18" x14ac:dyDescent="0.35">
      <c r="A46" s="16" t="s">
        <v>147</v>
      </c>
      <c r="B46" s="20" t="s">
        <v>148</v>
      </c>
      <c r="C46" s="13">
        <v>3</v>
      </c>
      <c r="D46" s="18">
        <v>40</v>
      </c>
      <c r="E46" s="19" t="s">
        <v>27</v>
      </c>
      <c r="F46" s="20" t="s">
        <v>65</v>
      </c>
      <c r="G46" s="20" t="s">
        <v>149</v>
      </c>
      <c r="H46" s="22">
        <v>15</v>
      </c>
      <c r="I46" s="23">
        <v>11069</v>
      </c>
      <c r="J46" s="23">
        <f t="shared" si="0"/>
        <v>5534.5</v>
      </c>
      <c r="K46" s="24">
        <f>788/2</f>
        <v>394</v>
      </c>
      <c r="L46" s="26">
        <f>688/2</f>
        <v>344</v>
      </c>
      <c r="M46" s="32"/>
      <c r="N46" s="24"/>
      <c r="O46" s="26">
        <v>0</v>
      </c>
      <c r="P46" s="24">
        <f t="shared" si="2"/>
        <v>6272.5</v>
      </c>
      <c r="Q46" s="24">
        <f t="shared" si="3"/>
        <v>636.46749999999997</v>
      </c>
      <c r="R46" s="24"/>
      <c r="S46" s="24">
        <f t="shared" si="4"/>
        <v>968.53749999999991</v>
      </c>
      <c r="T46" s="24">
        <f t="shared" si="5"/>
        <v>166.035</v>
      </c>
      <c r="U46" s="24">
        <f t="shared" si="6"/>
        <v>1771.04</v>
      </c>
      <c r="V46" s="24">
        <f t="shared" si="7"/>
        <v>110.69</v>
      </c>
      <c r="W46" s="33">
        <f>693.03</f>
        <v>693.03</v>
      </c>
      <c r="X46" s="24">
        <f t="shared" si="17"/>
        <v>1329.4974999999999</v>
      </c>
      <c r="Y46" s="24">
        <f t="shared" si="9"/>
        <v>4943.0025000000005</v>
      </c>
    </row>
    <row r="47" spans="1:25" ht="18" x14ac:dyDescent="0.35">
      <c r="A47" s="16" t="s">
        <v>150</v>
      </c>
      <c r="B47" s="20" t="s">
        <v>151</v>
      </c>
      <c r="C47" s="34">
        <v>1</v>
      </c>
      <c r="D47" s="18">
        <v>40</v>
      </c>
      <c r="E47" s="19" t="s">
        <v>27</v>
      </c>
      <c r="F47" s="20" t="s">
        <v>65</v>
      </c>
      <c r="G47" s="35" t="s">
        <v>152</v>
      </c>
      <c r="H47" s="22">
        <v>15</v>
      </c>
      <c r="I47" s="23">
        <v>10307</v>
      </c>
      <c r="J47" s="23">
        <f t="shared" si="0"/>
        <v>5153.5</v>
      </c>
      <c r="K47" s="24">
        <f>717/2</f>
        <v>358.5</v>
      </c>
      <c r="L47" s="26">
        <f>667/2</f>
        <v>333.5</v>
      </c>
      <c r="M47" s="32"/>
      <c r="N47" s="36"/>
      <c r="O47" s="26">
        <v>0</v>
      </c>
      <c r="P47" s="24">
        <f t="shared" si="2"/>
        <v>5845.5</v>
      </c>
      <c r="Q47" s="24">
        <f t="shared" si="3"/>
        <v>592.65250000000003</v>
      </c>
      <c r="R47" s="24"/>
      <c r="S47" s="24">
        <f t="shared" si="4"/>
        <v>901.86249999999995</v>
      </c>
      <c r="T47" s="24">
        <f t="shared" si="5"/>
        <v>154.60499999999999</v>
      </c>
      <c r="U47" s="24">
        <f t="shared" si="6"/>
        <v>1649.12</v>
      </c>
      <c r="V47" s="24">
        <f t="shared" si="7"/>
        <v>103.07000000000001</v>
      </c>
      <c r="W47" s="24">
        <f>607.45</f>
        <v>607.45000000000005</v>
      </c>
      <c r="X47" s="24">
        <f t="shared" si="17"/>
        <v>1200.1025</v>
      </c>
      <c r="Y47" s="24">
        <f t="shared" si="9"/>
        <v>4645.3975</v>
      </c>
    </row>
    <row r="48" spans="1:25" ht="18" x14ac:dyDescent="0.35">
      <c r="A48" s="16" t="s">
        <v>153</v>
      </c>
      <c r="B48" s="30" t="s">
        <v>154</v>
      </c>
      <c r="C48" s="34">
        <v>6</v>
      </c>
      <c r="D48" s="18">
        <v>40</v>
      </c>
      <c r="E48" s="19" t="s">
        <v>27</v>
      </c>
      <c r="F48" s="28" t="s">
        <v>32</v>
      </c>
      <c r="G48" s="35" t="s">
        <v>155</v>
      </c>
      <c r="H48" s="22">
        <v>15</v>
      </c>
      <c r="I48" s="23">
        <v>12058</v>
      </c>
      <c r="J48" s="23">
        <f t="shared" si="0"/>
        <v>6029</v>
      </c>
      <c r="K48" s="24">
        <f>915/2</f>
        <v>457.5</v>
      </c>
      <c r="L48" s="26">
        <f>836/2</f>
        <v>418</v>
      </c>
      <c r="M48" s="32"/>
      <c r="N48" s="36"/>
      <c r="O48" s="26">
        <v>0</v>
      </c>
      <c r="P48" s="24">
        <f t="shared" si="2"/>
        <v>6904.5</v>
      </c>
      <c r="Q48" s="24">
        <f t="shared" si="3"/>
        <v>693.33500000000004</v>
      </c>
      <c r="R48" s="24"/>
      <c r="S48" s="24">
        <f t="shared" si="4"/>
        <v>1055.075</v>
      </c>
      <c r="T48" s="24">
        <f t="shared" si="5"/>
        <v>180.87</v>
      </c>
      <c r="U48" s="24">
        <f t="shared" si="6"/>
        <v>1929.2800000000002</v>
      </c>
      <c r="V48" s="24">
        <f t="shared" si="7"/>
        <v>120.58</v>
      </c>
      <c r="W48" s="33">
        <v>828.17</v>
      </c>
      <c r="X48" s="24">
        <f t="shared" si="17"/>
        <v>1521.5050000000001</v>
      </c>
      <c r="Y48" s="24">
        <f t="shared" si="9"/>
        <v>5382.9949999999999</v>
      </c>
    </row>
    <row r="49" spans="1:25" ht="18" x14ac:dyDescent="0.35">
      <c r="A49" s="16" t="s">
        <v>156</v>
      </c>
      <c r="B49" s="30" t="s">
        <v>157</v>
      </c>
      <c r="C49" s="13">
        <v>7</v>
      </c>
      <c r="D49" s="18">
        <v>40</v>
      </c>
      <c r="E49" s="19" t="s">
        <v>27</v>
      </c>
      <c r="F49" s="20" t="s">
        <v>65</v>
      </c>
      <c r="G49" s="20" t="s">
        <v>158</v>
      </c>
      <c r="H49" s="37">
        <v>15</v>
      </c>
      <c r="I49" s="23">
        <v>12556</v>
      </c>
      <c r="J49" s="23">
        <f t="shared" si="0"/>
        <v>6278</v>
      </c>
      <c r="K49" s="23">
        <f>926/30*H49</f>
        <v>463</v>
      </c>
      <c r="L49" s="23">
        <f>850/30*H49</f>
        <v>425</v>
      </c>
      <c r="M49" s="38"/>
      <c r="N49" s="24"/>
      <c r="O49" s="26">
        <v>0</v>
      </c>
      <c r="P49" s="24">
        <f t="shared" si="2"/>
        <v>7166</v>
      </c>
      <c r="Q49" s="24">
        <f t="shared" si="3"/>
        <v>721.97</v>
      </c>
      <c r="R49" s="24"/>
      <c r="S49" s="24">
        <f t="shared" si="4"/>
        <v>1098.6499999999999</v>
      </c>
      <c r="T49" s="24">
        <f t="shared" si="5"/>
        <v>188.34</v>
      </c>
      <c r="U49" s="24">
        <f t="shared" si="6"/>
        <v>2008.9599999999998</v>
      </c>
      <c r="V49" s="24">
        <f t="shared" si="7"/>
        <v>125.56</v>
      </c>
      <c r="W49" s="24">
        <f>883.92+0.11</f>
        <v>884.03</v>
      </c>
      <c r="X49" s="24">
        <f t="shared" si="17"/>
        <v>1606</v>
      </c>
      <c r="Y49" s="24">
        <f t="shared" si="9"/>
        <v>5560</v>
      </c>
    </row>
    <row r="50" spans="1:25" ht="18" x14ac:dyDescent="0.35">
      <c r="A50" s="16" t="s">
        <v>159</v>
      </c>
      <c r="B50" s="12" t="s">
        <v>160</v>
      </c>
      <c r="C50" s="13">
        <v>1</v>
      </c>
      <c r="D50" s="18">
        <v>40</v>
      </c>
      <c r="E50" s="19" t="s">
        <v>27</v>
      </c>
      <c r="F50" s="20" t="s">
        <v>65</v>
      </c>
      <c r="G50" s="39" t="s">
        <v>134</v>
      </c>
      <c r="H50" s="13">
        <v>15</v>
      </c>
      <c r="I50" s="23">
        <v>10307</v>
      </c>
      <c r="J50" s="23">
        <f t="shared" si="0"/>
        <v>5153.5</v>
      </c>
      <c r="K50" s="23">
        <f>717/2</f>
        <v>358.5</v>
      </c>
      <c r="L50" s="23">
        <f>667/2</f>
        <v>333.5</v>
      </c>
      <c r="M50" s="36"/>
      <c r="N50" s="36"/>
      <c r="O50" s="26">
        <v>0</v>
      </c>
      <c r="P50" s="24">
        <f t="shared" si="2"/>
        <v>5845.5</v>
      </c>
      <c r="Q50" s="24">
        <f t="shared" si="3"/>
        <v>592.65250000000003</v>
      </c>
      <c r="R50" s="24"/>
      <c r="S50" s="24">
        <f t="shared" si="4"/>
        <v>901.86249999999995</v>
      </c>
      <c r="T50" s="24">
        <f t="shared" si="5"/>
        <v>154.60499999999999</v>
      </c>
      <c r="U50" s="24">
        <f t="shared" si="6"/>
        <v>1649.12</v>
      </c>
      <c r="V50" s="24">
        <f t="shared" si="7"/>
        <v>103.07000000000001</v>
      </c>
      <c r="W50" s="24">
        <f>607.34+0.11</f>
        <v>607.45000000000005</v>
      </c>
      <c r="X50" s="24">
        <f t="shared" si="17"/>
        <v>1200.1025</v>
      </c>
      <c r="Y50" s="24">
        <f t="shared" si="9"/>
        <v>4645.3975</v>
      </c>
    </row>
    <row r="51" spans="1:25" ht="18" x14ac:dyDescent="0.35">
      <c r="A51" s="40"/>
      <c r="B51" s="35"/>
      <c r="C51" s="34"/>
      <c r="D51" s="41"/>
      <c r="E51" s="41"/>
      <c r="F51" s="42"/>
      <c r="G51" s="42"/>
      <c r="H51" s="43"/>
      <c r="I51" s="44"/>
      <c r="J51" s="45"/>
      <c r="K51" s="45"/>
      <c r="L51" s="45"/>
      <c r="M51" s="36"/>
      <c r="N51" s="36"/>
      <c r="O51" s="36"/>
      <c r="P51" s="36"/>
      <c r="Q51" s="46"/>
      <c r="R51" s="46"/>
      <c r="S51" s="46"/>
      <c r="T51" s="47"/>
      <c r="U51" s="48"/>
      <c r="V51" s="48"/>
      <c r="W51" s="46"/>
      <c r="X51" s="46"/>
      <c r="Y51" s="49"/>
    </row>
    <row r="52" spans="1:25" ht="18" x14ac:dyDescent="0.3">
      <c r="A52" s="50"/>
      <c r="B52" s="50"/>
      <c r="C52" s="50"/>
      <c r="D52" s="50"/>
      <c r="E52" s="50"/>
      <c r="F52" s="50"/>
      <c r="G52" s="50"/>
      <c r="H52" s="51"/>
      <c r="I52" s="52"/>
      <c r="J52" s="53">
        <f t="shared" ref="J52:L52" si="24">SUM(J6:J51)</f>
        <v>446991.69999999995</v>
      </c>
      <c r="K52" s="53">
        <f t="shared" si="24"/>
        <v>25997</v>
      </c>
      <c r="L52" s="53">
        <f t="shared" si="24"/>
        <v>21226.5</v>
      </c>
      <c r="M52" s="53"/>
      <c r="N52" s="53">
        <f t="shared" ref="N52:Y52" si="25">SUM(N6:N51)</f>
        <v>14513.8</v>
      </c>
      <c r="O52" s="53">
        <f t="shared" si="25"/>
        <v>0</v>
      </c>
      <c r="P52" s="53">
        <f t="shared" si="25"/>
        <v>508729</v>
      </c>
      <c r="Q52" s="53">
        <f t="shared" si="25"/>
        <v>53073.132499999978</v>
      </c>
      <c r="R52" s="53">
        <f t="shared" si="25"/>
        <v>1782.44</v>
      </c>
      <c r="S52" s="53">
        <f t="shared" si="25"/>
        <v>80763.462500000009</v>
      </c>
      <c r="T52" s="53">
        <f t="shared" si="25"/>
        <v>13845.165000000003</v>
      </c>
      <c r="U52" s="53">
        <f t="shared" si="25"/>
        <v>149464.19999999995</v>
      </c>
      <c r="V52" s="53">
        <f t="shared" si="25"/>
        <v>9230.1099999999988</v>
      </c>
      <c r="W52" s="53">
        <f t="shared" si="25"/>
        <v>84087.469999999972</v>
      </c>
      <c r="X52" s="53">
        <f t="shared" si="25"/>
        <v>138943.04249999998</v>
      </c>
      <c r="Y52" s="53">
        <f t="shared" si="25"/>
        <v>369785.95750000008</v>
      </c>
    </row>
    <row r="53" spans="1:25" ht="18" x14ac:dyDescent="0.35">
      <c r="A53" s="54"/>
      <c r="B53" s="54"/>
      <c r="C53" s="55"/>
      <c r="D53" s="55"/>
      <c r="E53" s="55"/>
      <c r="F53" s="54"/>
      <c r="G53" s="54"/>
      <c r="H53" s="55"/>
      <c r="I53" s="54"/>
      <c r="J53" s="56">
        <f>J52+N52</f>
        <v>461505.49999999994</v>
      </c>
      <c r="K53" s="54"/>
      <c r="L53" s="54"/>
      <c r="M53" s="54"/>
      <c r="N53" s="54"/>
      <c r="O53" s="54"/>
      <c r="P53" s="57"/>
      <c r="Q53" s="54"/>
      <c r="R53" s="54"/>
      <c r="S53" s="54"/>
      <c r="T53" s="54"/>
      <c r="U53" s="54"/>
      <c r="V53" s="54"/>
      <c r="W53" s="54"/>
      <c r="X53" s="54"/>
      <c r="Y53" s="54"/>
    </row>
    <row r="54" spans="1:25" ht="18" x14ac:dyDescent="0.35">
      <c r="A54" s="54"/>
      <c r="B54" s="54"/>
      <c r="C54" s="55"/>
      <c r="D54" s="55"/>
      <c r="E54" s="55"/>
      <c r="F54" s="54"/>
      <c r="G54" s="54"/>
      <c r="H54" s="55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6">
        <f>Y52-Y50-Y8</f>
        <v>355955.16000000003</v>
      </c>
    </row>
    <row r="55" spans="1:25" ht="18.75" x14ac:dyDescent="0.35">
      <c r="A55" s="14"/>
      <c r="B55" s="14"/>
      <c r="C55" s="15"/>
      <c r="D55" s="15"/>
      <c r="E55" s="15"/>
      <c r="F55" s="14"/>
      <c r="G55" s="14"/>
      <c r="H55" s="15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</sheetData>
  <mergeCells count="3">
    <mergeCell ref="A1:J1"/>
    <mergeCell ref="A2:J2"/>
    <mergeCell ref="A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Nóm_21_01-15 nov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 Iván Urrutia Díaz</cp:lastModifiedBy>
  <dcterms:modified xsi:type="dcterms:W3CDTF">2021-04-24T22:39:22Z</dcterms:modified>
</cp:coreProperties>
</file>