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B59E9BCB-7AD3-42C1-8F00-214AA7E51F03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 Nóm_03 01-15 feb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2" i="1" l="1"/>
  <c r="K22" i="1"/>
  <c r="J22" i="1"/>
  <c r="I22" i="1"/>
  <c r="O22" i="1" s="1"/>
  <c r="K21" i="1"/>
  <c r="J21" i="1"/>
  <c r="I21" i="1"/>
  <c r="O21" i="1" s="1"/>
  <c r="K20" i="1"/>
  <c r="J20" i="1"/>
  <c r="I20" i="1"/>
  <c r="O20" i="1" s="1"/>
  <c r="R19" i="1"/>
  <c r="O19" i="1"/>
  <c r="N19" i="1"/>
  <c r="K19" i="1"/>
  <c r="J19" i="1"/>
  <c r="I19" i="1"/>
  <c r="K18" i="1"/>
  <c r="J18" i="1"/>
  <c r="I18" i="1"/>
  <c r="O18" i="1" s="1"/>
  <c r="R17" i="1"/>
  <c r="O17" i="1"/>
  <c r="K17" i="1"/>
  <c r="J17" i="1"/>
  <c r="I17" i="1"/>
  <c r="L17" i="1" s="1"/>
  <c r="K16" i="1"/>
  <c r="J16" i="1"/>
  <c r="I16" i="1"/>
  <c r="O16" i="1" s="1"/>
  <c r="K15" i="1"/>
  <c r="J15" i="1"/>
  <c r="I15" i="1"/>
  <c r="L15" i="1" s="1"/>
  <c r="R14" i="1"/>
  <c r="N14" i="1"/>
  <c r="K14" i="1"/>
  <c r="J14" i="1"/>
  <c r="I14" i="1"/>
  <c r="O14" i="1" s="1"/>
  <c r="R13" i="1"/>
  <c r="O13" i="1"/>
  <c r="N13" i="1"/>
  <c r="K13" i="1"/>
  <c r="J13" i="1"/>
  <c r="I13" i="1"/>
  <c r="K12" i="1"/>
  <c r="J12" i="1"/>
  <c r="I12" i="1"/>
  <c r="O12" i="1" s="1"/>
  <c r="K11" i="1"/>
  <c r="J11" i="1"/>
  <c r="I11" i="1"/>
  <c r="L11" i="1" s="1"/>
  <c r="R10" i="1"/>
  <c r="N10" i="1"/>
  <c r="K10" i="1"/>
  <c r="J10" i="1"/>
  <c r="I10" i="1"/>
  <c r="O10" i="1" s="1"/>
  <c r="K9" i="1"/>
  <c r="J9" i="1"/>
  <c r="I9" i="1"/>
  <c r="K8" i="1"/>
  <c r="J8" i="1"/>
  <c r="I8" i="1"/>
  <c r="O8" i="1" s="1"/>
  <c r="R7" i="1"/>
  <c r="O7" i="1"/>
  <c r="N7" i="1"/>
  <c r="K7" i="1"/>
  <c r="J7" i="1"/>
  <c r="I7" i="1"/>
  <c r="K6" i="1"/>
  <c r="J6" i="1"/>
  <c r="I6" i="1"/>
  <c r="O6" i="1" s="1"/>
  <c r="L9" i="1" l="1"/>
  <c r="R11" i="1"/>
  <c r="K23" i="1"/>
  <c r="R16" i="1"/>
  <c r="N21" i="1"/>
  <c r="J23" i="1"/>
  <c r="N6" i="1"/>
  <c r="N9" i="1"/>
  <c r="R6" i="1"/>
  <c r="O9" i="1"/>
  <c r="O23" i="1" s="1"/>
  <c r="N12" i="1"/>
  <c r="N15" i="1"/>
  <c r="R18" i="1"/>
  <c r="L7" i="1"/>
  <c r="R9" i="1"/>
  <c r="R23" i="1" s="1"/>
  <c r="R12" i="1"/>
  <c r="O15" i="1"/>
  <c r="L19" i="1"/>
  <c r="N8" i="1"/>
  <c r="N11" i="1"/>
  <c r="L13" i="1"/>
  <c r="M13" i="1" s="1"/>
  <c r="R15" i="1"/>
  <c r="N17" i="1"/>
  <c r="R20" i="1"/>
  <c r="R8" i="1"/>
  <c r="O11" i="1"/>
  <c r="L21" i="1"/>
  <c r="M15" i="1"/>
  <c r="M9" i="1"/>
  <c r="M7" i="1"/>
  <c r="M19" i="1"/>
  <c r="M17" i="1"/>
  <c r="M11" i="1"/>
  <c r="M21" i="1"/>
  <c r="Q6" i="1"/>
  <c r="Q8" i="1"/>
  <c r="Q10" i="1"/>
  <c r="Q12" i="1"/>
  <c r="Q14" i="1"/>
  <c r="Q16" i="1"/>
  <c r="Q18" i="1"/>
  <c r="Q20" i="1"/>
  <c r="Q22" i="1"/>
  <c r="L6" i="1"/>
  <c r="L8" i="1"/>
  <c r="L10" i="1"/>
  <c r="L12" i="1"/>
  <c r="L14" i="1"/>
  <c r="L16" i="1"/>
  <c r="L18" i="1"/>
  <c r="L20" i="1"/>
  <c r="L22" i="1"/>
  <c r="Q7" i="1"/>
  <c r="Q9" i="1"/>
  <c r="Q11" i="1"/>
  <c r="Q13" i="1"/>
  <c r="Q15" i="1"/>
  <c r="Q17" i="1"/>
  <c r="Q19" i="1"/>
  <c r="Q21" i="1"/>
  <c r="I23" i="1"/>
  <c r="N16" i="1"/>
  <c r="N18" i="1"/>
  <c r="N20" i="1"/>
  <c r="R21" i="1"/>
  <c r="N22" i="1"/>
  <c r="N23" i="1" l="1"/>
  <c r="M12" i="1"/>
  <c r="M14" i="1"/>
  <c r="S13" i="1"/>
  <c r="T13" i="1" s="1"/>
  <c r="P13" i="1"/>
  <c r="S7" i="1"/>
  <c r="T7" i="1" s="1"/>
  <c r="P7" i="1"/>
  <c r="S17" i="1"/>
  <c r="T17" i="1" s="1"/>
  <c r="P17" i="1"/>
  <c r="S9" i="1"/>
  <c r="T9" i="1" s="1"/>
  <c r="P9" i="1"/>
  <c r="L23" i="1"/>
  <c r="M6" i="1"/>
  <c r="M20" i="1"/>
  <c r="Q23" i="1"/>
  <c r="S11" i="1"/>
  <c r="T11" i="1" s="1"/>
  <c r="P11" i="1"/>
  <c r="M10" i="1"/>
  <c r="M8" i="1"/>
  <c r="M18" i="1"/>
  <c r="S21" i="1"/>
  <c r="T21" i="1" s="1"/>
  <c r="P21" i="1"/>
  <c r="S19" i="1"/>
  <c r="T19" i="1" s="1"/>
  <c r="P19" i="1"/>
  <c r="S15" i="1"/>
  <c r="T15" i="1" s="1"/>
  <c r="P15" i="1"/>
  <c r="M22" i="1"/>
  <c r="M16" i="1"/>
  <c r="P10" i="1" l="1"/>
  <c r="S10" i="1"/>
  <c r="T10" i="1" s="1"/>
  <c r="P16" i="1"/>
  <c r="S16" i="1"/>
  <c r="T16" i="1" s="1"/>
  <c r="P14" i="1"/>
  <c r="S14" i="1"/>
  <c r="T14" i="1" s="1"/>
  <c r="P20" i="1"/>
  <c r="S20" i="1"/>
  <c r="T20" i="1" s="1"/>
  <c r="P8" i="1"/>
  <c r="S8" i="1"/>
  <c r="T8" i="1" s="1"/>
  <c r="P6" i="1"/>
  <c r="S6" i="1"/>
  <c r="M23" i="1"/>
  <c r="P22" i="1"/>
  <c r="S22" i="1"/>
  <c r="T22" i="1" s="1"/>
  <c r="P18" i="1"/>
  <c r="S18" i="1"/>
  <c r="T18" i="1" s="1"/>
  <c r="P12" i="1"/>
  <c r="S12" i="1"/>
  <c r="T12" i="1" s="1"/>
  <c r="S23" i="1" l="1"/>
  <c r="T6" i="1"/>
  <c r="T23" i="1" s="1"/>
  <c r="P23" i="1"/>
</calcChain>
</file>

<file path=xl/sharedStrings.xml><?xml version="1.0" encoding="utf-8"?>
<sst xmlns="http://schemas.openxmlformats.org/spreadsheetml/2006/main" count="108" uniqueCount="79">
  <si>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</si>
  <si>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</si>
  <si>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</si>
  <si>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</si>
  <si>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</si>
  <si>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</si>
  <si>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</si>
  <si>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</si>
  <si>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BRUTO</t>
  </si>
  <si>
    <t>DESPENSA</t>
  </si>
  <si>
    <t>PASAJE</t>
  </si>
  <si>
    <t>SUBTOTAL PERCEPCIONES</t>
  </si>
  <si>
    <t>PENSIONES TRABAJADOR ANTERIOR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</si>
  <si>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</si>
  <si>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</si>
  <si>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</si>
  <si>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</si>
  <si>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</si>
  <si>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</si>
  <si>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</si>
  <si>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</si>
  <si>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</si>
  <si>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 xml:space="preserve">Confianza </t>
  </si>
  <si>
    <t>Dirección General</t>
  </si>
  <si>
    <t>Directora General de la Plataforma Abierta De Innovación</t>
  </si>
  <si>
    <t>0120-002</t>
  </si>
  <si>
    <t>García Zepeda Connie Juliet</t>
  </si>
  <si>
    <t>Direccion de Planeación</t>
  </si>
  <si>
    <t>Coordinadora de Alianzas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</si>
  <si>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</si>
  <si>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</si>
  <si>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</si>
  <si>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</si>
  <si>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</si>
  <si>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</si>
  <si>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</si>
  <si>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</si>
  <si>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</si>
  <si>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</si>
  <si>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</si>
  <si>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</si>
  <si>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</si>
  <si>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</si>
  <si>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</si>
  <si>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</si>
  <si>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</si>
  <si>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</si>
  <si>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</si>
  <si>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</si>
  <si>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</si>
  <si>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</si>
  <si>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</si>
  <si>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</si>
  <si>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</si>
  <si>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Tecnologías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</si>
  <si>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</si>
  <si>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</si>
  <si>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</si>
  <si>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</si>
  <si>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</si>
  <si>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</si>
  <si>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</si>
  <si>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</si>
  <si>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Coordinador de Gestión y Evaluación de Proyectos</t>
  </si>
  <si>
    <t>0120-014</t>
  </si>
  <si>
    <t>Martínez Torres Armando</t>
  </si>
  <si>
    <t>Coordinador de Arquitectura de Software</t>
  </si>
  <si>
    <t>0120-015</t>
  </si>
  <si>
    <t>Caballero Salcedo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</si>
  <si>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</si>
  <si>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</si>
  <si>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</si>
  <si>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</si>
  <si>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</si>
  <si>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</si>
  <si>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Secretaria de Dirección General</t>
  </si>
  <si>
    <t>PLATAFORMA ABIERTA DE INNOVACIÓN Y DESARROLLO DE JALISCO</t>
  </si>
  <si>
    <t>Nómina quincenal 2020</t>
  </si>
  <si>
    <t>Período: del 01 al 15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</si>
</sst>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1" x14ac:knownFonts="1">
    <font>
      <sz val="10"/>
      <color rgb="FF000000"/>
      <name val="Arial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b/>
      <sz val="12"/>
      <color rgb="FF000000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6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C000"/>
        <bgColor rgb="FFFFC0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5" fillId="0" borderId="2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8" fillId="3" borderId="6" xfId="0" applyFont="1" applyFill="1" applyBorder="1" applyAlignment="1">
      <alignment horizontal="right" vertical="center"/>
    </xf>
    <xf numFmtId="4" fontId="8" fillId="3" borderId="9" xfId="0" applyNumberFormat="1" applyFont="1" applyFill="1" applyBorder="1" applyAlignment="1">
      <alignment horizontal="right" vertical="center"/>
    </xf>
    <xf numFmtId="4" fontId="9" fillId="3" borderId="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142875</xdr:rowOff>
    </xdr:from>
    <xdr:to>
      <xdr:col>1</xdr:col>
      <xdr:colOff>1997785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926DD9-EEF4-4833-B447-5BD907B99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5"/>
          <a:ext cx="264548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workbookViewId="0">
      <pane ySplit="5" topLeftCell="A6" activePane="bottomLeft" state="frozen"/>
      <selection pane="bottomLeft" activeCell="E17" sqref="E17"/>
    </sheetView>
  </sheetViews>
  <sheetFormatPr baseColWidth="10" defaultColWidth="14.42578125" defaultRowHeight="15.75" customHeight="1" x14ac:dyDescent="0.3"/>
  <cols>
    <col min="1" max="1" width="11.28515625" style="7" bestFit="1" customWidth="1"/>
    <col min="2" max="2" width="40.28515625" style="7" bestFit="1" customWidth="1"/>
    <col min="3" max="3" width="8.5703125" style="7" bestFit="1" customWidth="1"/>
    <col min="4" max="4" width="6.28515625" style="7" bestFit="1" customWidth="1"/>
    <col min="5" max="5" width="12.5703125" style="7" bestFit="1" customWidth="1"/>
    <col min="6" max="6" width="41.42578125" style="7" bestFit="1" customWidth="1"/>
    <col min="7" max="7" width="64.140625" style="7" bestFit="1" customWidth="1"/>
    <col min="8" max="8" width="9.85546875" style="7" bestFit="1" customWidth="1"/>
    <col min="9" max="9" width="13" style="7" bestFit="1" customWidth="1"/>
    <col min="10" max="10" width="12.7109375" style="7" bestFit="1" customWidth="1"/>
    <col min="11" max="11" width="10.7109375" style="7" bestFit="1" customWidth="1"/>
    <col min="12" max="12" width="20.7109375" style="7" customWidth="1"/>
    <col min="13" max="13" width="18.28515625" style="7" customWidth="1"/>
    <col min="14" max="14" width="15.42578125" style="7" bestFit="1" customWidth="1"/>
    <col min="15" max="15" width="13.140625" style="7" bestFit="1" customWidth="1"/>
    <col min="16" max="16" width="14" style="7" bestFit="1" customWidth="1"/>
    <col min="17" max="17" width="10.28515625" style="7" bestFit="1" customWidth="1"/>
    <col min="18" max="18" width="12" style="7" bestFit="1" customWidth="1"/>
    <col min="19" max="19" width="18.85546875" style="7" customWidth="1"/>
    <col min="20" max="20" width="12.5703125" style="7" bestFit="1" customWidth="1"/>
    <col min="21" max="16384" width="14.42578125" style="7"/>
  </cols>
  <sheetData>
    <row r="1" spans="1:20" s="27" customFormat="1" ht="39.950000000000003" customHeight="1" x14ac:dyDescent="0.3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</row>
    <row r="2" spans="1:20" s="27" customFormat="1" ht="20.100000000000001" customHeight="1" x14ac:dyDescent="0.3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</row>
    <row r="3" spans="1:20" s="27" customFormat="1" ht="20.100000000000001" customHeight="1" x14ac:dyDescent="0.3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</row>
    <row r="4" spans="1:20" s="27" customFormat="1" ht="20.100000000000001" customHeight="1" x14ac:dyDescent="0.3"/>
    <row r="5" spans="1:20" ht="56.25" x14ac:dyDescent="0.3">
      <c r="A5" s="1" t="s">
        <v>0</v>
      </c>
      <c r="B5" s="1" t="s">
        <v>1</v>
      </c>
      <c r="C5" s="14" t="s">
        <v>2</v>
      </c>
      <c r="D5" s="14" t="s">
        <v>3</v>
      </c>
      <c r="E5" s="1" t="s">
        <v>4</v>
      </c>
      <c r="F5" s="2" t="s">
        <v>5</v>
      </c>
      <c r="G5" s="1" t="s">
        <v>6</v>
      </c>
      <c r="H5" s="3" t="s">
        <v>7</v>
      </c>
      <c r="I5" s="4" t="s">
        <v>8</v>
      </c>
      <c r="J5" s="1" t="s">
        <v>9</v>
      </c>
      <c r="K5" s="1" t="s">
        <v>10</v>
      </c>
      <c r="L5" s="5" t="s">
        <v>11</v>
      </c>
      <c r="M5" s="6" t="s">
        <v>12</v>
      </c>
      <c r="N5" s="5" t="s">
        <v>13</v>
      </c>
      <c r="O5" s="5" t="s">
        <v>14</v>
      </c>
      <c r="P5" s="6" t="s">
        <v>15</v>
      </c>
      <c r="Q5" s="5" t="s">
        <v>16</v>
      </c>
      <c r="R5" s="5" t="s">
        <v>17</v>
      </c>
      <c r="S5" s="5" t="s">
        <v>18</v>
      </c>
      <c r="T5" s="5" t="s">
        <v>19</v>
      </c>
    </row>
    <row r="6" spans="1:20" ht="18" x14ac:dyDescent="0.3">
      <c r="A6" s="8" t="s">
        <v>20</v>
      </c>
      <c r="B6" s="15" t="s">
        <v>21</v>
      </c>
      <c r="C6" s="16">
        <v>26</v>
      </c>
      <c r="D6" s="17">
        <v>40</v>
      </c>
      <c r="E6" s="18" t="s">
        <v>22</v>
      </c>
      <c r="F6" s="19" t="s">
        <v>23</v>
      </c>
      <c r="G6" s="15" t="s">
        <v>24</v>
      </c>
      <c r="H6" s="17">
        <v>15</v>
      </c>
      <c r="I6" s="9">
        <f>69445/2</f>
        <v>34722.5</v>
      </c>
      <c r="J6" s="20">
        <f>2544/2</f>
        <v>1272</v>
      </c>
      <c r="K6" s="20">
        <f>1794/2</f>
        <v>897</v>
      </c>
      <c r="L6" s="21">
        <f t="shared" ref="L6:L22" si="0">+SUM(I6:K6)</f>
        <v>36891.5</v>
      </c>
      <c r="M6" s="22">
        <f t="shared" ref="M6:M22" si="1">+L6*0.115</f>
        <v>4242.5225</v>
      </c>
      <c r="N6" s="20">
        <f t="shared" ref="N6:N22" si="2">+I6*0.175</f>
        <v>6076.4375</v>
      </c>
      <c r="O6" s="20">
        <f t="shared" ref="O6:O22" si="3">I6*0.03</f>
        <v>1041.675</v>
      </c>
      <c r="P6" s="20">
        <f t="shared" ref="P6:P22" si="4">M6+N6+O6</f>
        <v>11360.634999999998</v>
      </c>
      <c r="Q6" s="20">
        <f t="shared" ref="Q6:Q22" si="5">I6*0.03</f>
        <v>1041.675</v>
      </c>
      <c r="R6" s="20">
        <f>((I6-18037.76)*0.3)+3534.3+191.46</f>
        <v>8731.1820000000007</v>
      </c>
      <c r="S6" s="21">
        <f t="shared" ref="S6:S22" si="6">+M6+R6</f>
        <v>12973.7045</v>
      </c>
      <c r="T6" s="21">
        <f t="shared" ref="T6:T22" si="7">+L6-S6</f>
        <v>23917.7955</v>
      </c>
    </row>
    <row r="7" spans="1:20" ht="18" x14ac:dyDescent="0.3">
      <c r="A7" s="8" t="s">
        <v>25</v>
      </c>
      <c r="B7" s="15" t="s">
        <v>26</v>
      </c>
      <c r="C7" s="16">
        <v>16</v>
      </c>
      <c r="D7" s="16">
        <v>40</v>
      </c>
      <c r="E7" s="18" t="s">
        <v>22</v>
      </c>
      <c r="F7" s="23" t="s">
        <v>27</v>
      </c>
      <c r="G7" s="15" t="s">
        <v>28</v>
      </c>
      <c r="H7" s="17">
        <v>15</v>
      </c>
      <c r="I7" s="10">
        <f t="shared" ref="I7:I9" si="8">22832/2</f>
        <v>11416</v>
      </c>
      <c r="J7" s="20">
        <f t="shared" ref="J7:J9" si="9">1247/2</f>
        <v>623.5</v>
      </c>
      <c r="K7" s="22">
        <f t="shared" ref="K7:K9" si="10">999/2</f>
        <v>499.5</v>
      </c>
      <c r="L7" s="20">
        <f t="shared" si="0"/>
        <v>12539</v>
      </c>
      <c r="M7" s="22">
        <f t="shared" si="1"/>
        <v>1441.9850000000001</v>
      </c>
      <c r="N7" s="20">
        <f t="shared" si="2"/>
        <v>1997.8</v>
      </c>
      <c r="O7" s="20">
        <f t="shared" si="3"/>
        <v>342.47999999999996</v>
      </c>
      <c r="P7" s="20">
        <f t="shared" si="4"/>
        <v>3782.2649999999999</v>
      </c>
      <c r="Q7" s="20">
        <f t="shared" si="5"/>
        <v>342.47999999999996</v>
      </c>
      <c r="R7" s="20">
        <f t="shared" ref="R7:R9" si="11">((I7-5925.91)*0.2136)+627.6+0.13</f>
        <v>1800.4132240000004</v>
      </c>
      <c r="S7" s="21">
        <f t="shared" si="6"/>
        <v>3242.3982240000005</v>
      </c>
      <c r="T7" s="21">
        <f t="shared" si="7"/>
        <v>9296.6017759999995</v>
      </c>
    </row>
    <row r="8" spans="1:20" ht="18" x14ac:dyDescent="0.3">
      <c r="A8" s="8" t="s">
        <v>29</v>
      </c>
      <c r="B8" s="15" t="s">
        <v>30</v>
      </c>
      <c r="C8" s="16">
        <v>16</v>
      </c>
      <c r="D8" s="16">
        <v>40</v>
      </c>
      <c r="E8" s="18" t="s">
        <v>22</v>
      </c>
      <c r="F8" s="23" t="s">
        <v>31</v>
      </c>
      <c r="G8" s="15" t="s">
        <v>32</v>
      </c>
      <c r="H8" s="17">
        <v>15</v>
      </c>
      <c r="I8" s="10">
        <f t="shared" si="8"/>
        <v>11416</v>
      </c>
      <c r="J8" s="20">
        <f t="shared" si="9"/>
        <v>623.5</v>
      </c>
      <c r="K8" s="22">
        <f t="shared" si="10"/>
        <v>499.5</v>
      </c>
      <c r="L8" s="20">
        <f t="shared" si="0"/>
        <v>12539</v>
      </c>
      <c r="M8" s="22">
        <f t="shared" si="1"/>
        <v>1441.9850000000001</v>
      </c>
      <c r="N8" s="20">
        <f t="shared" si="2"/>
        <v>1997.8</v>
      </c>
      <c r="O8" s="20">
        <f t="shared" si="3"/>
        <v>342.47999999999996</v>
      </c>
      <c r="P8" s="20">
        <f t="shared" si="4"/>
        <v>3782.2649999999999</v>
      </c>
      <c r="Q8" s="20">
        <f t="shared" si="5"/>
        <v>342.47999999999996</v>
      </c>
      <c r="R8" s="20">
        <f t="shared" si="11"/>
        <v>1800.4132240000004</v>
      </c>
      <c r="S8" s="21">
        <f t="shared" si="6"/>
        <v>3242.3982240000005</v>
      </c>
      <c r="T8" s="21">
        <f t="shared" si="7"/>
        <v>9296.6017759999995</v>
      </c>
    </row>
    <row r="9" spans="1:20" ht="18" x14ac:dyDescent="0.3">
      <c r="A9" s="8" t="s">
        <v>33</v>
      </c>
      <c r="B9" s="15" t="s">
        <v>34</v>
      </c>
      <c r="C9" s="16">
        <v>16</v>
      </c>
      <c r="D9" s="16">
        <v>40</v>
      </c>
      <c r="E9" s="18" t="s">
        <v>22</v>
      </c>
      <c r="F9" s="23" t="s">
        <v>31</v>
      </c>
      <c r="G9" s="15" t="s">
        <v>35</v>
      </c>
      <c r="H9" s="17">
        <v>15</v>
      </c>
      <c r="I9" s="10">
        <f t="shared" si="8"/>
        <v>11416</v>
      </c>
      <c r="J9" s="20">
        <f t="shared" si="9"/>
        <v>623.5</v>
      </c>
      <c r="K9" s="22">
        <f t="shared" si="10"/>
        <v>499.5</v>
      </c>
      <c r="L9" s="20">
        <f t="shared" si="0"/>
        <v>12539</v>
      </c>
      <c r="M9" s="22">
        <f t="shared" si="1"/>
        <v>1441.9850000000001</v>
      </c>
      <c r="N9" s="20">
        <f t="shared" si="2"/>
        <v>1997.8</v>
      </c>
      <c r="O9" s="20">
        <f t="shared" si="3"/>
        <v>342.47999999999996</v>
      </c>
      <c r="P9" s="20">
        <f t="shared" si="4"/>
        <v>3782.2649999999999</v>
      </c>
      <c r="Q9" s="20">
        <f t="shared" si="5"/>
        <v>342.47999999999996</v>
      </c>
      <c r="R9" s="20">
        <f t="shared" si="11"/>
        <v>1800.4132240000004</v>
      </c>
      <c r="S9" s="21">
        <f t="shared" si="6"/>
        <v>3242.3982240000005</v>
      </c>
      <c r="T9" s="21">
        <f t="shared" si="7"/>
        <v>9296.6017759999995</v>
      </c>
    </row>
    <row r="10" spans="1:20" ht="18" x14ac:dyDescent="0.3">
      <c r="A10" s="8" t="s">
        <v>36</v>
      </c>
      <c r="B10" s="15" t="s">
        <v>37</v>
      </c>
      <c r="C10" s="16">
        <v>23</v>
      </c>
      <c r="D10" s="16">
        <v>40</v>
      </c>
      <c r="E10" s="18" t="s">
        <v>22</v>
      </c>
      <c r="F10" s="23" t="s">
        <v>27</v>
      </c>
      <c r="G10" s="15" t="s">
        <v>38</v>
      </c>
      <c r="H10" s="17">
        <v>15</v>
      </c>
      <c r="I10" s="10">
        <f>47094/2</f>
        <v>23547</v>
      </c>
      <c r="J10" s="20">
        <f>1920/2</f>
        <v>960</v>
      </c>
      <c r="K10" s="20">
        <f>1376/2</f>
        <v>688</v>
      </c>
      <c r="L10" s="20">
        <f t="shared" si="0"/>
        <v>25195</v>
      </c>
      <c r="M10" s="22">
        <f t="shared" si="1"/>
        <v>2897.4250000000002</v>
      </c>
      <c r="N10" s="20">
        <f t="shared" si="2"/>
        <v>4120.7249999999995</v>
      </c>
      <c r="O10" s="20">
        <f t="shared" si="3"/>
        <v>706.41</v>
      </c>
      <c r="P10" s="20">
        <f t="shared" si="4"/>
        <v>7724.5599999999995</v>
      </c>
      <c r="Q10" s="20">
        <f t="shared" si="5"/>
        <v>706.41</v>
      </c>
      <c r="R10" s="20">
        <f>((I10-18037.76)*0.3)+3534.3+0.1</f>
        <v>5187.1720000000005</v>
      </c>
      <c r="S10" s="21">
        <f t="shared" si="6"/>
        <v>8084.5970000000007</v>
      </c>
      <c r="T10" s="21">
        <f t="shared" si="7"/>
        <v>17110.402999999998</v>
      </c>
    </row>
    <row r="11" spans="1:20" ht="18" x14ac:dyDescent="0.3">
      <c r="A11" s="8" t="s">
        <v>39</v>
      </c>
      <c r="B11" s="15" t="s">
        <v>40</v>
      </c>
      <c r="C11" s="16">
        <v>16</v>
      </c>
      <c r="D11" s="16">
        <v>40</v>
      </c>
      <c r="E11" s="18" t="s">
        <v>22</v>
      </c>
      <c r="F11" s="23" t="s">
        <v>27</v>
      </c>
      <c r="G11" s="15" t="s">
        <v>41</v>
      </c>
      <c r="H11" s="17">
        <v>15</v>
      </c>
      <c r="I11" s="10">
        <f t="shared" ref="I11:I13" si="12">22832/2</f>
        <v>11416</v>
      </c>
      <c r="J11" s="20">
        <f t="shared" ref="J11:J13" si="13">1247/2</f>
        <v>623.5</v>
      </c>
      <c r="K11" s="22">
        <f t="shared" ref="K11:K13" si="14">999/2</f>
        <v>499.5</v>
      </c>
      <c r="L11" s="20">
        <f t="shared" si="0"/>
        <v>12539</v>
      </c>
      <c r="M11" s="22">
        <f t="shared" si="1"/>
        <v>1441.9850000000001</v>
      </c>
      <c r="N11" s="20">
        <f t="shared" si="2"/>
        <v>1997.8</v>
      </c>
      <c r="O11" s="20">
        <f t="shared" si="3"/>
        <v>342.47999999999996</v>
      </c>
      <c r="P11" s="20">
        <f t="shared" si="4"/>
        <v>3782.2649999999999</v>
      </c>
      <c r="Q11" s="20">
        <f t="shared" si="5"/>
        <v>342.47999999999996</v>
      </c>
      <c r="R11" s="20">
        <f t="shared" ref="R11:R13" si="15">((I11-5925.91)*0.2136)+627.6+0.13</f>
        <v>1800.4132240000004</v>
      </c>
      <c r="S11" s="21">
        <f t="shared" si="6"/>
        <v>3242.3982240000005</v>
      </c>
      <c r="T11" s="21">
        <f t="shared" si="7"/>
        <v>9296.6017759999995</v>
      </c>
    </row>
    <row r="12" spans="1:20" ht="18" x14ac:dyDescent="0.3">
      <c r="A12" s="8" t="s">
        <v>42</v>
      </c>
      <c r="B12" s="15" t="s">
        <v>43</v>
      </c>
      <c r="C12" s="16">
        <v>16</v>
      </c>
      <c r="D12" s="16">
        <v>40</v>
      </c>
      <c r="E12" s="18" t="s">
        <v>22</v>
      </c>
      <c r="F12" s="23" t="s">
        <v>31</v>
      </c>
      <c r="G12" s="15" t="s">
        <v>44</v>
      </c>
      <c r="H12" s="17">
        <v>15</v>
      </c>
      <c r="I12" s="10">
        <f t="shared" si="12"/>
        <v>11416</v>
      </c>
      <c r="J12" s="20">
        <f t="shared" si="13"/>
        <v>623.5</v>
      </c>
      <c r="K12" s="22">
        <f t="shared" si="14"/>
        <v>499.5</v>
      </c>
      <c r="L12" s="20">
        <f t="shared" si="0"/>
        <v>12539</v>
      </c>
      <c r="M12" s="22">
        <f t="shared" si="1"/>
        <v>1441.9850000000001</v>
      </c>
      <c r="N12" s="20">
        <f t="shared" si="2"/>
        <v>1997.8</v>
      </c>
      <c r="O12" s="20">
        <f t="shared" si="3"/>
        <v>342.47999999999996</v>
      </c>
      <c r="P12" s="20">
        <f t="shared" si="4"/>
        <v>3782.2649999999999</v>
      </c>
      <c r="Q12" s="20">
        <f t="shared" si="5"/>
        <v>342.47999999999996</v>
      </c>
      <c r="R12" s="20">
        <f t="shared" si="15"/>
        <v>1800.4132240000004</v>
      </c>
      <c r="S12" s="21">
        <f t="shared" si="6"/>
        <v>3242.3982240000005</v>
      </c>
      <c r="T12" s="21">
        <f t="shared" si="7"/>
        <v>9296.6017759999995</v>
      </c>
    </row>
    <row r="13" spans="1:20" ht="18" x14ac:dyDescent="0.3">
      <c r="A13" s="8" t="s">
        <v>45</v>
      </c>
      <c r="B13" s="15" t="s">
        <v>46</v>
      </c>
      <c r="C13" s="16">
        <v>16</v>
      </c>
      <c r="D13" s="16">
        <v>40</v>
      </c>
      <c r="E13" s="18" t="s">
        <v>22</v>
      </c>
      <c r="F13" s="23" t="s">
        <v>47</v>
      </c>
      <c r="G13" s="15" t="s">
        <v>48</v>
      </c>
      <c r="H13" s="17">
        <v>15</v>
      </c>
      <c r="I13" s="10">
        <f t="shared" si="12"/>
        <v>11416</v>
      </c>
      <c r="J13" s="20">
        <f t="shared" si="13"/>
        <v>623.5</v>
      </c>
      <c r="K13" s="22">
        <f t="shared" si="14"/>
        <v>499.5</v>
      </c>
      <c r="L13" s="20">
        <f t="shared" si="0"/>
        <v>12539</v>
      </c>
      <c r="M13" s="22">
        <f t="shared" si="1"/>
        <v>1441.9850000000001</v>
      </c>
      <c r="N13" s="20">
        <f t="shared" si="2"/>
        <v>1997.8</v>
      </c>
      <c r="O13" s="20">
        <f t="shared" si="3"/>
        <v>342.47999999999996</v>
      </c>
      <c r="P13" s="20">
        <f t="shared" si="4"/>
        <v>3782.2649999999999</v>
      </c>
      <c r="Q13" s="20">
        <f t="shared" si="5"/>
        <v>342.47999999999996</v>
      </c>
      <c r="R13" s="20">
        <f t="shared" si="15"/>
        <v>1800.4132240000004</v>
      </c>
      <c r="S13" s="21">
        <f t="shared" si="6"/>
        <v>3242.3982240000005</v>
      </c>
      <c r="T13" s="21">
        <f t="shared" si="7"/>
        <v>9296.6017759999995</v>
      </c>
    </row>
    <row r="14" spans="1:20" ht="18" x14ac:dyDescent="0.3">
      <c r="A14" s="8" t="s">
        <v>49</v>
      </c>
      <c r="B14" s="15" t="s">
        <v>50</v>
      </c>
      <c r="C14" s="16">
        <v>23</v>
      </c>
      <c r="D14" s="16">
        <v>40</v>
      </c>
      <c r="E14" s="18" t="s">
        <v>22</v>
      </c>
      <c r="F14" s="23" t="s">
        <v>31</v>
      </c>
      <c r="G14" s="15" t="s">
        <v>51</v>
      </c>
      <c r="H14" s="17">
        <v>15</v>
      </c>
      <c r="I14" s="10">
        <f t="shared" ref="I14:I15" si="16">47094/2</f>
        <v>23547</v>
      </c>
      <c r="J14" s="20">
        <f t="shared" ref="J14:J15" si="17">1920/2</f>
        <v>960</v>
      </c>
      <c r="K14" s="20">
        <f t="shared" ref="K14:K15" si="18">1376/2</f>
        <v>688</v>
      </c>
      <c r="L14" s="20">
        <f t="shared" si="0"/>
        <v>25195</v>
      </c>
      <c r="M14" s="22">
        <f t="shared" si="1"/>
        <v>2897.4250000000002</v>
      </c>
      <c r="N14" s="20">
        <f t="shared" si="2"/>
        <v>4120.7249999999995</v>
      </c>
      <c r="O14" s="20">
        <f t="shared" si="3"/>
        <v>706.41</v>
      </c>
      <c r="P14" s="20">
        <f t="shared" si="4"/>
        <v>7724.5599999999995</v>
      </c>
      <c r="Q14" s="20">
        <f t="shared" si="5"/>
        <v>706.41</v>
      </c>
      <c r="R14" s="20">
        <f t="shared" ref="R14:R15" si="19">((I14-18037.76)*0.3)+3534.3+0.1</f>
        <v>5187.1720000000005</v>
      </c>
      <c r="S14" s="21">
        <f t="shared" si="6"/>
        <v>8084.5970000000007</v>
      </c>
      <c r="T14" s="21">
        <f t="shared" si="7"/>
        <v>17110.402999999998</v>
      </c>
    </row>
    <row r="15" spans="1:20" ht="18" x14ac:dyDescent="0.3">
      <c r="A15" s="8" t="s">
        <v>52</v>
      </c>
      <c r="B15" s="15" t="s">
        <v>53</v>
      </c>
      <c r="C15" s="16">
        <v>23</v>
      </c>
      <c r="D15" s="16">
        <v>40</v>
      </c>
      <c r="E15" s="18" t="s">
        <v>22</v>
      </c>
      <c r="F15" s="23" t="s">
        <v>47</v>
      </c>
      <c r="G15" s="15" t="s">
        <v>54</v>
      </c>
      <c r="H15" s="17">
        <v>15</v>
      </c>
      <c r="I15" s="10">
        <f t="shared" si="16"/>
        <v>23547</v>
      </c>
      <c r="J15" s="20">
        <f t="shared" si="17"/>
        <v>960</v>
      </c>
      <c r="K15" s="20">
        <f t="shared" si="18"/>
        <v>688</v>
      </c>
      <c r="L15" s="20">
        <f t="shared" si="0"/>
        <v>25195</v>
      </c>
      <c r="M15" s="22">
        <f t="shared" si="1"/>
        <v>2897.4250000000002</v>
      </c>
      <c r="N15" s="20">
        <f t="shared" si="2"/>
        <v>4120.7249999999995</v>
      </c>
      <c r="O15" s="20">
        <f t="shared" si="3"/>
        <v>706.41</v>
      </c>
      <c r="P15" s="20">
        <f t="shared" si="4"/>
        <v>7724.5599999999995</v>
      </c>
      <c r="Q15" s="20">
        <f t="shared" si="5"/>
        <v>706.41</v>
      </c>
      <c r="R15" s="20">
        <f t="shared" si="19"/>
        <v>5187.1720000000005</v>
      </c>
      <c r="S15" s="21">
        <f t="shared" si="6"/>
        <v>8084.5970000000007</v>
      </c>
      <c r="T15" s="21">
        <f t="shared" si="7"/>
        <v>17110.402999999998</v>
      </c>
    </row>
    <row r="16" spans="1:20" ht="18" x14ac:dyDescent="0.3">
      <c r="A16" s="8" t="s">
        <v>55</v>
      </c>
      <c r="B16" s="15" t="s">
        <v>56</v>
      </c>
      <c r="C16" s="16">
        <v>16</v>
      </c>
      <c r="D16" s="16">
        <v>40</v>
      </c>
      <c r="E16" s="18" t="s">
        <v>22</v>
      </c>
      <c r="F16" s="23" t="s">
        <v>27</v>
      </c>
      <c r="G16" s="15" t="s">
        <v>57</v>
      </c>
      <c r="H16" s="17">
        <v>15</v>
      </c>
      <c r="I16" s="10">
        <f>22832/2</f>
        <v>11416</v>
      </c>
      <c r="J16" s="20">
        <f>1247/2</f>
        <v>623.5</v>
      </c>
      <c r="K16" s="22">
        <f>999/2</f>
        <v>499.5</v>
      </c>
      <c r="L16" s="20">
        <f t="shared" si="0"/>
        <v>12539</v>
      </c>
      <c r="M16" s="22">
        <f t="shared" si="1"/>
        <v>1441.9850000000001</v>
      </c>
      <c r="N16" s="20">
        <f t="shared" si="2"/>
        <v>1997.8</v>
      </c>
      <c r="O16" s="20">
        <f t="shared" si="3"/>
        <v>342.47999999999996</v>
      </c>
      <c r="P16" s="20">
        <f t="shared" si="4"/>
        <v>3782.2649999999999</v>
      </c>
      <c r="Q16" s="20">
        <f t="shared" si="5"/>
        <v>342.47999999999996</v>
      </c>
      <c r="R16" s="20">
        <f>((I16-5925.91)*0.2136)+627.6+0.13</f>
        <v>1800.4132240000004</v>
      </c>
      <c r="S16" s="21">
        <f t="shared" si="6"/>
        <v>3242.3982240000005</v>
      </c>
      <c r="T16" s="21">
        <f t="shared" si="7"/>
        <v>9296.6017759999995</v>
      </c>
    </row>
    <row r="17" spans="1:20" ht="18" x14ac:dyDescent="0.3">
      <c r="A17" s="8" t="s">
        <v>58</v>
      </c>
      <c r="B17" s="15" t="s">
        <v>59</v>
      </c>
      <c r="C17" s="16">
        <v>15</v>
      </c>
      <c r="D17" s="16">
        <v>40</v>
      </c>
      <c r="E17" s="18" t="s">
        <v>22</v>
      </c>
      <c r="F17" s="23" t="s">
        <v>31</v>
      </c>
      <c r="G17" s="15" t="s">
        <v>60</v>
      </c>
      <c r="H17" s="17">
        <v>15</v>
      </c>
      <c r="I17" s="10">
        <f>20272/2</f>
        <v>10136</v>
      </c>
      <c r="J17" s="20">
        <f>1206/2</f>
        <v>603</v>
      </c>
      <c r="K17" s="22">
        <f>975/2</f>
        <v>487.5</v>
      </c>
      <c r="L17" s="20">
        <f t="shared" si="0"/>
        <v>11226.5</v>
      </c>
      <c r="M17" s="22">
        <f t="shared" si="1"/>
        <v>1291.0475000000001</v>
      </c>
      <c r="N17" s="20">
        <f t="shared" si="2"/>
        <v>1773.8</v>
      </c>
      <c r="O17" s="20">
        <f t="shared" si="3"/>
        <v>304.08</v>
      </c>
      <c r="P17" s="20">
        <f t="shared" si="4"/>
        <v>3368.9274999999998</v>
      </c>
      <c r="Q17" s="20">
        <f t="shared" si="5"/>
        <v>304.08</v>
      </c>
      <c r="R17" s="20">
        <f>((I17-5925.91)*0.2136)+627.6-0.02</f>
        <v>1526.8552240000001</v>
      </c>
      <c r="S17" s="21">
        <f t="shared" si="6"/>
        <v>2817.9027240000005</v>
      </c>
      <c r="T17" s="21">
        <f t="shared" si="7"/>
        <v>8408.5972760000004</v>
      </c>
    </row>
    <row r="18" spans="1:20" ht="18" x14ac:dyDescent="0.3">
      <c r="A18" s="8" t="s">
        <v>61</v>
      </c>
      <c r="B18" s="15" t="s">
        <v>62</v>
      </c>
      <c r="C18" s="16">
        <v>16</v>
      </c>
      <c r="D18" s="16">
        <v>40</v>
      </c>
      <c r="E18" s="18" t="s">
        <v>22</v>
      </c>
      <c r="F18" s="23" t="s">
        <v>27</v>
      </c>
      <c r="G18" s="15" t="s">
        <v>63</v>
      </c>
      <c r="H18" s="17">
        <v>15</v>
      </c>
      <c r="I18" s="10">
        <f t="shared" ref="I18:I21" si="20">22832/2</f>
        <v>11416</v>
      </c>
      <c r="J18" s="20">
        <f t="shared" ref="J18:J21" si="21">1247/2</f>
        <v>623.5</v>
      </c>
      <c r="K18" s="22">
        <f t="shared" ref="K18:K21" si="22">999/2</f>
        <v>499.5</v>
      </c>
      <c r="L18" s="20">
        <f t="shared" si="0"/>
        <v>12539</v>
      </c>
      <c r="M18" s="22">
        <f t="shared" si="1"/>
        <v>1441.9850000000001</v>
      </c>
      <c r="N18" s="20">
        <f t="shared" si="2"/>
        <v>1997.8</v>
      </c>
      <c r="O18" s="20">
        <f t="shared" si="3"/>
        <v>342.47999999999996</v>
      </c>
      <c r="P18" s="20">
        <f t="shared" si="4"/>
        <v>3782.2649999999999</v>
      </c>
      <c r="Q18" s="20">
        <f t="shared" si="5"/>
        <v>342.47999999999996</v>
      </c>
      <c r="R18" s="20">
        <f t="shared" ref="R18:R21" si="23">((I18-5925.91)*0.2136)+627.6+0.13</f>
        <v>1800.4132240000004</v>
      </c>
      <c r="S18" s="21">
        <f t="shared" si="6"/>
        <v>3242.3982240000005</v>
      </c>
      <c r="T18" s="21">
        <f t="shared" si="7"/>
        <v>9296.6017759999995</v>
      </c>
    </row>
    <row r="19" spans="1:20" ht="18" x14ac:dyDescent="0.3">
      <c r="A19" s="8" t="s">
        <v>64</v>
      </c>
      <c r="B19" s="15" t="s">
        <v>65</v>
      </c>
      <c r="C19" s="16">
        <v>16</v>
      </c>
      <c r="D19" s="16">
        <v>40</v>
      </c>
      <c r="E19" s="18" t="s">
        <v>22</v>
      </c>
      <c r="F19" s="23" t="s">
        <v>47</v>
      </c>
      <c r="G19" s="15" t="s">
        <v>66</v>
      </c>
      <c r="H19" s="17">
        <v>15</v>
      </c>
      <c r="I19" s="10">
        <f t="shared" si="20"/>
        <v>11416</v>
      </c>
      <c r="J19" s="20">
        <f t="shared" si="21"/>
        <v>623.5</v>
      </c>
      <c r="K19" s="22">
        <f t="shared" si="22"/>
        <v>499.5</v>
      </c>
      <c r="L19" s="20">
        <f t="shared" si="0"/>
        <v>12539</v>
      </c>
      <c r="M19" s="22">
        <f t="shared" si="1"/>
        <v>1441.9850000000001</v>
      </c>
      <c r="N19" s="20">
        <f t="shared" si="2"/>
        <v>1997.8</v>
      </c>
      <c r="O19" s="20">
        <f t="shared" si="3"/>
        <v>342.47999999999996</v>
      </c>
      <c r="P19" s="20">
        <f t="shared" si="4"/>
        <v>3782.2649999999999</v>
      </c>
      <c r="Q19" s="20">
        <f t="shared" si="5"/>
        <v>342.47999999999996</v>
      </c>
      <c r="R19" s="20">
        <f t="shared" si="23"/>
        <v>1800.4132240000004</v>
      </c>
      <c r="S19" s="21">
        <f t="shared" si="6"/>
        <v>3242.3982240000005</v>
      </c>
      <c r="T19" s="21">
        <f t="shared" si="7"/>
        <v>9296.6017759999995</v>
      </c>
    </row>
    <row r="20" spans="1:20" ht="18" x14ac:dyDescent="0.3">
      <c r="A20" s="8" t="s">
        <v>67</v>
      </c>
      <c r="B20" s="15" t="s">
        <v>68</v>
      </c>
      <c r="C20" s="16">
        <v>16</v>
      </c>
      <c r="D20" s="16">
        <v>40</v>
      </c>
      <c r="E20" s="18" t="s">
        <v>22</v>
      </c>
      <c r="F20" s="23" t="s">
        <v>27</v>
      </c>
      <c r="G20" s="15" t="s">
        <v>69</v>
      </c>
      <c r="H20" s="17">
        <v>15</v>
      </c>
      <c r="I20" s="10">
        <f t="shared" si="20"/>
        <v>11416</v>
      </c>
      <c r="J20" s="20">
        <f t="shared" si="21"/>
        <v>623.5</v>
      </c>
      <c r="K20" s="22">
        <f t="shared" si="22"/>
        <v>499.5</v>
      </c>
      <c r="L20" s="20">
        <f t="shared" si="0"/>
        <v>12539</v>
      </c>
      <c r="M20" s="22">
        <f t="shared" si="1"/>
        <v>1441.9850000000001</v>
      </c>
      <c r="N20" s="20">
        <f t="shared" si="2"/>
        <v>1997.8</v>
      </c>
      <c r="O20" s="20">
        <f t="shared" si="3"/>
        <v>342.47999999999996</v>
      </c>
      <c r="P20" s="20">
        <f t="shared" si="4"/>
        <v>3782.2649999999999</v>
      </c>
      <c r="Q20" s="20">
        <f t="shared" si="5"/>
        <v>342.47999999999996</v>
      </c>
      <c r="R20" s="20">
        <f t="shared" si="23"/>
        <v>1800.4132240000004</v>
      </c>
      <c r="S20" s="21">
        <f t="shared" si="6"/>
        <v>3242.3982240000005</v>
      </c>
      <c r="T20" s="21">
        <f t="shared" si="7"/>
        <v>9296.6017759999995</v>
      </c>
    </row>
    <row r="21" spans="1:20" ht="18" x14ac:dyDescent="0.3">
      <c r="A21" s="8" t="s">
        <v>70</v>
      </c>
      <c r="B21" s="15" t="s">
        <v>71</v>
      </c>
      <c r="C21" s="16">
        <v>16</v>
      </c>
      <c r="D21" s="16">
        <v>40</v>
      </c>
      <c r="E21" s="18" t="s">
        <v>22</v>
      </c>
      <c r="F21" s="23" t="s">
        <v>47</v>
      </c>
      <c r="G21" s="15" t="s">
        <v>72</v>
      </c>
      <c r="H21" s="17">
        <v>15</v>
      </c>
      <c r="I21" s="10">
        <f t="shared" si="20"/>
        <v>11416</v>
      </c>
      <c r="J21" s="20">
        <f t="shared" si="21"/>
        <v>623.5</v>
      </c>
      <c r="K21" s="22">
        <f t="shared" si="22"/>
        <v>499.5</v>
      </c>
      <c r="L21" s="20">
        <f t="shared" si="0"/>
        <v>12539</v>
      </c>
      <c r="M21" s="22">
        <f t="shared" si="1"/>
        <v>1441.9850000000001</v>
      </c>
      <c r="N21" s="20">
        <f t="shared" si="2"/>
        <v>1997.8</v>
      </c>
      <c r="O21" s="20">
        <f t="shared" si="3"/>
        <v>342.47999999999996</v>
      </c>
      <c r="P21" s="20">
        <f t="shared" si="4"/>
        <v>3782.2649999999999</v>
      </c>
      <c r="Q21" s="20">
        <f t="shared" si="5"/>
        <v>342.47999999999996</v>
      </c>
      <c r="R21" s="20">
        <f t="shared" si="23"/>
        <v>1800.4132240000004</v>
      </c>
      <c r="S21" s="21">
        <f t="shared" si="6"/>
        <v>3242.3982240000005</v>
      </c>
      <c r="T21" s="21">
        <f t="shared" si="7"/>
        <v>9296.6017759999995</v>
      </c>
    </row>
    <row r="22" spans="1:20" ht="18" x14ac:dyDescent="0.3">
      <c r="A22" s="8" t="s">
        <v>73</v>
      </c>
      <c r="B22" s="15" t="s">
        <v>74</v>
      </c>
      <c r="C22" s="16">
        <v>9</v>
      </c>
      <c r="D22" s="16">
        <v>40</v>
      </c>
      <c r="E22" s="18" t="s">
        <v>22</v>
      </c>
      <c r="F22" s="19" t="s">
        <v>23</v>
      </c>
      <c r="G22" s="15" t="s">
        <v>75</v>
      </c>
      <c r="H22" s="17">
        <v>15</v>
      </c>
      <c r="I22" s="10">
        <f>13687/2</f>
        <v>6843.5</v>
      </c>
      <c r="J22" s="20">
        <f>957/2</f>
        <v>478.5</v>
      </c>
      <c r="K22" s="22">
        <f>881/2</f>
        <v>440.5</v>
      </c>
      <c r="L22" s="20">
        <f t="shared" si="0"/>
        <v>7762.5</v>
      </c>
      <c r="M22" s="22">
        <f t="shared" si="1"/>
        <v>892.6875</v>
      </c>
      <c r="N22" s="20">
        <f t="shared" si="2"/>
        <v>1197.6125</v>
      </c>
      <c r="O22" s="20">
        <f t="shared" si="3"/>
        <v>205.30499999999998</v>
      </c>
      <c r="P22" s="20">
        <f t="shared" si="4"/>
        <v>2295.605</v>
      </c>
      <c r="Q22" s="20">
        <f t="shared" si="5"/>
        <v>205.30499999999998</v>
      </c>
      <c r="R22" s="10">
        <f>((I22-5925.91)*0.2136)+627.6+0.02</f>
        <v>823.61722400000008</v>
      </c>
      <c r="S22" s="9">
        <f t="shared" si="6"/>
        <v>1716.3047240000001</v>
      </c>
      <c r="T22" s="21">
        <f t="shared" si="7"/>
        <v>6046.1952760000004</v>
      </c>
    </row>
    <row r="23" spans="1:20" ht="18" x14ac:dyDescent="0.3">
      <c r="A23" s="11"/>
      <c r="B23" s="24"/>
      <c r="C23" s="24"/>
      <c r="D23" s="24"/>
      <c r="E23" s="24"/>
      <c r="F23" s="24"/>
      <c r="G23" s="24"/>
      <c r="H23" s="25"/>
      <c r="I23" s="12">
        <f t="shared" ref="I23:T23" si="24">SUM(I6:I22)</f>
        <v>247919</v>
      </c>
      <c r="J23" s="12">
        <f t="shared" si="24"/>
        <v>12092</v>
      </c>
      <c r="K23" s="12">
        <f t="shared" si="24"/>
        <v>9383.5</v>
      </c>
      <c r="L23" s="12">
        <f t="shared" si="24"/>
        <v>269394.5</v>
      </c>
      <c r="M23" s="13">
        <f t="shared" si="24"/>
        <v>30980.367500000004</v>
      </c>
      <c r="N23" s="12">
        <f t="shared" si="24"/>
        <v>43385.825000000012</v>
      </c>
      <c r="O23" s="12">
        <f t="shared" si="24"/>
        <v>7437.5699999999979</v>
      </c>
      <c r="P23" s="12">
        <f t="shared" si="24"/>
        <v>81803.762499999983</v>
      </c>
      <c r="Q23" s="12">
        <f t="shared" si="24"/>
        <v>7437.5699999999979</v>
      </c>
      <c r="R23" s="12">
        <f t="shared" si="24"/>
        <v>46447.715912000021</v>
      </c>
      <c r="S23" s="12">
        <f t="shared" si="24"/>
        <v>77428.083412000036</v>
      </c>
      <c r="T23" s="12">
        <f t="shared" si="24"/>
        <v>191966.41658799996</v>
      </c>
    </row>
  </sheetData>
  <mergeCells count="4">
    <mergeCell ref="A23:H23"/>
    <mergeCell ref="A1:J1"/>
    <mergeCell ref="A2:J2"/>
    <mergeCell ref="A3:J3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Nóm_03 01-15 feb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2021-04-24T20:46:41Z</dcterms:modified>
</cp:coreProperties>
</file>