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740"/>
  </bookViews>
  <sheets>
    <sheet name="PRESUPUESTO DE EGRESOS 2014" sheetId="14" r:id="rId1"/>
  </sheets>
  <definedNames>
    <definedName name="_xlnm.Print_Area" localSheetId="0">'PRESUPUESTO DE EGRESOS 2014'!$A$2:$K$94</definedName>
    <definedName name="_xlnm.Print_Titles" localSheetId="0">'PRESUPUESTO DE EGRESOS 2014'!$2:$9</definedName>
  </definedNames>
  <calcPr calcId="125725"/>
</workbook>
</file>

<file path=xl/calcChain.xml><?xml version="1.0" encoding="utf-8"?>
<calcChain xmlns="http://schemas.openxmlformats.org/spreadsheetml/2006/main">
  <c r="J92" i="14"/>
  <c r="I92"/>
  <c r="H92"/>
  <c r="G92"/>
  <c r="K92" s="1"/>
  <c r="F92"/>
  <c r="K91"/>
  <c r="F91"/>
  <c r="F90"/>
  <c r="K90" s="1"/>
  <c r="J89"/>
  <c r="I89"/>
  <c r="H89"/>
  <c r="G89"/>
  <c r="E89"/>
  <c r="E93" s="1"/>
  <c r="J88"/>
  <c r="I88"/>
  <c r="H88"/>
  <c r="G88"/>
  <c r="F88"/>
  <c r="K88" s="1"/>
  <c r="J87"/>
  <c r="I87"/>
  <c r="H87"/>
  <c r="G87"/>
  <c r="F87"/>
  <c r="K87" s="1"/>
  <c r="J86"/>
  <c r="J93" s="1"/>
  <c r="I86"/>
  <c r="I93" s="1"/>
  <c r="H86"/>
  <c r="H93" s="1"/>
  <c r="G86"/>
  <c r="G93" s="1"/>
  <c r="F86"/>
  <c r="K86" s="1"/>
  <c r="D85"/>
  <c r="J84"/>
  <c r="I84"/>
  <c r="H84"/>
  <c r="G84"/>
  <c r="F84"/>
  <c r="K84" s="1"/>
  <c r="J83"/>
  <c r="I83"/>
  <c r="H83"/>
  <c r="G83"/>
  <c r="E83"/>
  <c r="E85" s="1"/>
  <c r="J82"/>
  <c r="I82"/>
  <c r="H82"/>
  <c r="H85" s="1"/>
  <c r="G82"/>
  <c r="F82"/>
  <c r="K82" s="1"/>
  <c r="E82"/>
  <c r="J81"/>
  <c r="J85" s="1"/>
  <c r="I81"/>
  <c r="I85" s="1"/>
  <c r="H81"/>
  <c r="G81"/>
  <c r="K81" s="1"/>
  <c r="F81"/>
  <c r="K79"/>
  <c r="J79"/>
  <c r="I79"/>
  <c r="H79"/>
  <c r="G79"/>
  <c r="F79"/>
  <c r="J78"/>
  <c r="I78"/>
  <c r="H78"/>
  <c r="G78"/>
  <c r="F78"/>
  <c r="K78" s="1"/>
  <c r="E78"/>
  <c r="J77"/>
  <c r="I77"/>
  <c r="H77"/>
  <c r="G77"/>
  <c r="E77"/>
  <c r="F77" s="1"/>
  <c r="K77" s="1"/>
  <c r="J76"/>
  <c r="I76"/>
  <c r="H76"/>
  <c r="G76"/>
  <c r="E76"/>
  <c r="F76" s="1"/>
  <c r="K76" s="1"/>
  <c r="J75"/>
  <c r="I75"/>
  <c r="H75"/>
  <c r="G75"/>
  <c r="F75"/>
  <c r="K75" s="1"/>
  <c r="E75"/>
  <c r="J74"/>
  <c r="I74"/>
  <c r="H74"/>
  <c r="G74"/>
  <c r="K74" s="1"/>
  <c r="F74"/>
  <c r="K73"/>
  <c r="F73"/>
  <c r="J72"/>
  <c r="I72"/>
  <c r="H72"/>
  <c r="G72"/>
  <c r="K72" s="1"/>
  <c r="F72"/>
  <c r="J71"/>
  <c r="I71"/>
  <c r="H71"/>
  <c r="G71"/>
  <c r="E71"/>
  <c r="F71" s="1"/>
  <c r="K71" s="1"/>
  <c r="K70"/>
  <c r="J70"/>
  <c r="I70"/>
  <c r="H70"/>
  <c r="G70"/>
  <c r="F70"/>
  <c r="J69"/>
  <c r="I69"/>
  <c r="H69"/>
  <c r="G69"/>
  <c r="F69"/>
  <c r="K69" s="1"/>
  <c r="J68"/>
  <c r="I68"/>
  <c r="H68"/>
  <c r="G68"/>
  <c r="E68"/>
  <c r="F68" s="1"/>
  <c r="K68" s="1"/>
  <c r="J67"/>
  <c r="I67"/>
  <c r="H67"/>
  <c r="G67"/>
  <c r="F67"/>
  <c r="K67" s="1"/>
  <c r="J66"/>
  <c r="I66"/>
  <c r="H66"/>
  <c r="G66"/>
  <c r="F66"/>
  <c r="K66" s="1"/>
  <c r="E66"/>
  <c r="J65"/>
  <c r="I65"/>
  <c r="H65"/>
  <c r="G65"/>
  <c r="E65"/>
  <c r="F65" s="1"/>
  <c r="K65" s="1"/>
  <c r="J64"/>
  <c r="I64"/>
  <c r="H64"/>
  <c r="G64"/>
  <c r="F64"/>
  <c r="K64" s="1"/>
  <c r="J63"/>
  <c r="I63"/>
  <c r="H63"/>
  <c r="G63"/>
  <c r="E63"/>
  <c r="F63" s="1"/>
  <c r="K63" s="1"/>
  <c r="J62"/>
  <c r="I62"/>
  <c r="H62"/>
  <c r="G62"/>
  <c r="E62"/>
  <c r="F62" s="1"/>
  <c r="K62" s="1"/>
  <c r="J61"/>
  <c r="I61"/>
  <c r="H61"/>
  <c r="G61"/>
  <c r="F61"/>
  <c r="K61" s="1"/>
  <c r="E61"/>
  <c r="F60"/>
  <c r="K60" s="1"/>
  <c r="J59"/>
  <c r="I59"/>
  <c r="H59"/>
  <c r="G59"/>
  <c r="K59" s="1"/>
  <c r="F59"/>
  <c r="J58"/>
  <c r="I58"/>
  <c r="H58"/>
  <c r="G58"/>
  <c r="E58"/>
  <c r="F58" s="1"/>
  <c r="K58" s="1"/>
  <c r="J57"/>
  <c r="I57"/>
  <c r="H57"/>
  <c r="G57"/>
  <c r="F57"/>
  <c r="K57" s="1"/>
  <c r="E57"/>
  <c r="J56"/>
  <c r="I56"/>
  <c r="H56"/>
  <c r="G56"/>
  <c r="E56"/>
  <c r="F56" s="1"/>
  <c r="K56" s="1"/>
  <c r="J55"/>
  <c r="I55"/>
  <c r="H55"/>
  <c r="G55"/>
  <c r="F55"/>
  <c r="K55" s="1"/>
  <c r="E55"/>
  <c r="J54"/>
  <c r="I54"/>
  <c r="H54"/>
  <c r="G54"/>
  <c r="F54"/>
  <c r="K54" s="1"/>
  <c r="K53"/>
  <c r="F53"/>
  <c r="J52"/>
  <c r="I52"/>
  <c r="H52"/>
  <c r="G52"/>
  <c r="F52"/>
  <c r="K52" s="1"/>
  <c r="J51"/>
  <c r="I51"/>
  <c r="H51"/>
  <c r="G51"/>
  <c r="K51" s="1"/>
  <c r="F51"/>
  <c r="J50"/>
  <c r="I50"/>
  <c r="H50"/>
  <c r="G50"/>
  <c r="K50" s="1"/>
  <c r="F50"/>
  <c r="J49"/>
  <c r="I49"/>
  <c r="H49"/>
  <c r="G49"/>
  <c r="E49"/>
  <c r="F49" s="1"/>
  <c r="K49" s="1"/>
  <c r="J48"/>
  <c r="I48"/>
  <c r="H48"/>
  <c r="G48"/>
  <c r="F48"/>
  <c r="K48" s="1"/>
  <c r="J47"/>
  <c r="J80" s="1"/>
  <c r="I47"/>
  <c r="I80" s="1"/>
  <c r="H47"/>
  <c r="H80" s="1"/>
  <c r="G47"/>
  <c r="G80" s="1"/>
  <c r="E47"/>
  <c r="F47" s="1"/>
  <c r="J45"/>
  <c r="I45"/>
  <c r="H45"/>
  <c r="G45"/>
  <c r="K45" s="1"/>
  <c r="F45"/>
  <c r="J44"/>
  <c r="I44"/>
  <c r="H44"/>
  <c r="G44"/>
  <c r="K44" s="1"/>
  <c r="F44"/>
  <c r="K43"/>
  <c r="J43"/>
  <c r="I43"/>
  <c r="H43"/>
  <c r="G43"/>
  <c r="F43"/>
  <c r="K42"/>
  <c r="F42"/>
  <c r="K41"/>
  <c r="F41"/>
  <c r="J40"/>
  <c r="I40"/>
  <c r="H40"/>
  <c r="G40"/>
  <c r="E40"/>
  <c r="F40" s="1"/>
  <c r="K40" s="1"/>
  <c r="J39"/>
  <c r="I39"/>
  <c r="H39"/>
  <c r="G39"/>
  <c r="F39"/>
  <c r="K39" s="1"/>
  <c r="E39"/>
  <c r="K38"/>
  <c r="F38"/>
  <c r="J37"/>
  <c r="I37"/>
  <c r="H37"/>
  <c r="G37"/>
  <c r="K37" s="1"/>
  <c r="F37"/>
  <c r="K36"/>
  <c r="J36"/>
  <c r="I36"/>
  <c r="H36"/>
  <c r="G36"/>
  <c r="F36"/>
  <c r="J35"/>
  <c r="I35"/>
  <c r="H35"/>
  <c r="G35"/>
  <c r="F35"/>
  <c r="K35" s="1"/>
  <c r="E35"/>
  <c r="F34"/>
  <c r="K34" s="1"/>
  <c r="J33"/>
  <c r="I33"/>
  <c r="H33"/>
  <c r="G33"/>
  <c r="F33"/>
  <c r="K33" s="1"/>
  <c r="J32"/>
  <c r="I32"/>
  <c r="H32"/>
  <c r="G32"/>
  <c r="E32"/>
  <c r="E46" s="1"/>
  <c r="J31"/>
  <c r="I31"/>
  <c r="H31"/>
  <c r="G31"/>
  <c r="K31" s="1"/>
  <c r="F31"/>
  <c r="J30"/>
  <c r="J46" s="1"/>
  <c r="I30"/>
  <c r="H30"/>
  <c r="G30"/>
  <c r="K30" s="1"/>
  <c r="F30"/>
  <c r="K29"/>
  <c r="J29"/>
  <c r="I29"/>
  <c r="H29"/>
  <c r="H46" s="1"/>
  <c r="G29"/>
  <c r="F29"/>
  <c r="K28"/>
  <c r="J28"/>
  <c r="I28"/>
  <c r="H28"/>
  <c r="G28"/>
  <c r="F28"/>
  <c r="J27"/>
  <c r="I27"/>
  <c r="I46" s="1"/>
  <c r="H27"/>
  <c r="G27"/>
  <c r="G46" s="1"/>
  <c r="F27"/>
  <c r="D26"/>
  <c r="D94" s="1"/>
  <c r="E25"/>
  <c r="F25" s="1"/>
  <c r="K24"/>
  <c r="J24"/>
  <c r="I24"/>
  <c r="H24"/>
  <c r="G24"/>
  <c r="F24"/>
  <c r="J23"/>
  <c r="I23"/>
  <c r="H23"/>
  <c r="G23"/>
  <c r="K23" s="1"/>
  <c r="F23"/>
  <c r="E22"/>
  <c r="F22" s="1"/>
  <c r="K21"/>
  <c r="J21"/>
  <c r="I21"/>
  <c r="H21"/>
  <c r="G21"/>
  <c r="F21"/>
  <c r="J20"/>
  <c r="I20"/>
  <c r="H20"/>
  <c r="G20"/>
  <c r="F20"/>
  <c r="K20" s="1"/>
  <c r="K19"/>
  <c r="J19"/>
  <c r="I19"/>
  <c r="H19"/>
  <c r="G19"/>
  <c r="F19"/>
  <c r="J18"/>
  <c r="I18"/>
  <c r="H18"/>
  <c r="G18"/>
  <c r="K18" s="1"/>
  <c r="F18"/>
  <c r="J17"/>
  <c r="I17"/>
  <c r="H17"/>
  <c r="G17"/>
  <c r="K17" s="1"/>
  <c r="F17"/>
  <c r="J16"/>
  <c r="I16"/>
  <c r="H16"/>
  <c r="G16"/>
  <c r="F16"/>
  <c r="K16" s="1"/>
  <c r="J15"/>
  <c r="I15"/>
  <c r="H15"/>
  <c r="G15"/>
  <c r="K15" s="1"/>
  <c r="F15"/>
  <c r="K14"/>
  <c r="J14"/>
  <c r="I14"/>
  <c r="H14"/>
  <c r="H26" s="1"/>
  <c r="H94" s="1"/>
  <c r="G14"/>
  <c r="F14"/>
  <c r="K13"/>
  <c r="J13"/>
  <c r="J26" s="1"/>
  <c r="I13"/>
  <c r="H13"/>
  <c r="G13"/>
  <c r="F13"/>
  <c r="F12"/>
  <c r="K12" s="1"/>
  <c r="J11"/>
  <c r="I11"/>
  <c r="I26" s="1"/>
  <c r="H11"/>
  <c r="G11"/>
  <c r="G26" s="1"/>
  <c r="E11"/>
  <c r="E26" s="1"/>
  <c r="K22" l="1"/>
  <c r="F80"/>
  <c r="K47"/>
  <c r="K80" s="1"/>
  <c r="I94"/>
  <c r="J94"/>
  <c r="K25"/>
  <c r="K85"/>
  <c r="K93"/>
  <c r="K27"/>
  <c r="K46" s="1"/>
  <c r="E80"/>
  <c r="E94" s="1"/>
  <c r="F11"/>
  <c r="F83"/>
  <c r="K83" s="1"/>
  <c r="G85"/>
  <c r="G94" s="1"/>
  <c r="F89"/>
  <c r="K89" s="1"/>
  <c r="F32"/>
  <c r="K32" s="1"/>
  <c r="K11" l="1"/>
  <c r="K26" s="1"/>
  <c r="K94" s="1"/>
  <c r="F26"/>
  <c r="F85"/>
  <c r="F93"/>
  <c r="F46"/>
  <c r="F94" l="1"/>
</calcChain>
</file>

<file path=xl/sharedStrings.xml><?xml version="1.0" encoding="utf-8"?>
<sst xmlns="http://schemas.openxmlformats.org/spreadsheetml/2006/main" count="98" uniqueCount="97">
  <si>
    <t>DESCRIPCIÓN</t>
  </si>
  <si>
    <t>PRESUPUESTO DE EGRESOS APROBADO</t>
  </si>
  <si>
    <t>CONSEJO ESTATAL DE PROMOCIÓN ECONÓMICA</t>
  </si>
  <si>
    <t>PARTIDA</t>
  </si>
  <si>
    <t>DEST.</t>
  </si>
  <si>
    <t>AMPLIACIONES (RECURSOS PROPIOS)</t>
  </si>
  <si>
    <t>MODIFICADO</t>
  </si>
  <si>
    <t>COMPROMETIDO</t>
  </si>
  <si>
    <t>DEVENGADO</t>
  </si>
  <si>
    <t>EJERCIDO</t>
  </si>
  <si>
    <t>PAGADO</t>
  </si>
  <si>
    <t>Sueldo base</t>
  </si>
  <si>
    <t>Sueldo personal eventual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</si>
  <si>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</si>
  <si>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</si>
  <si>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</si>
  <si>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</si>
  <si>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</si>
  <si>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</si>
  <si>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</si>
  <si>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 (PLAN MULTIPLE DE BENEFICIOS PARA LOS TRABAJADORES DEL ESTADO)</t>
  </si>
  <si>
    <t>Indemnizaciones por separación</t>
  </si>
  <si>
    <t>Impacto al salario en el transcurso del año</t>
  </si>
  <si>
    <t>Ayuda para despensa</t>
  </si>
  <si>
    <t>Ayuda para pasajes</t>
  </si>
  <si>
    <t>Estímulo por el día del Servidor Público</t>
  </si>
  <si>
    <t>SUMA CAPÍTULO 1000 Servicios Presonales</t>
  </si>
  <si>
    <t>Materiales, útiles y equipos menores de oficina</t>
  </si>
  <si>
    <t xml:space="preserve">Materiales y útiles de impresión y reproducción                        </t>
  </si>
  <si>
    <t>Materiales, útiles y equipos menores de tecnologías de la Información y comunicaciones.</t>
  </si>
  <si>
    <t>Material impreso e información digital</t>
  </si>
  <si>
    <t>Material de limpieza</t>
  </si>
  <si>
    <t>Utensilios para el servicio de la alimentación</t>
  </si>
  <si>
    <t>Material  eléctrico y electrónico</t>
  </si>
  <si>
    <t>Otros materiales y artículos de construcción y reparación</t>
  </si>
  <si>
    <t>Medicinas y productos farmacéuticos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</si>
  <si>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</si>
  <si>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</si>
  <si>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</si>
  <si>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</si>
  <si>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equipo de computo y tecnologías de la información.</t>
  </si>
  <si>
    <t>Refacciones y accesorios menores de equipo de transporte</t>
  </si>
  <si>
    <t>SUMA CAPÍTULO 2000 Materiales y Suministros</t>
  </si>
  <si>
    <t>Servicio de energía eléctrica</t>
  </si>
  <si>
    <t>Telefonía celular</t>
  </si>
  <si>
    <t>Servicio de acceso de internet, redes y procesamiento de información</t>
  </si>
  <si>
    <t>Servicio postal</t>
  </si>
  <si>
    <t>Servicios legales, de contabilidad, auditoría y relacionados</t>
  </si>
  <si>
    <t>Capacitación Institucional</t>
  </si>
  <si>
    <t>Servicios de Vigilancia</t>
  </si>
  <si>
    <t>Servicios financieros y bancarios</t>
  </si>
  <si>
    <t xml:space="preserve">Seguros de bienes patrimoniales </t>
  </si>
  <si>
    <t>Almacenaje, embalaje y envase</t>
  </si>
  <si>
    <t>Instalación, reparación y mantenimiento de equipo de computo y tecnologías de la información</t>
  </si>
  <si>
    <t>Servicios de limpieza y manejo de desechos</t>
  </si>
  <si>
    <t xml:space="preserve">Difusión por radio, televisión y otros medios de mensajes, sobre programas y actividades gubernamentales </t>
  </si>
  <si>
    <t>Otros servicios de traslado y hospedaje</t>
  </si>
  <si>
    <t>Congresos y convenciones</t>
  </si>
  <si>
    <t>Gastos de representación</t>
  </si>
  <si>
    <t>SUMA CAPÍTULO 3000 Servicios Generales</t>
  </si>
  <si>
    <t>Transferencias internas para Asignaciones, Subsidios y Otras Ayudas</t>
  </si>
  <si>
    <t>Aportación para Erogaciones Contingentes</t>
  </si>
  <si>
    <t>SUMA CAPÍTULO 4000 Transferencias, Asignaciones, Subsidios y Otras Ayudas</t>
  </si>
  <si>
    <t>Equipo de computo y de tecnología de la información</t>
  </si>
  <si>
    <t>Otros mobiliarios y equipos de administración</t>
  </si>
  <si>
    <t>Equipo de comunicación y telecomunicación</t>
  </si>
  <si>
    <t>Software</t>
  </si>
  <si>
    <t>SUMA CAPÍTULO 5000 Bienes Muebles e Inmuebles</t>
  </si>
  <si>
    <t>TOTAL</t>
  </si>
  <si>
    <t>Productos alimenticios para el personal en las instalaciones de las dependencias y entidades</t>
  </si>
  <si>
    <t>Vidrio y Productos de Vidrio</t>
  </si>
  <si>
    <t>Combustibles, lubricantes y aditivos para vehículos terrestres, aéreos, marítimos, lacustres y fluviales destinados a servicios administrativos.</t>
  </si>
  <si>
    <t>Arrendamiento de equipo y bienes informáticos</t>
  </si>
  <si>
    <t>Arrendamiento de vehículos terrestres, aéreos, marítimos, lacustres y fluviales para servicios públicos y la operación de programas públicos.</t>
  </si>
  <si>
    <t>Arrendamiento de vehículos terrestres, aéreos, marítimos, lacustres y fluviales para servicios administrativos.</t>
  </si>
  <si>
    <t>Servicios de Diseño, Arquitectura, Ingeniería y Actividades Relacionadas.</t>
  </si>
  <si>
    <t>Servicios de consultoría administrativa e informática.</t>
  </si>
  <si>
    <t>Capacitación Especializada</t>
  </si>
  <si>
    <t>Servicio de impresión de documentos y papelería oficial.</t>
  </si>
  <si>
    <t xml:space="preserve">Mantenimiento y conservación de inmuebles para la prestación de servicios administrativos.  </t>
  </si>
  <si>
    <t xml:space="preserve">Mantenimiento y conservación de inmuebles para la prestación de servicios públicos. </t>
  </si>
  <si>
    <t>Mantenimiento y conservación de vehículos terrestres, aereos, maritimimos, lacustres y fluviales</t>
  </si>
  <si>
    <t xml:space="preserve">Pasajes aéreos nacionales </t>
  </si>
  <si>
    <t xml:space="preserve">Pasajes aéreos internacionales   </t>
  </si>
  <si>
    <t>Pasajes terrestres nacionales</t>
  </si>
  <si>
    <r>
      <t>Viáticos en el país</t>
    </r>
    <r>
      <rPr>
        <b/>
        <sz val="10"/>
        <color indexed="8"/>
        <rFont val="Arial"/>
        <family val="2"/>
      </rPr>
      <t xml:space="preserve"> </t>
    </r>
  </si>
  <si>
    <t>Otros Impuestos y derechos</t>
  </si>
  <si>
    <t>Muebles de Oficina y estantería</t>
  </si>
  <si>
    <t>Vehículos y equipo terrestres, destinados a servicios públicos y la operación de programas públicos.</t>
  </si>
  <si>
    <t>Liciencias Informáticas e Intelectuales</t>
  </si>
  <si>
    <t>Aportación para la Promoción Económica del Estado</t>
  </si>
  <si>
    <t xml:space="preserve"> </t>
  </si>
  <si>
    <t>SALDO AL 31 DE DICIEMBRE 2014</t>
  </si>
  <si>
    <t>Materiales Complementarios</t>
  </si>
  <si>
    <t>Servicios de Impresión de material informativo derivado de la operación y administración</t>
  </si>
  <si>
    <t>Mantenimiento y conservación de mobiliario y equipo de administración, educacional y recreativo.</t>
  </si>
  <si>
    <t>PRESUPUESTO DE EGRESOS 2014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</si>
</sst>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0"/>
    <numFmt numFmtId="166" formatCode="0000"/>
    <numFmt numFmtId="167" formatCode="_-[$€-2]* #,##0.00_-;\-[$€-2]* #,##0.00_-;_-[$€-2]* &quot;-&quot;??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59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5" fontId="2" fillId="0" borderId="0" xfId="1" applyNumberFormat="1"/>
    <xf numFmtId="0" fontId="2" fillId="0" borderId="1" xfId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0" fontId="2" fillId="0" borderId="1" xfId="1" applyBorder="1"/>
    <xf numFmtId="3" fontId="2" fillId="0" borderId="1" xfId="1" applyNumberFormat="1" applyBorder="1"/>
    <xf numFmtId="3" fontId="2" fillId="0" borderId="1" xfId="1" applyNumberFormat="1" applyFill="1" applyBorder="1"/>
    <xf numFmtId="0" fontId="4" fillId="2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3" fontId="4" fillId="2" borderId="1" xfId="1" applyNumberFormat="1" applyFont="1" applyFill="1" applyBorder="1"/>
    <xf numFmtId="3" fontId="2" fillId="0" borderId="0" xfId="1" applyNumberFormat="1"/>
    <xf numFmtId="165" fontId="2" fillId="0" borderId="1" xfId="1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vertical="center" wrapText="1"/>
    </xf>
    <xf numFmtId="3" fontId="4" fillId="0" borderId="1" xfId="1" applyNumberFormat="1" applyFont="1" applyFill="1" applyBorder="1"/>
    <xf numFmtId="3" fontId="2" fillId="0" borderId="1" xfId="1" applyNumberFormat="1" applyFont="1" applyFill="1" applyBorder="1"/>
    <xf numFmtId="0" fontId="2" fillId="2" borderId="1" xfId="1" applyFill="1" applyBorder="1" applyAlignment="1">
      <alignment horizontal="center"/>
    </xf>
    <xf numFmtId="165" fontId="2" fillId="2" borderId="1" xfId="1" applyNumberFormat="1" applyFill="1" applyBorder="1" applyAlignment="1">
      <alignment horizontal="center"/>
    </xf>
    <xf numFmtId="0" fontId="2" fillId="2" borderId="1" xfId="1" applyFill="1" applyBorder="1"/>
    <xf numFmtId="3" fontId="2" fillId="2" borderId="1" xfId="1" applyNumberFormat="1" applyFill="1" applyBorder="1"/>
    <xf numFmtId="0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wrapText="1"/>
    </xf>
    <xf numFmtId="3" fontId="5" fillId="0" borderId="1" xfId="1" applyNumberFormat="1" applyFont="1" applyFill="1" applyBorder="1"/>
    <xf numFmtId="165" fontId="2" fillId="2" borderId="1" xfId="1" applyNumberFormat="1" applyFill="1" applyBorder="1"/>
    <xf numFmtId="4" fontId="2" fillId="0" borderId="0" xfId="1" applyNumberFormat="1"/>
    <xf numFmtId="0" fontId="2" fillId="0" borderId="0" xfId="1" applyBorder="1"/>
    <xf numFmtId="0" fontId="2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25" applyFill="1" applyBorder="1" applyAlignment="1">
      <alignment horizontal="center"/>
    </xf>
    <xf numFmtId="0" fontId="2" fillId="0" borderId="1" xfId="25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4" fontId="4" fillId="0" borderId="0" xfId="1" applyNumberFormat="1" applyFont="1"/>
    <xf numFmtId="3" fontId="2" fillId="0" borderId="1" xfId="1" applyNumberFormat="1" applyFont="1" applyBorder="1"/>
    <xf numFmtId="4" fontId="2" fillId="0" borderId="0" xfId="1" applyNumberFormat="1" applyBorder="1"/>
    <xf numFmtId="0" fontId="9" fillId="0" borderId="0" xfId="28"/>
    <xf numFmtId="0" fontId="9" fillId="0" borderId="0" xfId="28" applyBorder="1"/>
    <xf numFmtId="4" fontId="9" fillId="0" borderId="0" xfId="28" applyNumberFormat="1" applyBorder="1"/>
    <xf numFmtId="4" fontId="4" fillId="0" borderId="0" xfId="28" applyNumberFormat="1" applyFont="1" applyBorder="1"/>
    <xf numFmtId="0" fontId="2" fillId="0" borderId="0" xfId="1" applyAlignment="1">
      <alignment horizontal="center"/>
    </xf>
    <xf numFmtId="15" fontId="2" fillId="0" borderId="0" xfId="1" applyNumberFormat="1"/>
    <xf numFmtId="0" fontId="4" fillId="0" borderId="0" xfId="28" applyFont="1" applyBorder="1" applyAlignment="1">
      <alignment horizontal="center"/>
    </xf>
    <xf numFmtId="4" fontId="4" fillId="0" borderId="0" xfId="1" applyNumberFormat="1" applyFont="1" applyBorder="1"/>
    <xf numFmtId="0" fontId="4" fillId="0" borderId="0" xfId="1" applyFont="1"/>
    <xf numFmtId="4" fontId="10" fillId="0" borderId="0" xfId="1" applyNumberFormat="1" applyFont="1" applyBorder="1"/>
    <xf numFmtId="4" fontId="4" fillId="0" borderId="0" xfId="28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29">
    <cellStyle name="Euro" xfId="8"/>
    <cellStyle name="Millares 2" xfId="2"/>
    <cellStyle name="Millares 2 2" xfId="9"/>
    <cellStyle name="Millares 2 4" xfId="3"/>
    <cellStyle name="Millares 3" xfId="26"/>
    <cellStyle name="Moneda 2" xfId="10"/>
    <cellStyle name="Moneda 3" xfId="11"/>
    <cellStyle name="Moneda 3 2" xfId="12"/>
    <cellStyle name="Moneda 3 3" xfId="13"/>
    <cellStyle name="Moneda 3 3 2" xfId="14"/>
    <cellStyle name="Moneda 4" xfId="15"/>
    <cellStyle name="Moneda 4 2" xfId="16"/>
    <cellStyle name="Normal" xfId="0" builtinId="0"/>
    <cellStyle name="Normal 10" xfId="27"/>
    <cellStyle name="Normal 11" xfId="28"/>
    <cellStyle name="Normal 2" xfId="1"/>
    <cellStyle name="Normal 2 2" xfId="17"/>
    <cellStyle name="Normal 2 3" xfId="18"/>
    <cellStyle name="Normal 3" xfId="7"/>
    <cellStyle name="Normal 3 2" xfId="4"/>
    <cellStyle name="Normal 3 3" xfId="5"/>
    <cellStyle name="Normal 4" xfId="19"/>
    <cellStyle name="Normal 5" xfId="20"/>
    <cellStyle name="Normal 6" xfId="21"/>
    <cellStyle name="Normal 7" xfId="22"/>
    <cellStyle name="Normal 8" xfId="23"/>
    <cellStyle name="Normal 9" xfId="25"/>
    <cellStyle name="Normal_14 Analisis Octubre 15" xfId="6"/>
    <cellStyle name="Porcentual 2" xfId="24"/>
  </cellStyles>
  <dxfs count="0"/>
  <tableStyles count="0" defaultTableStyle="TableStyleMedium9" defaultPivotStyle="PivotStyleLight16"/>
  <colors>
    <mruColors>
      <color rgb="FFFFC95D"/>
      <color rgb="FFFFE5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27"/>
  <sheetViews>
    <sheetView tabSelected="1" zoomScaleNormal="100" workbookViewId="0">
      <selection activeCell="C32" sqref="C32"/>
    </sheetView>
  </sheetViews>
  <sheetFormatPr baseColWidth="10" defaultRowHeight="12.75"/>
  <cols>
    <col min="1" max="1" width="9.140625" style="1" bestFit="1" customWidth="1"/>
    <col min="2" max="2" width="6.42578125" style="1" hidden="1" customWidth="1"/>
    <col min="3" max="3" width="46.85546875" style="1" customWidth="1"/>
    <col min="4" max="4" width="14.85546875" style="1" bestFit="1" customWidth="1"/>
    <col min="5" max="5" width="15.140625" style="1" bestFit="1" customWidth="1"/>
    <col min="6" max="6" width="12.85546875" style="1" bestFit="1" customWidth="1"/>
    <col min="7" max="7" width="16.5703125" style="1" bestFit="1" customWidth="1"/>
    <col min="8" max="8" width="12.5703125" style="1" bestFit="1" customWidth="1"/>
    <col min="9" max="9" width="15.140625" style="1" customWidth="1"/>
    <col min="10" max="10" width="14.5703125" style="1" customWidth="1"/>
    <col min="11" max="11" width="16.140625" style="1" bestFit="1" customWidth="1"/>
    <col min="12" max="12" width="13.7109375" style="1" bestFit="1" customWidth="1"/>
    <col min="13" max="13" width="17.28515625" style="1" bestFit="1" customWidth="1"/>
    <col min="14" max="14" width="14" style="1" customWidth="1"/>
    <col min="15" max="15" width="13.85546875" style="1" customWidth="1"/>
    <col min="16" max="16384" width="11.42578125" style="1"/>
  </cols>
  <sheetData>
    <row r="2" spans="1:13" ht="18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3">
      <c r="A4" s="57" t="s">
        <v>96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9" spans="1:13" ht="38.25">
      <c r="A9" s="2" t="s">
        <v>3</v>
      </c>
      <c r="B9" s="3" t="s">
        <v>4</v>
      </c>
      <c r="C9" s="2" t="s">
        <v>0</v>
      </c>
      <c r="D9" s="2" t="s">
        <v>1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92</v>
      </c>
      <c r="L9" s="4"/>
      <c r="M9" s="4"/>
    </row>
    <row r="10" spans="1:13">
      <c r="B10" s="5"/>
      <c r="L10" s="29"/>
    </row>
    <row r="11" spans="1:13">
      <c r="A11" s="31">
        <v>1131</v>
      </c>
      <c r="B11" s="7">
        <v>1</v>
      </c>
      <c r="C11" s="17" t="s">
        <v>11</v>
      </c>
      <c r="D11" s="9">
        <v>7559748</v>
      </c>
      <c r="E11" s="9">
        <f>65400</f>
        <v>65400</v>
      </c>
      <c r="F11" s="10">
        <f>D11+E11</f>
        <v>7625148</v>
      </c>
      <c r="G11" s="10">
        <f>629979+622635.35+629341.25+645264.84+635664.88+622085.67+593899+593899+636179+636179+636179+636179</f>
        <v>7517484.9900000002</v>
      </c>
      <c r="H11" s="10">
        <f>629979+622635.35+629341.25+645264.84+635664.88+622085.67+593899+593899+636179+636179+636179+636179</f>
        <v>7517484.9900000002</v>
      </c>
      <c r="I11" s="10">
        <f>629979+622635.35+629341.25+645264.84+635664.88+622085.67+593899+593899+636179+636179+636179+636179</f>
        <v>7517484.9900000002</v>
      </c>
      <c r="J11" s="10">
        <f>629979+622635.35+629341.25+645264.84+635664.88+622085.67+593899+593899+636179+636179+636179+636179</f>
        <v>7517484.9900000002</v>
      </c>
      <c r="K11" s="9">
        <f>F11-G11</f>
        <v>107663.00999999978</v>
      </c>
      <c r="L11" s="29"/>
    </row>
    <row r="12" spans="1:13">
      <c r="A12" s="31">
        <v>1221</v>
      </c>
      <c r="B12" s="7">
        <v>1</v>
      </c>
      <c r="C12" s="17" t="s">
        <v>12</v>
      </c>
      <c r="D12" s="9">
        <v>97014</v>
      </c>
      <c r="E12" s="9"/>
      <c r="F12" s="10">
        <f t="shared" ref="F12:F79" si="0">D12+E12</f>
        <v>97014</v>
      </c>
      <c r="G12" s="10">
        <v>0</v>
      </c>
      <c r="H12" s="10">
        <v>0</v>
      </c>
      <c r="I12" s="10">
        <v>0</v>
      </c>
      <c r="J12" s="10">
        <v>0</v>
      </c>
      <c r="K12" s="9">
        <f t="shared" ref="K12:K25" si="1">F12-G12</f>
        <v>97014</v>
      </c>
      <c r="L12" s="29"/>
    </row>
    <row r="13" spans="1:13" ht="25.5">
      <c r="A13" s="31">
        <v>1311</v>
      </c>
      <c r="B13" s="7">
        <v>1</v>
      </c>
      <c r="C13" s="17" t="s">
        <v>13</v>
      </c>
      <c r="D13" s="9">
        <v>31955</v>
      </c>
      <c r="E13" s="9"/>
      <c r="F13" s="10">
        <f t="shared" si="0"/>
        <v>31955</v>
      </c>
      <c r="G13" s="10">
        <f>2422.48+2422.48+2553.85+2489.78+2489.78+2624.36+2758.94+2758.94+2758.94+2758.94+2758.94+2758.94</f>
        <v>31556.369999999995</v>
      </c>
      <c r="H13" s="10">
        <f>2422.48+2422.48+2553.85+2489.78+2489.78+2624.36+2758.94+2758.94+2758.94+2758.94+2758.94+2758.94</f>
        <v>31556.369999999995</v>
      </c>
      <c r="I13" s="10">
        <f>2422.48+2422.48+2553.85+2489.78+2489.78+2624.36+2758.94+2758.94+2758.94+2758.94+2758.94+2758.94</f>
        <v>31556.369999999995</v>
      </c>
      <c r="J13" s="10">
        <f>2422.48+2422.48+2553.85+2489.78+2489.78+2624.36+2758.94+2758.94+2758.94+2758.94+2758.94+2758.94</f>
        <v>31556.369999999995</v>
      </c>
      <c r="K13" s="9">
        <f t="shared" si="1"/>
        <v>398.63000000000466</v>
      </c>
      <c r="L13" s="29"/>
    </row>
    <row r="14" spans="1:13">
      <c r="A14" s="31">
        <v>1321</v>
      </c>
      <c r="B14" s="7">
        <v>1</v>
      </c>
      <c r="C14" s="17" t="s">
        <v>14</v>
      </c>
      <c r="D14" s="9">
        <v>106958</v>
      </c>
      <c r="E14" s="9"/>
      <c r="F14" s="10">
        <f t="shared" si="0"/>
        <v>106958</v>
      </c>
      <c r="G14" s="10">
        <f>1448.83+3523.33+97397.2</f>
        <v>102369.36</v>
      </c>
      <c r="H14" s="10">
        <f>1448.83+3523.33+97397.2</f>
        <v>102369.36</v>
      </c>
      <c r="I14" s="10">
        <f>1448.83+3523.33+97397.2</f>
        <v>102369.36</v>
      </c>
      <c r="J14" s="10">
        <f>1448.83+3523.33+97397.2</f>
        <v>102369.36</v>
      </c>
      <c r="K14" s="9">
        <f t="shared" si="1"/>
        <v>4588.6399999999994</v>
      </c>
      <c r="L14" s="29"/>
    </row>
    <row r="15" spans="1:13">
      <c r="A15" s="31">
        <v>1322</v>
      </c>
      <c r="B15" s="7">
        <v>1</v>
      </c>
      <c r="C15" s="17" t="s">
        <v>15</v>
      </c>
      <c r="D15" s="9"/>
      <c r="E15" s="9">
        <v>1069588</v>
      </c>
      <c r="F15" s="10">
        <f t="shared" si="0"/>
        <v>1069588</v>
      </c>
      <c r="G15" s="10">
        <f>526350.24+523861.05</f>
        <v>1050211.29</v>
      </c>
      <c r="H15" s="10">
        <f>526350.24+523861.05</f>
        <v>1050211.29</v>
      </c>
      <c r="I15" s="10">
        <f>526350.24+523861.05</f>
        <v>1050211.29</v>
      </c>
      <c r="J15" s="10">
        <f>526350.24+523861.05</f>
        <v>1050211.29</v>
      </c>
      <c r="K15" s="9">
        <f t="shared" si="1"/>
        <v>19376.709999999963</v>
      </c>
      <c r="L15" s="29"/>
    </row>
    <row r="16" spans="1:13">
      <c r="A16" s="31">
        <v>1411</v>
      </c>
      <c r="B16" s="7">
        <v>1</v>
      </c>
      <c r="C16" s="17" t="s">
        <v>16</v>
      </c>
      <c r="D16" s="9">
        <v>345954</v>
      </c>
      <c r="E16" s="9">
        <v>7000</v>
      </c>
      <c r="F16" s="10">
        <f t="shared" si="0"/>
        <v>352954</v>
      </c>
      <c r="G16" s="10">
        <f>28012.18+25301.34+28012.18+27108.5+28591.44+55372.89-1935.13+50156.75+27273.91+28183.03+27273.91+27749.01</f>
        <v>351100.00999999995</v>
      </c>
      <c r="H16" s="10">
        <f>28012.18+25301.34+28012.18+27108.5+28591.44+55372.89-1935.13+50156.75+27273.91+28183.03+27273.91+27749.01</f>
        <v>351100.00999999995</v>
      </c>
      <c r="I16" s="10">
        <f>28012.18+25301.34+28012.18+27108.5+28591.44+55372.89-1935.13+50156.75+27273.91+28183.03+27273.91+27749.01</f>
        <v>351100.00999999995</v>
      </c>
      <c r="J16" s="10">
        <f>28012.18+25301.34+28012.18+27108.5+28591.44+55372.89-1935.13+50156.75+27273.91+28183.03+27273.91+27749.01</f>
        <v>351100.00999999995</v>
      </c>
      <c r="K16" s="9">
        <f t="shared" si="1"/>
        <v>1853.9900000000489</v>
      </c>
      <c r="L16" s="29"/>
    </row>
    <row r="17" spans="1:13">
      <c r="A17" s="31">
        <v>1421</v>
      </c>
      <c r="B17" s="7">
        <v>1</v>
      </c>
      <c r="C17" s="17" t="s">
        <v>17</v>
      </c>
      <c r="D17" s="9">
        <v>228160</v>
      </c>
      <c r="E17" s="9"/>
      <c r="F17" s="10">
        <f t="shared" si="0"/>
        <v>228160</v>
      </c>
      <c r="G17" s="10">
        <f>18899.62+18679.31+18880.48+19349.49+19070.19+18662.82+17817.22+17817.22+19085.62+19085.62+19085.62+19085.62</f>
        <v>225518.83</v>
      </c>
      <c r="H17" s="10">
        <f>18899.62+18679.31+18880.48+19349.49+19070.19+18662.82+17817.22+17817.22+19085.62+19085.62+19085.62+19085.62</f>
        <v>225518.83</v>
      </c>
      <c r="I17" s="10">
        <f>18899.62+18679.31+18880.48+19349.49+19070.19+18662.82+17817.22+17817.22+19085.62+19085.62+19085.62+19085.62</f>
        <v>225518.83</v>
      </c>
      <c r="J17" s="10">
        <f>18899.62+18679.31+18880.48+19349.49+19070.19+18662.82+17817.22+17817.22+19085.62+19085.62+19085.62+19085.62</f>
        <v>225518.83</v>
      </c>
      <c r="K17" s="9">
        <f t="shared" si="1"/>
        <v>2641.1700000000128</v>
      </c>
      <c r="L17" s="29"/>
    </row>
    <row r="18" spans="1:13">
      <c r="A18" s="31">
        <v>1431</v>
      </c>
      <c r="B18" s="7">
        <v>1</v>
      </c>
      <c r="C18" s="17" t="s">
        <v>18</v>
      </c>
      <c r="D18" s="9">
        <v>912642</v>
      </c>
      <c r="E18" s="9"/>
      <c r="F18" s="10">
        <f t="shared" si="0"/>
        <v>912642</v>
      </c>
      <c r="G18" s="10">
        <f>75597.48+74716.24+75520.95+77396.99+76279.79+74650.28+71267.88+71267.88+76341.48+76341.48+76341.48+76341.48</f>
        <v>902063.40999999992</v>
      </c>
      <c r="H18" s="10">
        <f>75597.48+74716.24+75520.95+77396.99+76279.79+74650.28+71267.88+71267.88+76341.48+76341.48+76341.48+76341.48</f>
        <v>902063.40999999992</v>
      </c>
      <c r="I18" s="10">
        <f>75597.48+74716.24+75520.95+77396.99+76279.79+74650.28+71267.88+71267.88+76341.48+76341.48+76341.48+76341.48</f>
        <v>902063.40999999992</v>
      </c>
      <c r="J18" s="10">
        <f>75597.48+74716.24+75520.95+77396.99+76279.79+74650.28+71267.88+71267.88+76341.48+76341.48+76341.48+76341.48</f>
        <v>902063.40999999992</v>
      </c>
      <c r="K18" s="9">
        <f t="shared" si="1"/>
        <v>10578.590000000084</v>
      </c>
      <c r="L18" s="29"/>
    </row>
    <row r="19" spans="1:13">
      <c r="A19" s="31">
        <v>1432</v>
      </c>
      <c r="B19" s="7">
        <v>1</v>
      </c>
      <c r="C19" s="17" t="s">
        <v>19</v>
      </c>
      <c r="D19" s="9"/>
      <c r="E19" s="9">
        <v>149168</v>
      </c>
      <c r="F19" s="10">
        <f t="shared" si="0"/>
        <v>149168</v>
      </c>
      <c r="G19" s="10">
        <f>12344.14+12315.32+12331.39+12644.05+12457.86+12686.27+11122.54+11622.54+12468.14+12468.14+12468.14+12468.14</f>
        <v>147396.67000000004</v>
      </c>
      <c r="H19" s="10">
        <f>12344.14+12315.32+12331.39+12644.05+12457.86+12686.27+11122.54+11622.54+12468.14+12468.14+12468.14+12468.14</f>
        <v>147396.67000000004</v>
      </c>
      <c r="I19" s="10">
        <f>12344.14+12315.32+12331.39+12644.05+12457.86+12686.27+11122.54+11622.54+12468.14+12468.14+12468.14+12468.14</f>
        <v>147396.67000000004</v>
      </c>
      <c r="J19" s="10">
        <f>12344.14+12315.32+12331.39+12644.05+12457.86+12686.27+11122.54+11622.54+12468.14+12468.14+12468.14+12468.14</f>
        <v>147396.67000000004</v>
      </c>
      <c r="K19" s="9">
        <f t="shared" si="1"/>
        <v>1771.3299999999581</v>
      </c>
      <c r="L19" s="29"/>
    </row>
    <row r="20" spans="1:13" ht="38.25">
      <c r="A20" s="31">
        <v>1441</v>
      </c>
      <c r="B20" s="7">
        <v>1</v>
      </c>
      <c r="C20" s="17" t="s">
        <v>20</v>
      </c>
      <c r="D20" s="9"/>
      <c r="E20" s="9">
        <v>15591</v>
      </c>
      <c r="F20" s="10">
        <f t="shared" si="0"/>
        <v>15591</v>
      </c>
      <c r="G20" s="10">
        <f>3420.37+3420.36+3420.36</f>
        <v>10261.09</v>
      </c>
      <c r="H20" s="10">
        <f>3420.37+3420.36+3420.36</f>
        <v>10261.09</v>
      </c>
      <c r="I20" s="10">
        <f>3420.37+3420.36+3420.36</f>
        <v>10261.09</v>
      </c>
      <c r="J20" s="10">
        <f>3420.37+3420.36+3420.36</f>
        <v>10261.09</v>
      </c>
      <c r="K20" s="9">
        <f t="shared" si="1"/>
        <v>5329.91</v>
      </c>
      <c r="L20" s="29"/>
    </row>
    <row r="21" spans="1:13">
      <c r="A21" s="31">
        <v>1521</v>
      </c>
      <c r="B21" s="7">
        <v>1</v>
      </c>
      <c r="C21" s="17" t="s">
        <v>21</v>
      </c>
      <c r="D21" s="9"/>
      <c r="E21" s="9">
        <v>978837</v>
      </c>
      <c r="F21" s="10">
        <f t="shared" si="0"/>
        <v>978837</v>
      </c>
      <c r="G21" s="10">
        <f>81569.75*12</f>
        <v>978837</v>
      </c>
      <c r="H21" s="10">
        <f>81569.75*12</f>
        <v>978837</v>
      </c>
      <c r="I21" s="10">
        <f>81569.75*12</f>
        <v>978837</v>
      </c>
      <c r="J21" s="10">
        <f>81569.75*12</f>
        <v>978837</v>
      </c>
      <c r="K21" s="9">
        <f t="shared" si="1"/>
        <v>0</v>
      </c>
      <c r="L21" s="29"/>
    </row>
    <row r="22" spans="1:13">
      <c r="A22" s="31">
        <v>1611</v>
      </c>
      <c r="B22" s="7">
        <v>1</v>
      </c>
      <c r="C22" s="17" t="s">
        <v>22</v>
      </c>
      <c r="D22" s="9"/>
      <c r="E22" s="9">
        <f>150000-65400-7000</f>
        <v>77600</v>
      </c>
      <c r="F22" s="10">
        <f t="shared" si="0"/>
        <v>77600</v>
      </c>
      <c r="G22" s="10">
        <v>0</v>
      </c>
      <c r="H22" s="10">
        <v>0</v>
      </c>
      <c r="I22" s="10">
        <v>0</v>
      </c>
      <c r="J22" s="10">
        <v>0</v>
      </c>
      <c r="K22" s="9">
        <f t="shared" si="1"/>
        <v>77600</v>
      </c>
      <c r="L22" s="29"/>
    </row>
    <row r="23" spans="1:13">
      <c r="A23" s="31">
        <v>1712</v>
      </c>
      <c r="B23" s="7">
        <v>1</v>
      </c>
      <c r="C23" s="17" t="s">
        <v>23</v>
      </c>
      <c r="D23" s="9">
        <v>492183</v>
      </c>
      <c r="E23" s="9"/>
      <c r="F23" s="10">
        <f t="shared" si="0"/>
        <v>492183</v>
      </c>
      <c r="G23" s="10">
        <f>40402+40059.7+40347.77+40361.8+40361.79+39780.33+38537+38537+40402+40402+40402+40402</f>
        <v>479995.39</v>
      </c>
      <c r="H23" s="10">
        <f>40402+40059.7+40347.77+40361.8+40361.79+39780.33+38537+38537+40402+40402+40402+40402</f>
        <v>479995.39</v>
      </c>
      <c r="I23" s="10">
        <f>40402+40059.7+40347.77+40361.8+40361.79+39780.33+38537+38537+40402+40402+40402+40402</f>
        <v>479995.39</v>
      </c>
      <c r="J23" s="10">
        <f>40402+40059.7+40347.77+40361.8+40361.79+39780.33+38537+38537+40402+40402+40402+40402</f>
        <v>479995.39</v>
      </c>
      <c r="K23" s="9">
        <f t="shared" si="1"/>
        <v>12187.609999999986</v>
      </c>
      <c r="L23" s="29"/>
    </row>
    <row r="24" spans="1:13">
      <c r="A24" s="31">
        <v>1713</v>
      </c>
      <c r="B24" s="7">
        <v>1</v>
      </c>
      <c r="C24" s="17" t="s">
        <v>24</v>
      </c>
      <c r="D24" s="9">
        <v>321690</v>
      </c>
      <c r="E24" s="9"/>
      <c r="F24" s="10">
        <f t="shared" si="0"/>
        <v>321690</v>
      </c>
      <c r="G24" s="10">
        <f>26424+26185.25+26390.35+26398.83+26398.93+25975.67+25079+25079+26424+26424+26424+26424</f>
        <v>313627.03000000003</v>
      </c>
      <c r="H24" s="10">
        <f>26424+26185.25+26390.35+26398.83+26398.93+25975.67+25079+25079+26424+26424+26424+26424</f>
        <v>313627.03000000003</v>
      </c>
      <c r="I24" s="10">
        <f>26424+26185.25+26390.35+26398.83+26398.93+25975.67+25079+25079+26424+26424+26424+26424</f>
        <v>313627.03000000003</v>
      </c>
      <c r="J24" s="10">
        <f>26424+26185.25+26390.35+26398.83+26398.93+25975.67+25079+25079+26424+26424+26424+26424</f>
        <v>313627.03000000003</v>
      </c>
      <c r="K24" s="9">
        <f t="shared" si="1"/>
        <v>8062.9699999999721</v>
      </c>
      <c r="L24" s="29"/>
    </row>
    <row r="25" spans="1:13">
      <c r="A25" s="32">
        <v>1715</v>
      </c>
      <c r="B25" s="7">
        <v>1</v>
      </c>
      <c r="C25" s="17" t="s">
        <v>25</v>
      </c>
      <c r="D25" s="9">
        <v>255030</v>
      </c>
      <c r="E25" s="9">
        <f>30240</f>
        <v>30240</v>
      </c>
      <c r="F25" s="10">
        <f t="shared" si="0"/>
        <v>285270</v>
      </c>
      <c r="G25" s="10">
        <v>282255.45</v>
      </c>
      <c r="H25" s="10">
        <v>282255.45</v>
      </c>
      <c r="I25" s="10">
        <v>282255.45</v>
      </c>
      <c r="J25" s="10">
        <v>282255.45</v>
      </c>
      <c r="K25" s="9">
        <f t="shared" si="1"/>
        <v>3014.5499999999884</v>
      </c>
      <c r="L25" s="29"/>
    </row>
    <row r="26" spans="1:13">
      <c r="A26" s="11"/>
      <c r="B26" s="12"/>
      <c r="C26" s="13" t="s">
        <v>26</v>
      </c>
      <c r="D26" s="14">
        <f t="shared" ref="D26:K26" si="2">SUM(D11:D25)</f>
        <v>10351334</v>
      </c>
      <c r="E26" s="14">
        <f t="shared" si="2"/>
        <v>2393424</v>
      </c>
      <c r="F26" s="14">
        <f t="shared" si="2"/>
        <v>12744758</v>
      </c>
      <c r="G26" s="14">
        <f t="shared" si="2"/>
        <v>12392676.890000001</v>
      </c>
      <c r="H26" s="14">
        <f t="shared" si="2"/>
        <v>12392676.890000001</v>
      </c>
      <c r="I26" s="14">
        <f t="shared" si="2"/>
        <v>12392676.890000001</v>
      </c>
      <c r="J26" s="14">
        <f t="shared" si="2"/>
        <v>12392676.890000001</v>
      </c>
      <c r="K26" s="14">
        <f t="shared" si="2"/>
        <v>352081.10999999981</v>
      </c>
      <c r="L26" s="29"/>
      <c r="M26" s="29"/>
    </row>
    <row r="27" spans="1:13">
      <c r="A27" s="6">
        <v>2111</v>
      </c>
      <c r="B27" s="7">
        <v>1</v>
      </c>
      <c r="C27" s="17" t="s">
        <v>27</v>
      </c>
      <c r="D27" s="9">
        <v>0</v>
      </c>
      <c r="E27" s="9">
        <v>50000</v>
      </c>
      <c r="F27" s="10">
        <f t="shared" si="0"/>
        <v>50000</v>
      </c>
      <c r="G27" s="10">
        <f>4532.3+351+4066.2+685.2+5376.84+6305.88+2409.85+4253.84+189.9+2909.11+8116.74+3864.96</f>
        <v>43061.82</v>
      </c>
      <c r="H27" s="10">
        <f>4532.3+351+4066.2+685.2+5376.84+6305.88+2409.85+4253.84+189.9+2909.11+8116.74+3864.96</f>
        <v>43061.82</v>
      </c>
      <c r="I27" s="10">
        <f>4532.3+351+4066.2+685.2+5376.84+6305.88+2409.85+4253.84+189.9+2909.11+8116.74+3864.96</f>
        <v>43061.82</v>
      </c>
      <c r="J27" s="10">
        <f>4532.3+351+4066.2+685.2+5376.84+6305.88+2409.85+4253.84+189.9+2909.11+8116.74+3864.96</f>
        <v>43061.82</v>
      </c>
      <c r="K27" s="9">
        <f t="shared" ref="K27:K92" si="3">F27-G27</f>
        <v>6938.18</v>
      </c>
      <c r="L27" s="29"/>
    </row>
    <row r="28" spans="1:13">
      <c r="A28" s="6">
        <v>2121</v>
      </c>
      <c r="B28" s="7">
        <v>1</v>
      </c>
      <c r="C28" s="17" t="s">
        <v>28</v>
      </c>
      <c r="D28" s="9">
        <v>0</v>
      </c>
      <c r="E28" s="9">
        <v>10500</v>
      </c>
      <c r="F28" s="10">
        <f t="shared" si="0"/>
        <v>10500</v>
      </c>
      <c r="G28" s="10">
        <f>286+425.17+578.19+82.05+305.58+41.09+100.72+364.24-364.24+2269.67</f>
        <v>4088.4700000000003</v>
      </c>
      <c r="H28" s="10">
        <f>286+425.17+578.19+82.05+305.58+41.09+100.72+364.24-364.24+2269.67</f>
        <v>4088.4700000000003</v>
      </c>
      <c r="I28" s="10">
        <f>286+425.17+578.19+82.05+305.58+41.09+100.72+364.24-364.24+2269.67</f>
        <v>4088.4700000000003</v>
      </c>
      <c r="J28" s="10">
        <f>286+425.17+578.19+82.05+305.58+41.09+100.72+364.24-364.24+2269.67</f>
        <v>4088.4700000000003</v>
      </c>
      <c r="K28" s="9">
        <f t="shared" si="3"/>
        <v>6411.53</v>
      </c>
      <c r="L28" s="29"/>
    </row>
    <row r="29" spans="1:13" ht="25.5">
      <c r="A29" s="6">
        <v>2141</v>
      </c>
      <c r="B29" s="7">
        <v>1</v>
      </c>
      <c r="C29" s="17" t="s">
        <v>29</v>
      </c>
      <c r="D29" s="9">
        <v>0</v>
      </c>
      <c r="E29" s="9">
        <v>170000</v>
      </c>
      <c r="F29" s="10">
        <f t="shared" si="0"/>
        <v>170000</v>
      </c>
      <c r="G29" s="10">
        <f>33907.96+516+43433.18+288+43153.69+1895+1193.3+327+29996.62+14229.72+1121.76-346.75</f>
        <v>169715.48</v>
      </c>
      <c r="H29" s="10">
        <f>33907.96+516+43433.18+288+43153.69+1895+1193.3+327+29996.62+14229.72+1121.76-346.75</f>
        <v>169715.48</v>
      </c>
      <c r="I29" s="10">
        <f>33907.96+516+43433.18+288+43153.69+1895+1193.3+327+29996.62+14229.72+1121.76-346.75</f>
        <v>169715.48</v>
      </c>
      <c r="J29" s="10">
        <f>33907.96+516+43433.18+288+43153.69+1895+1193.3+327+29996.62+14229.72+1121.76-346.75</f>
        <v>169715.48</v>
      </c>
      <c r="K29" s="9">
        <f t="shared" si="3"/>
        <v>284.51999999998952</v>
      </c>
      <c r="L29" s="29"/>
    </row>
    <row r="30" spans="1:13">
      <c r="A30" s="6">
        <v>2151</v>
      </c>
      <c r="B30" s="7">
        <v>1</v>
      </c>
      <c r="C30" s="17" t="s">
        <v>30</v>
      </c>
      <c r="D30" s="9">
        <v>0</v>
      </c>
      <c r="E30" s="9">
        <v>20000</v>
      </c>
      <c r="F30" s="10">
        <f t="shared" si="0"/>
        <v>20000</v>
      </c>
      <c r="G30" s="10">
        <f>2905+7015+2474+811+500+388+2280+23.47+364.24+1338</f>
        <v>18098.710000000003</v>
      </c>
      <c r="H30" s="10">
        <f>2905+7015+2474+811+500+388+2280+23.47+364.24+1338</f>
        <v>18098.710000000003</v>
      </c>
      <c r="I30" s="10">
        <f>2905+7015+2474+811+500+388+2280+23.47+364.24+1338</f>
        <v>18098.710000000003</v>
      </c>
      <c r="J30" s="10">
        <f>2905+7015+2474+811+500+388+2280+23.47+364.24+1338</f>
        <v>18098.710000000003</v>
      </c>
      <c r="K30" s="9">
        <f t="shared" si="3"/>
        <v>1901.2899999999972</v>
      </c>
      <c r="L30" s="29"/>
    </row>
    <row r="31" spans="1:13">
      <c r="A31" s="6">
        <v>2161</v>
      </c>
      <c r="B31" s="7">
        <v>1</v>
      </c>
      <c r="C31" s="17" t="s">
        <v>31</v>
      </c>
      <c r="D31" s="9">
        <v>0</v>
      </c>
      <c r="E31" s="9">
        <v>20000</v>
      </c>
      <c r="F31" s="10">
        <f t="shared" si="0"/>
        <v>20000</v>
      </c>
      <c r="G31" s="10">
        <f>309.87+5049.56+59.9+1947.9+5163.49+2084.3+177+69.5</f>
        <v>14861.52</v>
      </c>
      <c r="H31" s="10">
        <f>309.87+5049.56+59.9+1947.9+5163.49+2084.3+177+69.5</f>
        <v>14861.52</v>
      </c>
      <c r="I31" s="10">
        <f>309.87+5049.56+59.9+1947.9+5163.49+2084.3+177+69.5</f>
        <v>14861.52</v>
      </c>
      <c r="J31" s="10">
        <f>309.87+5049.56+59.9+1947.9+5163.49+2084.3+177+69.5</f>
        <v>14861.52</v>
      </c>
      <c r="K31" s="9">
        <f t="shared" si="3"/>
        <v>5138.4799999999996</v>
      </c>
      <c r="L31" s="29"/>
    </row>
    <row r="32" spans="1:13" ht="25.5">
      <c r="A32" s="6">
        <v>2214</v>
      </c>
      <c r="B32" s="7">
        <v>1</v>
      </c>
      <c r="C32" s="17" t="s">
        <v>69</v>
      </c>
      <c r="D32" s="9">
        <v>0</v>
      </c>
      <c r="E32" s="9">
        <f>20000+15000</f>
        <v>35000</v>
      </c>
      <c r="F32" s="10">
        <f t="shared" si="0"/>
        <v>35000</v>
      </c>
      <c r="G32" s="10">
        <f>1496+760+2047.5+1464+926.16+9638.96+2219.7+1436+750.01+7387.93+2079+3769.01+1112-1150</f>
        <v>33936.269999999997</v>
      </c>
      <c r="H32" s="10">
        <f>1496+760+2047.5+1464+926.16+9638.96+2219.7+1436+750.01+7387.93+2079+3769.01+1112-1150</f>
        <v>33936.269999999997</v>
      </c>
      <c r="I32" s="10">
        <f>1496+760+2047.5+1464+926.16+9638.96+2219.7+1436+750.01+7387.93+2079+3769.01+1112-1150</f>
        <v>33936.269999999997</v>
      </c>
      <c r="J32" s="10">
        <f>1496+760+2047.5+1464+926.16+9638.96+2219.7+1436+750.01+7387.93+2079+3769.01+1112-1150</f>
        <v>33936.269999999997</v>
      </c>
      <c r="K32" s="43">
        <f t="shared" si="3"/>
        <v>1063.7300000000032</v>
      </c>
      <c r="L32" s="29"/>
    </row>
    <row r="33" spans="1:13">
      <c r="A33" s="6">
        <v>2231</v>
      </c>
      <c r="B33" s="7">
        <v>1</v>
      </c>
      <c r="C33" s="17" t="s">
        <v>32</v>
      </c>
      <c r="D33" s="9">
        <v>0</v>
      </c>
      <c r="E33" s="9">
        <v>14000</v>
      </c>
      <c r="F33" s="10">
        <f t="shared" si="0"/>
        <v>14000</v>
      </c>
      <c r="G33" s="10">
        <f>2975.82+99+289.98+54.5</f>
        <v>3419.3</v>
      </c>
      <c r="H33" s="10">
        <f>2975.82+99+289.98+54.5</f>
        <v>3419.3</v>
      </c>
      <c r="I33" s="10">
        <f>2975.82+99+289.98+54.5</f>
        <v>3419.3</v>
      </c>
      <c r="J33" s="10">
        <f>2975.82+99+289.98+54.5</f>
        <v>3419.3</v>
      </c>
      <c r="K33" s="9">
        <f t="shared" si="3"/>
        <v>10580.7</v>
      </c>
      <c r="L33" s="29"/>
    </row>
    <row r="34" spans="1:13">
      <c r="A34" s="6">
        <v>2451</v>
      </c>
      <c r="B34" s="7">
        <v>1</v>
      </c>
      <c r="C34" s="17" t="s">
        <v>70</v>
      </c>
      <c r="D34" s="9">
        <v>0</v>
      </c>
      <c r="E34" s="9">
        <v>6000</v>
      </c>
      <c r="F34" s="10">
        <f t="shared" si="0"/>
        <v>6000</v>
      </c>
      <c r="G34" s="10">
        <v>0</v>
      </c>
      <c r="H34" s="10">
        <v>0</v>
      </c>
      <c r="I34" s="10">
        <v>0</v>
      </c>
      <c r="J34" s="10">
        <v>0</v>
      </c>
      <c r="K34" s="9">
        <f t="shared" si="3"/>
        <v>6000</v>
      </c>
      <c r="L34" s="29"/>
    </row>
    <row r="35" spans="1:13">
      <c r="A35" s="6">
        <v>2461</v>
      </c>
      <c r="B35" s="7">
        <v>1</v>
      </c>
      <c r="C35" s="17" t="s">
        <v>33</v>
      </c>
      <c r="D35" s="9"/>
      <c r="E35" s="9">
        <f>6000+600000-30000-50000</f>
        <v>526000</v>
      </c>
      <c r="F35" s="10">
        <f t="shared" si="0"/>
        <v>526000</v>
      </c>
      <c r="G35" s="10">
        <f>214.1+119.6+285848.36+292.79+346.75</f>
        <v>286821.59999999998</v>
      </c>
      <c r="H35" s="10">
        <f>214.1+119.6+285848.36+292.79+346.75</f>
        <v>286821.59999999998</v>
      </c>
      <c r="I35" s="10">
        <f>214.1+119.6+285848.36+292.79+346.75</f>
        <v>286821.59999999998</v>
      </c>
      <c r="J35" s="10">
        <f>214.1+119.6+285848.36+292.79+346.75</f>
        <v>286821.59999999998</v>
      </c>
      <c r="K35" s="9">
        <f t="shared" si="3"/>
        <v>239178.40000000002</v>
      </c>
      <c r="L35" s="29"/>
    </row>
    <row r="36" spans="1:13">
      <c r="A36" s="6">
        <v>2481</v>
      </c>
      <c r="B36" s="7"/>
      <c r="C36" s="17" t="s">
        <v>93</v>
      </c>
      <c r="D36" s="9">
        <v>0</v>
      </c>
      <c r="E36" s="9">
        <v>5000</v>
      </c>
      <c r="F36" s="10">
        <f t="shared" si="0"/>
        <v>5000</v>
      </c>
      <c r="G36" s="10">
        <f>3455</f>
        <v>3455</v>
      </c>
      <c r="H36" s="10">
        <f>3455</f>
        <v>3455</v>
      </c>
      <c r="I36" s="10">
        <f>3455</f>
        <v>3455</v>
      </c>
      <c r="J36" s="10">
        <f>3455</f>
        <v>3455</v>
      </c>
      <c r="K36" s="9">
        <f t="shared" si="3"/>
        <v>1545</v>
      </c>
      <c r="L36" s="29"/>
    </row>
    <row r="37" spans="1:13" ht="25.5">
      <c r="A37" s="6">
        <v>2491</v>
      </c>
      <c r="B37" s="7">
        <v>1</v>
      </c>
      <c r="C37" s="17" t="s">
        <v>34</v>
      </c>
      <c r="D37" s="9">
        <v>0</v>
      </c>
      <c r="E37" s="9">
        <v>45000</v>
      </c>
      <c r="F37" s="10">
        <f t="shared" si="0"/>
        <v>45000</v>
      </c>
      <c r="G37" s="10">
        <f>100.98+17.64+121.23+19+4044.12</f>
        <v>4302.97</v>
      </c>
      <c r="H37" s="10">
        <f>100.98+17.64+121.23+19+4044.12</f>
        <v>4302.97</v>
      </c>
      <c r="I37" s="10">
        <f>100.98+17.64+121.23+19+4044.12</f>
        <v>4302.97</v>
      </c>
      <c r="J37" s="10">
        <f>100.98+17.64+121.23+19+4044.12</f>
        <v>4302.97</v>
      </c>
      <c r="K37" s="9">
        <f t="shared" si="3"/>
        <v>40697.03</v>
      </c>
      <c r="L37" s="29"/>
    </row>
    <row r="38" spans="1:13">
      <c r="A38" s="6">
        <v>2531</v>
      </c>
      <c r="B38" s="7">
        <v>1</v>
      </c>
      <c r="C38" s="17" t="s">
        <v>35</v>
      </c>
      <c r="D38" s="9">
        <v>0</v>
      </c>
      <c r="E38" s="9">
        <v>4500</v>
      </c>
      <c r="F38" s="10">
        <f t="shared" si="0"/>
        <v>4500</v>
      </c>
      <c r="G38" s="10">
        <v>647.15</v>
      </c>
      <c r="H38" s="10">
        <v>647.15</v>
      </c>
      <c r="I38" s="10">
        <v>647.15</v>
      </c>
      <c r="J38" s="10">
        <v>647.15</v>
      </c>
      <c r="K38" s="9">
        <f t="shared" si="3"/>
        <v>3852.85</v>
      </c>
      <c r="L38" s="29"/>
    </row>
    <row r="39" spans="1:13" ht="38.25">
      <c r="A39" s="6">
        <v>2612</v>
      </c>
      <c r="B39" s="7">
        <v>1</v>
      </c>
      <c r="C39" s="17" t="s">
        <v>71</v>
      </c>
      <c r="D39" s="9">
        <v>0</v>
      </c>
      <c r="E39" s="9">
        <f>165000+10000+60000</f>
        <v>235000</v>
      </c>
      <c r="F39" s="10">
        <f t="shared" si="0"/>
        <v>235000</v>
      </c>
      <c r="G39" s="10">
        <f>12110.4+11510.4+12560.4+23420.8+23520.8+12510.4+23320.8+24620.81+11810.4+11510.4+23820.81+11510.4</f>
        <v>202226.81999999998</v>
      </c>
      <c r="H39" s="10">
        <f>12110.4+11510.4+12560.4+23420.8+23520.8+12510.4+23320.8+24620.81+11810.4+11510.4+23820.81+11510.4</f>
        <v>202226.81999999998</v>
      </c>
      <c r="I39" s="10">
        <f>12110.4+11510.4+12560.4+23420.8+23520.8+12510.4+23320.8+24620.81+11810.4+11510.4+23820.81+11510.4</f>
        <v>202226.81999999998</v>
      </c>
      <c r="J39" s="10">
        <f>12110.4+11510.4+12560.4+23420.8+23520.8+12510.4+23320.8+24620.81+11810.4+11510.4+23820.81+11510.4</f>
        <v>202226.81999999998</v>
      </c>
      <c r="K39" s="9">
        <f t="shared" si="3"/>
        <v>32773.180000000022</v>
      </c>
      <c r="L39" s="29"/>
    </row>
    <row r="40" spans="1:13">
      <c r="A40" s="6">
        <v>2711</v>
      </c>
      <c r="B40" s="7">
        <v>1</v>
      </c>
      <c r="C40" s="17" t="s">
        <v>36</v>
      </c>
      <c r="D40" s="9">
        <v>0</v>
      </c>
      <c r="E40" s="9">
        <f>400000-10000</f>
        <v>390000</v>
      </c>
      <c r="F40" s="10">
        <f t="shared" si="0"/>
        <v>390000</v>
      </c>
      <c r="G40" s="10">
        <f>47405+32975.99+24174.4+17057.5+4952.04+31439.68+54868.47+11100</f>
        <v>223973.08</v>
      </c>
      <c r="H40" s="10">
        <f>47405+32975.99+24174.4+17057.5+4952.04+31439.68+54868.47+11100</f>
        <v>223973.08</v>
      </c>
      <c r="I40" s="10">
        <f>47405+32975.99+24174.4+17057.5+4952.04+31439.68+54868.47+11100</f>
        <v>223973.08</v>
      </c>
      <c r="J40" s="10">
        <f>47405+32975.99+24174.4+17057.5+4952.04+31439.68+54868.47+11100</f>
        <v>223973.08</v>
      </c>
      <c r="K40" s="9">
        <f t="shared" si="3"/>
        <v>166026.92000000001</v>
      </c>
      <c r="L40" s="29"/>
    </row>
    <row r="41" spans="1:13">
      <c r="A41" s="6">
        <v>2721</v>
      </c>
      <c r="B41" s="7">
        <v>1</v>
      </c>
      <c r="C41" s="17" t="s">
        <v>37</v>
      </c>
      <c r="D41" s="9">
        <v>0</v>
      </c>
      <c r="E41" s="9">
        <v>3000</v>
      </c>
      <c r="F41" s="10">
        <f t="shared" si="0"/>
        <v>3000</v>
      </c>
      <c r="G41" s="10">
        <v>0</v>
      </c>
      <c r="H41" s="10">
        <v>0</v>
      </c>
      <c r="I41" s="10">
        <v>0</v>
      </c>
      <c r="J41" s="10">
        <v>0</v>
      </c>
      <c r="K41" s="9">
        <f t="shared" si="3"/>
        <v>3000</v>
      </c>
      <c r="L41" s="29"/>
    </row>
    <row r="42" spans="1:13">
      <c r="A42" s="6">
        <v>2911</v>
      </c>
      <c r="B42" s="7">
        <v>1</v>
      </c>
      <c r="C42" s="17" t="s">
        <v>38</v>
      </c>
      <c r="D42" s="9">
        <v>0</v>
      </c>
      <c r="E42" s="9">
        <v>2500</v>
      </c>
      <c r="F42" s="10">
        <f t="shared" si="0"/>
        <v>2500</v>
      </c>
      <c r="G42" s="10">
        <v>0</v>
      </c>
      <c r="H42" s="10">
        <v>0</v>
      </c>
      <c r="I42" s="10">
        <v>0</v>
      </c>
      <c r="J42" s="10">
        <v>0</v>
      </c>
      <c r="K42" s="9">
        <f t="shared" si="3"/>
        <v>2500</v>
      </c>
      <c r="L42" s="29"/>
    </row>
    <row r="43" spans="1:13">
      <c r="A43" s="6">
        <v>2921</v>
      </c>
      <c r="B43" s="7">
        <v>1</v>
      </c>
      <c r="C43" s="17" t="s">
        <v>39</v>
      </c>
      <c r="D43" s="9">
        <v>0</v>
      </c>
      <c r="E43" s="9">
        <v>8500</v>
      </c>
      <c r="F43" s="10">
        <f t="shared" si="0"/>
        <v>8500</v>
      </c>
      <c r="G43" s="10">
        <f>15+167.04+150.8</f>
        <v>332.84000000000003</v>
      </c>
      <c r="H43" s="10">
        <f>15+167.04+150.8</f>
        <v>332.84000000000003</v>
      </c>
      <c r="I43" s="10">
        <f>15+167.04+150.8</f>
        <v>332.84000000000003</v>
      </c>
      <c r="J43" s="10">
        <f>15+167.04+150.8</f>
        <v>332.84000000000003</v>
      </c>
      <c r="K43" s="9">
        <f t="shared" si="3"/>
        <v>8167.16</v>
      </c>
      <c r="L43" s="29"/>
    </row>
    <row r="44" spans="1:13" ht="25.5">
      <c r="A44" s="6">
        <v>2941</v>
      </c>
      <c r="B44" s="7">
        <v>1</v>
      </c>
      <c r="C44" s="17" t="s">
        <v>40</v>
      </c>
      <c r="D44" s="9">
        <v>0</v>
      </c>
      <c r="E44" s="9">
        <v>10000</v>
      </c>
      <c r="F44" s="10">
        <f t="shared" si="0"/>
        <v>10000</v>
      </c>
      <c r="G44" s="10">
        <f>80+278.05+1385.92+499</f>
        <v>2242.9700000000003</v>
      </c>
      <c r="H44" s="10">
        <f>80+278.05+1385.92+499</f>
        <v>2242.9700000000003</v>
      </c>
      <c r="I44" s="10">
        <f>80+278.05+1385.92+499</f>
        <v>2242.9700000000003</v>
      </c>
      <c r="J44" s="10">
        <f>80+278.05+1385.92+499</f>
        <v>2242.9700000000003</v>
      </c>
      <c r="K44" s="9">
        <f t="shared" si="3"/>
        <v>7757.03</v>
      </c>
      <c r="L44" s="29"/>
    </row>
    <row r="45" spans="1:13" ht="25.5">
      <c r="A45" s="6">
        <v>2961</v>
      </c>
      <c r="B45" s="7">
        <v>1</v>
      </c>
      <c r="C45" s="17" t="s">
        <v>41</v>
      </c>
      <c r="D45" s="9">
        <v>0</v>
      </c>
      <c r="E45" s="9">
        <v>50000</v>
      </c>
      <c r="F45" s="10">
        <f t="shared" si="0"/>
        <v>50000</v>
      </c>
      <c r="G45" s="10">
        <f>11279.84+9033.83+13053.01+460+7150+1687.01+197</f>
        <v>42860.69</v>
      </c>
      <c r="H45" s="10">
        <f>11279.84+9033.83+13053.01+460+7150+1687.01+197</f>
        <v>42860.69</v>
      </c>
      <c r="I45" s="10">
        <f>11279.84+9033.83+13053.01+460+7150+1687.01+197</f>
        <v>42860.69</v>
      </c>
      <c r="J45" s="10">
        <f>11279.84+9033.83+13053.01+460+7150+1687.01+197</f>
        <v>42860.69</v>
      </c>
      <c r="K45" s="9">
        <f t="shared" si="3"/>
        <v>7139.3099999999977</v>
      </c>
      <c r="L45" s="29"/>
    </row>
    <row r="46" spans="1:13">
      <c r="A46" s="11"/>
      <c r="B46" s="12"/>
      <c r="C46" s="13" t="s">
        <v>42</v>
      </c>
      <c r="D46" s="14">
        <v>0</v>
      </c>
      <c r="E46" s="14">
        <f t="shared" ref="E46:K46" si="4">SUM(E27:E45)</f>
        <v>1605000</v>
      </c>
      <c r="F46" s="14">
        <f t="shared" si="4"/>
        <v>1605000</v>
      </c>
      <c r="G46" s="14">
        <f t="shared" si="4"/>
        <v>1054044.6899999997</v>
      </c>
      <c r="H46" s="14">
        <f t="shared" si="4"/>
        <v>1054044.6899999997</v>
      </c>
      <c r="I46" s="14">
        <f>SUM(I27:I45)</f>
        <v>1054044.6899999997</v>
      </c>
      <c r="J46" s="14">
        <f t="shared" si="4"/>
        <v>1054044.6899999997</v>
      </c>
      <c r="K46" s="14">
        <f t="shared" si="4"/>
        <v>550955.31000000006</v>
      </c>
      <c r="L46" s="29"/>
      <c r="M46" s="15"/>
    </row>
    <row r="47" spans="1:13">
      <c r="A47" s="31">
        <v>3111</v>
      </c>
      <c r="B47" s="16">
        <v>1</v>
      </c>
      <c r="C47" s="17" t="s">
        <v>43</v>
      </c>
      <c r="D47" s="18"/>
      <c r="E47" s="19">
        <f>180000-15000</f>
        <v>165000</v>
      </c>
      <c r="F47" s="10">
        <f t="shared" si="0"/>
        <v>165000</v>
      </c>
      <c r="G47" s="19">
        <f>1392+34596.24+8869+3942+4717+763.35+370</f>
        <v>54649.59</v>
      </c>
      <c r="H47" s="19">
        <f>1392+34596.24+8869+3942+4717+763.35+370</f>
        <v>54649.59</v>
      </c>
      <c r="I47" s="19">
        <f>1392+34596.24+8869+3942+4717+763.35+370</f>
        <v>54649.59</v>
      </c>
      <c r="J47" s="19">
        <f>1392+34596.24+8869+3942+4717+763.35+370</f>
        <v>54649.59</v>
      </c>
      <c r="K47" s="9">
        <f t="shared" si="3"/>
        <v>110350.41</v>
      </c>
      <c r="L47" s="29"/>
    </row>
    <row r="48" spans="1:13">
      <c r="A48" s="31">
        <v>3151</v>
      </c>
      <c r="B48" s="7">
        <v>1</v>
      </c>
      <c r="C48" s="17" t="s">
        <v>44</v>
      </c>
      <c r="D48" s="9">
        <v>0</v>
      </c>
      <c r="E48" s="9">
        <v>12000</v>
      </c>
      <c r="F48" s="10">
        <f t="shared" si="0"/>
        <v>12000</v>
      </c>
      <c r="G48" s="10">
        <f>100+99.99+300+130+100+100+100+130</f>
        <v>1059.99</v>
      </c>
      <c r="H48" s="10">
        <f>100+99.99+300+130+100+100+100+130</f>
        <v>1059.99</v>
      </c>
      <c r="I48" s="10">
        <f>100+99.99+300+130+100+100+100+130</f>
        <v>1059.99</v>
      </c>
      <c r="J48" s="10">
        <f>100+99.99+300+130+100+100+100+130</f>
        <v>1059.99</v>
      </c>
      <c r="K48" s="9">
        <f t="shared" si="3"/>
        <v>10940.01</v>
      </c>
      <c r="L48" s="29"/>
    </row>
    <row r="49" spans="1:12" ht="25.5">
      <c r="A49" s="31">
        <v>3171</v>
      </c>
      <c r="B49" s="7">
        <v>1</v>
      </c>
      <c r="C49" s="33" t="s">
        <v>45</v>
      </c>
      <c r="D49" s="9">
        <v>0</v>
      </c>
      <c r="E49" s="9">
        <f>18000+30000+30000</f>
        <v>78000</v>
      </c>
      <c r="F49" s="10">
        <f t="shared" si="0"/>
        <v>78000</v>
      </c>
      <c r="G49" s="10">
        <f>4650+3414.83+2427+1398+1402+3322.27+18953+1541+17232+9019</f>
        <v>63359.1</v>
      </c>
      <c r="H49" s="10">
        <f>4650+3414.83+2427+1398+1402+3322.27+18953+1541+17232+9019</f>
        <v>63359.1</v>
      </c>
      <c r="I49" s="10">
        <f>4650+3414.83+2427+1398+1402+3322.27+18953+1541+17232+9019</f>
        <v>63359.1</v>
      </c>
      <c r="J49" s="10">
        <f>4650+3414.83+2427+1398+1402+3322.27+18953+1541+17232+9019</f>
        <v>63359.1</v>
      </c>
      <c r="K49" s="9">
        <f t="shared" si="3"/>
        <v>14640.900000000001</v>
      </c>
      <c r="L49" s="29"/>
    </row>
    <row r="50" spans="1:12">
      <c r="A50" s="34">
        <v>3181</v>
      </c>
      <c r="B50" s="7">
        <v>1</v>
      </c>
      <c r="C50" s="35" t="s">
        <v>46</v>
      </c>
      <c r="D50" s="9">
        <v>0</v>
      </c>
      <c r="E50" s="9">
        <v>12500</v>
      </c>
      <c r="F50" s="10">
        <f t="shared" si="0"/>
        <v>12500</v>
      </c>
      <c r="G50" s="10">
        <f>8374.06+69.6+1230+-355.8+1030.86</f>
        <v>10348.720000000001</v>
      </c>
      <c r="H50" s="10">
        <f>8374.06+69.6+1230+-355.8+1030.86</f>
        <v>10348.720000000001</v>
      </c>
      <c r="I50" s="10">
        <f>8374.06+69.6+1230+-355.8+1030.86</f>
        <v>10348.720000000001</v>
      </c>
      <c r="J50" s="10">
        <f>8374.06+69.6+1230+-355.8+1030.86</f>
        <v>10348.720000000001</v>
      </c>
      <c r="K50" s="9">
        <f t="shared" si="3"/>
        <v>2151.2799999999988</v>
      </c>
      <c r="L50" s="29"/>
    </row>
    <row r="51" spans="1:12">
      <c r="A51" s="31">
        <v>3232</v>
      </c>
      <c r="B51" s="7">
        <v>1</v>
      </c>
      <c r="C51" s="17" t="s">
        <v>72</v>
      </c>
      <c r="D51" s="9">
        <v>0</v>
      </c>
      <c r="E51" s="9">
        <v>32000</v>
      </c>
      <c r="F51" s="10">
        <f t="shared" si="0"/>
        <v>32000</v>
      </c>
      <c r="G51" s="10">
        <f>3915.9+1513.8+1450+1450+1710.54+1450+1450+1450+1450+1450+1450</f>
        <v>18740.240000000002</v>
      </c>
      <c r="H51" s="10">
        <f>3915.9+1513.8+1450+1450+1710.54+1450+1450+1450+1450+1450+1450</f>
        <v>18740.240000000002</v>
      </c>
      <c r="I51" s="10">
        <f>3915.9+1513.8+1450+1450+1710.54+1450+1450+1450+1450+1450+1450</f>
        <v>18740.240000000002</v>
      </c>
      <c r="J51" s="10">
        <f>3915.9+1513.8+1450+1450+1710.54+1450+1450+1450+1450+1450+1450</f>
        <v>18740.240000000002</v>
      </c>
      <c r="K51" s="9">
        <f t="shared" si="3"/>
        <v>13259.759999999998</v>
      </c>
      <c r="L51" s="29"/>
    </row>
    <row r="52" spans="1:12" ht="38.25">
      <c r="A52" s="31">
        <v>3251</v>
      </c>
      <c r="B52" s="7">
        <v>1</v>
      </c>
      <c r="C52" s="17" t="s">
        <v>73</v>
      </c>
      <c r="D52" s="10">
        <v>0</v>
      </c>
      <c r="E52" s="10">
        <v>18000</v>
      </c>
      <c r="F52" s="10">
        <f t="shared" si="0"/>
        <v>18000</v>
      </c>
      <c r="G52" s="10">
        <f>7540</f>
        <v>7540</v>
      </c>
      <c r="H52" s="10">
        <f>7540</f>
        <v>7540</v>
      </c>
      <c r="I52" s="10">
        <f>7540</f>
        <v>7540</v>
      </c>
      <c r="J52" s="10">
        <f>7540</f>
        <v>7540</v>
      </c>
      <c r="K52" s="10">
        <f t="shared" si="3"/>
        <v>10460</v>
      </c>
      <c r="L52" s="29"/>
    </row>
    <row r="53" spans="1:12" ht="38.25">
      <c r="A53" s="31">
        <v>3252</v>
      </c>
      <c r="B53" s="7">
        <v>1</v>
      </c>
      <c r="C53" s="17" t="s">
        <v>74</v>
      </c>
      <c r="D53" s="10"/>
      <c r="E53" s="10">
        <v>30000</v>
      </c>
      <c r="F53" s="10">
        <f t="shared" si="0"/>
        <v>30000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3"/>
        <v>30000</v>
      </c>
      <c r="L53" s="29"/>
    </row>
    <row r="54" spans="1:12" ht="25.5">
      <c r="A54" s="31">
        <v>3311</v>
      </c>
      <c r="B54" s="7">
        <v>1</v>
      </c>
      <c r="C54" s="17" t="s">
        <v>47</v>
      </c>
      <c r="D54" s="9"/>
      <c r="E54" s="9">
        <v>350000</v>
      </c>
      <c r="F54" s="10">
        <f t="shared" si="0"/>
        <v>350000</v>
      </c>
      <c r="G54" s="10">
        <f>75000+5800+75000.01+5800+139200-23200+65076-75000-75000.01+116000</f>
        <v>308676</v>
      </c>
      <c r="H54" s="10">
        <f>75000+5800+75000.01+5800+139200-23200+65076-75000-75000.01+116000</f>
        <v>308676</v>
      </c>
      <c r="I54" s="10">
        <f>75000+5800+75000.01+5800+139200-23200+65076-75000-75000.01+116000</f>
        <v>308676</v>
      </c>
      <c r="J54" s="10">
        <f>75000+5800+75000.01+5800+139200-23200+65076-75000-75000.01+116000</f>
        <v>308676</v>
      </c>
      <c r="K54" s="9">
        <f t="shared" si="3"/>
        <v>41324</v>
      </c>
      <c r="L54" s="29"/>
    </row>
    <row r="55" spans="1:12" ht="25.5">
      <c r="A55" s="31">
        <v>3321</v>
      </c>
      <c r="B55" s="7">
        <v>1</v>
      </c>
      <c r="C55" s="17" t="s">
        <v>75</v>
      </c>
      <c r="D55" s="9">
        <v>0</v>
      </c>
      <c r="E55" s="9">
        <f>150000-15000</f>
        <v>135000</v>
      </c>
      <c r="F55" s="10">
        <f t="shared" si="0"/>
        <v>135000</v>
      </c>
      <c r="G55" s="10">
        <f>40826+8700</f>
        <v>49526</v>
      </c>
      <c r="H55" s="10">
        <f>40826+8700</f>
        <v>49526</v>
      </c>
      <c r="I55" s="10">
        <f>40826+8700</f>
        <v>49526</v>
      </c>
      <c r="J55" s="10">
        <f>40826+8700</f>
        <v>49526</v>
      </c>
      <c r="K55" s="9">
        <f t="shared" si="3"/>
        <v>85474</v>
      </c>
      <c r="L55" s="29"/>
    </row>
    <row r="56" spans="1:12">
      <c r="A56" s="31">
        <v>3331</v>
      </c>
      <c r="B56" s="7">
        <v>1</v>
      </c>
      <c r="C56" s="17" t="s">
        <v>76</v>
      </c>
      <c r="D56" s="9"/>
      <c r="E56" s="9">
        <f>150000-15000</f>
        <v>135000</v>
      </c>
      <c r="F56" s="10">
        <f t="shared" si="0"/>
        <v>135000</v>
      </c>
      <c r="G56" s="10">
        <f>696+23200+754</f>
        <v>24650</v>
      </c>
      <c r="H56" s="10">
        <f>696+23200+754</f>
        <v>24650</v>
      </c>
      <c r="I56" s="10">
        <f>696+23200+754</f>
        <v>24650</v>
      </c>
      <c r="J56" s="10">
        <f>696+23200+754</f>
        <v>24650</v>
      </c>
      <c r="K56" s="9">
        <f t="shared" si="3"/>
        <v>110350</v>
      </c>
      <c r="L56" s="29"/>
    </row>
    <row r="57" spans="1:12">
      <c r="A57" s="31">
        <v>3341</v>
      </c>
      <c r="B57" s="7">
        <v>1</v>
      </c>
      <c r="C57" s="17" t="s">
        <v>48</v>
      </c>
      <c r="D57" s="9">
        <v>0</v>
      </c>
      <c r="E57" s="9">
        <f>299999.8-30000+70000</f>
        <v>339999.8</v>
      </c>
      <c r="F57" s="10">
        <f t="shared" si="0"/>
        <v>339999.8</v>
      </c>
      <c r="G57" s="10">
        <f>21700+42812+30712+46432+37074+24260+21360+37771.2+44500.46+20940+9300.54</f>
        <v>336862.2</v>
      </c>
      <c r="H57" s="10">
        <f>21700+42812+30712+46432+37074+24260+21360+37771.2+44500.46+20940+9300.54</f>
        <v>336862.2</v>
      </c>
      <c r="I57" s="10">
        <f>21700+42812+30712+46432+37074+24260+21360+37771.2+44500.46+20940+9300.54</f>
        <v>336862.2</v>
      </c>
      <c r="J57" s="10">
        <f>21700+42812+30712+46432+37074+24260+21360+37771.2+44500.46+20940+9300.54</f>
        <v>336862.2</v>
      </c>
      <c r="K57" s="9">
        <f t="shared" si="3"/>
        <v>3137.5999999999767</v>
      </c>
      <c r="L57" s="29"/>
    </row>
    <row r="58" spans="1:12">
      <c r="A58" s="31">
        <v>3342</v>
      </c>
      <c r="B58" s="7">
        <v>1</v>
      </c>
      <c r="C58" s="17" t="s">
        <v>77</v>
      </c>
      <c r="D58" s="9">
        <v>0</v>
      </c>
      <c r="E58" s="9">
        <f>450000-45000-40000</f>
        <v>365000</v>
      </c>
      <c r="F58" s="10">
        <f t="shared" si="0"/>
        <v>365000</v>
      </c>
      <c r="G58" s="10">
        <f>23868.98+927.5+867.1+17400+9720.8</f>
        <v>52784.380000000005</v>
      </c>
      <c r="H58" s="10">
        <f>23868.98+927.5+867.1+17400+9720.8</f>
        <v>52784.380000000005</v>
      </c>
      <c r="I58" s="10">
        <f>23868.98+927.5+867.1+17400+9720.8</f>
        <v>52784.380000000005</v>
      </c>
      <c r="J58" s="10">
        <f>23868.98+927.5+867.1+17400+9720.8</f>
        <v>52784.380000000005</v>
      </c>
      <c r="K58" s="9">
        <f t="shared" si="3"/>
        <v>312215.62</v>
      </c>
      <c r="L58" s="29"/>
    </row>
    <row r="59" spans="1:12" ht="25.5">
      <c r="A59" s="31">
        <v>3362</v>
      </c>
      <c r="B59" s="7">
        <v>1</v>
      </c>
      <c r="C59" s="17" t="s">
        <v>78</v>
      </c>
      <c r="D59" s="9">
        <v>0</v>
      </c>
      <c r="E59" s="9">
        <v>65000</v>
      </c>
      <c r="F59" s="10">
        <f t="shared" si="0"/>
        <v>65000</v>
      </c>
      <c r="G59" s="10">
        <f>348+348+10739.28+10614+348+1844.4</f>
        <v>24241.68</v>
      </c>
      <c r="H59" s="10">
        <f>348+348+10739.28+10614+348+1844.4</f>
        <v>24241.68</v>
      </c>
      <c r="I59" s="10">
        <f>348+348+10739.28+10614+348+1844.4</f>
        <v>24241.68</v>
      </c>
      <c r="J59" s="10">
        <f>348+348+10739.28+10614+348+1844.4</f>
        <v>24241.68</v>
      </c>
      <c r="K59" s="9">
        <f t="shared" si="3"/>
        <v>40758.32</v>
      </c>
      <c r="L59" s="29"/>
    </row>
    <row r="60" spans="1:12" ht="25.5">
      <c r="A60" s="31">
        <v>3363</v>
      </c>
      <c r="B60" s="7"/>
      <c r="C60" s="17" t="s">
        <v>94</v>
      </c>
      <c r="D60" s="9">
        <v>0</v>
      </c>
      <c r="E60" s="9">
        <v>30000</v>
      </c>
      <c r="F60" s="10">
        <f t="shared" si="0"/>
        <v>30000</v>
      </c>
      <c r="G60" s="10">
        <v>0</v>
      </c>
      <c r="H60" s="10">
        <v>0</v>
      </c>
      <c r="I60" s="10">
        <v>0</v>
      </c>
      <c r="J60" s="10">
        <v>0</v>
      </c>
      <c r="K60" s="9">
        <f t="shared" si="3"/>
        <v>30000</v>
      </c>
      <c r="L60" s="29"/>
    </row>
    <row r="61" spans="1:12">
      <c r="A61" s="36">
        <v>3381</v>
      </c>
      <c r="B61" s="7">
        <v>1</v>
      </c>
      <c r="C61" s="37" t="s">
        <v>49</v>
      </c>
      <c r="D61" s="9"/>
      <c r="E61" s="9">
        <f>400000-40000-30000</f>
        <v>330000</v>
      </c>
      <c r="F61" s="10">
        <f t="shared" si="0"/>
        <v>330000</v>
      </c>
      <c r="G61" s="10">
        <f>7237.24+20000+20000+20000+20000+30500.01+41000.02+41000.02</f>
        <v>199737.28999999998</v>
      </c>
      <c r="H61" s="10">
        <f>7237.24+20000+20000+20000+20000+30500.01+41000.02+41000.02</f>
        <v>199737.28999999998</v>
      </c>
      <c r="I61" s="10">
        <f>7237.24+20000+20000+20000+20000+30500.01+41000.02+41000.02</f>
        <v>199737.28999999998</v>
      </c>
      <c r="J61" s="10">
        <f>7237.24+20000+20000+20000+20000+30500.01+41000.02+41000.02</f>
        <v>199737.28999999998</v>
      </c>
      <c r="K61" s="9">
        <f t="shared" si="3"/>
        <v>130262.71000000002</v>
      </c>
      <c r="L61" s="29"/>
    </row>
    <row r="62" spans="1:12">
      <c r="A62" s="31">
        <v>3411</v>
      </c>
      <c r="B62" s="7">
        <v>1</v>
      </c>
      <c r="C62" s="17" t="s">
        <v>50</v>
      </c>
      <c r="D62" s="9">
        <v>0</v>
      </c>
      <c r="E62" s="9">
        <f>200000-20000</f>
        <v>180000</v>
      </c>
      <c r="F62" s="10">
        <f t="shared" si="0"/>
        <v>180000</v>
      </c>
      <c r="G62" s="10">
        <f>7835.8+1102+385.35+287.68+547.52+255.2+309.2+1162.27+1162.27+59167.39+3340.68+2728.74+61607.97</f>
        <v>139892.07</v>
      </c>
      <c r="H62" s="10">
        <f>7835.8+1102+385.35+287.68+547.52+255.2+309.2+1162.27+1162.27+59167.39+3340.68+2728.74+61607.97</f>
        <v>139892.07</v>
      </c>
      <c r="I62" s="10">
        <f>7835.8+1102+385.35+287.68+547.52+255.2+309.2+1162.27+1162.27+59167.39+3340.68+2728.74+61607.97</f>
        <v>139892.07</v>
      </c>
      <c r="J62" s="10">
        <f>7835.8+1102+385.35+287.68+547.52+255.2+309.2+1162.27+1162.27+59167.39+3340.68+2728.74+61607.97</f>
        <v>139892.07</v>
      </c>
      <c r="K62" s="9">
        <f t="shared" si="3"/>
        <v>40107.929999999993</v>
      </c>
      <c r="L62" s="29"/>
    </row>
    <row r="63" spans="1:12">
      <c r="A63" s="38">
        <v>3451</v>
      </c>
      <c r="B63" s="7">
        <v>1</v>
      </c>
      <c r="C63" s="39" t="s">
        <v>51</v>
      </c>
      <c r="D63" s="9">
        <v>0</v>
      </c>
      <c r="E63" s="9">
        <f>150000-15000</f>
        <v>135000</v>
      </c>
      <c r="F63" s="10">
        <f t="shared" si="0"/>
        <v>135000</v>
      </c>
      <c r="G63" s="10">
        <f>67255.65-5955.13+10369.76+8827.6</f>
        <v>80497.88</v>
      </c>
      <c r="H63" s="10">
        <f>67255.65-5955.13+10369.76+8827.6</f>
        <v>80497.88</v>
      </c>
      <c r="I63" s="10">
        <f>67255.65-5955.13+10369.76+8827.6</f>
        <v>80497.88</v>
      </c>
      <c r="J63" s="10">
        <f>67255.65-5955.13+10369.76+8827.6</f>
        <v>80497.88</v>
      </c>
      <c r="K63" s="9">
        <f t="shared" si="3"/>
        <v>54502.119999999995</v>
      </c>
      <c r="L63" s="29"/>
    </row>
    <row r="64" spans="1:12">
      <c r="A64" s="40">
        <v>3461</v>
      </c>
      <c r="B64" s="7">
        <v>1</v>
      </c>
      <c r="C64" s="33" t="s">
        <v>52</v>
      </c>
      <c r="D64" s="9">
        <v>0</v>
      </c>
      <c r="E64" s="9">
        <v>75000</v>
      </c>
      <c r="F64" s="10">
        <f t="shared" si="0"/>
        <v>75000</v>
      </c>
      <c r="G64" s="10">
        <f>6684.38+3342.19+3342.19+3342.19+3855.14+3342.19+3342.19+3342.19+3342.19+3342.19+3361.84</f>
        <v>40638.880000000005</v>
      </c>
      <c r="H64" s="10">
        <f>6684.38+3342.19+3342.19+3342.19+3855.14+3342.19+3342.19+3342.19+3342.19+3342.19+3361.84</f>
        <v>40638.880000000005</v>
      </c>
      <c r="I64" s="10">
        <f>6684.38+3342.19+3342.19+3342.19+3855.14+3342.19+3342.19+3342.19+3342.19+3342.19+3361.84</f>
        <v>40638.880000000005</v>
      </c>
      <c r="J64" s="10">
        <f>6684.38+3342.19+3342.19+3342.19+3855.14+3342.19+3342.19+3342.19+3342.19+3342.19+3361.84</f>
        <v>40638.880000000005</v>
      </c>
      <c r="K64" s="9">
        <f t="shared" si="3"/>
        <v>34361.119999999995</v>
      </c>
      <c r="L64" s="29"/>
    </row>
    <row r="65" spans="1:15" ht="25.5">
      <c r="A65" s="31">
        <v>3511</v>
      </c>
      <c r="B65" s="7">
        <v>1</v>
      </c>
      <c r="C65" s="17" t="s">
        <v>79</v>
      </c>
      <c r="D65" s="10">
        <v>0</v>
      </c>
      <c r="E65" s="10">
        <f>200000-10000</f>
        <v>190000</v>
      </c>
      <c r="F65" s="10">
        <f t="shared" si="0"/>
        <v>190000</v>
      </c>
      <c r="G65" s="10">
        <f>174+406+522+2500+928+637.54+1786.18+3906.81+348+12473.48+2859.81+28968.08+10563.24+22040+290+34435.3</f>
        <v>122838.44000000002</v>
      </c>
      <c r="H65" s="10">
        <f>174+406+522+2500+928+637.54+1786.18+3906.81+348+12473.48+2859.81+28968.08+10563.24+22040+290+34435.3</f>
        <v>122838.44000000002</v>
      </c>
      <c r="I65" s="10">
        <f>174+406+522+2500+928+637.54+1786.18+3906.81+348+12473.48+2859.81+28968.08+10563.24+22040+290+34435.3</f>
        <v>122838.44000000002</v>
      </c>
      <c r="J65" s="10">
        <f>174+406+522+2500+928+637.54+1786.18+3906.81+348+12473.48+2859.81+28968.08+10563.24+22040+290+34435.3</f>
        <v>122838.44000000002</v>
      </c>
      <c r="K65" s="10">
        <f t="shared" si="3"/>
        <v>67161.559999999983</v>
      </c>
      <c r="L65" s="29"/>
      <c r="M65" s="29"/>
    </row>
    <row r="66" spans="1:15" ht="25.5">
      <c r="A66" s="31">
        <v>3512</v>
      </c>
      <c r="B66" s="7">
        <v>1</v>
      </c>
      <c r="C66" s="17" t="s">
        <v>80</v>
      </c>
      <c r="D66" s="10">
        <v>0</v>
      </c>
      <c r="E66" s="10">
        <f>1100000-100000-100000</f>
        <v>900000</v>
      </c>
      <c r="F66" s="10">
        <f t="shared" si="0"/>
        <v>900000</v>
      </c>
      <c r="G66" s="10">
        <f>99026.88+13442.08+16240+156930.88+3770+29860+9860+9860+92510</f>
        <v>431499.84</v>
      </c>
      <c r="H66" s="10">
        <f>99026.88+13442.08+16240+156930.88+3770+29860+9860+9860+92510</f>
        <v>431499.84</v>
      </c>
      <c r="I66" s="10">
        <f>99026.88+13442.08+16240+156930.88+3770+29860+9860+9860+92510</f>
        <v>431499.84</v>
      </c>
      <c r="J66" s="10">
        <f>99026.88+13442.08+16240+156930.88+3770+29860+9860+9860+92510</f>
        <v>431499.84</v>
      </c>
      <c r="K66" s="10">
        <f t="shared" si="3"/>
        <v>468500.16</v>
      </c>
      <c r="L66" s="29"/>
      <c r="M66" s="15"/>
    </row>
    <row r="67" spans="1:15" ht="25.5">
      <c r="A67" s="31">
        <v>3521</v>
      </c>
      <c r="B67" s="7">
        <v>1</v>
      </c>
      <c r="C67" s="17" t="s">
        <v>95</v>
      </c>
      <c r="D67" s="10">
        <v>0</v>
      </c>
      <c r="E67" s="10">
        <v>45000</v>
      </c>
      <c r="F67" s="10">
        <f t="shared" si="0"/>
        <v>45000</v>
      </c>
      <c r="G67" s="10">
        <f>25566.4+162.4+13920+613.41+1566</f>
        <v>41828.210000000006</v>
      </c>
      <c r="H67" s="10">
        <f>25566.4+162.4+13920+613.41+1566</f>
        <v>41828.210000000006</v>
      </c>
      <c r="I67" s="10">
        <f>25566.4+162.4+13920+613.41+1566</f>
        <v>41828.210000000006</v>
      </c>
      <c r="J67" s="10">
        <f>25566.4+162.4+13920+613.41+1566</f>
        <v>41828.210000000006</v>
      </c>
      <c r="K67" s="10">
        <f t="shared" si="3"/>
        <v>3171.7899999999936</v>
      </c>
      <c r="L67" s="29"/>
    </row>
    <row r="68" spans="1:15" ht="25.5">
      <c r="A68" s="31">
        <v>3531</v>
      </c>
      <c r="B68" s="7">
        <v>1</v>
      </c>
      <c r="C68" s="17" t="s">
        <v>53</v>
      </c>
      <c r="D68" s="10">
        <v>0</v>
      </c>
      <c r="E68" s="10">
        <f>112000-10000-10000</f>
        <v>92000</v>
      </c>
      <c r="F68" s="10">
        <f t="shared" si="0"/>
        <v>92000</v>
      </c>
      <c r="G68" s="10">
        <f>3932.4+1426.8+1058.29+2911.6+7998.2</f>
        <v>17327.29</v>
      </c>
      <c r="H68" s="10">
        <f>3932.4+1426.8+1058.29+2911.6+7998.2</f>
        <v>17327.29</v>
      </c>
      <c r="I68" s="10">
        <f>3932.4+1426.8+1058.29+2911.6+7998.2</f>
        <v>17327.29</v>
      </c>
      <c r="J68" s="10">
        <f>3932.4+1426.8+1058.29+2911.6+7998.2</f>
        <v>17327.29</v>
      </c>
      <c r="K68" s="10">
        <f t="shared" si="3"/>
        <v>74672.709999999992</v>
      </c>
      <c r="L68" s="29"/>
    </row>
    <row r="69" spans="1:15" ht="25.5">
      <c r="A69" s="31">
        <v>3551</v>
      </c>
      <c r="B69" s="7">
        <v>1</v>
      </c>
      <c r="C69" s="17" t="s">
        <v>81</v>
      </c>
      <c r="D69" s="10">
        <v>0</v>
      </c>
      <c r="E69" s="10">
        <v>175000</v>
      </c>
      <c r="F69" s="10">
        <f t="shared" si="0"/>
        <v>175000</v>
      </c>
      <c r="G69" s="10">
        <f>6095.05+4147.6+15093.05+20443.22+8934.03+382.52+18632.8+14608+11858.4+23942.78+13676.4</f>
        <v>137813.84999999998</v>
      </c>
      <c r="H69" s="10">
        <f>6095.05+4147.6+15093.05+20443.22+8934.03+382.52+18632.8+14608+11858.4+23942.78+13676.4</f>
        <v>137813.84999999998</v>
      </c>
      <c r="I69" s="10">
        <f>6095.05+4147.6+15093.05+20443.22+8934.03+382.52+18632.8+14608+11858.4+23942.78+13676.4</f>
        <v>137813.84999999998</v>
      </c>
      <c r="J69" s="10">
        <f>6095.05+4147.6+15093.05+20443.22+8934.03+382.52+18632.8+14608+11858.4+23942.78+13676.4</f>
        <v>137813.84999999998</v>
      </c>
      <c r="K69" s="10">
        <f t="shared" si="3"/>
        <v>37186.150000000023</v>
      </c>
      <c r="L69" s="29"/>
    </row>
    <row r="70" spans="1:15">
      <c r="A70" s="31">
        <v>3581</v>
      </c>
      <c r="B70" s="7">
        <v>1</v>
      </c>
      <c r="C70" s="17" t="s">
        <v>54</v>
      </c>
      <c r="D70" s="10">
        <v>0</v>
      </c>
      <c r="E70" s="10">
        <v>45000</v>
      </c>
      <c r="F70" s="10">
        <f t="shared" si="0"/>
        <v>45000</v>
      </c>
      <c r="G70" s="10">
        <f>5633.65+2493.61+1980.32+3112+2647.4+3156.24+2943.56+3360.8+4044.41+3031.48+85+2711.52</f>
        <v>35199.99</v>
      </c>
      <c r="H70" s="10">
        <f>5633.65+2493.61+1980.32+3112+2647.4+3156.24+2943.56+3360.8+4044.41+3031.48+85+2711.52</f>
        <v>35199.99</v>
      </c>
      <c r="I70" s="10">
        <f>5633.65+2493.61+1980.32+3112+2647.4+3156.24+2943.56+3360.8+4044.41+3031.48+85+2711.52</f>
        <v>35199.99</v>
      </c>
      <c r="J70" s="10">
        <f>5633.65+2493.61+1980.32+3112+2647.4+3156.24+2943.56+3360.8+4044.41+3031.48+85+2711.52</f>
        <v>35199.99</v>
      </c>
      <c r="K70" s="10">
        <f t="shared" si="3"/>
        <v>9800.010000000002</v>
      </c>
      <c r="L70" s="29"/>
    </row>
    <row r="71" spans="1:15" ht="38.25">
      <c r="A71" s="31">
        <v>3611</v>
      </c>
      <c r="B71" s="7">
        <v>1</v>
      </c>
      <c r="C71" s="33" t="s">
        <v>55</v>
      </c>
      <c r="D71" s="10">
        <v>0</v>
      </c>
      <c r="E71" s="10">
        <f>350000+150000</f>
        <v>500000</v>
      </c>
      <c r="F71" s="10">
        <f t="shared" si="0"/>
        <v>500000</v>
      </c>
      <c r="G71" s="10">
        <f>2644.8+69600+215320.04+142239.2+49457.76+18069.32</f>
        <v>497331.12000000005</v>
      </c>
      <c r="H71" s="10">
        <f>2644.8+69600+215320.04+142239.2+49457.76+18069.32</f>
        <v>497331.12000000005</v>
      </c>
      <c r="I71" s="10">
        <f>2644.8+69600+215320.04+142239.2+49457.76+18069.32</f>
        <v>497331.12000000005</v>
      </c>
      <c r="J71" s="10">
        <f>2644.8+69600+215320.04+142239.2+49457.76+18069.32</f>
        <v>497331.12000000005</v>
      </c>
      <c r="K71" s="10">
        <f t="shared" si="3"/>
        <v>2668.8799999999464</v>
      </c>
      <c r="L71" s="29"/>
    </row>
    <row r="72" spans="1:15">
      <c r="A72" s="31">
        <v>3711</v>
      </c>
      <c r="B72" s="7">
        <v>1</v>
      </c>
      <c r="C72" s="17" t="s">
        <v>82</v>
      </c>
      <c r="D72" s="10">
        <v>0</v>
      </c>
      <c r="E72" s="10">
        <v>110000</v>
      </c>
      <c r="F72" s="10">
        <f t="shared" si="0"/>
        <v>110000</v>
      </c>
      <c r="G72" s="10">
        <f>15424.44+3100+3942+7886+26021+8826+2164+9659.46+5024+5024</f>
        <v>87070.9</v>
      </c>
      <c r="H72" s="10">
        <f>15424.44+3100+3942+7886+26021+8826+2164+9659.46+5024+5024</f>
        <v>87070.9</v>
      </c>
      <c r="I72" s="10">
        <f>15424.44+3100+3942+7886+26021+8826+2164+9659.46+5024+5024</f>
        <v>87070.9</v>
      </c>
      <c r="J72" s="10">
        <f>15424.44+3100+3942+7886+26021+8826+2164+9659.46+5024+5024</f>
        <v>87070.9</v>
      </c>
      <c r="K72" s="10">
        <f t="shared" si="3"/>
        <v>22929.100000000006</v>
      </c>
      <c r="L72" s="29"/>
      <c r="M72" s="29"/>
    </row>
    <row r="73" spans="1:15">
      <c r="A73" s="31">
        <v>3712</v>
      </c>
      <c r="B73" s="7">
        <v>1</v>
      </c>
      <c r="C73" s="17" t="s">
        <v>83</v>
      </c>
      <c r="D73" s="10"/>
      <c r="E73" s="10">
        <v>40000</v>
      </c>
      <c r="F73" s="10">
        <f t="shared" si="0"/>
        <v>40000</v>
      </c>
      <c r="G73" s="10">
        <v>39843</v>
      </c>
      <c r="H73" s="10">
        <v>39843</v>
      </c>
      <c r="I73" s="10">
        <v>39843</v>
      </c>
      <c r="J73" s="10">
        <v>39843</v>
      </c>
      <c r="K73" s="10">
        <f t="shared" si="3"/>
        <v>157</v>
      </c>
      <c r="L73" s="29"/>
    </row>
    <row r="74" spans="1:15">
      <c r="A74" s="31">
        <v>3721</v>
      </c>
      <c r="B74" s="7">
        <v>1</v>
      </c>
      <c r="C74" s="17" t="s">
        <v>84</v>
      </c>
      <c r="D74" s="10">
        <v>0</v>
      </c>
      <c r="E74" s="10">
        <v>22000</v>
      </c>
      <c r="F74" s="10">
        <f t="shared" si="0"/>
        <v>22000</v>
      </c>
      <c r="G74" s="10">
        <f>1800+350+200+2152+1574+4098+1575.7+108+571+650+100</f>
        <v>13178.7</v>
      </c>
      <c r="H74" s="10">
        <f>1800+350+200+2152+1574+4098+1575.7+108+571+650+100</f>
        <v>13178.7</v>
      </c>
      <c r="I74" s="10">
        <f>1800+350+200+2152+1574+4098+1575.7+108+571+650+100</f>
        <v>13178.7</v>
      </c>
      <c r="J74" s="10">
        <f>1800+350+200+2152+1574+4098+1575.7+108+571+650+100</f>
        <v>13178.7</v>
      </c>
      <c r="K74" s="10">
        <f t="shared" si="3"/>
        <v>8821.2999999999993</v>
      </c>
      <c r="L74" s="29"/>
    </row>
    <row r="75" spans="1:15">
      <c r="A75" s="31">
        <v>3751</v>
      </c>
      <c r="B75" s="7">
        <v>1</v>
      </c>
      <c r="C75" s="33" t="s">
        <v>85</v>
      </c>
      <c r="D75" s="9">
        <v>0</v>
      </c>
      <c r="E75" s="9">
        <f>95000+10000</f>
        <v>105000</v>
      </c>
      <c r="F75" s="10">
        <f t="shared" si="0"/>
        <v>105000</v>
      </c>
      <c r="G75" s="10">
        <f>5696.99+2135.5+1060+5315.5+4653+7514.77+17597.18-166+7811.87+2100.98+2965.52</f>
        <v>56685.310000000005</v>
      </c>
      <c r="H75" s="10">
        <f>5696.99+2135.5+1060+5315.5+4653+7514.77+17597.18-166+7811.87+2100.98+2965.52</f>
        <v>56685.310000000005</v>
      </c>
      <c r="I75" s="10">
        <f>5696.99+2135.5+1060+5315.5+4653+7514.77+17597.18-166+7811.87+2100.98+2965.52</f>
        <v>56685.310000000005</v>
      </c>
      <c r="J75" s="10">
        <f>5696.99+2135.5+1060+5315.5+4653+7514.77+17597.18-166+7811.87+2100.98+2965.52</f>
        <v>56685.310000000005</v>
      </c>
      <c r="K75" s="9">
        <f t="shared" si="3"/>
        <v>48314.689999999995</v>
      </c>
      <c r="L75" s="29"/>
    </row>
    <row r="76" spans="1:15">
      <c r="A76" s="31">
        <v>3791</v>
      </c>
      <c r="B76" s="7">
        <v>1</v>
      </c>
      <c r="C76" s="41" t="s">
        <v>56</v>
      </c>
      <c r="D76" s="9">
        <v>0</v>
      </c>
      <c r="E76" s="9">
        <f>180000+350000+60000+190000</f>
        <v>780000</v>
      </c>
      <c r="F76" s="10">
        <f t="shared" si="0"/>
        <v>780000</v>
      </c>
      <c r="G76" s="10">
        <f>17153+8253+8170+8100+133+101717.33+12613+14665+150+160440+22140+86154+293155.2-39843+11977+13782.55</f>
        <v>718760.08000000007</v>
      </c>
      <c r="H76" s="10">
        <f>17153+8253+8170+8100+133+101717.33+12613+14665+150+160440+22140+86154+293155.2-39843+11977+13782.55</f>
        <v>718760.08000000007</v>
      </c>
      <c r="I76" s="10">
        <f>17153+8253+8170+8100+133+101717.33+12613+14665+150+160440+22140+86154+293155.2-39843+11977+13782.55</f>
        <v>718760.08000000007</v>
      </c>
      <c r="J76" s="10">
        <f>17153+8253+8170+8100+133+101717.33+12613+14665+150+160440+22140+86154+293155.2-39843+11977+13782.55</f>
        <v>718760.08000000007</v>
      </c>
      <c r="K76" s="9">
        <f t="shared" si="3"/>
        <v>61239.919999999925</v>
      </c>
      <c r="L76" s="29"/>
    </row>
    <row r="77" spans="1:15">
      <c r="A77" s="31">
        <v>3831</v>
      </c>
      <c r="B77" s="7">
        <v>1</v>
      </c>
      <c r="C77" s="17" t="s">
        <v>57</v>
      </c>
      <c r="D77" s="9">
        <v>0</v>
      </c>
      <c r="E77" s="9">
        <f>120000+70000</f>
        <v>190000</v>
      </c>
      <c r="F77" s="10">
        <f t="shared" si="0"/>
        <v>190000</v>
      </c>
      <c r="G77" s="10">
        <f>7385.3+73004.2+4698+5040+6650+8394.99+2262+8067+6416+4350+4518+14413+22914</f>
        <v>168112.49</v>
      </c>
      <c r="H77" s="10">
        <f>7385.3+73004.2+4698+5040+6650+8394.99+2262+8067+6416+4350+4518+14413+22914</f>
        <v>168112.49</v>
      </c>
      <c r="I77" s="10">
        <f>7385.3+73004.2+4698+5040+6650+8394.99+2262+8067+6416+4350+4518+14413+22914</f>
        <v>168112.49</v>
      </c>
      <c r="J77" s="10">
        <f>7385.3+73004.2+4698+5040+6650+8394.99+2262+8067+6416+4350+4518+14413+22914</f>
        <v>168112.49</v>
      </c>
      <c r="K77" s="9">
        <f t="shared" si="3"/>
        <v>21887.510000000009</v>
      </c>
      <c r="L77" s="29"/>
    </row>
    <row r="78" spans="1:15">
      <c r="A78" s="31">
        <v>3851</v>
      </c>
      <c r="B78" s="7">
        <v>1</v>
      </c>
      <c r="C78" s="17" t="s">
        <v>58</v>
      </c>
      <c r="D78" s="9">
        <v>0</v>
      </c>
      <c r="E78" s="9">
        <f>65000+45000</f>
        <v>110000</v>
      </c>
      <c r="F78" s="10">
        <f t="shared" si="0"/>
        <v>110000</v>
      </c>
      <c r="G78" s="10">
        <f>10134.2+3252.9+2612.5+3873.61+6716.6+34510+3638.83+29531.97-22140+7506.71+3842.11+3129.95+17696.3</f>
        <v>104305.68000000001</v>
      </c>
      <c r="H78" s="10">
        <f>10134.2+3252.9+2612.5+3873.61+6716.6+34510+3638.83+29531.97-22140+7506.71+3842.11+3129.95+17696.3</f>
        <v>104305.68000000001</v>
      </c>
      <c r="I78" s="10">
        <f>10134.2+3252.9+2612.5+3873.61+6716.6+34510+3638.83+29531.97-22140+7506.71+3842.11+3129.95+17696.3</f>
        <v>104305.68000000001</v>
      </c>
      <c r="J78" s="10">
        <f>10134.2+3252.9+2612.5+3873.61+6716.6+34510+3638.83+29531.97-22140+7506.71+3842.11+3129.95+17696.3</f>
        <v>104305.68000000001</v>
      </c>
      <c r="K78" s="9">
        <f t="shared" si="3"/>
        <v>5694.3199999999924</v>
      </c>
      <c r="L78" s="29"/>
    </row>
    <row r="79" spans="1:15">
      <c r="A79" s="31">
        <v>3921</v>
      </c>
      <c r="B79" s="7">
        <v>1</v>
      </c>
      <c r="C79" s="17" t="s">
        <v>86</v>
      </c>
      <c r="D79" s="9">
        <v>0</v>
      </c>
      <c r="E79" s="9">
        <v>500000</v>
      </c>
      <c r="F79" s="10">
        <f t="shared" si="0"/>
        <v>500000</v>
      </c>
      <c r="G79" s="10">
        <f>9375+3271+144246.87+5408+12054+30703.42+6292+76955.16+7229+19097+3428+123866.49</f>
        <v>441925.93999999994</v>
      </c>
      <c r="H79" s="10">
        <f t="shared" ref="H79:J79" si="5">9375+3271+144246.87+5408+12054+30703.42+6292+76955.16+7229+19097+3428+123866.49</f>
        <v>441925.93999999994</v>
      </c>
      <c r="I79" s="10">
        <f t="shared" si="5"/>
        <v>441925.93999999994</v>
      </c>
      <c r="J79" s="10">
        <f t="shared" si="5"/>
        <v>441925.93999999994</v>
      </c>
      <c r="K79" s="9">
        <f t="shared" si="3"/>
        <v>58074.060000000056</v>
      </c>
      <c r="L79" s="29"/>
    </row>
    <row r="80" spans="1:15">
      <c r="A80" s="20"/>
      <c r="B80" s="21"/>
      <c r="C80" s="22" t="s">
        <v>59</v>
      </c>
      <c r="D80" s="23">
        <v>0</v>
      </c>
      <c r="E80" s="14">
        <f t="shared" ref="E80:K80" si="6">SUM(E47:E79)</f>
        <v>6291499.7999999998</v>
      </c>
      <c r="F80" s="14">
        <f t="shared" si="6"/>
        <v>6291499.7999999998</v>
      </c>
      <c r="G80" s="14">
        <f>SUM(G47:G79)</f>
        <v>4326924.8600000003</v>
      </c>
      <c r="H80" s="14">
        <f t="shared" si="6"/>
        <v>4326924.8600000003</v>
      </c>
      <c r="I80" s="14">
        <f t="shared" si="6"/>
        <v>4326924.8600000003</v>
      </c>
      <c r="J80" s="14">
        <f t="shared" si="6"/>
        <v>4326924.8600000003</v>
      </c>
      <c r="K80" s="14">
        <f t="shared" si="6"/>
        <v>1964574.94</v>
      </c>
      <c r="L80" s="42"/>
      <c r="M80" s="42"/>
      <c r="N80" s="42"/>
      <c r="O80" s="29"/>
    </row>
    <row r="81" spans="1:14" ht="25.5">
      <c r="A81" s="24">
        <v>4154</v>
      </c>
      <c r="B81" s="25">
        <v>2</v>
      </c>
      <c r="C81" s="26" t="s">
        <v>60</v>
      </c>
      <c r="D81" s="27">
        <v>31110000</v>
      </c>
      <c r="E81" s="27">
        <v>0</v>
      </c>
      <c r="F81" s="27">
        <f>D81+E81</f>
        <v>31110000</v>
      </c>
      <c r="G81" s="27">
        <f>225348.09+310000+5000000+100000+2925000+2000000+5495602+2237673+800000-400000+316379.7+17400+300000+177196.2+359196+1391501.2+250000+873600+195975+1189980+1075000+151779.02+694800+745264.19+200000+534700+648678.91+925150+1542580.81+97162+730033.88</f>
        <v>31109999.999999996</v>
      </c>
      <c r="H81" s="10">
        <f>5000000+225348.09+310000+100000+400000+17400+348000+2000000+6000000+250000+2925000+2237673+177196.2+195975+1189980+151779.02+694800+745264.19+200000+534700+268750+648678+925150+1542580.81+97162+730033.88</f>
        <v>27915470.189999998</v>
      </c>
      <c r="I81" s="10">
        <f>5000000+225348.09+310000+100000+400000+17400+348000+2000000+6000000+250000+2925000+2237673+177196.2+195975+1189980+151779.02+694800+745264.19+200000+534700+268750+648678+925150+1542580.81+97162+730033.88</f>
        <v>27915470.189999998</v>
      </c>
      <c r="J81" s="10">
        <f>5000000+225348.09+310000+100000+400000+17400+348000+2000000+6000000+250000+2925000+2237673+177196.2+195975+1189980+151779.02+694800+745264.19+200000+534700+268750+648678+925150+1542580.81+97162+730033.88</f>
        <v>27915470.189999998</v>
      </c>
      <c r="K81" s="27">
        <f t="shared" si="3"/>
        <v>0</v>
      </c>
      <c r="L81" s="29"/>
      <c r="M81" s="15"/>
    </row>
    <row r="82" spans="1:14" ht="25.5">
      <c r="A82" s="24">
        <v>4154</v>
      </c>
      <c r="B82" s="25">
        <v>2</v>
      </c>
      <c r="C82" s="26" t="s">
        <v>60</v>
      </c>
      <c r="D82" s="27">
        <v>0</v>
      </c>
      <c r="E82" s="27">
        <f>1800000+50000000+802500</f>
        <v>52602500</v>
      </c>
      <c r="F82" s="27">
        <f t="shared" ref="F82:F92" si="7">D82+E82</f>
        <v>52602500</v>
      </c>
      <c r="G82" s="27">
        <f>1800000+11061760.07+7263766.61+802500</f>
        <v>20928026.68</v>
      </c>
      <c r="H82" s="10">
        <f>1041000+416400+744600</f>
        <v>2202000</v>
      </c>
      <c r="I82" s="10">
        <f>1041000+416400+744600</f>
        <v>2202000</v>
      </c>
      <c r="J82" s="10">
        <f>1041000+416400+744600</f>
        <v>2202000</v>
      </c>
      <c r="K82" s="27">
        <f t="shared" si="3"/>
        <v>31674473.32</v>
      </c>
      <c r="L82" s="29"/>
      <c r="M82" s="15"/>
    </row>
    <row r="83" spans="1:14">
      <c r="A83" s="24">
        <v>4331</v>
      </c>
      <c r="B83" s="25">
        <v>2</v>
      </c>
      <c r="C83" s="26" t="s">
        <v>90</v>
      </c>
      <c r="D83" s="27">
        <v>0</v>
      </c>
      <c r="E83" s="27">
        <f>35000000+7500000+15000000+5000000</f>
        <v>62500000</v>
      </c>
      <c r="F83" s="27">
        <f t="shared" si="7"/>
        <v>62500000</v>
      </c>
      <c r="G83" s="27">
        <f>35000000+7500000+15000000+5000000</f>
        <v>62500000</v>
      </c>
      <c r="H83" s="10">
        <f>33994025.13+7500000+460027-289635.1+464605+324880+46000-45000-109000-90000+6416492.84</f>
        <v>48672394.870000005</v>
      </c>
      <c r="I83" s="10">
        <f>33994025.13+7500000+460027-289635.1+464605+324880+46000-45000-109000-90000+6416492.84</f>
        <v>48672394.870000005</v>
      </c>
      <c r="J83" s="10">
        <f>33994025.13+7500000+460027-289635.1+464605+324880+46000-45000-109000-90000+6416492.84</f>
        <v>48672394.870000005</v>
      </c>
      <c r="K83" s="27">
        <f t="shared" si="3"/>
        <v>0</v>
      </c>
      <c r="L83" s="29"/>
      <c r="M83" s="42"/>
    </row>
    <row r="84" spans="1:14">
      <c r="A84" s="6">
        <v>4419</v>
      </c>
      <c r="B84" s="7">
        <v>1</v>
      </c>
      <c r="C84" s="8" t="s">
        <v>61</v>
      </c>
      <c r="D84" s="9">
        <v>0</v>
      </c>
      <c r="E84" s="9">
        <v>150000</v>
      </c>
      <c r="F84" s="10">
        <f t="shared" si="7"/>
        <v>150000</v>
      </c>
      <c r="G84" s="10">
        <f>25520+3798.85+16860.4+5393.77+10389.32+52336.52+21830.79+13237.54+337+68+799-21669.28+550+1625.42+11419.31+1150</f>
        <v>143646.64000000001</v>
      </c>
      <c r="H84" s="10">
        <f>25520+3798.85+16860.4+5393.77+10389.32+52336.52+21830.79+13237.54+337+68+799-21669.28+550+1625.42+11419.31+1150</f>
        <v>143646.64000000001</v>
      </c>
      <c r="I84" s="10">
        <f>25520+3798.85+16860.4+5393.77+10389.32+52336.52+21830.79+13237.54+337+68+799-21669.28+550+1625.42+11419.31+1150</f>
        <v>143646.64000000001</v>
      </c>
      <c r="J84" s="10">
        <f>25520+3798.85+16860.4+5393.77+10389.32+52336.52+21830.79+13237.54+337+68+799-21669.28+550+1625.42+11419.31+1150</f>
        <v>143646.64000000001</v>
      </c>
      <c r="K84" s="9">
        <f t="shared" si="3"/>
        <v>6353.359999999986</v>
      </c>
      <c r="L84" s="29"/>
      <c r="M84" s="15"/>
      <c r="N84" s="15"/>
    </row>
    <row r="85" spans="1:14">
      <c r="A85" s="20"/>
      <c r="B85" s="21"/>
      <c r="C85" s="22" t="s">
        <v>62</v>
      </c>
      <c r="D85" s="14">
        <f>SUM(D81:D84)</f>
        <v>31110000</v>
      </c>
      <c r="E85" s="14">
        <f>SUM(E81:E84)</f>
        <v>115252500</v>
      </c>
      <c r="F85" s="14">
        <f t="shared" ref="F85:K85" si="8">SUM(F81:F84)</f>
        <v>146362500</v>
      </c>
      <c r="G85" s="14">
        <f t="shared" si="8"/>
        <v>114681673.31999999</v>
      </c>
      <c r="H85" s="14">
        <f t="shared" si="8"/>
        <v>78933511.700000003</v>
      </c>
      <c r="I85" s="14">
        <f t="shared" si="8"/>
        <v>78933511.700000003</v>
      </c>
      <c r="J85" s="14">
        <f t="shared" si="8"/>
        <v>78933511.700000003</v>
      </c>
      <c r="K85" s="14">
        <f t="shared" si="8"/>
        <v>31680826.68</v>
      </c>
      <c r="L85" s="29"/>
    </row>
    <row r="86" spans="1:14">
      <c r="A86" s="31">
        <v>5111</v>
      </c>
      <c r="B86" s="7">
        <v>1</v>
      </c>
      <c r="C86" s="17" t="s">
        <v>87</v>
      </c>
      <c r="D86" s="9">
        <v>0</v>
      </c>
      <c r="E86" s="9">
        <v>180000</v>
      </c>
      <c r="F86" s="10">
        <f t="shared" si="7"/>
        <v>180000</v>
      </c>
      <c r="G86" s="10">
        <f>1950+16800+1950+987.05+899+799.01+1899+35459.11+2727.62+2783.3+699+966.34</f>
        <v>67919.429999999993</v>
      </c>
      <c r="H86" s="10">
        <f>1950+16800+1950+987.05+899+799.01+1899+35459.11+2727.62+2783.3+699+966.34</f>
        <v>67919.429999999993</v>
      </c>
      <c r="I86" s="10">
        <f>1950+16800+1950+987.05+899+799.01+1899+35459.11+2727.62+2783.3+699+966.34</f>
        <v>67919.429999999993</v>
      </c>
      <c r="J86" s="10">
        <f>1950+16800+1950+987.05+899+799.01+1899+35459.11+2727.62+2783.3+699+966.34</f>
        <v>67919.429999999993</v>
      </c>
      <c r="K86" s="9">
        <f t="shared" si="3"/>
        <v>112080.57</v>
      </c>
      <c r="L86" s="29"/>
    </row>
    <row r="87" spans="1:14">
      <c r="A87" s="31">
        <v>5151</v>
      </c>
      <c r="B87" s="7">
        <v>1</v>
      </c>
      <c r="C87" s="17" t="s">
        <v>63</v>
      </c>
      <c r="D87" s="9">
        <v>0</v>
      </c>
      <c r="E87" s="9">
        <v>150000</v>
      </c>
      <c r="F87" s="10">
        <f t="shared" si="7"/>
        <v>150000</v>
      </c>
      <c r="G87" s="10">
        <f>1309.64+53071.77+1309.64+7629.13+4646.1+2609.13+68103.41</f>
        <v>138678.82</v>
      </c>
      <c r="H87" s="10">
        <f>1309.64+53071.77+1309.64+7629.13+4646.1+2609.13+68103.41</f>
        <v>138678.82</v>
      </c>
      <c r="I87" s="10">
        <f>1309.64+53071.77+1309.64+7629.13+4646.1+2609.13+68103.41</f>
        <v>138678.82</v>
      </c>
      <c r="J87" s="10">
        <f>1309.64+53071.77+1309.64+7629.13+4646.1+2609.13+68103.41</f>
        <v>138678.82</v>
      </c>
      <c r="K87" s="9">
        <f t="shared" si="3"/>
        <v>11321.179999999993</v>
      </c>
      <c r="L87" s="29"/>
    </row>
    <row r="88" spans="1:14">
      <c r="A88" s="31">
        <v>5191</v>
      </c>
      <c r="B88" s="7">
        <v>1</v>
      </c>
      <c r="C88" s="17" t="s">
        <v>64</v>
      </c>
      <c r="D88" s="9">
        <v>0</v>
      </c>
      <c r="E88" s="9">
        <v>180000</v>
      </c>
      <c r="F88" s="10">
        <f t="shared" si="7"/>
        <v>180000</v>
      </c>
      <c r="G88" s="10">
        <f>7744+3347+2231+969+1115+2521+13499</f>
        <v>31426</v>
      </c>
      <c r="H88" s="10">
        <f>7744+3347+2231+969+1115+2521+13499</f>
        <v>31426</v>
      </c>
      <c r="I88" s="10">
        <f>7744+3347+2231+969+1115+2521+13499</f>
        <v>31426</v>
      </c>
      <c r="J88" s="10">
        <f>7744+3347+2231+969+1115+2521+13499</f>
        <v>31426</v>
      </c>
      <c r="K88" s="9">
        <f t="shared" si="3"/>
        <v>148574</v>
      </c>
      <c r="L88" s="29"/>
    </row>
    <row r="89" spans="1:14" ht="25.5">
      <c r="A89" s="31">
        <v>5411</v>
      </c>
      <c r="B89" s="7">
        <v>1</v>
      </c>
      <c r="C89" s="17" t="s">
        <v>88</v>
      </c>
      <c r="D89" s="9">
        <v>0</v>
      </c>
      <c r="E89" s="9">
        <f>1050000+799000</f>
        <v>1849000</v>
      </c>
      <c r="F89" s="10">
        <f t="shared" si="7"/>
        <v>1849000</v>
      </c>
      <c r="G89" s="10">
        <f>865400+142200</f>
        <v>1007600</v>
      </c>
      <c r="H89" s="10">
        <f>865400+142200</f>
        <v>1007600</v>
      </c>
      <c r="I89" s="10">
        <f>865400+142200</f>
        <v>1007600</v>
      </c>
      <c r="J89" s="10">
        <f>865400+142200</f>
        <v>1007600</v>
      </c>
      <c r="K89" s="9">
        <f t="shared" si="3"/>
        <v>841400</v>
      </c>
      <c r="L89" s="29"/>
    </row>
    <row r="90" spans="1:14">
      <c r="A90" s="31">
        <v>5651</v>
      </c>
      <c r="B90" s="7">
        <v>1</v>
      </c>
      <c r="C90" s="17" t="s">
        <v>65</v>
      </c>
      <c r="D90" s="9">
        <v>0</v>
      </c>
      <c r="E90" s="9">
        <v>30000</v>
      </c>
      <c r="F90" s="10">
        <f t="shared" si="7"/>
        <v>30000</v>
      </c>
      <c r="G90" s="10">
        <v>1359</v>
      </c>
      <c r="H90" s="10">
        <v>1359</v>
      </c>
      <c r="I90" s="10">
        <v>1359</v>
      </c>
      <c r="J90" s="10">
        <v>1359</v>
      </c>
      <c r="K90" s="9">
        <f t="shared" si="3"/>
        <v>28641</v>
      </c>
      <c r="L90" s="29"/>
    </row>
    <row r="91" spans="1:14">
      <c r="A91" s="31">
        <v>5911</v>
      </c>
      <c r="B91" s="7">
        <v>1</v>
      </c>
      <c r="C91" s="17" t="s">
        <v>66</v>
      </c>
      <c r="D91" s="9">
        <v>0</v>
      </c>
      <c r="E91" s="9">
        <v>300000</v>
      </c>
      <c r="F91" s="10">
        <f t="shared" si="7"/>
        <v>300000</v>
      </c>
      <c r="G91" s="10">
        <v>0</v>
      </c>
      <c r="H91" s="10">
        <v>0</v>
      </c>
      <c r="I91" s="10">
        <v>0</v>
      </c>
      <c r="J91" s="10">
        <v>0</v>
      </c>
      <c r="K91" s="9">
        <f t="shared" si="3"/>
        <v>300000</v>
      </c>
      <c r="L91" s="29"/>
    </row>
    <row r="92" spans="1:14">
      <c r="A92" s="31">
        <v>5971</v>
      </c>
      <c r="B92" s="7">
        <v>1</v>
      </c>
      <c r="C92" s="17" t="s">
        <v>89</v>
      </c>
      <c r="D92" s="9">
        <v>0</v>
      </c>
      <c r="E92" s="9">
        <v>79999.199999999997</v>
      </c>
      <c r="F92" s="10">
        <f t="shared" si="7"/>
        <v>79999.199999999997</v>
      </c>
      <c r="G92" s="10">
        <f>3235</f>
        <v>3235</v>
      </c>
      <c r="H92" s="10">
        <f>3235</f>
        <v>3235</v>
      </c>
      <c r="I92" s="10">
        <f>3235</f>
        <v>3235</v>
      </c>
      <c r="J92" s="10">
        <f>3235</f>
        <v>3235</v>
      </c>
      <c r="K92" s="9">
        <f t="shared" si="3"/>
        <v>76764.2</v>
      </c>
      <c r="L92" s="29"/>
    </row>
    <row r="93" spans="1:14">
      <c r="A93" s="22"/>
      <c r="B93" s="28"/>
      <c r="C93" s="22" t="s">
        <v>67</v>
      </c>
      <c r="D93" s="14">
        <v>0</v>
      </c>
      <c r="E93" s="14">
        <f t="shared" ref="E93:K93" si="9">SUM(E86:E92)</f>
        <v>2768999.2</v>
      </c>
      <c r="F93" s="14">
        <f t="shared" si="9"/>
        <v>2768999.2</v>
      </c>
      <c r="G93" s="14">
        <f t="shared" si="9"/>
        <v>1250218.25</v>
      </c>
      <c r="H93" s="14">
        <f t="shared" si="9"/>
        <v>1250218.25</v>
      </c>
      <c r="I93" s="14">
        <f t="shared" si="9"/>
        <v>1250218.25</v>
      </c>
      <c r="J93" s="14">
        <f t="shared" si="9"/>
        <v>1250218.25</v>
      </c>
      <c r="K93" s="14">
        <f t="shared" si="9"/>
        <v>1518780.95</v>
      </c>
      <c r="L93" s="29"/>
    </row>
    <row r="94" spans="1:14">
      <c r="A94" s="13" t="s">
        <v>68</v>
      </c>
      <c r="B94" s="13"/>
      <c r="C94" s="13"/>
      <c r="D94" s="14">
        <f t="shared" ref="D94:K94" si="10">D26+D46+D80+D85+D93</f>
        <v>41461334</v>
      </c>
      <c r="E94" s="14">
        <f t="shared" si="10"/>
        <v>128311423</v>
      </c>
      <c r="F94" s="14">
        <f t="shared" si="10"/>
        <v>169772757</v>
      </c>
      <c r="G94" s="14">
        <f t="shared" si="10"/>
        <v>133705538.00999999</v>
      </c>
      <c r="H94" s="14">
        <f t="shared" si="10"/>
        <v>97957376.390000001</v>
      </c>
      <c r="I94" s="14">
        <f>I26+I46+I80+I85+I93</f>
        <v>97957376.390000001</v>
      </c>
      <c r="J94" s="14">
        <f t="shared" si="10"/>
        <v>97957376.390000001</v>
      </c>
      <c r="K94" s="14">
        <f t="shared" si="10"/>
        <v>36067218.990000002</v>
      </c>
      <c r="L94" s="29"/>
    </row>
    <row r="95" spans="1:14">
      <c r="G95" s="29"/>
      <c r="H95" s="29"/>
      <c r="I95" s="29"/>
      <c r="J95" s="29"/>
      <c r="K95" s="29"/>
    </row>
    <row r="96" spans="1:14">
      <c r="F96" s="15"/>
      <c r="G96" s="29"/>
      <c r="H96" s="29"/>
      <c r="I96" s="29"/>
      <c r="J96" s="29"/>
      <c r="K96" s="15"/>
    </row>
    <row r="97" spans="1:18">
      <c r="G97" s="29"/>
      <c r="H97" s="29"/>
      <c r="I97" s="29"/>
      <c r="J97" s="29"/>
    </row>
    <row r="98" spans="1:18">
      <c r="G98" s="29"/>
      <c r="H98" s="29"/>
      <c r="I98" s="29"/>
      <c r="J98" s="29"/>
    </row>
    <row r="99" spans="1:18">
      <c r="G99" s="29"/>
      <c r="H99" s="29"/>
      <c r="I99" s="29"/>
      <c r="J99" s="29"/>
    </row>
    <row r="100" spans="1:18" ht="15.75">
      <c r="G100" s="29"/>
      <c r="H100" s="29"/>
      <c r="I100" s="29"/>
      <c r="J100" s="29"/>
      <c r="N100" s="58"/>
      <c r="O100" s="58"/>
      <c r="P100" s="58"/>
      <c r="Q100" s="58"/>
      <c r="R100" s="58"/>
    </row>
    <row r="101" spans="1:18">
      <c r="C101" s="30"/>
      <c r="D101" s="30"/>
      <c r="E101" s="30"/>
      <c r="F101" s="30"/>
      <c r="G101" s="44"/>
      <c r="H101" s="29"/>
      <c r="I101" s="44"/>
      <c r="J101" s="44"/>
    </row>
    <row r="102" spans="1:18">
      <c r="A102" s="45"/>
      <c r="B102" s="45"/>
      <c r="C102" s="46"/>
      <c r="D102" s="46"/>
      <c r="E102" s="46"/>
      <c r="F102" s="46"/>
      <c r="G102" s="47"/>
      <c r="H102" s="48"/>
      <c r="I102" s="47"/>
      <c r="J102" s="47"/>
      <c r="K102" s="45"/>
      <c r="P102" s="29"/>
      <c r="Q102" s="49"/>
      <c r="R102" s="50"/>
    </row>
    <row r="103" spans="1:18">
      <c r="A103" s="45"/>
      <c r="B103" s="45"/>
      <c r="C103" s="51"/>
      <c r="D103" s="46"/>
      <c r="E103" s="46"/>
      <c r="F103" s="46"/>
      <c r="G103" s="55"/>
      <c r="H103" s="55"/>
      <c r="I103" s="55"/>
      <c r="J103" s="55"/>
      <c r="K103" s="45"/>
      <c r="O103" s="29"/>
      <c r="P103" s="29"/>
      <c r="Q103" s="49"/>
      <c r="R103" s="50"/>
    </row>
    <row r="104" spans="1:18">
      <c r="A104" s="45"/>
      <c r="B104" s="45"/>
      <c r="C104" s="51"/>
      <c r="D104" s="46"/>
      <c r="E104" s="46"/>
      <c r="F104" s="46"/>
      <c r="G104" s="55"/>
      <c r="H104" s="55"/>
      <c r="I104" s="55"/>
      <c r="J104" s="55"/>
      <c r="K104" s="45"/>
      <c r="O104" s="29"/>
      <c r="P104" s="44"/>
      <c r="Q104" s="49"/>
      <c r="R104" s="50"/>
    </row>
    <row r="105" spans="1:18">
      <c r="A105" s="45"/>
      <c r="B105" s="45"/>
      <c r="C105" s="51"/>
      <c r="D105" s="46"/>
      <c r="E105" s="46"/>
      <c r="F105" s="46"/>
      <c r="G105" s="55"/>
      <c r="H105" s="55"/>
      <c r="I105" s="55"/>
      <c r="J105" s="55"/>
      <c r="K105" s="45"/>
      <c r="O105" s="29"/>
      <c r="P105" s="44"/>
      <c r="Q105" s="49"/>
      <c r="R105" s="50"/>
    </row>
    <row r="106" spans="1:18">
      <c r="C106" s="30"/>
      <c r="D106" s="30"/>
      <c r="E106" s="30"/>
      <c r="F106" s="30"/>
      <c r="G106" s="30"/>
      <c r="H106" s="30"/>
      <c r="I106" s="52"/>
      <c r="J106" s="30"/>
      <c r="O106" s="29"/>
      <c r="P106" s="44"/>
      <c r="Q106" s="49"/>
      <c r="R106" s="50"/>
    </row>
    <row r="107" spans="1:18">
      <c r="C107" s="30"/>
      <c r="D107" s="30"/>
      <c r="E107" s="30"/>
      <c r="F107" s="30"/>
      <c r="G107" s="30"/>
      <c r="H107" s="30"/>
      <c r="I107" s="30"/>
      <c r="J107" s="30"/>
      <c r="O107" s="29"/>
      <c r="P107" s="44"/>
      <c r="Q107" s="49"/>
      <c r="R107" s="50"/>
    </row>
    <row r="108" spans="1:18">
      <c r="C108" s="30"/>
      <c r="D108" s="30"/>
      <c r="E108" s="30"/>
      <c r="F108" s="30"/>
      <c r="G108" s="30"/>
      <c r="H108" s="30"/>
      <c r="I108" s="30"/>
      <c r="J108" s="30"/>
      <c r="O108" s="29"/>
      <c r="P108" s="52"/>
      <c r="Q108" s="49"/>
    </row>
    <row r="109" spans="1:18">
      <c r="C109" s="30"/>
      <c r="D109" s="30"/>
      <c r="E109" s="30"/>
      <c r="F109" s="30"/>
      <c r="G109" s="30"/>
      <c r="H109" s="30"/>
      <c r="I109" s="30"/>
      <c r="J109" s="30"/>
      <c r="N109" s="53"/>
      <c r="O109" s="29"/>
      <c r="P109" s="52"/>
      <c r="Q109" s="49"/>
    </row>
    <row r="110" spans="1:18">
      <c r="C110" s="30"/>
      <c r="D110" s="30"/>
      <c r="E110" s="30"/>
      <c r="F110" s="30"/>
      <c r="G110" s="30"/>
      <c r="H110" s="30"/>
      <c r="I110" s="30"/>
      <c r="J110" s="30"/>
      <c r="O110" s="29"/>
      <c r="P110" s="54"/>
    </row>
    <row r="111" spans="1:18">
      <c r="C111" s="30"/>
      <c r="D111" s="30"/>
      <c r="E111" s="30"/>
      <c r="F111" s="30"/>
      <c r="G111" s="30"/>
      <c r="H111" s="30"/>
      <c r="I111" s="30"/>
      <c r="J111" s="30"/>
      <c r="O111" s="29"/>
      <c r="P111" s="44"/>
    </row>
    <row r="112" spans="1:18">
      <c r="O112" s="29"/>
      <c r="P112" s="44"/>
    </row>
    <row r="113" spans="3:16">
      <c r="C113" s="1" t="s">
        <v>91</v>
      </c>
      <c r="O113" s="29"/>
      <c r="P113" s="44"/>
    </row>
    <row r="114" spans="3:16">
      <c r="O114" s="29"/>
      <c r="P114" s="44"/>
    </row>
    <row r="115" spans="3:16">
      <c r="O115" s="29"/>
      <c r="P115" s="44"/>
    </row>
    <row r="116" spans="3:16">
      <c r="O116" s="29"/>
      <c r="P116" s="44"/>
    </row>
    <row r="117" spans="3:16">
      <c r="O117" s="29"/>
      <c r="P117" s="44"/>
    </row>
    <row r="118" spans="3:16">
      <c r="O118" s="29"/>
      <c r="P118" s="44"/>
    </row>
    <row r="119" spans="3:16">
      <c r="O119" s="29"/>
      <c r="P119" s="29"/>
    </row>
    <row r="120" spans="3:16">
      <c r="O120" s="29"/>
      <c r="P120" s="29"/>
    </row>
    <row r="121" spans="3:16">
      <c r="O121" s="29"/>
      <c r="P121" s="29"/>
    </row>
    <row r="122" spans="3:16">
      <c r="O122" s="29"/>
      <c r="P122" s="29"/>
    </row>
    <row r="123" spans="3:16">
      <c r="O123" s="29"/>
      <c r="P123" s="29"/>
    </row>
    <row r="124" spans="3:16">
      <c r="P124" s="29"/>
    </row>
    <row r="125" spans="3:16">
      <c r="P125" s="29"/>
    </row>
    <row r="126" spans="3:16">
      <c r="P126" s="29"/>
    </row>
    <row r="127" spans="3:16">
      <c r="P127" s="29"/>
    </row>
  </sheetData>
  <mergeCells count="7">
    <mergeCell ref="G105:J105"/>
    <mergeCell ref="A2:K2"/>
    <mergeCell ref="A4:K4"/>
    <mergeCell ref="A6:K6"/>
    <mergeCell ref="N100:R100"/>
    <mergeCell ref="G103:J103"/>
    <mergeCell ref="G104:J104"/>
  </mergeCells>
  <printOptions horizontalCentered="1"/>
  <pageMargins left="0.31496062992125984" right="0.31496062992125984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DE EGRESOS 2014</vt:lpstr>
      <vt:lpstr>'PRESUPUESTO DE EGRESOS 2014'!Área_de_impresión</vt:lpstr>
      <vt:lpstr>'PRESUPUESTO DE EGRESOS 2014'!Títulos_a_imprimir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epedroza</dc:creator>
  <cp:lastModifiedBy>Claudia Angelica Velasco Espinoza</cp:lastModifiedBy>
  <cp:lastPrinted>2015-01-20T18:27:36Z</cp:lastPrinted>
  <dcterms:created xsi:type="dcterms:W3CDTF">2012-01-16T22:22:56Z</dcterms:created>
  <dcterms:modified xsi:type="dcterms:W3CDTF">2016-06-02T16:52:31Z</dcterms:modified>
</cp:coreProperties>
</file>