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xl/drawings/drawing10.xml" ContentType="application/vnd.openxmlformats-officedocument.drawing+xml"/>
  <Override PartName="/xl/comments6.xml" ContentType="application/vnd.openxmlformats-officedocument.spreadsheetml.comments+xml"/>
  <Override PartName="/xl/drawings/drawing11.xml" ContentType="application/vnd.openxmlformats-officedocument.drawing+xml"/>
  <Override PartName="/xl/comments7.xml" ContentType="application/vnd.openxmlformats-officedocument.spreadsheetml.comments+xml"/>
  <Override PartName="/xl/drawings/drawing12.xml" ContentType="application/vnd.openxmlformats-officedocument.drawing+xml"/>
  <Override PartName="/xl/comments8.xml" ContentType="application/vnd.openxmlformats-officedocument.spreadsheetml.comments+xml"/>
  <Override PartName="/xl/drawings/drawing13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TRANSPARENCIA\2017\"/>
    </mc:Choice>
  </mc:AlternateContent>
  <workbookProtection workbookPassword="DD07" lockStructure="1"/>
  <bookViews>
    <workbookView xWindow="0" yWindow="0" windowWidth="20490" windowHeight="7695" firstSheet="2" activeTab="3"/>
  </bookViews>
  <sheets>
    <sheet name="Prpto. Ingresos " sheetId="1" r:id="rId1"/>
    <sheet name="INGRESOS ENERO" sheetId="2" r:id="rId2"/>
    <sheet name="INGRESOS FEBRERO" sheetId="13" r:id="rId3"/>
    <sheet name="INGRESOS MARZO" sheetId="17" r:id="rId4"/>
    <sheet name="Prepto. Egresos" sheetId="3" r:id="rId5"/>
    <sheet name="ENERO" sheetId="7" r:id="rId6"/>
    <sheet name="ENERO CORRECTO" sheetId="11" r:id="rId7"/>
    <sheet name="FEBRERO CON AJUSTES" sheetId="15" r:id="rId8"/>
    <sheet name="AUM.DIS.ENERO" sheetId="5" r:id="rId9"/>
    <sheet name="CONCILIACION ENE" sheetId="6" r:id="rId10"/>
    <sheet name="FEB" sheetId="8" r:id="rId11"/>
    <sheet name="AUM.DIS.FEBRER" sheetId="9" r:id="rId12"/>
    <sheet name="CONCIALIACION FEB" sheetId="10" r:id="rId13"/>
    <sheet name="FEB CORRECTO" sheetId="12" r:id="rId14"/>
    <sheet name="FEBRERO NUEVO CORRECTO " sheetId="14" r:id="rId15"/>
    <sheet name="MARZO" sheetId="21" r:id="rId16"/>
    <sheet name="M" sheetId="18" r:id="rId17"/>
    <sheet name="AUM.DIS.MARZO" sheetId="19" r:id="rId18"/>
    <sheet name="CONCILIACION MARZ" sheetId="20" r:id="rId19"/>
    <sheet name="ABRIL" sheetId="22" r:id="rId20"/>
    <sheet name="AUM.DIS.ABRIL" sheetId="23" r:id="rId21"/>
    <sheet name="CONCILIACION ABR" sheetId="24" r:id="rId22"/>
  </sheets>
  <definedNames>
    <definedName name="_xlnm.Print_Area" localSheetId="17">AUM.DIS.MARZO!$B$2:$D$29</definedName>
    <definedName name="_xlnm.Print_Area" localSheetId="5">ENERO!$A$2:$Q$128</definedName>
    <definedName name="_xlnm.Print_Area" localSheetId="10">FEB!$A$1:$S$128</definedName>
    <definedName name="_xlnm.Print_Area" localSheetId="1">'INGRESOS ENERO'!$B$1:$R$31</definedName>
    <definedName name="_xlnm.Print_Area" localSheetId="16">M!$A$2:$AH$134</definedName>
    <definedName name="_xlnm.Print_Area" localSheetId="0">'Prpto. Ingresos '!$C$27:$P$51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29" i="21" l="1"/>
  <c r="AC128" i="21"/>
  <c r="AC130" i="21" s="1"/>
  <c r="AC126" i="21"/>
  <c r="AC125" i="21"/>
  <c r="AC123" i="21"/>
  <c r="AC122" i="21"/>
  <c r="AC124" i="21" s="1"/>
  <c r="AC120" i="21"/>
  <c r="AC119" i="21"/>
  <c r="AC118" i="21"/>
  <c r="AC117" i="21"/>
  <c r="AC116" i="21"/>
  <c r="AC115" i="21"/>
  <c r="AC114" i="21"/>
  <c r="AC113" i="21"/>
  <c r="AC112" i="21"/>
  <c r="AC111" i="21"/>
  <c r="AC110" i="21"/>
  <c r="AC109" i="21"/>
  <c r="AC108" i="21"/>
  <c r="AC106" i="21"/>
  <c r="AC105" i="21"/>
  <c r="AC104" i="21"/>
  <c r="AC103" i="21"/>
  <c r="AC101" i="21"/>
  <c r="AC100" i="21"/>
  <c r="AC99" i="21"/>
  <c r="AC98" i="21"/>
  <c r="AC97" i="21"/>
  <c r="AC96" i="21"/>
  <c r="AC95" i="21"/>
  <c r="AC94" i="21"/>
  <c r="AC93" i="21"/>
  <c r="AC92" i="21"/>
  <c r="AC91" i="21"/>
  <c r="AC90" i="21"/>
  <c r="AC89" i="21"/>
  <c r="AC88" i="21"/>
  <c r="AC87" i="21"/>
  <c r="AC86" i="21"/>
  <c r="AC85" i="21"/>
  <c r="AC84" i="21"/>
  <c r="AC83" i="21"/>
  <c r="AC82" i="21"/>
  <c r="AC81" i="21"/>
  <c r="AC80" i="21"/>
  <c r="AC79" i="21"/>
  <c r="AC78" i="21"/>
  <c r="AC77" i="21"/>
  <c r="AC76" i="21"/>
  <c r="AC75" i="21"/>
  <c r="AC74" i="21"/>
  <c r="AC73" i="21"/>
  <c r="AC72" i="21"/>
  <c r="AC71" i="21"/>
  <c r="AC70" i="21"/>
  <c r="AC69" i="21"/>
  <c r="AC68" i="21"/>
  <c r="AC67" i="21"/>
  <c r="AC66" i="21"/>
  <c r="AC65" i="21"/>
  <c r="AC64" i="21"/>
  <c r="AC63" i="21"/>
  <c r="AC62" i="21"/>
  <c r="AC61" i="21"/>
  <c r="AC59" i="21"/>
  <c r="AC58" i="21"/>
  <c r="AC57" i="21"/>
  <c r="AC56" i="21"/>
  <c r="AC55" i="21"/>
  <c r="AC54" i="21"/>
  <c r="AC53" i="21"/>
  <c r="AC52" i="21"/>
  <c r="AC51" i="21"/>
  <c r="AC50" i="21"/>
  <c r="AC49" i="21"/>
  <c r="AC48" i="21"/>
  <c r="AC47" i="21"/>
  <c r="AC46" i="21"/>
  <c r="AC45" i="21"/>
  <c r="AC44" i="21"/>
  <c r="AC43" i="21"/>
  <c r="AC42" i="21"/>
  <c r="AC41" i="21"/>
  <c r="AC40" i="21"/>
  <c r="AC39" i="21"/>
  <c r="AC38" i="21"/>
  <c r="AC37" i="21"/>
  <c r="AC36" i="21"/>
  <c r="AC35" i="21"/>
  <c r="AC34" i="21"/>
  <c r="AC33" i="21"/>
  <c r="AC32" i="21"/>
  <c r="AC31" i="21"/>
  <c r="AC30" i="21"/>
  <c r="AC29" i="21"/>
  <c r="AC28" i="21"/>
  <c r="AC60" i="21" s="1"/>
  <c r="AC27" i="21"/>
  <c r="AC25" i="21"/>
  <c r="AC24" i="21"/>
  <c r="AC23" i="21"/>
  <c r="AC22" i="21"/>
  <c r="AC21" i="21"/>
  <c r="AC20" i="21"/>
  <c r="AC19" i="21"/>
  <c r="AC18" i="21"/>
  <c r="AC17" i="21"/>
  <c r="AC16" i="21"/>
  <c r="AC15" i="21"/>
  <c r="AC14" i="21"/>
  <c r="AC13" i="21"/>
  <c r="AC12" i="21"/>
  <c r="AC11" i="21"/>
  <c r="AC10" i="21"/>
  <c r="AC9" i="21"/>
  <c r="AC8" i="21"/>
  <c r="AC7" i="21"/>
  <c r="AC127" i="21"/>
  <c r="AC121" i="21"/>
  <c r="AC107" i="21"/>
  <c r="AC102" i="21"/>
  <c r="AC26" i="21"/>
  <c r="AH9" i="18"/>
  <c r="AG9" i="18"/>
  <c r="AF9" i="18"/>
  <c r="Y9" i="18"/>
  <c r="X9" i="18"/>
  <c r="E9" i="18"/>
  <c r="D13" i="19"/>
  <c r="D21" i="19"/>
  <c r="X8" i="21"/>
  <c r="E8" i="21"/>
  <c r="AF8" i="21"/>
  <c r="AE8" i="21"/>
  <c r="AD8" i="21"/>
  <c r="AC133" i="21" l="1"/>
  <c r="Z103" i="18"/>
  <c r="G13" i="24" l="1"/>
  <c r="G7" i="24"/>
  <c r="G26" i="24" s="1"/>
  <c r="D31" i="23"/>
  <c r="D20" i="23"/>
  <c r="D12" i="23"/>
  <c r="W95" i="21" l="1"/>
  <c r="AF130" i="18"/>
  <c r="AF129" i="18"/>
  <c r="AF127" i="18"/>
  <c r="AF126" i="18"/>
  <c r="AF124" i="18"/>
  <c r="AF123" i="18"/>
  <c r="AF121" i="18"/>
  <c r="AF120" i="18"/>
  <c r="AF119" i="18"/>
  <c r="AF118" i="18"/>
  <c r="AF117" i="18"/>
  <c r="AF116" i="18"/>
  <c r="AF115" i="18"/>
  <c r="AF114" i="18"/>
  <c r="AF113" i="18"/>
  <c r="AF112" i="18"/>
  <c r="AF111" i="18"/>
  <c r="AF110" i="18"/>
  <c r="AF109" i="18"/>
  <c r="AF107" i="18"/>
  <c r="AF106" i="18"/>
  <c r="AF105" i="18"/>
  <c r="AF104" i="18"/>
  <c r="AF102" i="18"/>
  <c r="AF101" i="18"/>
  <c r="AF100" i="18"/>
  <c r="AF99" i="18"/>
  <c r="AF98" i="18"/>
  <c r="AF97" i="18"/>
  <c r="AF96" i="18"/>
  <c r="AF95" i="18"/>
  <c r="AF94" i="18"/>
  <c r="AF93" i="18"/>
  <c r="AF92" i="18"/>
  <c r="AF91" i="18"/>
  <c r="AF90" i="18"/>
  <c r="AF89" i="18"/>
  <c r="AF88" i="18"/>
  <c r="AF87" i="18"/>
  <c r="AF86" i="18"/>
  <c r="AF85" i="18"/>
  <c r="AF84" i="18"/>
  <c r="AF83" i="18"/>
  <c r="AF82" i="18"/>
  <c r="AF81" i="18"/>
  <c r="AF80" i="18"/>
  <c r="AF79" i="18"/>
  <c r="AF78" i="18"/>
  <c r="AF77" i="18"/>
  <c r="AF76" i="18"/>
  <c r="AF75" i="18"/>
  <c r="AF74" i="18"/>
  <c r="AF73" i="18"/>
  <c r="AF72" i="18"/>
  <c r="AF71" i="18"/>
  <c r="AF70" i="18"/>
  <c r="AF69" i="18"/>
  <c r="AF68" i="18"/>
  <c r="AF67" i="18"/>
  <c r="AF66" i="18"/>
  <c r="AF65" i="18"/>
  <c r="AF64" i="18"/>
  <c r="AF63" i="18"/>
  <c r="AF62" i="18"/>
  <c r="AF60" i="18"/>
  <c r="AF59" i="18"/>
  <c r="AF58" i="18"/>
  <c r="AF57" i="18"/>
  <c r="AF56" i="18"/>
  <c r="AF55" i="18"/>
  <c r="AF54" i="18"/>
  <c r="AF53" i="18"/>
  <c r="AF52" i="18"/>
  <c r="AF50" i="18"/>
  <c r="AF49" i="18"/>
  <c r="AF48" i="18"/>
  <c r="AF47" i="18"/>
  <c r="AF46" i="18"/>
  <c r="AF45" i="18"/>
  <c r="AF44" i="18"/>
  <c r="AF43" i="18"/>
  <c r="AF42" i="18"/>
  <c r="AF41" i="18"/>
  <c r="AF40" i="18"/>
  <c r="AF39" i="18"/>
  <c r="AF38" i="18"/>
  <c r="AF37" i="18"/>
  <c r="AF36" i="18"/>
  <c r="AF35" i="18"/>
  <c r="AF34" i="18"/>
  <c r="AF33" i="18"/>
  <c r="AF32" i="18"/>
  <c r="AF31" i="18"/>
  <c r="AF30" i="18"/>
  <c r="AF29" i="18"/>
  <c r="AF28" i="18"/>
  <c r="AF26" i="18"/>
  <c r="AF25" i="18"/>
  <c r="AF24" i="18"/>
  <c r="AF23" i="18"/>
  <c r="AF22" i="18"/>
  <c r="AF21" i="18"/>
  <c r="AF20" i="18"/>
  <c r="AF19" i="18"/>
  <c r="AF18" i="18"/>
  <c r="AF17" i="18"/>
  <c r="AF16" i="18"/>
  <c r="AF15" i="18"/>
  <c r="AF14" i="18"/>
  <c r="AF13" i="18"/>
  <c r="AF12" i="18"/>
  <c r="AF11" i="18"/>
  <c r="AF10" i="18"/>
  <c r="X130" i="18"/>
  <c r="X129" i="18"/>
  <c r="X127" i="18"/>
  <c r="X126" i="18"/>
  <c r="X124" i="18"/>
  <c r="X123" i="18"/>
  <c r="X121" i="18"/>
  <c r="X120" i="18"/>
  <c r="X119" i="18"/>
  <c r="X118" i="18"/>
  <c r="X117" i="18"/>
  <c r="X116" i="18"/>
  <c r="X115" i="18"/>
  <c r="X114" i="18"/>
  <c r="X113" i="18"/>
  <c r="X112" i="18"/>
  <c r="X111" i="18"/>
  <c r="X110" i="18"/>
  <c r="X109" i="18"/>
  <c r="X107" i="18"/>
  <c r="X106" i="18"/>
  <c r="X105" i="18"/>
  <c r="X104" i="18"/>
  <c r="X102" i="18"/>
  <c r="X101" i="18"/>
  <c r="X100" i="18"/>
  <c r="X99" i="18"/>
  <c r="X98" i="18"/>
  <c r="X97" i="18"/>
  <c r="X96" i="18"/>
  <c r="X95" i="18"/>
  <c r="X94" i="18"/>
  <c r="X93" i="18"/>
  <c r="X92" i="18"/>
  <c r="X91" i="18"/>
  <c r="X90" i="18"/>
  <c r="X89" i="18"/>
  <c r="X88" i="18"/>
  <c r="X87" i="18"/>
  <c r="X86" i="18"/>
  <c r="X85" i="18"/>
  <c r="X84" i="18"/>
  <c r="X83" i="18"/>
  <c r="X82" i="18"/>
  <c r="X81" i="18"/>
  <c r="X80" i="18"/>
  <c r="X79" i="18"/>
  <c r="X78" i="18"/>
  <c r="X77" i="18"/>
  <c r="X76" i="18"/>
  <c r="X75" i="18"/>
  <c r="X74" i="18"/>
  <c r="X73" i="18"/>
  <c r="X72" i="18"/>
  <c r="X71" i="18"/>
  <c r="X70" i="18"/>
  <c r="X69" i="18"/>
  <c r="X68" i="18"/>
  <c r="X67" i="18"/>
  <c r="X66" i="18"/>
  <c r="X65" i="18"/>
  <c r="X64" i="18"/>
  <c r="X63" i="18"/>
  <c r="X62" i="18"/>
  <c r="X60" i="18"/>
  <c r="X59" i="18"/>
  <c r="X58" i="18"/>
  <c r="X57" i="18"/>
  <c r="X56" i="18"/>
  <c r="X55" i="18"/>
  <c r="X54" i="18"/>
  <c r="X53" i="18"/>
  <c r="X52" i="18"/>
  <c r="X51" i="18"/>
  <c r="AF51" i="18" s="1"/>
  <c r="X50" i="18"/>
  <c r="X49" i="18"/>
  <c r="X48" i="18"/>
  <c r="X47" i="18"/>
  <c r="X46" i="18"/>
  <c r="X45" i="18"/>
  <c r="X44" i="18"/>
  <c r="X43" i="18"/>
  <c r="X42" i="18"/>
  <c r="X41" i="18"/>
  <c r="X40" i="18"/>
  <c r="X39" i="18"/>
  <c r="X38" i="18"/>
  <c r="X37" i="18"/>
  <c r="X36" i="18"/>
  <c r="X35" i="18"/>
  <c r="X34" i="18"/>
  <c r="X33" i="18"/>
  <c r="X32" i="18"/>
  <c r="X31" i="18"/>
  <c r="X30" i="18"/>
  <c r="X29" i="18"/>
  <c r="X28" i="18"/>
  <c r="X26" i="18"/>
  <c r="X25" i="18"/>
  <c r="X24" i="18"/>
  <c r="X23" i="18"/>
  <c r="X22" i="18"/>
  <c r="X21" i="18"/>
  <c r="X20" i="18"/>
  <c r="X19" i="18"/>
  <c r="X18" i="18"/>
  <c r="X17" i="18"/>
  <c r="X16" i="18"/>
  <c r="X15" i="18"/>
  <c r="X14" i="18"/>
  <c r="X13" i="18"/>
  <c r="X12" i="18"/>
  <c r="X11" i="18"/>
  <c r="X10" i="18"/>
  <c r="O130" i="18"/>
  <c r="O129" i="18"/>
  <c r="O127" i="18"/>
  <c r="O126" i="18"/>
  <c r="O124" i="18"/>
  <c r="O123" i="18"/>
  <c r="O121" i="18"/>
  <c r="O120" i="18"/>
  <c r="O119" i="18"/>
  <c r="O118" i="18"/>
  <c r="O117" i="18"/>
  <c r="O116" i="18"/>
  <c r="O115" i="18"/>
  <c r="O114" i="18"/>
  <c r="O113" i="18"/>
  <c r="O112" i="18"/>
  <c r="O111" i="18"/>
  <c r="O110" i="18"/>
  <c r="O109" i="18"/>
  <c r="O107" i="18"/>
  <c r="O106" i="18"/>
  <c r="O105" i="18"/>
  <c r="O104" i="18"/>
  <c r="O102" i="18"/>
  <c r="O101" i="18"/>
  <c r="O100" i="18"/>
  <c r="O99" i="18"/>
  <c r="O98" i="18"/>
  <c r="O97" i="18"/>
  <c r="O96" i="18"/>
  <c r="O95" i="18"/>
  <c r="O94" i="18"/>
  <c r="O93" i="18"/>
  <c r="O92" i="18"/>
  <c r="O91" i="18"/>
  <c r="O90" i="18"/>
  <c r="O89" i="18"/>
  <c r="O88" i="18"/>
  <c r="O87" i="18"/>
  <c r="O86" i="18"/>
  <c r="O85" i="18"/>
  <c r="O84" i="18"/>
  <c r="O83" i="18"/>
  <c r="O82" i="18"/>
  <c r="O81" i="18"/>
  <c r="O80" i="18"/>
  <c r="O79" i="18"/>
  <c r="O78" i="18"/>
  <c r="O77" i="18"/>
  <c r="O76" i="18"/>
  <c r="O75" i="18"/>
  <c r="O74" i="18"/>
  <c r="O73" i="18"/>
  <c r="O72" i="18"/>
  <c r="O71" i="18"/>
  <c r="O70" i="18"/>
  <c r="O69" i="18"/>
  <c r="O68" i="18"/>
  <c r="O67" i="18"/>
  <c r="O66" i="18"/>
  <c r="O65" i="18"/>
  <c r="O64" i="18"/>
  <c r="O63" i="18"/>
  <c r="O62" i="18"/>
  <c r="O60" i="18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O45" i="18"/>
  <c r="O44" i="18"/>
  <c r="O43" i="18"/>
  <c r="O42" i="18"/>
  <c r="O41" i="18"/>
  <c r="O40" i="18"/>
  <c r="O39" i="18"/>
  <c r="O38" i="18"/>
  <c r="O37" i="18"/>
  <c r="O36" i="18"/>
  <c r="O35" i="18"/>
  <c r="O34" i="18"/>
  <c r="O33" i="18"/>
  <c r="O32" i="18"/>
  <c r="O31" i="18"/>
  <c r="O30" i="18"/>
  <c r="O29" i="18"/>
  <c r="O28" i="18"/>
  <c r="O26" i="18"/>
  <c r="O25" i="18"/>
  <c r="O24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O10" i="18"/>
  <c r="O8" i="18"/>
  <c r="S68" i="18"/>
  <c r="AG102" i="18"/>
  <c r="AG101" i="18"/>
  <c r="AG100" i="18"/>
  <c r="AG99" i="18"/>
  <c r="AG98" i="18"/>
  <c r="AG97" i="18"/>
  <c r="AG96" i="18"/>
  <c r="AG95" i="18"/>
  <c r="AG94" i="18"/>
  <c r="AG93" i="18"/>
  <c r="AG92" i="18"/>
  <c r="AG91" i="18"/>
  <c r="AG90" i="18"/>
  <c r="AG89" i="18"/>
  <c r="AG88" i="18"/>
  <c r="AG87" i="18"/>
  <c r="AG86" i="18"/>
  <c r="AG85" i="18"/>
  <c r="AG84" i="18"/>
  <c r="AG83" i="18"/>
  <c r="AG82" i="18"/>
  <c r="AG81" i="18"/>
  <c r="AG80" i="18"/>
  <c r="AG79" i="18"/>
  <c r="AG78" i="18"/>
  <c r="AG77" i="18"/>
  <c r="AG76" i="18"/>
  <c r="AG75" i="18"/>
  <c r="AG74" i="18"/>
  <c r="AG73" i="18"/>
  <c r="AG72" i="18"/>
  <c r="AG71" i="18"/>
  <c r="AG70" i="18"/>
  <c r="AG69" i="18"/>
  <c r="AG68" i="18"/>
  <c r="AG67" i="18"/>
  <c r="AG66" i="18"/>
  <c r="AG65" i="18"/>
  <c r="AG64" i="18"/>
  <c r="AG63" i="18"/>
  <c r="AG62" i="18"/>
  <c r="AG60" i="18"/>
  <c r="AG59" i="18"/>
  <c r="AG58" i="18"/>
  <c r="AG57" i="18"/>
  <c r="AG56" i="18"/>
  <c r="AG55" i="18"/>
  <c r="AG54" i="18"/>
  <c r="AG53" i="18"/>
  <c r="AG52" i="18"/>
  <c r="AG51" i="18"/>
  <c r="AG50" i="18"/>
  <c r="AG49" i="18"/>
  <c r="AG48" i="18"/>
  <c r="AG47" i="18"/>
  <c r="AG46" i="18"/>
  <c r="AG45" i="18"/>
  <c r="AG44" i="18"/>
  <c r="AG43" i="18"/>
  <c r="AG42" i="18"/>
  <c r="AG41" i="18"/>
  <c r="AG40" i="18"/>
  <c r="AG39" i="18"/>
  <c r="AG38" i="18"/>
  <c r="AG37" i="18"/>
  <c r="AG36" i="18"/>
  <c r="AG35" i="18"/>
  <c r="AG34" i="18"/>
  <c r="AG33" i="18"/>
  <c r="AG32" i="18"/>
  <c r="AG31" i="18"/>
  <c r="AG30" i="18"/>
  <c r="AG29" i="18"/>
  <c r="J92" i="18"/>
  <c r="E92" i="18"/>
  <c r="AA103" i="18"/>
  <c r="E68" i="18"/>
  <c r="AD91" i="21"/>
  <c r="X91" i="21"/>
  <c r="AF91" i="21" s="1"/>
  <c r="AE91" i="21"/>
  <c r="E91" i="21"/>
  <c r="T129" i="18"/>
  <c r="X8" i="18"/>
  <c r="AF8" i="18" s="1"/>
  <c r="Y92" i="18" l="1"/>
  <c r="AH92" i="18" s="1"/>
  <c r="P92" i="18"/>
  <c r="S92" i="18" s="1"/>
  <c r="Y68" i="18"/>
  <c r="AH68" i="18" s="1"/>
  <c r="AE67" i="21"/>
  <c r="AD67" i="21"/>
  <c r="E67" i="21"/>
  <c r="J67" i="21" s="1"/>
  <c r="Q67" i="21" s="1"/>
  <c r="X67" i="21" s="1"/>
  <c r="AF67" i="21" s="1"/>
  <c r="AB26" i="21" l="1"/>
  <c r="AA26" i="21"/>
  <c r="Z26" i="21"/>
  <c r="Y26" i="21"/>
  <c r="AB60" i="21"/>
  <c r="AA60" i="21"/>
  <c r="Z60" i="21"/>
  <c r="Y60" i="21"/>
  <c r="AB102" i="21"/>
  <c r="AA102" i="21"/>
  <c r="Z102" i="21"/>
  <c r="Y102" i="21"/>
  <c r="AB107" i="21"/>
  <c r="AA107" i="21"/>
  <c r="Z107" i="21"/>
  <c r="Y107" i="21"/>
  <c r="AB121" i="21"/>
  <c r="AA121" i="21"/>
  <c r="Z121" i="21"/>
  <c r="Y121" i="21"/>
  <c r="AB124" i="21"/>
  <c r="AA124" i="21"/>
  <c r="Z124" i="21"/>
  <c r="Y124" i="21"/>
  <c r="AB127" i="21"/>
  <c r="AA127" i="21"/>
  <c r="Z127" i="21"/>
  <c r="Y127" i="21"/>
  <c r="AB130" i="21"/>
  <c r="AB133" i="21" s="1"/>
  <c r="AA130" i="21"/>
  <c r="Z130" i="21"/>
  <c r="Z133" i="21" s="1"/>
  <c r="Y130" i="21"/>
  <c r="AA133" i="21"/>
  <c r="Y133" i="21"/>
  <c r="AE129" i="21"/>
  <c r="AE128" i="21"/>
  <c r="AE126" i="21"/>
  <c r="AE125" i="21"/>
  <c r="AE123" i="21"/>
  <c r="AE122" i="21"/>
  <c r="AE120" i="21"/>
  <c r="AE119" i="21"/>
  <c r="AE118" i="21"/>
  <c r="AE117" i="21"/>
  <c r="AE116" i="21"/>
  <c r="AE115" i="21"/>
  <c r="AE114" i="21"/>
  <c r="AE113" i="21"/>
  <c r="AE112" i="21"/>
  <c r="AE111" i="21"/>
  <c r="AE110" i="21"/>
  <c r="AE109" i="21"/>
  <c r="AE108" i="21"/>
  <c r="AE106" i="21"/>
  <c r="AE105" i="21"/>
  <c r="AE104" i="21"/>
  <c r="AE103" i="21"/>
  <c r="AE101" i="21"/>
  <c r="AE100" i="21"/>
  <c r="AE99" i="21"/>
  <c r="AE98" i="21"/>
  <c r="AE97" i="21"/>
  <c r="AE96" i="21"/>
  <c r="AE95" i="21"/>
  <c r="AE94" i="21"/>
  <c r="AE93" i="21"/>
  <c r="AE92" i="21"/>
  <c r="AE90" i="21"/>
  <c r="AE88" i="21"/>
  <c r="AE87" i="21"/>
  <c r="AE86" i="21"/>
  <c r="AE84" i="21"/>
  <c r="AE83" i="21"/>
  <c r="AE82" i="21"/>
  <c r="AE81" i="21"/>
  <c r="AE80" i="21"/>
  <c r="AE79" i="21"/>
  <c r="AE78" i="21"/>
  <c r="AE77" i="21"/>
  <c r="AE76" i="21"/>
  <c r="AE75" i="21"/>
  <c r="AE74" i="21"/>
  <c r="AE73" i="21"/>
  <c r="AE72" i="21"/>
  <c r="AE71" i="21"/>
  <c r="AE70" i="21"/>
  <c r="AE69" i="21"/>
  <c r="AE68" i="21"/>
  <c r="AE66" i="21"/>
  <c r="AE65" i="21"/>
  <c r="AE64" i="21"/>
  <c r="AE63" i="21"/>
  <c r="AE62" i="21"/>
  <c r="AE61" i="21"/>
  <c r="AE59" i="21"/>
  <c r="AE58" i="21"/>
  <c r="AE57" i="21"/>
  <c r="AE56" i="21"/>
  <c r="AE55" i="21"/>
  <c r="AE54" i="21"/>
  <c r="AE53" i="21"/>
  <c r="AE52" i="21"/>
  <c r="AE51" i="21"/>
  <c r="AE50" i="21"/>
  <c r="AE49" i="21"/>
  <c r="AE48" i="21"/>
  <c r="AE47" i="21"/>
  <c r="AE46" i="21"/>
  <c r="AE45" i="21"/>
  <c r="AE44" i="21"/>
  <c r="AE43" i="21"/>
  <c r="AE42" i="21"/>
  <c r="AE41" i="21"/>
  <c r="AE39" i="21"/>
  <c r="AE38" i="21"/>
  <c r="AE37" i="21"/>
  <c r="AE36" i="21"/>
  <c r="AE35" i="21"/>
  <c r="AE33" i="21"/>
  <c r="AE32" i="21"/>
  <c r="AE31" i="21"/>
  <c r="AE30" i="21"/>
  <c r="AE29" i="21"/>
  <c r="AE28" i="21"/>
  <c r="AE27" i="21"/>
  <c r="AE25" i="21"/>
  <c r="AE24" i="21"/>
  <c r="AE23" i="21"/>
  <c r="AE22" i="21"/>
  <c r="AE21" i="21"/>
  <c r="AE20" i="21"/>
  <c r="AE19" i="21"/>
  <c r="AE18" i="21"/>
  <c r="AE17" i="21"/>
  <c r="AE16" i="21"/>
  <c r="AE15" i="21"/>
  <c r="AE14" i="21"/>
  <c r="AE13" i="21"/>
  <c r="AE12" i="21"/>
  <c r="AE11" i="21"/>
  <c r="AE10" i="21"/>
  <c r="AE9" i="21"/>
  <c r="AE7" i="21"/>
  <c r="W130" i="21"/>
  <c r="W127" i="21"/>
  <c r="W124" i="21"/>
  <c r="W121" i="21"/>
  <c r="W107" i="21"/>
  <c r="W102" i="21"/>
  <c r="W60" i="21"/>
  <c r="W26" i="21"/>
  <c r="V130" i="21"/>
  <c r="V127" i="21"/>
  <c r="V124" i="21"/>
  <c r="V121" i="21"/>
  <c r="V107" i="21"/>
  <c r="V102" i="21"/>
  <c r="V60" i="21"/>
  <c r="V26" i="21"/>
  <c r="U130" i="21"/>
  <c r="T130" i="21"/>
  <c r="S130" i="21"/>
  <c r="P130" i="21"/>
  <c r="O130" i="21"/>
  <c r="N130" i="21"/>
  <c r="M130" i="21"/>
  <c r="L130" i="21"/>
  <c r="K130" i="21"/>
  <c r="I130" i="21"/>
  <c r="H130" i="21"/>
  <c r="G130" i="21"/>
  <c r="F130" i="21"/>
  <c r="D130" i="21"/>
  <c r="C130" i="21"/>
  <c r="AD129" i="21"/>
  <c r="E129" i="21"/>
  <c r="J129" i="21" s="1"/>
  <c r="Q129" i="21" s="1"/>
  <c r="X129" i="21" s="1"/>
  <c r="AF129" i="21" s="1"/>
  <c r="AD128" i="21"/>
  <c r="R128" i="21"/>
  <c r="R130" i="21" s="1"/>
  <c r="E128" i="21"/>
  <c r="J128" i="21" s="1"/>
  <c r="U127" i="21"/>
  <c r="T127" i="21"/>
  <c r="S127" i="21"/>
  <c r="R127" i="21"/>
  <c r="P127" i="21"/>
  <c r="O127" i="21"/>
  <c r="N127" i="21"/>
  <c r="M127" i="21"/>
  <c r="L127" i="21"/>
  <c r="K127" i="21"/>
  <c r="H127" i="21"/>
  <c r="D127" i="21"/>
  <c r="E127" i="21" s="1"/>
  <c r="AD126" i="21"/>
  <c r="E126" i="21"/>
  <c r="J126" i="21" s="1"/>
  <c r="Q126" i="21" s="1"/>
  <c r="X126" i="21" s="1"/>
  <c r="AF126" i="21" s="1"/>
  <c r="AD125" i="21"/>
  <c r="AD127" i="21" s="1"/>
  <c r="Q125" i="21"/>
  <c r="X125" i="21" s="1"/>
  <c r="E125" i="21"/>
  <c r="J125" i="21" s="1"/>
  <c r="U124" i="21"/>
  <c r="T124" i="21"/>
  <c r="S124" i="21"/>
  <c r="R124" i="21"/>
  <c r="P124" i="21"/>
  <c r="O124" i="21"/>
  <c r="N124" i="21"/>
  <c r="M124" i="21"/>
  <c r="L124" i="21"/>
  <c r="K124" i="21"/>
  <c r="D124" i="21"/>
  <c r="E124" i="21" s="1"/>
  <c r="AD123" i="21"/>
  <c r="J123" i="21"/>
  <c r="Q123" i="21" s="1"/>
  <c r="X123" i="21" s="1"/>
  <c r="E123" i="21"/>
  <c r="H123" i="21" s="1"/>
  <c r="AD122" i="21"/>
  <c r="AD124" i="21" s="1"/>
  <c r="E122" i="21"/>
  <c r="J122" i="21" s="1"/>
  <c r="Q122" i="21" s="1"/>
  <c r="Q124" i="21" s="1"/>
  <c r="U121" i="21"/>
  <c r="T121" i="21"/>
  <c r="S121" i="21"/>
  <c r="R121" i="21"/>
  <c r="P121" i="21"/>
  <c r="O121" i="21"/>
  <c r="N121" i="21"/>
  <c r="M121" i="21"/>
  <c r="L121" i="21"/>
  <c r="K121" i="21"/>
  <c r="H121" i="21"/>
  <c r="G121" i="21"/>
  <c r="F121" i="21"/>
  <c r="C121" i="21"/>
  <c r="AD120" i="21"/>
  <c r="E120" i="21"/>
  <c r="J120" i="21" s="1"/>
  <c r="Q120" i="21" s="1"/>
  <c r="X120" i="21" s="1"/>
  <c r="AF120" i="21" s="1"/>
  <c r="E119" i="21"/>
  <c r="J119" i="21" s="1"/>
  <c r="Q119" i="21" s="1"/>
  <c r="X119" i="21" s="1"/>
  <c r="AF119" i="21" s="1"/>
  <c r="C119" i="21"/>
  <c r="AD119" i="21" s="1"/>
  <c r="AD118" i="21"/>
  <c r="E118" i="21"/>
  <c r="J118" i="21" s="1"/>
  <c r="Q118" i="21" s="1"/>
  <c r="X118" i="21" s="1"/>
  <c r="AF118" i="21" s="1"/>
  <c r="AD117" i="21"/>
  <c r="J117" i="21"/>
  <c r="Q117" i="21" s="1"/>
  <c r="X117" i="21" s="1"/>
  <c r="AF117" i="21" s="1"/>
  <c r="E117" i="21"/>
  <c r="J116" i="21"/>
  <c r="Q116" i="21" s="1"/>
  <c r="X116" i="21" s="1"/>
  <c r="AF116" i="21" s="1"/>
  <c r="C116" i="21"/>
  <c r="E116" i="21" s="1"/>
  <c r="AD115" i="21"/>
  <c r="E115" i="21"/>
  <c r="J115" i="21" s="1"/>
  <c r="Q115" i="21" s="1"/>
  <c r="X115" i="21" s="1"/>
  <c r="AF115" i="21" s="1"/>
  <c r="D114" i="21"/>
  <c r="AD114" i="21" s="1"/>
  <c r="AD113" i="21"/>
  <c r="J113" i="21"/>
  <c r="Q113" i="21" s="1"/>
  <c r="X113" i="21" s="1"/>
  <c r="AF113" i="21" s="1"/>
  <c r="E113" i="21"/>
  <c r="AD112" i="21"/>
  <c r="E112" i="21"/>
  <c r="J112" i="21" s="1"/>
  <c r="Q112" i="21" s="1"/>
  <c r="X112" i="21" s="1"/>
  <c r="AF112" i="21" s="1"/>
  <c r="AD111" i="21"/>
  <c r="J111" i="21"/>
  <c r="Q111" i="21" s="1"/>
  <c r="X111" i="21" s="1"/>
  <c r="AF111" i="21" s="1"/>
  <c r="E111" i="21"/>
  <c r="J110" i="21"/>
  <c r="Q110" i="21" s="1"/>
  <c r="X110" i="21" s="1"/>
  <c r="AF110" i="21" s="1"/>
  <c r="C110" i="21"/>
  <c r="E110" i="21" s="1"/>
  <c r="D109" i="21"/>
  <c r="D121" i="21" s="1"/>
  <c r="C109" i="21"/>
  <c r="AD108" i="21"/>
  <c r="E108" i="21"/>
  <c r="J108" i="21" s="1"/>
  <c r="U107" i="21"/>
  <c r="T107" i="21"/>
  <c r="S107" i="21"/>
  <c r="R107" i="21"/>
  <c r="P107" i="21"/>
  <c r="O107" i="21"/>
  <c r="N107" i="21"/>
  <c r="M107" i="21"/>
  <c r="L107" i="21"/>
  <c r="K107" i="21"/>
  <c r="I107" i="21"/>
  <c r="AD106" i="21"/>
  <c r="E106" i="21"/>
  <c r="J106" i="21" s="1"/>
  <c r="Q106" i="21" s="1"/>
  <c r="X106" i="21" s="1"/>
  <c r="AF106" i="21" s="1"/>
  <c r="D105" i="21"/>
  <c r="D107" i="21" s="1"/>
  <c r="C105" i="21"/>
  <c r="E105" i="21" s="1"/>
  <c r="AD104" i="21"/>
  <c r="J104" i="21"/>
  <c r="Q104" i="21" s="1"/>
  <c r="X104" i="21" s="1"/>
  <c r="AF104" i="21" s="1"/>
  <c r="E104" i="21"/>
  <c r="AD103" i="21"/>
  <c r="E103" i="21"/>
  <c r="J103" i="21" s="1"/>
  <c r="U102" i="21"/>
  <c r="T102" i="21"/>
  <c r="S102" i="21"/>
  <c r="R102" i="21"/>
  <c r="O102" i="21"/>
  <c r="N102" i="21"/>
  <c r="M102" i="21"/>
  <c r="L102" i="21"/>
  <c r="K102" i="21"/>
  <c r="H102" i="21"/>
  <c r="G102" i="21"/>
  <c r="F102" i="21"/>
  <c r="C101" i="21"/>
  <c r="E101" i="21" s="1"/>
  <c r="J101" i="21" s="1"/>
  <c r="Q101" i="21" s="1"/>
  <c r="X101" i="21" s="1"/>
  <c r="AF101" i="21" s="1"/>
  <c r="AD100" i="21"/>
  <c r="E100" i="21"/>
  <c r="J100" i="21" s="1"/>
  <c r="Q100" i="21" s="1"/>
  <c r="X100" i="21" s="1"/>
  <c r="AF100" i="21" s="1"/>
  <c r="AD99" i="21"/>
  <c r="E99" i="21"/>
  <c r="J99" i="21" s="1"/>
  <c r="Q99" i="21" s="1"/>
  <c r="X99" i="21" s="1"/>
  <c r="AF99" i="21" s="1"/>
  <c r="AD98" i="21"/>
  <c r="E98" i="21"/>
  <c r="J98" i="21" s="1"/>
  <c r="Q98" i="21" s="1"/>
  <c r="X98" i="21" s="1"/>
  <c r="AF98" i="21" s="1"/>
  <c r="AD97" i="21"/>
  <c r="E97" i="21"/>
  <c r="J97" i="21" s="1"/>
  <c r="Q97" i="21" s="1"/>
  <c r="X97" i="21" s="1"/>
  <c r="AF97" i="21" s="1"/>
  <c r="AD96" i="21"/>
  <c r="E96" i="21"/>
  <c r="J96" i="21" s="1"/>
  <c r="Q96" i="21" s="1"/>
  <c r="X96" i="21" s="1"/>
  <c r="AF96" i="21" s="1"/>
  <c r="AD95" i="21"/>
  <c r="J95" i="21"/>
  <c r="Q95" i="21" s="1"/>
  <c r="X95" i="21" s="1"/>
  <c r="AF95" i="21" s="1"/>
  <c r="E95" i="21"/>
  <c r="AD94" i="21"/>
  <c r="E94" i="21"/>
  <c r="J94" i="21" s="1"/>
  <c r="Q94" i="21" s="1"/>
  <c r="X94" i="21" s="1"/>
  <c r="AF94" i="21" s="1"/>
  <c r="C93" i="21"/>
  <c r="E93" i="21" s="1"/>
  <c r="J93" i="21" s="1"/>
  <c r="Q93" i="21" s="1"/>
  <c r="X93" i="21" s="1"/>
  <c r="AF93" i="21" s="1"/>
  <c r="AD92" i="21"/>
  <c r="E92" i="21"/>
  <c r="J92" i="21" s="1"/>
  <c r="Q92" i="21" s="1"/>
  <c r="X92" i="21" s="1"/>
  <c r="AF92" i="21" s="1"/>
  <c r="C90" i="21"/>
  <c r="AD90" i="21" s="1"/>
  <c r="AD89" i="21"/>
  <c r="P89" i="21"/>
  <c r="AE89" i="21" s="1"/>
  <c r="E89" i="21"/>
  <c r="J89" i="21" s="1"/>
  <c r="AD88" i="21"/>
  <c r="E88" i="21"/>
  <c r="J88" i="21" s="1"/>
  <c r="Q88" i="21" s="1"/>
  <c r="X88" i="21" s="1"/>
  <c r="AF88" i="21" s="1"/>
  <c r="AD87" i="21"/>
  <c r="E87" i="21"/>
  <c r="J87" i="21" s="1"/>
  <c r="Q87" i="21" s="1"/>
  <c r="X87" i="21" s="1"/>
  <c r="AF87" i="21" s="1"/>
  <c r="AD86" i="21"/>
  <c r="E86" i="21"/>
  <c r="J86" i="21" s="1"/>
  <c r="Q86" i="21" s="1"/>
  <c r="X86" i="21" s="1"/>
  <c r="AF86" i="21" s="1"/>
  <c r="AD85" i="21"/>
  <c r="P85" i="21"/>
  <c r="E85" i="21"/>
  <c r="J85" i="21" s="1"/>
  <c r="Q85" i="21" s="1"/>
  <c r="X85" i="21" s="1"/>
  <c r="AF85" i="21" s="1"/>
  <c r="AD84" i="21"/>
  <c r="E84" i="21"/>
  <c r="J84" i="21" s="1"/>
  <c r="Q84" i="21" s="1"/>
  <c r="X84" i="21" s="1"/>
  <c r="AF84" i="21" s="1"/>
  <c r="D83" i="21"/>
  <c r="C83" i="21"/>
  <c r="AD82" i="21"/>
  <c r="J82" i="21"/>
  <c r="Q82" i="21" s="1"/>
  <c r="X82" i="21" s="1"/>
  <c r="AF82" i="21" s="1"/>
  <c r="E82" i="21"/>
  <c r="AD81" i="21"/>
  <c r="E81" i="21"/>
  <c r="J81" i="21" s="1"/>
  <c r="Q81" i="21" s="1"/>
  <c r="X81" i="21" s="1"/>
  <c r="AF81" i="21" s="1"/>
  <c r="AD80" i="21"/>
  <c r="E80" i="21"/>
  <c r="J80" i="21" s="1"/>
  <c r="Q80" i="21" s="1"/>
  <c r="X80" i="21" s="1"/>
  <c r="AF80" i="21" s="1"/>
  <c r="AD79" i="21"/>
  <c r="E79" i="21"/>
  <c r="J79" i="21" s="1"/>
  <c r="Q79" i="21" s="1"/>
  <c r="X79" i="21" s="1"/>
  <c r="AF79" i="21" s="1"/>
  <c r="AD78" i="21"/>
  <c r="I78" i="21"/>
  <c r="I102" i="21" s="1"/>
  <c r="E78" i="21"/>
  <c r="J78" i="21" s="1"/>
  <c r="Q78" i="21" s="1"/>
  <c r="X78" i="21" s="1"/>
  <c r="AF78" i="21" s="1"/>
  <c r="C78" i="21"/>
  <c r="AD77" i="21"/>
  <c r="E77" i="21"/>
  <c r="J77" i="21" s="1"/>
  <c r="Q77" i="21" s="1"/>
  <c r="X77" i="21" s="1"/>
  <c r="AF77" i="21" s="1"/>
  <c r="AD76" i="21"/>
  <c r="E76" i="21"/>
  <c r="J76" i="21" s="1"/>
  <c r="Q76" i="21" s="1"/>
  <c r="X76" i="21" s="1"/>
  <c r="AF76" i="21" s="1"/>
  <c r="C75" i="21"/>
  <c r="E75" i="21" s="1"/>
  <c r="J75" i="21" s="1"/>
  <c r="Q75" i="21" s="1"/>
  <c r="X75" i="21" s="1"/>
  <c r="AF75" i="21" s="1"/>
  <c r="E74" i="21"/>
  <c r="J74" i="21" s="1"/>
  <c r="Q74" i="21" s="1"/>
  <c r="X74" i="21" s="1"/>
  <c r="AF74" i="21" s="1"/>
  <c r="C74" i="21"/>
  <c r="AD74" i="21" s="1"/>
  <c r="AD73" i="21"/>
  <c r="E73" i="21"/>
  <c r="J73" i="21" s="1"/>
  <c r="Q73" i="21" s="1"/>
  <c r="X73" i="21" s="1"/>
  <c r="AF73" i="21" s="1"/>
  <c r="C72" i="21"/>
  <c r="E72" i="21" s="1"/>
  <c r="J72" i="21" s="1"/>
  <c r="Q72" i="21" s="1"/>
  <c r="X72" i="21" s="1"/>
  <c r="AF72" i="21" s="1"/>
  <c r="AD71" i="21"/>
  <c r="Q71" i="21"/>
  <c r="X71" i="21" s="1"/>
  <c r="AF71" i="21" s="1"/>
  <c r="C70" i="21"/>
  <c r="AD70" i="21" s="1"/>
  <c r="AD69" i="21"/>
  <c r="E69" i="21"/>
  <c r="J69" i="21" s="1"/>
  <c r="Q69" i="21" s="1"/>
  <c r="X69" i="21" s="1"/>
  <c r="AF69" i="21" s="1"/>
  <c r="AD68" i="21"/>
  <c r="E68" i="21"/>
  <c r="J68" i="21" s="1"/>
  <c r="Q68" i="21" s="1"/>
  <c r="X68" i="21" s="1"/>
  <c r="AF68" i="21" s="1"/>
  <c r="AD66" i="21"/>
  <c r="J66" i="21"/>
  <c r="Q66" i="21" s="1"/>
  <c r="X66" i="21" s="1"/>
  <c r="AF66" i="21" s="1"/>
  <c r="E66" i="21"/>
  <c r="AD65" i="21"/>
  <c r="E65" i="21"/>
  <c r="J65" i="21" s="1"/>
  <c r="Q65" i="21" s="1"/>
  <c r="X65" i="21" s="1"/>
  <c r="AF65" i="21" s="1"/>
  <c r="C64" i="21"/>
  <c r="AD63" i="21"/>
  <c r="E63" i="21"/>
  <c r="J63" i="21" s="1"/>
  <c r="Q63" i="21" s="1"/>
  <c r="X63" i="21" s="1"/>
  <c r="AF63" i="21" s="1"/>
  <c r="AD62" i="21"/>
  <c r="E62" i="21"/>
  <c r="J62" i="21" s="1"/>
  <c r="Q62" i="21" s="1"/>
  <c r="X62" i="21" s="1"/>
  <c r="AF62" i="21" s="1"/>
  <c r="AD61" i="21"/>
  <c r="E61" i="21"/>
  <c r="U60" i="21"/>
  <c r="T60" i="21"/>
  <c r="S60" i="21"/>
  <c r="R60" i="21"/>
  <c r="P60" i="21"/>
  <c r="O60" i="21"/>
  <c r="N60" i="21"/>
  <c r="M60" i="21"/>
  <c r="L60" i="21"/>
  <c r="K60" i="21"/>
  <c r="G60" i="21"/>
  <c r="F60" i="21"/>
  <c r="AD59" i="21"/>
  <c r="E59" i="21"/>
  <c r="J59" i="21" s="1"/>
  <c r="Q59" i="21" s="1"/>
  <c r="X59" i="21" s="1"/>
  <c r="AF59" i="21" s="1"/>
  <c r="AD58" i="21"/>
  <c r="Q58" i="21"/>
  <c r="X58" i="21" s="1"/>
  <c r="AF58" i="21" s="1"/>
  <c r="E58" i="21"/>
  <c r="J58" i="21" s="1"/>
  <c r="AD57" i="21"/>
  <c r="E57" i="21"/>
  <c r="J57" i="21" s="1"/>
  <c r="Q57" i="21" s="1"/>
  <c r="X57" i="21" s="1"/>
  <c r="AF57" i="21" s="1"/>
  <c r="AD56" i="21"/>
  <c r="E56" i="21"/>
  <c r="J56" i="21" s="1"/>
  <c r="Q56" i="21" s="1"/>
  <c r="X56" i="21" s="1"/>
  <c r="AF56" i="21" s="1"/>
  <c r="AD55" i="21"/>
  <c r="E55" i="21"/>
  <c r="J55" i="21" s="1"/>
  <c r="Q55" i="21" s="1"/>
  <c r="X55" i="21" s="1"/>
  <c r="AF55" i="21" s="1"/>
  <c r="AD54" i="21"/>
  <c r="E54" i="21"/>
  <c r="J54" i="21" s="1"/>
  <c r="Q54" i="21" s="1"/>
  <c r="X54" i="21" s="1"/>
  <c r="AF54" i="21" s="1"/>
  <c r="AD53" i="21"/>
  <c r="E53" i="21"/>
  <c r="J53" i="21" s="1"/>
  <c r="Q53" i="21" s="1"/>
  <c r="X53" i="21" s="1"/>
  <c r="AF53" i="21" s="1"/>
  <c r="AD52" i="21"/>
  <c r="E52" i="21"/>
  <c r="J52" i="21" s="1"/>
  <c r="Q52" i="21" s="1"/>
  <c r="X52" i="21" s="1"/>
  <c r="AF52" i="21" s="1"/>
  <c r="AD51" i="21"/>
  <c r="E51" i="21"/>
  <c r="J51" i="21" s="1"/>
  <c r="Q51" i="21" s="1"/>
  <c r="X51" i="21" s="1"/>
  <c r="AF51" i="21" s="1"/>
  <c r="D50" i="21"/>
  <c r="AD50" i="21" s="1"/>
  <c r="C49" i="21"/>
  <c r="E49" i="21" s="1"/>
  <c r="J49" i="21" s="1"/>
  <c r="Q49" i="21" s="1"/>
  <c r="X49" i="21" s="1"/>
  <c r="AF49" i="21" s="1"/>
  <c r="C48" i="21"/>
  <c r="AD48" i="21" s="1"/>
  <c r="AD47" i="21"/>
  <c r="J47" i="21"/>
  <c r="Q47" i="21" s="1"/>
  <c r="X47" i="21" s="1"/>
  <c r="AF47" i="21" s="1"/>
  <c r="E47" i="21"/>
  <c r="AD46" i="21"/>
  <c r="E46" i="21"/>
  <c r="J46" i="21" s="1"/>
  <c r="Q46" i="21" s="1"/>
  <c r="X46" i="21" s="1"/>
  <c r="AF46" i="21" s="1"/>
  <c r="AD45" i="21"/>
  <c r="E45" i="21"/>
  <c r="J45" i="21" s="1"/>
  <c r="Q45" i="21" s="1"/>
  <c r="X45" i="21" s="1"/>
  <c r="AF45" i="21" s="1"/>
  <c r="D44" i="21"/>
  <c r="D60" i="21" s="1"/>
  <c r="C44" i="21"/>
  <c r="AD43" i="21"/>
  <c r="E43" i="21"/>
  <c r="J43" i="21" s="1"/>
  <c r="Q43" i="21" s="1"/>
  <c r="X43" i="21" s="1"/>
  <c r="AF43" i="21" s="1"/>
  <c r="AD42" i="21"/>
  <c r="E42" i="21"/>
  <c r="J42" i="21" s="1"/>
  <c r="Q42" i="21" s="1"/>
  <c r="X42" i="21" s="1"/>
  <c r="AF42" i="21" s="1"/>
  <c r="AD41" i="21"/>
  <c r="E41" i="21"/>
  <c r="J41" i="21" s="1"/>
  <c r="Q41" i="21" s="1"/>
  <c r="X41" i="21" s="1"/>
  <c r="AF41" i="21" s="1"/>
  <c r="I40" i="21"/>
  <c r="AE40" i="21" s="1"/>
  <c r="C40" i="21"/>
  <c r="AD40" i="21" s="1"/>
  <c r="C39" i="21"/>
  <c r="E39" i="21" s="1"/>
  <c r="J39" i="21" s="1"/>
  <c r="Q39" i="21" s="1"/>
  <c r="X39" i="21" s="1"/>
  <c r="AF39" i="21" s="1"/>
  <c r="AD38" i="21"/>
  <c r="E38" i="21"/>
  <c r="J38" i="21" s="1"/>
  <c r="Q38" i="21" s="1"/>
  <c r="X38" i="21" s="1"/>
  <c r="AF38" i="21" s="1"/>
  <c r="AD37" i="21"/>
  <c r="E37" i="21"/>
  <c r="J37" i="21" s="1"/>
  <c r="Q37" i="21" s="1"/>
  <c r="X37" i="21" s="1"/>
  <c r="AF37" i="21" s="1"/>
  <c r="AD36" i="21"/>
  <c r="E36" i="21"/>
  <c r="J36" i="21" s="1"/>
  <c r="Q36" i="21" s="1"/>
  <c r="X36" i="21" s="1"/>
  <c r="AF36" i="21" s="1"/>
  <c r="AD35" i="21"/>
  <c r="E35" i="21"/>
  <c r="J35" i="21" s="1"/>
  <c r="Q35" i="21" s="1"/>
  <c r="X35" i="21" s="1"/>
  <c r="AF35" i="21" s="1"/>
  <c r="AD34" i="21"/>
  <c r="I34" i="21"/>
  <c r="I60" i="21" s="1"/>
  <c r="E34" i="21"/>
  <c r="AD33" i="21"/>
  <c r="E33" i="21"/>
  <c r="J33" i="21" s="1"/>
  <c r="Q33" i="21" s="1"/>
  <c r="X33" i="21" s="1"/>
  <c r="AF33" i="21" s="1"/>
  <c r="C32" i="21"/>
  <c r="E32" i="21" s="1"/>
  <c r="J32" i="21" s="1"/>
  <c r="Q32" i="21" s="1"/>
  <c r="X32" i="21" s="1"/>
  <c r="AF32" i="21" s="1"/>
  <c r="AD31" i="21"/>
  <c r="E31" i="21"/>
  <c r="J31" i="21" s="1"/>
  <c r="Q31" i="21" s="1"/>
  <c r="X31" i="21" s="1"/>
  <c r="AF31" i="21" s="1"/>
  <c r="AD30" i="21"/>
  <c r="H30" i="21"/>
  <c r="H60" i="21" s="1"/>
  <c r="E30" i="21"/>
  <c r="J30" i="21" s="1"/>
  <c r="Q30" i="21" s="1"/>
  <c r="X30" i="21" s="1"/>
  <c r="AF30" i="21" s="1"/>
  <c r="AD29" i="21"/>
  <c r="E29" i="21"/>
  <c r="J29" i="21" s="1"/>
  <c r="Q29" i="21" s="1"/>
  <c r="X29" i="21" s="1"/>
  <c r="AF29" i="21" s="1"/>
  <c r="AD28" i="21"/>
  <c r="E28" i="21"/>
  <c r="J28" i="21" s="1"/>
  <c r="Q28" i="21" s="1"/>
  <c r="X28" i="21" s="1"/>
  <c r="AF28" i="21" s="1"/>
  <c r="AD27" i="21"/>
  <c r="E27" i="21"/>
  <c r="J27" i="21" s="1"/>
  <c r="U26" i="21"/>
  <c r="T26" i="21"/>
  <c r="S26" i="21"/>
  <c r="R26" i="21"/>
  <c r="P26" i="21"/>
  <c r="O26" i="21"/>
  <c r="N26" i="21"/>
  <c r="M26" i="21"/>
  <c r="L26" i="21"/>
  <c r="K26" i="21"/>
  <c r="I26" i="21"/>
  <c r="H26" i="21"/>
  <c r="G26" i="21"/>
  <c r="F26" i="21"/>
  <c r="D26" i="21"/>
  <c r="AD25" i="21"/>
  <c r="E25" i="21"/>
  <c r="J25" i="21" s="1"/>
  <c r="Q25" i="21" s="1"/>
  <c r="X25" i="21" s="1"/>
  <c r="AF25" i="21" s="1"/>
  <c r="C24" i="21"/>
  <c r="E24" i="21" s="1"/>
  <c r="J24" i="21" s="1"/>
  <c r="Q24" i="21" s="1"/>
  <c r="X24" i="21" s="1"/>
  <c r="AF24" i="21" s="1"/>
  <c r="E23" i="21"/>
  <c r="J23" i="21" s="1"/>
  <c r="Q23" i="21" s="1"/>
  <c r="X23" i="21" s="1"/>
  <c r="AF23" i="21" s="1"/>
  <c r="C23" i="21"/>
  <c r="AD23" i="21" s="1"/>
  <c r="C22" i="21"/>
  <c r="E22" i="21" s="1"/>
  <c r="J22" i="21" s="1"/>
  <c r="Q22" i="21" s="1"/>
  <c r="X22" i="21" s="1"/>
  <c r="AF22" i="21" s="1"/>
  <c r="C21" i="21"/>
  <c r="AD21" i="21" s="1"/>
  <c r="AD20" i="21"/>
  <c r="E20" i="21"/>
  <c r="J20" i="21" s="1"/>
  <c r="Q20" i="21" s="1"/>
  <c r="X20" i="21" s="1"/>
  <c r="AF20" i="21" s="1"/>
  <c r="AD19" i="21"/>
  <c r="J19" i="21"/>
  <c r="Q19" i="21" s="1"/>
  <c r="X19" i="21" s="1"/>
  <c r="AF19" i="21" s="1"/>
  <c r="E19" i="21"/>
  <c r="AD18" i="21"/>
  <c r="E18" i="21"/>
  <c r="J18" i="21" s="1"/>
  <c r="Q18" i="21" s="1"/>
  <c r="X18" i="21" s="1"/>
  <c r="AF18" i="21" s="1"/>
  <c r="C17" i="21"/>
  <c r="E17" i="21" s="1"/>
  <c r="J17" i="21" s="1"/>
  <c r="Q17" i="21" s="1"/>
  <c r="X17" i="21" s="1"/>
  <c r="AF17" i="21" s="1"/>
  <c r="E16" i="21"/>
  <c r="J16" i="21" s="1"/>
  <c r="Q16" i="21" s="1"/>
  <c r="X16" i="21" s="1"/>
  <c r="AF16" i="21" s="1"/>
  <c r="C16" i="21"/>
  <c r="AD16" i="21" s="1"/>
  <c r="C15" i="21"/>
  <c r="E15" i="21" s="1"/>
  <c r="J15" i="21" s="1"/>
  <c r="Q15" i="21" s="1"/>
  <c r="X15" i="21" s="1"/>
  <c r="AF15" i="21" s="1"/>
  <c r="C14" i="21"/>
  <c r="AD14" i="21" s="1"/>
  <c r="AD13" i="21"/>
  <c r="E13" i="21"/>
  <c r="J13" i="21" s="1"/>
  <c r="Q13" i="21" s="1"/>
  <c r="X13" i="21" s="1"/>
  <c r="AF13" i="21" s="1"/>
  <c r="AD12" i="21"/>
  <c r="E12" i="21"/>
  <c r="J12" i="21" s="1"/>
  <c r="Q12" i="21" s="1"/>
  <c r="X12" i="21" s="1"/>
  <c r="AF12" i="21" s="1"/>
  <c r="C11" i="21"/>
  <c r="E11" i="21" s="1"/>
  <c r="J11" i="21" s="1"/>
  <c r="Q11" i="21" s="1"/>
  <c r="X11" i="21" s="1"/>
  <c r="AF11" i="21" s="1"/>
  <c r="E10" i="21"/>
  <c r="J10" i="21" s="1"/>
  <c r="Q10" i="21" s="1"/>
  <c r="X10" i="21" s="1"/>
  <c r="AF10" i="21" s="1"/>
  <c r="C10" i="21"/>
  <c r="AD10" i="21" s="1"/>
  <c r="AD9" i="21"/>
  <c r="E9" i="21"/>
  <c r="J9" i="21" s="1"/>
  <c r="Q9" i="21" s="1"/>
  <c r="X9" i="21" s="1"/>
  <c r="AF9" i="21" s="1"/>
  <c r="C7" i="21"/>
  <c r="C26" i="21" s="1"/>
  <c r="S72" i="18"/>
  <c r="J130" i="18"/>
  <c r="J129" i="18"/>
  <c r="J131" i="18" s="1"/>
  <c r="J127" i="18"/>
  <c r="J126" i="18"/>
  <c r="J128" i="18" s="1"/>
  <c r="J124" i="18"/>
  <c r="J123" i="18"/>
  <c r="I131" i="18"/>
  <c r="J125" i="18"/>
  <c r="J121" i="18"/>
  <c r="J120" i="18"/>
  <c r="J119" i="18"/>
  <c r="J118" i="18"/>
  <c r="J117" i="18"/>
  <c r="J116" i="18"/>
  <c r="J115" i="18"/>
  <c r="J114" i="18"/>
  <c r="J113" i="18"/>
  <c r="J112" i="18"/>
  <c r="J111" i="18"/>
  <c r="J110" i="18"/>
  <c r="J109" i="18"/>
  <c r="J122" i="18" s="1"/>
  <c r="J107" i="18"/>
  <c r="J106" i="18"/>
  <c r="J105" i="18"/>
  <c r="J104" i="18"/>
  <c r="J108" i="18" s="1"/>
  <c r="J72" i="18"/>
  <c r="J62" i="18"/>
  <c r="J26" i="18"/>
  <c r="J24" i="18"/>
  <c r="J20" i="18"/>
  <c r="J19" i="18"/>
  <c r="AG130" i="18"/>
  <c r="AG129" i="18"/>
  <c r="AG131" i="18" s="1"/>
  <c r="AG127" i="18"/>
  <c r="AG126" i="18"/>
  <c r="AG128" i="18" s="1"/>
  <c r="AG124" i="18"/>
  <c r="AG123" i="18"/>
  <c r="AG125" i="18" s="1"/>
  <c r="AG121" i="18"/>
  <c r="AG120" i="18"/>
  <c r="AG119" i="18"/>
  <c r="AG118" i="18"/>
  <c r="AG117" i="18"/>
  <c r="AG116" i="18"/>
  <c r="AG115" i="18"/>
  <c r="AG114" i="18"/>
  <c r="AG113" i="18"/>
  <c r="AG112" i="18"/>
  <c r="AG111" i="18"/>
  <c r="AG110" i="18"/>
  <c r="AG122" i="18" s="1"/>
  <c r="AG109" i="18"/>
  <c r="AG107" i="18"/>
  <c r="AG106" i="18"/>
  <c r="AG105" i="18"/>
  <c r="AG104" i="18"/>
  <c r="AG108" i="18" s="1"/>
  <c r="AG28" i="18"/>
  <c r="AG26" i="18"/>
  <c r="AG25" i="18"/>
  <c r="AG24" i="18"/>
  <c r="AG23" i="18"/>
  <c r="AG22" i="18"/>
  <c r="AG21" i="18"/>
  <c r="AG20" i="18"/>
  <c r="AG19" i="18"/>
  <c r="AG18" i="18"/>
  <c r="AG17" i="18"/>
  <c r="AG16" i="18"/>
  <c r="AG15" i="18"/>
  <c r="AG14" i="18"/>
  <c r="AG13" i="18"/>
  <c r="AG12" i="18"/>
  <c r="AG11" i="18"/>
  <c r="AG10" i="18"/>
  <c r="AG8" i="18"/>
  <c r="AG27" i="18" s="1"/>
  <c r="E48" i="18"/>
  <c r="E107" i="21" l="1"/>
  <c r="E121" i="21"/>
  <c r="AE124" i="21"/>
  <c r="AE34" i="21"/>
  <c r="E14" i="21"/>
  <c r="J14" i="21" s="1"/>
  <c r="Q14" i="21" s="1"/>
  <c r="X14" i="21" s="1"/>
  <c r="AF14" i="21" s="1"/>
  <c r="E21" i="21"/>
  <c r="J21" i="21" s="1"/>
  <c r="Q21" i="21" s="1"/>
  <c r="X21" i="21" s="1"/>
  <c r="AF21" i="21" s="1"/>
  <c r="J34" i="21"/>
  <c r="Q34" i="21" s="1"/>
  <c r="X34" i="21" s="1"/>
  <c r="AF34" i="21" s="1"/>
  <c r="E40" i="21"/>
  <c r="J40" i="21" s="1"/>
  <c r="Q40" i="21" s="1"/>
  <c r="X40" i="21" s="1"/>
  <c r="AF40" i="21" s="1"/>
  <c r="E48" i="21"/>
  <c r="J48" i="21" s="1"/>
  <c r="Q48" i="21" s="1"/>
  <c r="X48" i="21" s="1"/>
  <c r="AF48" i="21" s="1"/>
  <c r="E50" i="21"/>
  <c r="J50" i="21" s="1"/>
  <c r="Q50" i="21" s="1"/>
  <c r="X50" i="21" s="1"/>
  <c r="AF50" i="21" s="1"/>
  <c r="E70" i="21"/>
  <c r="J70" i="21" s="1"/>
  <c r="Q70" i="21" s="1"/>
  <c r="X70" i="21" s="1"/>
  <c r="AF70" i="21" s="1"/>
  <c r="P102" i="21"/>
  <c r="Q89" i="21"/>
  <c r="X89" i="21" s="1"/>
  <c r="AF89" i="21" s="1"/>
  <c r="E90" i="21"/>
  <c r="J90" i="21" s="1"/>
  <c r="Q90" i="21" s="1"/>
  <c r="X90" i="21" s="1"/>
  <c r="AF90" i="21" s="1"/>
  <c r="AD101" i="21"/>
  <c r="H106" i="21"/>
  <c r="H107" i="21" s="1"/>
  <c r="C107" i="21"/>
  <c r="AD109" i="21"/>
  <c r="E114" i="21"/>
  <c r="J114" i="21" s="1"/>
  <c r="Q114" i="21" s="1"/>
  <c r="X114" i="21" s="1"/>
  <c r="AF114" i="21" s="1"/>
  <c r="H122" i="21"/>
  <c r="H124" i="21" s="1"/>
  <c r="I124" i="21" s="1"/>
  <c r="J124" i="21" s="1"/>
  <c r="AD130" i="21"/>
  <c r="E130" i="21"/>
  <c r="AE85" i="21"/>
  <c r="AE130" i="21"/>
  <c r="X122" i="21"/>
  <c r="AF122" i="21" s="1"/>
  <c r="AF124" i="21" s="1"/>
  <c r="K133" i="21"/>
  <c r="W133" i="21"/>
  <c r="J48" i="18"/>
  <c r="P48" i="18"/>
  <c r="S48" i="18" s="1"/>
  <c r="Y48" i="18"/>
  <c r="AH48" i="18" s="1"/>
  <c r="X124" i="21"/>
  <c r="AF123" i="21"/>
  <c r="X127" i="21"/>
  <c r="AF125" i="21"/>
  <c r="Q127" i="21"/>
  <c r="V133" i="21"/>
  <c r="AE107" i="21"/>
  <c r="AE60" i="21"/>
  <c r="F133" i="21"/>
  <c r="O133" i="21"/>
  <c r="R133" i="21"/>
  <c r="T133" i="21"/>
  <c r="M133" i="21"/>
  <c r="G133" i="21"/>
  <c r="L133" i="21"/>
  <c r="N133" i="21"/>
  <c r="U133" i="21"/>
  <c r="E26" i="21"/>
  <c r="AD7" i="21"/>
  <c r="AD11" i="21"/>
  <c r="AD15" i="21"/>
  <c r="AD17" i="21"/>
  <c r="AD22" i="21"/>
  <c r="AD24" i="21"/>
  <c r="AD32" i="21"/>
  <c r="AD44" i="21"/>
  <c r="AD49" i="21"/>
  <c r="J61" i="21"/>
  <c r="C102" i="21"/>
  <c r="E64" i="21"/>
  <c r="J64" i="21" s="1"/>
  <c r="Q64" i="21" s="1"/>
  <c r="X64" i="21" s="1"/>
  <c r="AF64" i="21" s="1"/>
  <c r="AD64" i="21"/>
  <c r="AD72" i="21"/>
  <c r="AD75" i="21"/>
  <c r="D102" i="21"/>
  <c r="D133" i="21" s="1"/>
  <c r="E83" i="21"/>
  <c r="J83" i="21" s="1"/>
  <c r="Q83" i="21" s="1"/>
  <c r="X83" i="21" s="1"/>
  <c r="AF83" i="21" s="1"/>
  <c r="AD83" i="21"/>
  <c r="AD93" i="21"/>
  <c r="Q108" i="21"/>
  <c r="X108" i="21" s="1"/>
  <c r="X121" i="21" s="1"/>
  <c r="E7" i="21"/>
  <c r="J7" i="21" s="1"/>
  <c r="AE26" i="21"/>
  <c r="H133" i="21"/>
  <c r="P133" i="21"/>
  <c r="S133" i="21"/>
  <c r="Q27" i="21"/>
  <c r="AD39" i="21"/>
  <c r="E44" i="21"/>
  <c r="J44" i="21" s="1"/>
  <c r="Q44" i="21" s="1"/>
  <c r="X44" i="21" s="1"/>
  <c r="AF44" i="21" s="1"/>
  <c r="C60" i="21"/>
  <c r="E60" i="21" s="1"/>
  <c r="J105" i="21"/>
  <c r="Q105" i="21" s="1"/>
  <c r="X105" i="21" s="1"/>
  <c r="AF105" i="21" s="1"/>
  <c r="E109" i="21"/>
  <c r="J109" i="21" s="1"/>
  <c r="Q109" i="21" s="1"/>
  <c r="X109" i="21" s="1"/>
  <c r="AF109" i="21" s="1"/>
  <c r="J107" i="21"/>
  <c r="Q103" i="21"/>
  <c r="AD105" i="21"/>
  <c r="AD107" i="21" s="1"/>
  <c r="AE121" i="21"/>
  <c r="AD110" i="21"/>
  <c r="AD116" i="21"/>
  <c r="I127" i="21"/>
  <c r="AE127" i="21"/>
  <c r="J130" i="21"/>
  <c r="Q128" i="21"/>
  <c r="I133" i="21" l="1"/>
  <c r="AF108" i="21"/>
  <c r="Q107" i="21"/>
  <c r="X103" i="21"/>
  <c r="AF103" i="21" s="1"/>
  <c r="AF107" i="21" s="1"/>
  <c r="Q130" i="21"/>
  <c r="X128" i="21"/>
  <c r="Q60" i="21"/>
  <c r="X27" i="21"/>
  <c r="AF121" i="21"/>
  <c r="AD121" i="21"/>
  <c r="J26" i="21"/>
  <c r="Q7" i="21"/>
  <c r="J121" i="21"/>
  <c r="E102" i="21"/>
  <c r="E133" i="21" s="1"/>
  <c r="AD26" i="21"/>
  <c r="C133" i="21"/>
  <c r="AF127" i="21"/>
  <c r="J127" i="21"/>
  <c r="AE102" i="21"/>
  <c r="J60" i="21"/>
  <c r="AE133" i="21"/>
  <c r="Q121" i="21"/>
  <c r="AD102" i="21"/>
  <c r="J102" i="21"/>
  <c r="Q61" i="21"/>
  <c r="AD60" i="21"/>
  <c r="AE131" i="18"/>
  <c r="AD131" i="18"/>
  <c r="AC131" i="18"/>
  <c r="AB131" i="18"/>
  <c r="AA131" i="18"/>
  <c r="Z131" i="18"/>
  <c r="AE128" i="18"/>
  <c r="AD128" i="18"/>
  <c r="AC128" i="18"/>
  <c r="AB128" i="18"/>
  <c r="AA128" i="18"/>
  <c r="Z128" i="18"/>
  <c r="AE125" i="18"/>
  <c r="AD125" i="18"/>
  <c r="AC125" i="18"/>
  <c r="AB125" i="18"/>
  <c r="AA125" i="18"/>
  <c r="Z124" i="18"/>
  <c r="Z123" i="18"/>
  <c r="AE122" i="18"/>
  <c r="AD122" i="18"/>
  <c r="AC122" i="18"/>
  <c r="AB122" i="18"/>
  <c r="AA122" i="18"/>
  <c r="Z122" i="18"/>
  <c r="AE108" i="18"/>
  <c r="AD108" i="18"/>
  <c r="AC108" i="18"/>
  <c r="AB108" i="18"/>
  <c r="AA108" i="18"/>
  <c r="Z108" i="18"/>
  <c r="AE103" i="18"/>
  <c r="AD103" i="18"/>
  <c r="AC103" i="18"/>
  <c r="AB103" i="18"/>
  <c r="AE61" i="18"/>
  <c r="AD61" i="18"/>
  <c r="AC61" i="18"/>
  <c r="AB61" i="18"/>
  <c r="AA61" i="18"/>
  <c r="Z61" i="18"/>
  <c r="AE27" i="18"/>
  <c r="AD27" i="18"/>
  <c r="AC27" i="18"/>
  <c r="AB27" i="18"/>
  <c r="AA27" i="18"/>
  <c r="Z27" i="18"/>
  <c r="W131" i="18"/>
  <c r="V131" i="18"/>
  <c r="U131" i="18"/>
  <c r="T131" i="18"/>
  <c r="R131" i="18"/>
  <c r="Q131" i="18"/>
  <c r="N131" i="18"/>
  <c r="M131" i="18"/>
  <c r="L131" i="18"/>
  <c r="K131" i="18"/>
  <c r="H131" i="18"/>
  <c r="G131" i="18"/>
  <c r="F131" i="18"/>
  <c r="D131" i="18"/>
  <c r="C131" i="18"/>
  <c r="E131" i="18" s="1"/>
  <c r="E130" i="18"/>
  <c r="E129" i="18"/>
  <c r="W128" i="18"/>
  <c r="V128" i="18"/>
  <c r="U128" i="18"/>
  <c r="T128" i="18"/>
  <c r="R128" i="18"/>
  <c r="Q128" i="18"/>
  <c r="N128" i="18"/>
  <c r="M128" i="18"/>
  <c r="L128" i="18"/>
  <c r="K128" i="18"/>
  <c r="I128" i="18"/>
  <c r="H128" i="18"/>
  <c r="D128" i="18"/>
  <c r="E128" i="18" s="1"/>
  <c r="E127" i="18"/>
  <c r="E126" i="18"/>
  <c r="W125" i="18"/>
  <c r="V125" i="18"/>
  <c r="U125" i="18"/>
  <c r="T125" i="18"/>
  <c r="R125" i="18"/>
  <c r="N125" i="18"/>
  <c r="M125" i="18"/>
  <c r="L125" i="18"/>
  <c r="K125" i="18"/>
  <c r="I125" i="18"/>
  <c r="D125" i="18"/>
  <c r="E125" i="18" s="1"/>
  <c r="Q124" i="18"/>
  <c r="E124" i="18"/>
  <c r="H124" i="18" s="1"/>
  <c r="Q123" i="18"/>
  <c r="Q125" i="18" s="1"/>
  <c r="E123" i="18"/>
  <c r="W122" i="18"/>
  <c r="V122" i="18"/>
  <c r="U122" i="18"/>
  <c r="T122" i="18"/>
  <c r="R122" i="18"/>
  <c r="Q122" i="18"/>
  <c r="N122" i="18"/>
  <c r="M122" i="18"/>
  <c r="L122" i="18"/>
  <c r="K122" i="18"/>
  <c r="I122" i="18"/>
  <c r="H122" i="18"/>
  <c r="G122" i="18"/>
  <c r="F122" i="18"/>
  <c r="E121" i="18"/>
  <c r="C120" i="18"/>
  <c r="E120" i="18" s="1"/>
  <c r="E119" i="18"/>
  <c r="E118" i="18"/>
  <c r="C117" i="18"/>
  <c r="E117" i="18" s="1"/>
  <c r="E116" i="18"/>
  <c r="P115" i="18"/>
  <c r="S115" i="18" s="1"/>
  <c r="D115" i="18"/>
  <c r="E115" i="18" s="1"/>
  <c r="E114" i="18"/>
  <c r="E113" i="18"/>
  <c r="P112" i="18"/>
  <c r="S112" i="18" s="1"/>
  <c r="E112" i="18"/>
  <c r="E111" i="18"/>
  <c r="C111" i="18"/>
  <c r="D110" i="18"/>
  <c r="D122" i="18" s="1"/>
  <c r="C110" i="18"/>
  <c r="C122" i="18" s="1"/>
  <c r="E122" i="18" s="1"/>
  <c r="E109" i="18"/>
  <c r="W108" i="18"/>
  <c r="V108" i="18"/>
  <c r="U108" i="18"/>
  <c r="T108" i="18"/>
  <c r="R108" i="18"/>
  <c r="Q108" i="18"/>
  <c r="N108" i="18"/>
  <c r="M108" i="18"/>
  <c r="L108" i="18"/>
  <c r="K108" i="18"/>
  <c r="I108" i="18"/>
  <c r="P107" i="18"/>
  <c r="S107" i="18" s="1"/>
  <c r="E107" i="18"/>
  <c r="H107" i="18" s="1"/>
  <c r="H108" i="18" s="1"/>
  <c r="D106" i="18"/>
  <c r="D108" i="18" s="1"/>
  <c r="C106" i="18"/>
  <c r="C108" i="18" s="1"/>
  <c r="E105" i="18"/>
  <c r="E104" i="18"/>
  <c r="W103" i="18"/>
  <c r="V103" i="18"/>
  <c r="U103" i="18"/>
  <c r="T103" i="18"/>
  <c r="R103" i="18"/>
  <c r="Q103" i="18"/>
  <c r="N103" i="18"/>
  <c r="M103" i="18"/>
  <c r="L103" i="18"/>
  <c r="K103" i="18"/>
  <c r="H103" i="18"/>
  <c r="G103" i="18"/>
  <c r="F103" i="18"/>
  <c r="C102" i="18"/>
  <c r="E102" i="18" s="1"/>
  <c r="E101" i="18"/>
  <c r="E100" i="18"/>
  <c r="J100" i="18" s="1"/>
  <c r="E99" i="18"/>
  <c r="E98" i="18"/>
  <c r="J98" i="18" s="1"/>
  <c r="E97" i="18"/>
  <c r="E96" i="18"/>
  <c r="J96" i="18" s="1"/>
  <c r="E95" i="18"/>
  <c r="E94" i="18"/>
  <c r="C94" i="18"/>
  <c r="E93" i="18"/>
  <c r="J93" i="18" s="1"/>
  <c r="C91" i="18"/>
  <c r="E91" i="18" s="1"/>
  <c r="J91" i="18" s="1"/>
  <c r="E90" i="18"/>
  <c r="E89" i="18"/>
  <c r="J89" i="18" s="1"/>
  <c r="E88" i="18"/>
  <c r="J88" i="18" s="1"/>
  <c r="E87" i="18"/>
  <c r="J87" i="18" s="1"/>
  <c r="E86" i="18"/>
  <c r="E85" i="18"/>
  <c r="J85" i="18" s="1"/>
  <c r="D84" i="18"/>
  <c r="D103" i="18" s="1"/>
  <c r="C84" i="18"/>
  <c r="E84" i="18" s="1"/>
  <c r="J84" i="18" s="1"/>
  <c r="E83" i="18"/>
  <c r="J83" i="18" s="1"/>
  <c r="E82" i="18"/>
  <c r="E81" i="18"/>
  <c r="J81" i="18" s="1"/>
  <c r="E80" i="18"/>
  <c r="J80" i="18" s="1"/>
  <c r="I79" i="18"/>
  <c r="E79" i="18"/>
  <c r="J79" i="18" s="1"/>
  <c r="C79" i="18"/>
  <c r="E78" i="18"/>
  <c r="E77" i="18"/>
  <c r="E76" i="18"/>
  <c r="J76" i="18" s="1"/>
  <c r="C76" i="18"/>
  <c r="E75" i="18"/>
  <c r="J75" i="18" s="1"/>
  <c r="C75" i="18"/>
  <c r="E74" i="18"/>
  <c r="J74" i="18" s="1"/>
  <c r="C73" i="18"/>
  <c r="E73" i="18" s="1"/>
  <c r="J73" i="18" s="1"/>
  <c r="C71" i="18"/>
  <c r="E71" i="18" s="1"/>
  <c r="E70" i="18"/>
  <c r="E69" i="18"/>
  <c r="J69" i="18" s="1"/>
  <c r="E67" i="18"/>
  <c r="E66" i="18"/>
  <c r="J66" i="18" s="1"/>
  <c r="C65" i="18"/>
  <c r="E65" i="18" s="1"/>
  <c r="E64" i="18"/>
  <c r="E63" i="18"/>
  <c r="J63" i="18" s="1"/>
  <c r="E62" i="18"/>
  <c r="W61" i="18"/>
  <c r="V61" i="18"/>
  <c r="U61" i="18"/>
  <c r="T61" i="18"/>
  <c r="R61" i="18"/>
  <c r="Q61" i="18"/>
  <c r="N61" i="18"/>
  <c r="M61" i="18"/>
  <c r="L61" i="18"/>
  <c r="K61" i="18"/>
  <c r="G61" i="18"/>
  <c r="F61" i="18"/>
  <c r="E60" i="18"/>
  <c r="E59" i="18"/>
  <c r="E58" i="18"/>
  <c r="E57" i="18"/>
  <c r="E56" i="18"/>
  <c r="E55" i="18"/>
  <c r="J55" i="18" s="1"/>
  <c r="E54" i="18"/>
  <c r="E53" i="18"/>
  <c r="E52" i="18"/>
  <c r="D51" i="18"/>
  <c r="E51" i="18" s="1"/>
  <c r="C50" i="18"/>
  <c r="E50" i="18" s="1"/>
  <c r="J50" i="18" s="1"/>
  <c r="C49" i="18"/>
  <c r="E49" i="18" s="1"/>
  <c r="E47" i="18"/>
  <c r="J47" i="18" s="1"/>
  <c r="E46" i="18"/>
  <c r="J46" i="18" s="1"/>
  <c r="D45" i="18"/>
  <c r="D61" i="18" s="1"/>
  <c r="C45" i="18"/>
  <c r="E44" i="18"/>
  <c r="E43" i="18"/>
  <c r="J43" i="18" s="1"/>
  <c r="E42" i="18"/>
  <c r="I41" i="18"/>
  <c r="C41" i="18"/>
  <c r="E41" i="18" s="1"/>
  <c r="J41" i="18" s="1"/>
  <c r="C40" i="18"/>
  <c r="E40" i="18" s="1"/>
  <c r="E39" i="18"/>
  <c r="E38" i="18"/>
  <c r="E37" i="18"/>
  <c r="E36" i="18"/>
  <c r="I35" i="18"/>
  <c r="E35" i="18"/>
  <c r="E34" i="18"/>
  <c r="J34" i="18" s="1"/>
  <c r="C33" i="18"/>
  <c r="E33" i="18" s="1"/>
  <c r="J33" i="18" s="1"/>
  <c r="E32" i="18"/>
  <c r="H31" i="18"/>
  <c r="H61" i="18" s="1"/>
  <c r="E31" i="18"/>
  <c r="E30" i="18"/>
  <c r="E29" i="18"/>
  <c r="J29" i="18" s="1"/>
  <c r="E28" i="18"/>
  <c r="W27" i="18"/>
  <c r="V27" i="18"/>
  <c r="U27" i="18"/>
  <c r="T27" i="18"/>
  <c r="R27" i="18"/>
  <c r="Q27" i="18"/>
  <c r="Q134" i="18" s="1"/>
  <c r="N27" i="18"/>
  <c r="M27" i="18"/>
  <c r="L27" i="18"/>
  <c r="K27" i="18"/>
  <c r="I27" i="18"/>
  <c r="H27" i="18"/>
  <c r="G27" i="18"/>
  <c r="F27" i="18"/>
  <c r="D27" i="18"/>
  <c r="E26" i="18"/>
  <c r="E25" i="18"/>
  <c r="C25" i="18"/>
  <c r="E24" i="18"/>
  <c r="C24" i="18"/>
  <c r="E23" i="18"/>
  <c r="C23" i="18"/>
  <c r="E22" i="18"/>
  <c r="J22" i="18" s="1"/>
  <c r="C22" i="18"/>
  <c r="E21" i="18"/>
  <c r="E20" i="18"/>
  <c r="E19" i="18"/>
  <c r="C18" i="18"/>
  <c r="E18" i="18" s="1"/>
  <c r="C17" i="18"/>
  <c r="E17" i="18" s="1"/>
  <c r="C16" i="18"/>
  <c r="E16" i="18" s="1"/>
  <c r="C15" i="18"/>
  <c r="E15" i="18" s="1"/>
  <c r="E14" i="18"/>
  <c r="E13" i="18"/>
  <c r="C12" i="18"/>
  <c r="E12" i="18" s="1"/>
  <c r="C11" i="18"/>
  <c r="E11" i="18" s="1"/>
  <c r="E10" i="18"/>
  <c r="C8" i="18"/>
  <c r="E8" i="18" s="1"/>
  <c r="V126" i="15"/>
  <c r="V125" i="15"/>
  <c r="V123" i="15"/>
  <c r="V122" i="15"/>
  <c r="V120" i="15"/>
  <c r="V119" i="15"/>
  <c r="V117" i="15"/>
  <c r="V116" i="15"/>
  <c r="V115" i="15"/>
  <c r="V114" i="15"/>
  <c r="V113" i="15"/>
  <c r="V112" i="15"/>
  <c r="V111" i="15"/>
  <c r="V110" i="15"/>
  <c r="V109" i="15"/>
  <c r="V108" i="15"/>
  <c r="V107" i="15"/>
  <c r="V106" i="15"/>
  <c r="V105" i="15"/>
  <c r="V103" i="15"/>
  <c r="V102" i="15"/>
  <c r="V101" i="15"/>
  <c r="V100" i="15"/>
  <c r="V98" i="15"/>
  <c r="V97" i="15"/>
  <c r="V96" i="15"/>
  <c r="V95" i="15"/>
  <c r="V94" i="15"/>
  <c r="V93" i="15"/>
  <c r="V92" i="15"/>
  <c r="V91" i="15"/>
  <c r="V90" i="15"/>
  <c r="V89" i="15"/>
  <c r="V88" i="15"/>
  <c r="V87" i="15"/>
  <c r="V86" i="15"/>
  <c r="V85" i="15"/>
  <c r="V84" i="15"/>
  <c r="V83" i="15"/>
  <c r="V82" i="15"/>
  <c r="V81" i="15"/>
  <c r="V80" i="15"/>
  <c r="V79" i="15"/>
  <c r="V78" i="15"/>
  <c r="V77" i="15"/>
  <c r="V76" i="15"/>
  <c r="V75" i="15"/>
  <c r="V74" i="15"/>
  <c r="V73" i="15"/>
  <c r="V72" i="15"/>
  <c r="V71" i="15"/>
  <c r="V70" i="15"/>
  <c r="V69" i="15"/>
  <c r="V68" i="15"/>
  <c r="V67" i="15"/>
  <c r="V66" i="15"/>
  <c r="V65" i="15"/>
  <c r="V64" i="15"/>
  <c r="V63" i="15"/>
  <c r="V62" i="15"/>
  <c r="V61" i="15"/>
  <c r="V60" i="15"/>
  <c r="V58" i="15"/>
  <c r="V57" i="15"/>
  <c r="V56" i="15"/>
  <c r="V55" i="15"/>
  <c r="V54" i="15"/>
  <c r="V53" i="15"/>
  <c r="V52" i="15"/>
  <c r="V51" i="15"/>
  <c r="V50" i="15"/>
  <c r="V49" i="15"/>
  <c r="V48" i="15"/>
  <c r="V47" i="15"/>
  <c r="V46" i="15"/>
  <c r="V45" i="15"/>
  <c r="V44" i="15"/>
  <c r="V43" i="15"/>
  <c r="V42" i="15"/>
  <c r="V41" i="15"/>
  <c r="V40" i="15"/>
  <c r="V39" i="15"/>
  <c r="V38" i="15"/>
  <c r="V37" i="15"/>
  <c r="V36" i="15"/>
  <c r="V35" i="15"/>
  <c r="V34" i="15"/>
  <c r="V33" i="15"/>
  <c r="V32" i="15"/>
  <c r="V31" i="15"/>
  <c r="V30" i="15"/>
  <c r="V29" i="15"/>
  <c r="V28" i="15"/>
  <c r="V27" i="15"/>
  <c r="V26" i="15"/>
  <c r="V24" i="15"/>
  <c r="V23" i="15"/>
  <c r="V22" i="15"/>
  <c r="V21" i="15"/>
  <c r="V20" i="15"/>
  <c r="V19" i="15"/>
  <c r="V18" i="15"/>
  <c r="V17" i="15"/>
  <c r="V16" i="15"/>
  <c r="V15" i="15"/>
  <c r="V14" i="15"/>
  <c r="V13" i="15"/>
  <c r="V12" i="15"/>
  <c r="V11" i="15"/>
  <c r="V10" i="15"/>
  <c r="V9" i="15"/>
  <c r="V8" i="15"/>
  <c r="V7" i="15"/>
  <c r="Q26" i="21" l="1"/>
  <c r="X7" i="21"/>
  <c r="X107" i="21"/>
  <c r="Y75" i="18"/>
  <c r="AH75" i="18" s="1"/>
  <c r="P127" i="18"/>
  <c r="S127" i="18" s="1"/>
  <c r="Y10" i="18"/>
  <c r="AH10" i="18" s="1"/>
  <c r="J10" i="18"/>
  <c r="J12" i="18"/>
  <c r="J14" i="18"/>
  <c r="J16" i="18"/>
  <c r="J18" i="18"/>
  <c r="Y31" i="18"/>
  <c r="AH31" i="18" s="1"/>
  <c r="J31" i="18"/>
  <c r="Y32" i="18"/>
  <c r="AH32" i="18" s="1"/>
  <c r="J32" i="18"/>
  <c r="J37" i="18"/>
  <c r="J39" i="18"/>
  <c r="J42" i="18"/>
  <c r="J44" i="18"/>
  <c r="J52" i="18"/>
  <c r="J54" i="18"/>
  <c r="J56" i="18"/>
  <c r="J58" i="18"/>
  <c r="J60" i="18"/>
  <c r="J65" i="18"/>
  <c r="J70" i="18"/>
  <c r="J77" i="18"/>
  <c r="J82" i="18"/>
  <c r="J95" i="18"/>
  <c r="J99" i="18"/>
  <c r="J101" i="18"/>
  <c r="Y96" i="18"/>
  <c r="AH96" i="18" s="1"/>
  <c r="J11" i="18"/>
  <c r="J13" i="18"/>
  <c r="J15" i="18"/>
  <c r="J17" i="18"/>
  <c r="J21" i="18"/>
  <c r="J23" i="18"/>
  <c r="J25" i="18"/>
  <c r="P26" i="18"/>
  <c r="S26" i="18" s="1"/>
  <c r="J28" i="18"/>
  <c r="J30" i="18"/>
  <c r="J35" i="18"/>
  <c r="J36" i="18"/>
  <c r="J38" i="18"/>
  <c r="J40" i="18"/>
  <c r="J49" i="18"/>
  <c r="J51" i="18"/>
  <c r="J53" i="18"/>
  <c r="Y57" i="18"/>
  <c r="AH57" i="18" s="1"/>
  <c r="J57" i="18"/>
  <c r="J59" i="18"/>
  <c r="P64" i="18"/>
  <c r="S64" i="18" s="1"/>
  <c r="J64" i="18"/>
  <c r="J67" i="18"/>
  <c r="Y71" i="18"/>
  <c r="AH71" i="18" s="1"/>
  <c r="J71" i="18"/>
  <c r="J78" i="18"/>
  <c r="J86" i="18"/>
  <c r="J90" i="18"/>
  <c r="J94" i="18"/>
  <c r="J97" i="18"/>
  <c r="J102" i="18"/>
  <c r="Y55" i="18"/>
  <c r="AH55" i="18" s="1"/>
  <c r="P69" i="18"/>
  <c r="S69" i="18" s="1"/>
  <c r="X130" i="21"/>
  <c r="AF128" i="21"/>
  <c r="AF130" i="21" s="1"/>
  <c r="X60" i="21"/>
  <c r="AF27" i="21"/>
  <c r="AF60" i="21" s="1"/>
  <c r="Q102" i="21"/>
  <c r="Q133" i="21" s="1"/>
  <c r="X61" i="21"/>
  <c r="AD133" i="21"/>
  <c r="J133" i="21"/>
  <c r="P20" i="18"/>
  <c r="S20" i="18" s="1"/>
  <c r="P77" i="18"/>
  <c r="S77" i="18" s="1"/>
  <c r="Y17" i="18"/>
  <c r="AH17" i="18" s="1"/>
  <c r="Y40" i="18"/>
  <c r="AH40" i="18" s="1"/>
  <c r="Y51" i="18"/>
  <c r="AH51" i="18" s="1"/>
  <c r="Y62" i="18"/>
  <c r="AH62" i="18" s="1"/>
  <c r="P94" i="18"/>
  <c r="S94" i="18" s="1"/>
  <c r="P102" i="18"/>
  <c r="S102" i="18" s="1"/>
  <c r="P120" i="18"/>
  <c r="S120" i="18" s="1"/>
  <c r="J8" i="18"/>
  <c r="Y11" i="18"/>
  <c r="AH11" i="18" s="1"/>
  <c r="Y15" i="18"/>
  <c r="AH15" i="18" s="1"/>
  <c r="Y19" i="18"/>
  <c r="AH19" i="18" s="1"/>
  <c r="Y21" i="18"/>
  <c r="AH21" i="18" s="1"/>
  <c r="Y23" i="18"/>
  <c r="AH23" i="18" s="1"/>
  <c r="Y25" i="18"/>
  <c r="AH25" i="18" s="1"/>
  <c r="Y28" i="18"/>
  <c r="AH28" i="18" s="1"/>
  <c r="Y35" i="18"/>
  <c r="AH35" i="18" s="1"/>
  <c r="Y36" i="18"/>
  <c r="AH36" i="18" s="1"/>
  <c r="Y38" i="18"/>
  <c r="AH38" i="18" s="1"/>
  <c r="I61" i="18"/>
  <c r="Y49" i="18"/>
  <c r="AH49" i="18" s="1"/>
  <c r="Y53" i="18"/>
  <c r="AH53" i="18" s="1"/>
  <c r="Y59" i="18"/>
  <c r="AH59" i="18" s="1"/>
  <c r="P70" i="18"/>
  <c r="S70" i="18" s="1"/>
  <c r="P97" i="18"/>
  <c r="S97" i="18" s="1"/>
  <c r="Y99" i="18"/>
  <c r="AH99" i="18" s="1"/>
  <c r="P111" i="18"/>
  <c r="S111" i="18" s="1"/>
  <c r="Y117" i="18"/>
  <c r="AH117" i="18" s="1"/>
  <c r="H123" i="18"/>
  <c r="H125" i="18" s="1"/>
  <c r="Y126" i="18"/>
  <c r="AH126" i="18" s="1"/>
  <c r="P129" i="18"/>
  <c r="S129" i="18" s="1"/>
  <c r="P34" i="18"/>
  <c r="S34" i="18" s="1"/>
  <c r="P83" i="18"/>
  <c r="S83" i="18" s="1"/>
  <c r="P87" i="18"/>
  <c r="S87" i="18" s="1"/>
  <c r="P105" i="18"/>
  <c r="S105" i="18" s="1"/>
  <c r="P114" i="18"/>
  <c r="S114" i="18" s="1"/>
  <c r="Y118" i="18"/>
  <c r="AH118" i="18" s="1"/>
  <c r="Y12" i="18"/>
  <c r="AH12" i="18" s="1"/>
  <c r="Y16" i="18"/>
  <c r="AH16" i="18" s="1"/>
  <c r="Y54" i="18"/>
  <c r="AH54" i="18" s="1"/>
  <c r="Y74" i="18"/>
  <c r="AH74" i="18" s="1"/>
  <c r="P78" i="18"/>
  <c r="S78" i="18" s="1"/>
  <c r="P90" i="18"/>
  <c r="S90" i="18" s="1"/>
  <c r="P99" i="18"/>
  <c r="S99" i="18" s="1"/>
  <c r="P101" i="18"/>
  <c r="S101" i="18" s="1"/>
  <c r="Y104" i="18"/>
  <c r="AH104" i="18" s="1"/>
  <c r="Y109" i="18"/>
  <c r="AH109" i="18" s="1"/>
  <c r="Y115" i="18"/>
  <c r="AH115" i="18" s="1"/>
  <c r="P117" i="18"/>
  <c r="S117" i="18" s="1"/>
  <c r="P118" i="18"/>
  <c r="S118" i="18" s="1"/>
  <c r="P121" i="18"/>
  <c r="S121" i="18" s="1"/>
  <c r="Y127" i="18"/>
  <c r="AH127" i="18" s="1"/>
  <c r="P8" i="18"/>
  <c r="S8" i="18" s="1"/>
  <c r="Y26" i="18"/>
  <c r="AH26" i="18" s="1"/>
  <c r="Y107" i="18"/>
  <c r="AH107" i="18" s="1"/>
  <c r="Y112" i="18"/>
  <c r="AH112" i="18" s="1"/>
  <c r="Y116" i="18"/>
  <c r="AH116" i="18" s="1"/>
  <c r="Y72" i="18"/>
  <c r="AH72" i="18" s="1"/>
  <c r="G134" i="18"/>
  <c r="L134" i="18"/>
  <c r="N134" i="18"/>
  <c r="U134" i="18"/>
  <c r="AG61" i="18"/>
  <c r="E45" i="18"/>
  <c r="I103" i="18"/>
  <c r="AG103" i="18"/>
  <c r="P96" i="18"/>
  <c r="S96" i="18" s="1"/>
  <c r="P113" i="18"/>
  <c r="S113" i="18" s="1"/>
  <c r="P116" i="18"/>
  <c r="S116" i="18" s="1"/>
  <c r="AD134" i="18"/>
  <c r="Z125" i="18"/>
  <c r="Y63" i="18"/>
  <c r="AH63" i="18" s="1"/>
  <c r="T134" i="18"/>
  <c r="V134" i="18"/>
  <c r="AA134" i="18"/>
  <c r="AC134" i="18"/>
  <c r="AE134" i="18"/>
  <c r="P30" i="18"/>
  <c r="S30" i="18" s="1"/>
  <c r="P60" i="18"/>
  <c r="S60" i="18" s="1"/>
  <c r="P13" i="18"/>
  <c r="S13" i="18" s="1"/>
  <c r="Y64" i="18"/>
  <c r="AH64" i="18" s="1"/>
  <c r="Y69" i="18"/>
  <c r="AH69" i="18" s="1"/>
  <c r="Y73" i="18"/>
  <c r="AH73" i="18" s="1"/>
  <c r="P73" i="18"/>
  <c r="S73" i="18" s="1"/>
  <c r="P54" i="18"/>
  <c r="S54" i="18" s="1"/>
  <c r="P71" i="18"/>
  <c r="S71" i="18" s="1"/>
  <c r="P75" i="18"/>
  <c r="S75" i="18" s="1"/>
  <c r="P66" i="18"/>
  <c r="S66" i="18" s="1"/>
  <c r="Z134" i="18"/>
  <c r="AB134" i="18"/>
  <c r="P15" i="18"/>
  <c r="S15" i="18" s="1"/>
  <c r="P17" i="18"/>
  <c r="S17" i="18" s="1"/>
  <c r="P40" i="18"/>
  <c r="S40" i="18" s="1"/>
  <c r="P11" i="18"/>
  <c r="S11" i="18" s="1"/>
  <c r="P31" i="18"/>
  <c r="S31" i="18" s="1"/>
  <c r="C27" i="18"/>
  <c r="I134" i="18"/>
  <c r="P28" i="18"/>
  <c r="S28" i="18" s="1"/>
  <c r="C61" i="18"/>
  <c r="E61" i="18" s="1"/>
  <c r="P62" i="18"/>
  <c r="S62" i="18" s="1"/>
  <c r="C103" i="18"/>
  <c r="P109" i="18"/>
  <c r="S109" i="18" s="1"/>
  <c r="E110" i="18"/>
  <c r="P123" i="18"/>
  <c r="S123" i="18" s="1"/>
  <c r="X128" i="18"/>
  <c r="P19" i="18"/>
  <c r="S19" i="18" s="1"/>
  <c r="P21" i="18"/>
  <c r="S21" i="18" s="1"/>
  <c r="P23" i="18"/>
  <c r="S23" i="18" s="1"/>
  <c r="P25" i="18"/>
  <c r="S25" i="18" s="1"/>
  <c r="R134" i="18"/>
  <c r="W134" i="18"/>
  <c r="P32" i="18"/>
  <c r="S32" i="18" s="1"/>
  <c r="P33" i="18"/>
  <c r="S33" i="18" s="1"/>
  <c r="P36" i="18"/>
  <c r="S36" i="18" s="1"/>
  <c r="P41" i="18"/>
  <c r="S41" i="18" s="1"/>
  <c r="P49" i="18"/>
  <c r="S49" i="18" s="1"/>
  <c r="P53" i="18"/>
  <c r="S53" i="18" s="1"/>
  <c r="P55" i="18"/>
  <c r="S55" i="18" s="1"/>
  <c r="P57" i="18"/>
  <c r="S57" i="18" s="1"/>
  <c r="E103" i="18"/>
  <c r="D134" i="18"/>
  <c r="F134" i="18"/>
  <c r="H134" i="18"/>
  <c r="K134" i="18"/>
  <c r="M134" i="18"/>
  <c r="P104" i="18"/>
  <c r="S104" i="18" s="1"/>
  <c r="E106" i="18"/>
  <c r="O128" i="18"/>
  <c r="P126" i="18"/>
  <c r="S126" i="18" s="1"/>
  <c r="G13" i="20"/>
  <c r="G7" i="20"/>
  <c r="G26" i="20" s="1"/>
  <c r="P31" i="17"/>
  <c r="O31" i="17"/>
  <c r="N31" i="17"/>
  <c r="N32" i="17" s="1"/>
  <c r="M31" i="17"/>
  <c r="L31" i="17"/>
  <c r="K31" i="17"/>
  <c r="J31" i="17"/>
  <c r="J32" i="17" s="1"/>
  <c r="I31" i="17"/>
  <c r="H31" i="17"/>
  <c r="G31" i="17"/>
  <c r="F31" i="17"/>
  <c r="F32" i="17" s="1"/>
  <c r="E31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Q18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M42" i="17"/>
  <c r="L32" i="17"/>
  <c r="H32" i="17"/>
  <c r="P29" i="17"/>
  <c r="O29" i="17"/>
  <c r="N29" i="17"/>
  <c r="M29" i="17"/>
  <c r="L29" i="17"/>
  <c r="K29" i="17"/>
  <c r="J29" i="17"/>
  <c r="I29" i="17"/>
  <c r="H29" i="17"/>
  <c r="F29" i="17"/>
  <c r="G28" i="17"/>
  <c r="G29" i="17" s="1"/>
  <c r="E28" i="17"/>
  <c r="Q28" i="17" s="1"/>
  <c r="E27" i="17"/>
  <c r="Q27" i="17" s="1"/>
  <c r="E26" i="17"/>
  <c r="Q26" i="17" s="1"/>
  <c r="E25" i="17"/>
  <c r="Q25" i="17" s="1"/>
  <c r="G24" i="17"/>
  <c r="E24" i="17"/>
  <c r="Q24" i="17" s="1"/>
  <c r="E23" i="17"/>
  <c r="Q23" i="17" s="1"/>
  <c r="E22" i="17"/>
  <c r="Q22" i="17" s="1"/>
  <c r="E21" i="17"/>
  <c r="Q21" i="17" s="1"/>
  <c r="E20" i="17"/>
  <c r="Q20" i="17" s="1"/>
  <c r="E17" i="17"/>
  <c r="Q17" i="17" s="1"/>
  <c r="P16" i="17"/>
  <c r="O16" i="17"/>
  <c r="N16" i="17"/>
  <c r="M16" i="17"/>
  <c r="L16" i="17"/>
  <c r="K16" i="17"/>
  <c r="J16" i="17"/>
  <c r="I16" i="17"/>
  <c r="H16" i="17"/>
  <c r="G16" i="17"/>
  <c r="F16" i="17"/>
  <c r="Q15" i="17"/>
  <c r="P15" i="17"/>
  <c r="E14" i="17"/>
  <c r="E16" i="17" s="1"/>
  <c r="O13" i="17"/>
  <c r="N13" i="17"/>
  <c r="M13" i="17"/>
  <c r="L13" i="17"/>
  <c r="K13" i="17"/>
  <c r="J13" i="17"/>
  <c r="I13" i="17"/>
  <c r="H13" i="17"/>
  <c r="G13" i="17"/>
  <c r="F13" i="17"/>
  <c r="E13" i="17"/>
  <c r="P12" i="17"/>
  <c r="G12" i="17"/>
  <c r="Q12" i="17" s="1"/>
  <c r="Q11" i="17"/>
  <c r="E11" i="17"/>
  <c r="Q31" i="17" l="1"/>
  <c r="AF7" i="21"/>
  <c r="AF26" i="21" s="1"/>
  <c r="X26" i="21"/>
  <c r="Y66" i="18"/>
  <c r="AH66" i="18" s="1"/>
  <c r="Y14" i="18"/>
  <c r="AH14" i="18" s="1"/>
  <c r="AF128" i="18"/>
  <c r="P100" i="18"/>
  <c r="S100" i="18" s="1"/>
  <c r="S128" i="18"/>
  <c r="J103" i="18"/>
  <c r="P89" i="18"/>
  <c r="S89" i="18" s="1"/>
  <c r="P81" i="18"/>
  <c r="S81" i="18" s="1"/>
  <c r="P86" i="18"/>
  <c r="S86" i="18" s="1"/>
  <c r="P67" i="18"/>
  <c r="S67" i="18" s="1"/>
  <c r="P44" i="18"/>
  <c r="S44" i="18" s="1"/>
  <c r="P39" i="18"/>
  <c r="S39" i="18" s="1"/>
  <c r="P37" i="18"/>
  <c r="S37" i="18" s="1"/>
  <c r="P18" i="18"/>
  <c r="S18" i="18" s="1"/>
  <c r="P59" i="18"/>
  <c r="S59" i="18" s="1"/>
  <c r="P51" i="18"/>
  <c r="S51" i="18" s="1"/>
  <c r="P43" i="18"/>
  <c r="S43" i="18" s="1"/>
  <c r="P38" i="18"/>
  <c r="S38" i="18" s="1"/>
  <c r="P22" i="18"/>
  <c r="S22" i="18" s="1"/>
  <c r="P12" i="18"/>
  <c r="S12" i="18" s="1"/>
  <c r="P10" i="18"/>
  <c r="S10" i="18" s="1"/>
  <c r="P35" i="18"/>
  <c r="S35" i="18" s="1"/>
  <c r="P16" i="18"/>
  <c r="S16" i="18" s="1"/>
  <c r="P14" i="18"/>
  <c r="S14" i="18" s="1"/>
  <c r="P56" i="18"/>
  <c r="S56" i="18" s="1"/>
  <c r="P52" i="18"/>
  <c r="S52" i="18" s="1"/>
  <c r="P42" i="18"/>
  <c r="S42" i="18" s="1"/>
  <c r="J45" i="18"/>
  <c r="P58" i="18"/>
  <c r="S58" i="18" s="1"/>
  <c r="P79" i="18"/>
  <c r="S79" i="18" s="1"/>
  <c r="P98" i="18"/>
  <c r="S98" i="18" s="1"/>
  <c r="P85" i="18"/>
  <c r="S85" i="18" s="1"/>
  <c r="J61" i="18"/>
  <c r="P46" i="18"/>
  <c r="S46" i="18" s="1"/>
  <c r="P95" i="18"/>
  <c r="S95" i="18" s="1"/>
  <c r="P82" i="18"/>
  <c r="S82" i="18" s="1"/>
  <c r="P65" i="18"/>
  <c r="S65" i="18" s="1"/>
  <c r="J27" i="18"/>
  <c r="AF61" i="21"/>
  <c r="AF102" i="21" s="1"/>
  <c r="AF133" i="21" s="1"/>
  <c r="X102" i="21"/>
  <c r="X133" i="21" s="1"/>
  <c r="Y50" i="18"/>
  <c r="AH50" i="18" s="1"/>
  <c r="Y29" i="18"/>
  <c r="AH29" i="18" s="1"/>
  <c r="Y56" i="18"/>
  <c r="AH56" i="18" s="1"/>
  <c r="Y18" i="18"/>
  <c r="AH18" i="18" s="1"/>
  <c r="Y30" i="18"/>
  <c r="AH30" i="18" s="1"/>
  <c r="Y42" i="18"/>
  <c r="AH42" i="18" s="1"/>
  <c r="P124" i="18"/>
  <c r="Y93" i="18"/>
  <c r="AH93" i="18" s="1"/>
  <c r="P93" i="18"/>
  <c r="S93" i="18" s="1"/>
  <c r="P63" i="18"/>
  <c r="S63" i="18" s="1"/>
  <c r="AG134" i="18"/>
  <c r="Y130" i="18"/>
  <c r="AH130" i="18" s="1"/>
  <c r="Y121" i="18"/>
  <c r="AH121" i="18" s="1"/>
  <c r="Y101" i="18"/>
  <c r="AH101" i="18" s="1"/>
  <c r="Y90" i="18"/>
  <c r="AH90" i="18" s="1"/>
  <c r="Y78" i="18"/>
  <c r="AH78" i="18" s="1"/>
  <c r="Y76" i="18"/>
  <c r="AH76" i="18" s="1"/>
  <c r="Y123" i="18"/>
  <c r="AH123" i="18" s="1"/>
  <c r="Y114" i="18"/>
  <c r="AH114" i="18" s="1"/>
  <c r="Y91" i="18"/>
  <c r="AH91" i="18" s="1"/>
  <c r="Y87" i="18"/>
  <c r="AH87" i="18" s="1"/>
  <c r="Y83" i="18"/>
  <c r="AH83" i="18" s="1"/>
  <c r="Y24" i="18"/>
  <c r="AH24" i="18" s="1"/>
  <c r="Y129" i="18"/>
  <c r="AH129" i="18" s="1"/>
  <c r="Y119" i="18"/>
  <c r="AH119" i="18" s="1"/>
  <c r="Y111" i="18"/>
  <c r="AH111" i="18" s="1"/>
  <c r="Y88" i="18"/>
  <c r="AH88" i="18" s="1"/>
  <c r="Y84" i="18"/>
  <c r="AH84" i="18" s="1"/>
  <c r="Y70" i="18"/>
  <c r="AH70" i="18" s="1"/>
  <c r="Y8" i="18"/>
  <c r="AH8" i="18" s="1"/>
  <c r="Y20" i="18"/>
  <c r="AH20" i="18" s="1"/>
  <c r="X131" i="18"/>
  <c r="E108" i="18"/>
  <c r="P50" i="18"/>
  <c r="P29" i="18"/>
  <c r="S29" i="18" s="1"/>
  <c r="P24" i="18"/>
  <c r="S24" i="18" s="1"/>
  <c r="X125" i="18"/>
  <c r="P110" i="18"/>
  <c r="S110" i="18" s="1"/>
  <c r="O103" i="18"/>
  <c r="O27" i="18"/>
  <c r="Y47" i="18"/>
  <c r="AH47" i="18" s="1"/>
  <c r="Y37" i="18"/>
  <c r="AH37" i="18" s="1"/>
  <c r="Y41" i="18"/>
  <c r="AH41" i="18" s="1"/>
  <c r="Y22" i="18"/>
  <c r="AH22" i="18" s="1"/>
  <c r="Y39" i="18"/>
  <c r="AH39" i="18" s="1"/>
  <c r="Y13" i="18"/>
  <c r="AH13" i="18" s="1"/>
  <c r="Y60" i="18"/>
  <c r="AH60" i="18" s="1"/>
  <c r="Y52" i="18"/>
  <c r="AH52" i="18" s="1"/>
  <c r="Y43" i="18"/>
  <c r="AH43" i="18" s="1"/>
  <c r="Y33" i="18"/>
  <c r="AH33" i="18" s="1"/>
  <c r="Y113" i="18"/>
  <c r="AH113" i="18" s="1"/>
  <c r="Y80" i="18"/>
  <c r="AH80" i="18" s="1"/>
  <c r="P80" i="18"/>
  <c r="S80" i="18" s="1"/>
  <c r="P130" i="18"/>
  <c r="S130" i="18" s="1"/>
  <c r="S131" i="18" s="1"/>
  <c r="P76" i="18"/>
  <c r="S76" i="18" s="1"/>
  <c r="P74" i="18"/>
  <c r="S74" i="18" s="1"/>
  <c r="Y58" i="18"/>
  <c r="AH58" i="18" s="1"/>
  <c r="Y105" i="18"/>
  <c r="AH105" i="18" s="1"/>
  <c r="Y100" i="18"/>
  <c r="AH100" i="18" s="1"/>
  <c r="Y79" i="18"/>
  <c r="AH79" i="18" s="1"/>
  <c r="Y34" i="18"/>
  <c r="AH34" i="18" s="1"/>
  <c r="O131" i="18"/>
  <c r="P131" i="18"/>
  <c r="O125" i="18"/>
  <c r="P125" i="18" s="1"/>
  <c r="P119" i="18"/>
  <c r="S119" i="18" s="1"/>
  <c r="Y97" i="18"/>
  <c r="AH97" i="18" s="1"/>
  <c r="P91" i="18"/>
  <c r="S91" i="18" s="1"/>
  <c r="P88" i="18"/>
  <c r="S88" i="18" s="1"/>
  <c r="P84" i="18"/>
  <c r="S84" i="18" s="1"/>
  <c r="Y120" i="18"/>
  <c r="AH120" i="18" s="1"/>
  <c r="Y102" i="18"/>
  <c r="AH102" i="18" s="1"/>
  <c r="Y94" i="18"/>
  <c r="AH94" i="18" s="1"/>
  <c r="Y77" i="18"/>
  <c r="AH77" i="18" s="1"/>
  <c r="P47" i="18"/>
  <c r="S47" i="18" s="1"/>
  <c r="P103" i="18"/>
  <c r="O122" i="18"/>
  <c r="C134" i="18"/>
  <c r="E27" i="18"/>
  <c r="E134" i="18" s="1"/>
  <c r="O108" i="18"/>
  <c r="Q19" i="17"/>
  <c r="P32" i="17"/>
  <c r="E32" i="17"/>
  <c r="Q14" i="17"/>
  <c r="Q16" i="17"/>
  <c r="G32" i="17"/>
  <c r="I32" i="17"/>
  <c r="K32" i="17"/>
  <c r="M32" i="17"/>
  <c r="O32" i="17"/>
  <c r="Q13" i="17"/>
  <c r="E29" i="17"/>
  <c r="Q29" i="17"/>
  <c r="G34" i="17" s="1"/>
  <c r="P13" i="17"/>
  <c r="V59" i="14"/>
  <c r="V28" i="14"/>
  <c r="V29" i="14"/>
  <c r="V30" i="14"/>
  <c r="V31" i="14"/>
  <c r="W31" i="14" s="1"/>
  <c r="V32" i="14"/>
  <c r="V33" i="14"/>
  <c r="W33" i="14" s="1"/>
  <c r="V34" i="14"/>
  <c r="V35" i="14"/>
  <c r="V36" i="14"/>
  <c r="V37" i="14"/>
  <c r="V38" i="14"/>
  <c r="V39" i="14"/>
  <c r="V40" i="14"/>
  <c r="V41" i="14"/>
  <c r="V42" i="14"/>
  <c r="V43" i="14"/>
  <c r="V44" i="14"/>
  <c r="V45" i="14"/>
  <c r="V46" i="14"/>
  <c r="V47" i="14"/>
  <c r="V48" i="14"/>
  <c r="V49" i="14"/>
  <c r="V50" i="14"/>
  <c r="V51" i="14"/>
  <c r="V52" i="14"/>
  <c r="V53" i="14"/>
  <c r="V54" i="14"/>
  <c r="V55" i="14"/>
  <c r="V56" i="14"/>
  <c r="V57" i="14"/>
  <c r="V58" i="14"/>
  <c r="V27" i="14"/>
  <c r="V9" i="14"/>
  <c r="V10" i="14"/>
  <c r="W10" i="14" s="1"/>
  <c r="V11" i="14"/>
  <c r="V12" i="14"/>
  <c r="W12" i="14" s="1"/>
  <c r="V13" i="14"/>
  <c r="V14" i="14"/>
  <c r="W14" i="14" s="1"/>
  <c r="V15" i="14"/>
  <c r="V16" i="14"/>
  <c r="W16" i="14" s="1"/>
  <c r="V17" i="14"/>
  <c r="V18" i="14"/>
  <c r="W18" i="14" s="1"/>
  <c r="V19" i="14"/>
  <c r="V20" i="14"/>
  <c r="W20" i="14" s="1"/>
  <c r="V21" i="14"/>
  <c r="V22" i="14"/>
  <c r="W22" i="14" s="1"/>
  <c r="V23" i="14"/>
  <c r="V24" i="14"/>
  <c r="W24" i="14" s="1"/>
  <c r="V25" i="14"/>
  <c r="V8" i="14"/>
  <c r="Q59" i="14"/>
  <c r="P59" i="14"/>
  <c r="U127" i="14"/>
  <c r="T127" i="14"/>
  <c r="S127" i="14"/>
  <c r="R127" i="14"/>
  <c r="Q127" i="14"/>
  <c r="P127" i="14"/>
  <c r="V126" i="14"/>
  <c r="W126" i="14" s="1"/>
  <c r="V125" i="14"/>
  <c r="W125" i="14" s="1"/>
  <c r="U124" i="14"/>
  <c r="T124" i="14"/>
  <c r="S124" i="14"/>
  <c r="R124" i="14"/>
  <c r="Q124" i="14"/>
  <c r="P124" i="14"/>
  <c r="V123" i="14"/>
  <c r="W123" i="14" s="1"/>
  <c r="V122" i="14"/>
  <c r="W122" i="14" s="1"/>
  <c r="U121" i="14"/>
  <c r="T121" i="14"/>
  <c r="S121" i="14"/>
  <c r="R121" i="14"/>
  <c r="Q121" i="14"/>
  <c r="V120" i="14"/>
  <c r="W120" i="14" s="1"/>
  <c r="P120" i="14"/>
  <c r="W119" i="14"/>
  <c r="V119" i="14"/>
  <c r="P119" i="14"/>
  <c r="P121" i="14" s="1"/>
  <c r="U118" i="14"/>
  <c r="T118" i="14"/>
  <c r="S118" i="14"/>
  <c r="R118" i="14"/>
  <c r="Q118" i="14"/>
  <c r="P118" i="14"/>
  <c r="V117" i="14"/>
  <c r="W117" i="14" s="1"/>
  <c r="V116" i="14"/>
  <c r="W116" i="14" s="1"/>
  <c r="V115" i="14"/>
  <c r="W115" i="14" s="1"/>
  <c r="V114" i="14"/>
  <c r="W114" i="14" s="1"/>
  <c r="V113" i="14"/>
  <c r="W113" i="14" s="1"/>
  <c r="V112" i="14"/>
  <c r="W112" i="14" s="1"/>
  <c r="V111" i="14"/>
  <c r="W111" i="14" s="1"/>
  <c r="V110" i="14"/>
  <c r="W110" i="14" s="1"/>
  <c r="V109" i="14"/>
  <c r="W109" i="14" s="1"/>
  <c r="V108" i="14"/>
  <c r="W108" i="14" s="1"/>
  <c r="V107" i="14"/>
  <c r="W107" i="14" s="1"/>
  <c r="V106" i="14"/>
  <c r="W106" i="14" s="1"/>
  <c r="V105" i="14"/>
  <c r="W105" i="14" s="1"/>
  <c r="U104" i="14"/>
  <c r="T104" i="14"/>
  <c r="S104" i="14"/>
  <c r="R104" i="14"/>
  <c r="Q104" i="14"/>
  <c r="P104" i="14"/>
  <c r="V103" i="14"/>
  <c r="W103" i="14" s="1"/>
  <c r="W102" i="14"/>
  <c r="V102" i="14"/>
  <c r="W101" i="14"/>
  <c r="V101" i="14"/>
  <c r="W100" i="14"/>
  <c r="V100" i="14"/>
  <c r="U99" i="14"/>
  <c r="T99" i="14"/>
  <c r="S99" i="14"/>
  <c r="R99" i="14"/>
  <c r="P99" i="14"/>
  <c r="V98" i="14"/>
  <c r="W98" i="14" s="1"/>
  <c r="V97" i="14"/>
  <c r="W97" i="14" s="1"/>
  <c r="V96" i="14"/>
  <c r="W96" i="14" s="1"/>
  <c r="V95" i="14"/>
  <c r="W95" i="14" s="1"/>
  <c r="V94" i="14"/>
  <c r="W94" i="14" s="1"/>
  <c r="V93" i="14"/>
  <c r="W93" i="14" s="1"/>
  <c r="V92" i="14"/>
  <c r="W92" i="14" s="1"/>
  <c r="V91" i="14"/>
  <c r="W91" i="14" s="1"/>
  <c r="V90" i="14"/>
  <c r="W90" i="14" s="1"/>
  <c r="V89" i="14"/>
  <c r="W89" i="14" s="1"/>
  <c r="V88" i="14"/>
  <c r="W88" i="14" s="1"/>
  <c r="V87" i="14"/>
  <c r="W87" i="14" s="1"/>
  <c r="V86" i="14"/>
  <c r="W86" i="14" s="1"/>
  <c r="V85" i="14"/>
  <c r="W85" i="14" s="1"/>
  <c r="V84" i="14"/>
  <c r="W84" i="14" s="1"/>
  <c r="V83" i="14"/>
  <c r="W83" i="14" s="1"/>
  <c r="V82" i="14"/>
  <c r="W82" i="14" s="1"/>
  <c r="V81" i="14"/>
  <c r="W81" i="14" s="1"/>
  <c r="V80" i="14"/>
  <c r="W80" i="14" s="1"/>
  <c r="V79" i="14"/>
  <c r="W79" i="14" s="1"/>
  <c r="V78" i="14"/>
  <c r="W78" i="14" s="1"/>
  <c r="V77" i="14"/>
  <c r="W77" i="14" s="1"/>
  <c r="V76" i="14"/>
  <c r="Q99" i="14"/>
  <c r="V75" i="14"/>
  <c r="W75" i="14" s="1"/>
  <c r="V74" i="14"/>
  <c r="W74" i="14" s="1"/>
  <c r="V73" i="14"/>
  <c r="W73" i="14" s="1"/>
  <c r="V72" i="14"/>
  <c r="W72" i="14" s="1"/>
  <c r="V71" i="14"/>
  <c r="W71" i="14" s="1"/>
  <c r="V70" i="14"/>
  <c r="W70" i="14" s="1"/>
  <c r="V68" i="14"/>
  <c r="W68" i="14" s="1"/>
  <c r="V67" i="14"/>
  <c r="W67" i="14" s="1"/>
  <c r="V66" i="14"/>
  <c r="W66" i="14" s="1"/>
  <c r="V65" i="14"/>
  <c r="W65" i="14" s="1"/>
  <c r="V64" i="14"/>
  <c r="W64" i="14" s="1"/>
  <c r="V63" i="14"/>
  <c r="W63" i="14" s="1"/>
  <c r="V62" i="14"/>
  <c r="W62" i="14" s="1"/>
  <c r="V61" i="14"/>
  <c r="W61" i="14" s="1"/>
  <c r="V60" i="14"/>
  <c r="U59" i="14"/>
  <c r="T59" i="14"/>
  <c r="T130" i="14" s="1"/>
  <c r="S59" i="14"/>
  <c r="R59" i="14"/>
  <c r="R130" i="14" s="1"/>
  <c r="W58" i="14"/>
  <c r="W57" i="14"/>
  <c r="W56" i="14"/>
  <c r="W55" i="14"/>
  <c r="W54" i="14"/>
  <c r="W53" i="14"/>
  <c r="W52" i="14"/>
  <c r="W51" i="14"/>
  <c r="W50" i="14"/>
  <c r="W49" i="14"/>
  <c r="W48" i="14"/>
  <c r="W47" i="14"/>
  <c r="W46" i="14"/>
  <c r="W45" i="14"/>
  <c r="W44" i="14"/>
  <c r="W43" i="14"/>
  <c r="W42" i="14"/>
  <c r="W41" i="14"/>
  <c r="W40" i="14"/>
  <c r="W39" i="14"/>
  <c r="W38" i="14"/>
  <c r="W37" i="14"/>
  <c r="W36" i="14"/>
  <c r="W35" i="14"/>
  <c r="W32" i="14"/>
  <c r="W29" i="14"/>
  <c r="W28" i="14"/>
  <c r="W27" i="14"/>
  <c r="U26" i="14"/>
  <c r="T26" i="14"/>
  <c r="S26" i="14"/>
  <c r="R26" i="14"/>
  <c r="Q26" i="14"/>
  <c r="P26" i="14"/>
  <c r="W25" i="14"/>
  <c r="W23" i="14"/>
  <c r="W21" i="14"/>
  <c r="W19" i="14"/>
  <c r="W17" i="14"/>
  <c r="W15" i="14"/>
  <c r="W13" i="14"/>
  <c r="W11" i="14"/>
  <c r="W9" i="14"/>
  <c r="W8" i="14"/>
  <c r="V26" i="14"/>
  <c r="H130" i="15"/>
  <c r="N60" i="15"/>
  <c r="O60" i="15" s="1"/>
  <c r="N61" i="15"/>
  <c r="O61" i="15" s="1"/>
  <c r="N62" i="15"/>
  <c r="O62" i="15" s="1"/>
  <c r="N63" i="15"/>
  <c r="O63" i="15" s="1"/>
  <c r="N64" i="15"/>
  <c r="O64" i="15" s="1"/>
  <c r="N65" i="15"/>
  <c r="O65" i="15" s="1"/>
  <c r="N66" i="15"/>
  <c r="O66" i="15" s="1"/>
  <c r="N67" i="15"/>
  <c r="O67" i="15" s="1"/>
  <c r="N68" i="15"/>
  <c r="O68" i="15" s="1"/>
  <c r="N70" i="15"/>
  <c r="O70" i="15" s="1"/>
  <c r="N71" i="15"/>
  <c r="O71" i="15" s="1"/>
  <c r="N72" i="15"/>
  <c r="O72" i="15" s="1"/>
  <c r="N73" i="15"/>
  <c r="O73" i="15" s="1"/>
  <c r="N74" i="15"/>
  <c r="O74" i="15" s="1"/>
  <c r="N75" i="15"/>
  <c r="O75" i="15" s="1"/>
  <c r="N76" i="15"/>
  <c r="O76" i="15" s="1"/>
  <c r="N77" i="15"/>
  <c r="O77" i="15" s="1"/>
  <c r="N78" i="15"/>
  <c r="O78" i="15" s="1"/>
  <c r="N79" i="15"/>
  <c r="O79" i="15" s="1"/>
  <c r="N80" i="15"/>
  <c r="O80" i="15" s="1"/>
  <c r="N81" i="15"/>
  <c r="O81" i="15" s="1"/>
  <c r="N82" i="15"/>
  <c r="O82" i="15" s="1"/>
  <c r="N83" i="15"/>
  <c r="O83" i="15" s="1"/>
  <c r="N84" i="15"/>
  <c r="O84" i="15" s="1"/>
  <c r="N85" i="15"/>
  <c r="O85" i="15" s="1"/>
  <c r="N86" i="15"/>
  <c r="O86" i="15" s="1"/>
  <c r="N87" i="15"/>
  <c r="O87" i="15" s="1"/>
  <c r="N88" i="15"/>
  <c r="O88" i="15" s="1"/>
  <c r="N89" i="15"/>
  <c r="O89" i="15" s="1"/>
  <c r="N90" i="15"/>
  <c r="O90" i="15" s="1"/>
  <c r="N91" i="15"/>
  <c r="O91" i="15" s="1"/>
  <c r="N92" i="15"/>
  <c r="O92" i="15" s="1"/>
  <c r="N93" i="15"/>
  <c r="O93" i="15" s="1"/>
  <c r="N94" i="15"/>
  <c r="O94" i="15" s="1"/>
  <c r="N95" i="15"/>
  <c r="O95" i="15" s="1"/>
  <c r="N96" i="15"/>
  <c r="O96" i="15" s="1"/>
  <c r="N97" i="15"/>
  <c r="O97" i="15" s="1"/>
  <c r="N98" i="15"/>
  <c r="O98" i="15" s="1"/>
  <c r="P99" i="12"/>
  <c r="N33" i="15"/>
  <c r="N41" i="15"/>
  <c r="O41" i="15" s="1"/>
  <c r="N52" i="15"/>
  <c r="O52" i="15" s="1"/>
  <c r="O25" i="12"/>
  <c r="O8" i="14"/>
  <c r="O117" i="14"/>
  <c r="U127" i="15"/>
  <c r="T127" i="15"/>
  <c r="S127" i="15"/>
  <c r="R127" i="15"/>
  <c r="Q127" i="15"/>
  <c r="P127" i="15"/>
  <c r="W126" i="15"/>
  <c r="W125" i="15"/>
  <c r="U124" i="15"/>
  <c r="T124" i="15"/>
  <c r="S124" i="15"/>
  <c r="R124" i="15"/>
  <c r="Q124" i="15"/>
  <c r="P124" i="15"/>
  <c r="W123" i="15"/>
  <c r="W122" i="15"/>
  <c r="U121" i="15"/>
  <c r="T121" i="15"/>
  <c r="S121" i="15"/>
  <c r="R121" i="15"/>
  <c r="Q121" i="15"/>
  <c r="W120" i="15"/>
  <c r="P120" i="15"/>
  <c r="W119" i="15"/>
  <c r="P119" i="15"/>
  <c r="U118" i="15"/>
  <c r="T118" i="15"/>
  <c r="S118" i="15"/>
  <c r="R118" i="15"/>
  <c r="Q118" i="15"/>
  <c r="P118" i="15"/>
  <c r="W117" i="15"/>
  <c r="W116" i="15"/>
  <c r="W115" i="15"/>
  <c r="W114" i="15"/>
  <c r="W113" i="15"/>
  <c r="W112" i="15"/>
  <c r="W111" i="15"/>
  <c r="W110" i="15"/>
  <c r="W109" i="15"/>
  <c r="W108" i="15"/>
  <c r="W107" i="15"/>
  <c r="W106" i="15"/>
  <c r="W105" i="15"/>
  <c r="U104" i="15"/>
  <c r="T104" i="15"/>
  <c r="S104" i="15"/>
  <c r="R104" i="15"/>
  <c r="Q104" i="15"/>
  <c r="W103" i="15"/>
  <c r="P103" i="15"/>
  <c r="W102" i="15"/>
  <c r="W101" i="15"/>
  <c r="W100" i="15"/>
  <c r="U99" i="15"/>
  <c r="T99" i="15"/>
  <c r="S99" i="15"/>
  <c r="R99" i="15"/>
  <c r="P99" i="15"/>
  <c r="W98" i="15"/>
  <c r="W97" i="15"/>
  <c r="W96" i="15"/>
  <c r="W95" i="15"/>
  <c r="W94" i="15"/>
  <c r="W93" i="15"/>
  <c r="W92" i="15"/>
  <c r="W91" i="15"/>
  <c r="W90" i="15"/>
  <c r="W89" i="15"/>
  <c r="W88" i="15"/>
  <c r="W87" i="15"/>
  <c r="W86" i="15"/>
  <c r="W85" i="15"/>
  <c r="W84" i="15"/>
  <c r="W83" i="15"/>
  <c r="W82" i="15"/>
  <c r="W81" i="15"/>
  <c r="W80" i="15"/>
  <c r="W79" i="15"/>
  <c r="W78" i="15"/>
  <c r="W77" i="15"/>
  <c r="Q76" i="15"/>
  <c r="Q99" i="15" s="1"/>
  <c r="W75" i="15"/>
  <c r="W74" i="15"/>
  <c r="W73" i="15"/>
  <c r="W72" i="15"/>
  <c r="W71" i="15"/>
  <c r="W70" i="15"/>
  <c r="W68" i="15"/>
  <c r="W67" i="15"/>
  <c r="W66" i="15"/>
  <c r="W65" i="15"/>
  <c r="W64" i="15"/>
  <c r="W63" i="15"/>
  <c r="W62" i="15"/>
  <c r="W61" i="15"/>
  <c r="U59" i="15"/>
  <c r="T59" i="15"/>
  <c r="T130" i="15" s="1"/>
  <c r="S59" i="15"/>
  <c r="R59" i="15"/>
  <c r="R130" i="15" s="1"/>
  <c r="W58" i="15"/>
  <c r="W57" i="15"/>
  <c r="W56" i="15"/>
  <c r="W55" i="15"/>
  <c r="W54" i="15"/>
  <c r="W53" i="15"/>
  <c r="W52" i="15"/>
  <c r="W51" i="15"/>
  <c r="W50" i="15"/>
  <c r="W49" i="15"/>
  <c r="W48" i="15"/>
  <c r="W47" i="15"/>
  <c r="W45" i="15"/>
  <c r="W44" i="15"/>
  <c r="W43" i="15"/>
  <c r="W42" i="15"/>
  <c r="W41" i="15"/>
  <c r="W40" i="15"/>
  <c r="W39" i="15"/>
  <c r="Q39" i="15"/>
  <c r="W38" i="15"/>
  <c r="W37" i="15"/>
  <c r="W36" i="15"/>
  <c r="W35" i="15"/>
  <c r="W34" i="15"/>
  <c r="Q33" i="15"/>
  <c r="W32" i="15"/>
  <c r="W31" i="15"/>
  <c r="W30" i="15"/>
  <c r="P29" i="15"/>
  <c r="P59" i="15" s="1"/>
  <c r="W28" i="15"/>
  <c r="W27" i="15"/>
  <c r="W26" i="15"/>
  <c r="U25" i="15"/>
  <c r="U130" i="15" s="1"/>
  <c r="T25" i="15"/>
  <c r="S25" i="15"/>
  <c r="S130" i="15" s="1"/>
  <c r="R25" i="15"/>
  <c r="Q25" i="15"/>
  <c r="P25" i="15"/>
  <c r="W24" i="15"/>
  <c r="W23" i="15"/>
  <c r="W22" i="15"/>
  <c r="W21" i="15"/>
  <c r="W20" i="15"/>
  <c r="W19" i="15"/>
  <c r="W18" i="15"/>
  <c r="W17" i="15"/>
  <c r="W16" i="15"/>
  <c r="W15" i="15"/>
  <c r="W14" i="15"/>
  <c r="W13" i="15"/>
  <c r="W12" i="15"/>
  <c r="W11" i="15"/>
  <c r="W10" i="15"/>
  <c r="W9" i="15"/>
  <c r="W8" i="15"/>
  <c r="W7" i="15"/>
  <c r="W25" i="15" s="1"/>
  <c r="V25" i="15"/>
  <c r="M127" i="15"/>
  <c r="L127" i="15"/>
  <c r="K127" i="15"/>
  <c r="J127" i="15"/>
  <c r="I127" i="15"/>
  <c r="H127" i="15"/>
  <c r="G127" i="15"/>
  <c r="F127" i="15"/>
  <c r="D127" i="15"/>
  <c r="C127" i="15"/>
  <c r="N126" i="15"/>
  <c r="O126" i="15" s="1"/>
  <c r="E126" i="15"/>
  <c r="O125" i="15"/>
  <c r="O127" i="15" s="1"/>
  <c r="E125" i="15"/>
  <c r="N125" i="15" s="1"/>
  <c r="M124" i="15"/>
  <c r="L124" i="15"/>
  <c r="K124" i="15"/>
  <c r="J124" i="15"/>
  <c r="I124" i="15"/>
  <c r="H124" i="15"/>
  <c r="D124" i="15"/>
  <c r="E124" i="15" s="1"/>
  <c r="E123" i="15"/>
  <c r="N123" i="15" s="1"/>
  <c r="O123" i="15" s="1"/>
  <c r="E122" i="15"/>
  <c r="N122" i="15" s="1"/>
  <c r="O122" i="15" s="1"/>
  <c r="M121" i="15"/>
  <c r="L121" i="15"/>
  <c r="K121" i="15"/>
  <c r="J121" i="15"/>
  <c r="I121" i="15"/>
  <c r="H121" i="15"/>
  <c r="D121" i="15"/>
  <c r="E121" i="15" s="1"/>
  <c r="N120" i="15"/>
  <c r="O120" i="15" s="1"/>
  <c r="E120" i="15"/>
  <c r="H120" i="15" s="1"/>
  <c r="N119" i="15"/>
  <c r="O119" i="15" s="1"/>
  <c r="E119" i="15"/>
  <c r="H119" i="15" s="1"/>
  <c r="M118" i="15"/>
  <c r="L118" i="15"/>
  <c r="K118" i="15"/>
  <c r="J118" i="15"/>
  <c r="I118" i="15"/>
  <c r="H118" i="15"/>
  <c r="G118" i="15"/>
  <c r="F118" i="15"/>
  <c r="O117" i="15"/>
  <c r="E117" i="15"/>
  <c r="N117" i="15" s="1"/>
  <c r="N116" i="15"/>
  <c r="O116" i="15" s="1"/>
  <c r="C116" i="15"/>
  <c r="E116" i="15" s="1"/>
  <c r="N115" i="15"/>
  <c r="O115" i="15" s="1"/>
  <c r="E115" i="15"/>
  <c r="O114" i="15"/>
  <c r="E114" i="15"/>
  <c r="N114" i="15" s="1"/>
  <c r="N113" i="15"/>
  <c r="O113" i="15" s="1"/>
  <c r="C113" i="15"/>
  <c r="E113" i="15" s="1"/>
  <c r="N112" i="15"/>
  <c r="O112" i="15" s="1"/>
  <c r="E112" i="15"/>
  <c r="D111" i="15"/>
  <c r="E111" i="15" s="1"/>
  <c r="N111" i="15" s="1"/>
  <c r="O111" i="15" s="1"/>
  <c r="E110" i="15"/>
  <c r="N110" i="15" s="1"/>
  <c r="O110" i="15" s="1"/>
  <c r="N109" i="15"/>
  <c r="O109" i="15" s="1"/>
  <c r="E109" i="15"/>
  <c r="E108" i="15"/>
  <c r="N108" i="15" s="1"/>
  <c r="O108" i="15" s="1"/>
  <c r="C107" i="15"/>
  <c r="E107" i="15" s="1"/>
  <c r="N107" i="15" s="1"/>
  <c r="O107" i="15" s="1"/>
  <c r="D106" i="15"/>
  <c r="D118" i="15" s="1"/>
  <c r="C106" i="15"/>
  <c r="O105" i="15"/>
  <c r="E105" i="15"/>
  <c r="N105" i="15" s="1"/>
  <c r="M104" i="15"/>
  <c r="L104" i="15"/>
  <c r="K104" i="15"/>
  <c r="J104" i="15"/>
  <c r="I104" i="15"/>
  <c r="D104" i="15"/>
  <c r="E103" i="15"/>
  <c r="N103" i="15" s="1"/>
  <c r="O103" i="15" s="1"/>
  <c r="D102" i="15"/>
  <c r="C102" i="15"/>
  <c r="C104" i="15" s="1"/>
  <c r="E101" i="15"/>
  <c r="N101" i="15" s="1"/>
  <c r="O101" i="15" s="1"/>
  <c r="E100" i="15"/>
  <c r="M99" i="15"/>
  <c r="L99" i="15"/>
  <c r="K99" i="15"/>
  <c r="J99" i="15"/>
  <c r="H99" i="15"/>
  <c r="G99" i="15"/>
  <c r="F99" i="15"/>
  <c r="C98" i="15"/>
  <c r="E98" i="15" s="1"/>
  <c r="E97" i="15"/>
  <c r="E96" i="15"/>
  <c r="E95" i="15"/>
  <c r="E94" i="15"/>
  <c r="E93" i="15"/>
  <c r="E92" i="15"/>
  <c r="E91" i="15"/>
  <c r="C90" i="15"/>
  <c r="E90" i="15" s="1"/>
  <c r="E89" i="15"/>
  <c r="C88" i="15"/>
  <c r="E88" i="15" s="1"/>
  <c r="E87" i="15"/>
  <c r="E86" i="15"/>
  <c r="E85" i="15"/>
  <c r="E84" i="15"/>
  <c r="E83" i="15"/>
  <c r="E82" i="15"/>
  <c r="D81" i="15"/>
  <c r="D99" i="15" s="1"/>
  <c r="C81" i="15"/>
  <c r="E81" i="15" s="1"/>
  <c r="E80" i="15"/>
  <c r="E79" i="15"/>
  <c r="E78" i="15"/>
  <c r="E77" i="15"/>
  <c r="I76" i="15"/>
  <c r="I99" i="15" s="1"/>
  <c r="E76" i="15"/>
  <c r="C76" i="15"/>
  <c r="E75" i="15"/>
  <c r="E74" i="15"/>
  <c r="E73" i="15"/>
  <c r="C73" i="15"/>
  <c r="E72" i="15"/>
  <c r="C72" i="15"/>
  <c r="E71" i="15"/>
  <c r="C70" i="15"/>
  <c r="E70" i="15" s="1"/>
  <c r="C68" i="15"/>
  <c r="E68" i="15" s="1"/>
  <c r="E67" i="15"/>
  <c r="E66" i="15"/>
  <c r="E65" i="15"/>
  <c r="E64" i="15"/>
  <c r="C63" i="15"/>
  <c r="E62" i="15"/>
  <c r="E61" i="15"/>
  <c r="E60" i="15"/>
  <c r="M59" i="15"/>
  <c r="L59" i="15"/>
  <c r="K59" i="15"/>
  <c r="J59" i="15"/>
  <c r="G59" i="15"/>
  <c r="F59" i="15"/>
  <c r="E58" i="15"/>
  <c r="N58" i="15" s="1"/>
  <c r="O58" i="15" s="1"/>
  <c r="E57" i="15"/>
  <c r="N57" i="15" s="1"/>
  <c r="O57" i="15" s="1"/>
  <c r="E56" i="15"/>
  <c r="N56" i="15" s="1"/>
  <c r="O56" i="15" s="1"/>
  <c r="E55" i="15"/>
  <c r="N55" i="15" s="1"/>
  <c r="O55" i="15" s="1"/>
  <c r="E54" i="15"/>
  <c r="N54" i="15" s="1"/>
  <c r="O54" i="15" s="1"/>
  <c r="E53" i="15"/>
  <c r="N53" i="15" s="1"/>
  <c r="O53" i="15" s="1"/>
  <c r="E52" i="15"/>
  <c r="E51" i="15"/>
  <c r="N51" i="15" s="1"/>
  <c r="O51" i="15" s="1"/>
  <c r="E50" i="15"/>
  <c r="N50" i="15" s="1"/>
  <c r="O50" i="15" s="1"/>
  <c r="E49" i="15"/>
  <c r="N49" i="15" s="1"/>
  <c r="O49" i="15" s="1"/>
  <c r="D49" i="15"/>
  <c r="E48" i="15"/>
  <c r="N48" i="15" s="1"/>
  <c r="O48" i="15" s="1"/>
  <c r="C48" i="15"/>
  <c r="E47" i="15"/>
  <c r="N47" i="15" s="1"/>
  <c r="O47" i="15" s="1"/>
  <c r="C47" i="15"/>
  <c r="E45" i="15"/>
  <c r="N45" i="15" s="1"/>
  <c r="O45" i="15" s="1"/>
  <c r="E44" i="15"/>
  <c r="N44" i="15" s="1"/>
  <c r="O44" i="15" s="1"/>
  <c r="D43" i="15"/>
  <c r="D59" i="15" s="1"/>
  <c r="C43" i="15"/>
  <c r="E42" i="15"/>
  <c r="N42" i="15" s="1"/>
  <c r="O42" i="15" s="1"/>
  <c r="E41" i="15"/>
  <c r="E40" i="15"/>
  <c r="N40" i="15" s="1"/>
  <c r="O40" i="15" s="1"/>
  <c r="I39" i="15"/>
  <c r="C39" i="15"/>
  <c r="E39" i="15" s="1"/>
  <c r="N39" i="15" s="1"/>
  <c r="O39" i="15" s="1"/>
  <c r="C38" i="15"/>
  <c r="E38" i="15" s="1"/>
  <c r="N38" i="15" s="1"/>
  <c r="O38" i="15" s="1"/>
  <c r="E37" i="15"/>
  <c r="N37" i="15" s="1"/>
  <c r="O37" i="15" s="1"/>
  <c r="E36" i="15"/>
  <c r="N36" i="15" s="1"/>
  <c r="O36" i="15" s="1"/>
  <c r="E35" i="15"/>
  <c r="N35" i="15" s="1"/>
  <c r="O35" i="15" s="1"/>
  <c r="E34" i="15"/>
  <c r="N34" i="15" s="1"/>
  <c r="O34" i="15" s="1"/>
  <c r="I33" i="15"/>
  <c r="E33" i="15"/>
  <c r="E32" i="15"/>
  <c r="N32" i="15" s="1"/>
  <c r="O32" i="15" s="1"/>
  <c r="C31" i="15"/>
  <c r="E31" i="15" s="1"/>
  <c r="N31" i="15" s="1"/>
  <c r="O31" i="15" s="1"/>
  <c r="E30" i="15"/>
  <c r="N30" i="15" s="1"/>
  <c r="O30" i="15" s="1"/>
  <c r="H29" i="15"/>
  <c r="H59" i="15" s="1"/>
  <c r="E29" i="15"/>
  <c r="N29" i="15" s="1"/>
  <c r="O29" i="15" s="1"/>
  <c r="E28" i="15"/>
  <c r="N28" i="15" s="1"/>
  <c r="O28" i="15" s="1"/>
  <c r="E27" i="15"/>
  <c r="N27" i="15" s="1"/>
  <c r="O27" i="15" s="1"/>
  <c r="E26" i="15"/>
  <c r="N26" i="15" s="1"/>
  <c r="O26" i="15" s="1"/>
  <c r="M25" i="15"/>
  <c r="L25" i="15"/>
  <c r="K25" i="15"/>
  <c r="J25" i="15"/>
  <c r="I25" i="15"/>
  <c r="H25" i="15"/>
  <c r="G25" i="15"/>
  <c r="F25" i="15"/>
  <c r="D25" i="15"/>
  <c r="N24" i="15"/>
  <c r="O24" i="15" s="1"/>
  <c r="E24" i="15"/>
  <c r="E23" i="15"/>
  <c r="N23" i="15" s="1"/>
  <c r="O23" i="15" s="1"/>
  <c r="C23" i="15"/>
  <c r="E22" i="15"/>
  <c r="N22" i="15" s="1"/>
  <c r="O22" i="15" s="1"/>
  <c r="C22" i="15"/>
  <c r="E21" i="15"/>
  <c r="N21" i="15" s="1"/>
  <c r="O21" i="15" s="1"/>
  <c r="C21" i="15"/>
  <c r="C20" i="15"/>
  <c r="E20" i="15" s="1"/>
  <c r="N20" i="15" s="1"/>
  <c r="O20" i="15" s="1"/>
  <c r="E19" i="15"/>
  <c r="N19" i="15" s="1"/>
  <c r="O19" i="15" s="1"/>
  <c r="N18" i="15"/>
  <c r="O18" i="15" s="1"/>
  <c r="E18" i="15"/>
  <c r="E17" i="15"/>
  <c r="N17" i="15" s="1"/>
  <c r="O17" i="15" s="1"/>
  <c r="C16" i="15"/>
  <c r="E16" i="15" s="1"/>
  <c r="N16" i="15" s="1"/>
  <c r="O16" i="15" s="1"/>
  <c r="C15" i="15"/>
  <c r="E15" i="15" s="1"/>
  <c r="N15" i="15" s="1"/>
  <c r="O15" i="15" s="1"/>
  <c r="C14" i="15"/>
  <c r="E14" i="15" s="1"/>
  <c r="N14" i="15" s="1"/>
  <c r="O14" i="15" s="1"/>
  <c r="C13" i="15"/>
  <c r="E13" i="15" s="1"/>
  <c r="N13" i="15" s="1"/>
  <c r="O13" i="15" s="1"/>
  <c r="E12" i="15"/>
  <c r="N12" i="15" s="1"/>
  <c r="O12" i="15" s="1"/>
  <c r="E11" i="15"/>
  <c r="N11" i="15" s="1"/>
  <c r="O11" i="15" s="1"/>
  <c r="C10" i="15"/>
  <c r="E10" i="15" s="1"/>
  <c r="N10" i="15" s="1"/>
  <c r="O10" i="15" s="1"/>
  <c r="C9" i="15"/>
  <c r="E9" i="15" s="1"/>
  <c r="N9" i="15" s="1"/>
  <c r="O9" i="15" s="1"/>
  <c r="E8" i="15"/>
  <c r="N8" i="15" s="1"/>
  <c r="O8" i="15" s="1"/>
  <c r="E7" i="15"/>
  <c r="N7" i="15" s="1"/>
  <c r="C7" i="15"/>
  <c r="N8" i="14"/>
  <c r="J127" i="14"/>
  <c r="K127" i="14"/>
  <c r="L127" i="14"/>
  <c r="M127" i="14"/>
  <c r="I124" i="14"/>
  <c r="J124" i="14"/>
  <c r="K124" i="14"/>
  <c r="L124" i="14"/>
  <c r="M124" i="14"/>
  <c r="I121" i="14"/>
  <c r="J121" i="14"/>
  <c r="K121" i="14"/>
  <c r="L121" i="14"/>
  <c r="M121" i="14"/>
  <c r="I118" i="14"/>
  <c r="J118" i="14"/>
  <c r="K118" i="14"/>
  <c r="L118" i="14"/>
  <c r="M118" i="14"/>
  <c r="J104" i="14"/>
  <c r="K104" i="14"/>
  <c r="L104" i="14"/>
  <c r="M104" i="14"/>
  <c r="J99" i="14"/>
  <c r="J130" i="14" s="1"/>
  <c r="K99" i="14"/>
  <c r="K130" i="14" s="1"/>
  <c r="L99" i="14"/>
  <c r="L130" i="14" s="1"/>
  <c r="M99" i="14"/>
  <c r="M130" i="14" s="1"/>
  <c r="J59" i="14"/>
  <c r="K59" i="14"/>
  <c r="L59" i="14"/>
  <c r="M59" i="14"/>
  <c r="J26" i="14"/>
  <c r="K26" i="14"/>
  <c r="L26" i="14"/>
  <c r="M26" i="14"/>
  <c r="N124" i="14"/>
  <c r="O105" i="14"/>
  <c r="N122" i="14"/>
  <c r="O122" i="14" s="1"/>
  <c r="N18" i="14"/>
  <c r="O18" i="14" s="1"/>
  <c r="I127" i="14"/>
  <c r="H127" i="14"/>
  <c r="G127" i="14"/>
  <c r="F127" i="14"/>
  <c r="D127" i="14"/>
  <c r="C127" i="14"/>
  <c r="E126" i="14"/>
  <c r="N126" i="14" s="1"/>
  <c r="O126" i="14" s="1"/>
  <c r="E125" i="14"/>
  <c r="N125" i="14" s="1"/>
  <c r="H124" i="14"/>
  <c r="E124" i="14"/>
  <c r="D124" i="14"/>
  <c r="E123" i="14"/>
  <c r="N123" i="14" s="1"/>
  <c r="O123" i="14" s="1"/>
  <c r="E122" i="14"/>
  <c r="D121" i="14"/>
  <c r="E121" i="14" s="1"/>
  <c r="E120" i="14"/>
  <c r="N120" i="14" s="1"/>
  <c r="O120" i="14" s="1"/>
  <c r="E119" i="14"/>
  <c r="N119" i="14" s="1"/>
  <c r="H118" i="14"/>
  <c r="G118" i="14"/>
  <c r="F118" i="14"/>
  <c r="E117" i="14"/>
  <c r="N117" i="14" s="1"/>
  <c r="C116" i="14"/>
  <c r="E115" i="14"/>
  <c r="N115" i="14" s="1"/>
  <c r="O115" i="14" s="1"/>
  <c r="E114" i="14"/>
  <c r="N114" i="14" s="1"/>
  <c r="O114" i="14" s="1"/>
  <c r="C113" i="14"/>
  <c r="E112" i="14"/>
  <c r="N112" i="14" s="1"/>
  <c r="O112" i="14" s="1"/>
  <c r="D111" i="14"/>
  <c r="E110" i="14"/>
  <c r="N110" i="14" s="1"/>
  <c r="O110" i="14" s="1"/>
  <c r="E109" i="14"/>
  <c r="N109" i="14" s="1"/>
  <c r="O109" i="14" s="1"/>
  <c r="E108" i="14"/>
  <c r="N108" i="14" s="1"/>
  <c r="O108" i="14" s="1"/>
  <c r="C107" i="14"/>
  <c r="D106" i="14"/>
  <c r="C106" i="14"/>
  <c r="E105" i="14"/>
  <c r="N105" i="14" s="1"/>
  <c r="I104" i="14"/>
  <c r="E103" i="14"/>
  <c r="D102" i="14"/>
  <c r="D104" i="14" s="1"/>
  <c r="C102" i="14"/>
  <c r="C104" i="14" s="1"/>
  <c r="E101" i="14"/>
  <c r="N101" i="14" s="1"/>
  <c r="O101" i="14" s="1"/>
  <c r="E100" i="14"/>
  <c r="N100" i="14" s="1"/>
  <c r="H99" i="14"/>
  <c r="G99" i="14"/>
  <c r="F99" i="14"/>
  <c r="C98" i="14"/>
  <c r="E98" i="14" s="1"/>
  <c r="N98" i="14" s="1"/>
  <c r="O98" i="14" s="1"/>
  <c r="E97" i="14"/>
  <c r="N97" i="14" s="1"/>
  <c r="O97" i="14" s="1"/>
  <c r="E96" i="14"/>
  <c r="N96" i="14" s="1"/>
  <c r="O96" i="14" s="1"/>
  <c r="E95" i="14"/>
  <c r="N95" i="14" s="1"/>
  <c r="O95" i="14" s="1"/>
  <c r="E94" i="14"/>
  <c r="N94" i="14" s="1"/>
  <c r="O94" i="14" s="1"/>
  <c r="E93" i="14"/>
  <c r="N93" i="14" s="1"/>
  <c r="O93" i="14" s="1"/>
  <c r="E92" i="14"/>
  <c r="N92" i="14" s="1"/>
  <c r="O92" i="14" s="1"/>
  <c r="E91" i="14"/>
  <c r="N91" i="14" s="1"/>
  <c r="O91" i="14" s="1"/>
  <c r="C90" i="14"/>
  <c r="E89" i="14"/>
  <c r="N89" i="14" s="1"/>
  <c r="O89" i="14" s="1"/>
  <c r="C88" i="14"/>
  <c r="E88" i="14" s="1"/>
  <c r="N88" i="14" s="1"/>
  <c r="O88" i="14" s="1"/>
  <c r="E87" i="14"/>
  <c r="N87" i="14" s="1"/>
  <c r="O87" i="14" s="1"/>
  <c r="E86" i="14"/>
  <c r="N86" i="14" s="1"/>
  <c r="O86" i="14" s="1"/>
  <c r="E85" i="14"/>
  <c r="N85" i="14" s="1"/>
  <c r="O85" i="14" s="1"/>
  <c r="E84" i="14"/>
  <c r="N84" i="14" s="1"/>
  <c r="O84" i="14" s="1"/>
  <c r="E83" i="14"/>
  <c r="N83" i="14" s="1"/>
  <c r="O83" i="14" s="1"/>
  <c r="E82" i="14"/>
  <c r="N82" i="14" s="1"/>
  <c r="O82" i="14" s="1"/>
  <c r="D81" i="14"/>
  <c r="D99" i="14" s="1"/>
  <c r="C81" i="14"/>
  <c r="E80" i="14"/>
  <c r="N80" i="14" s="1"/>
  <c r="O80" i="14" s="1"/>
  <c r="E79" i="14"/>
  <c r="N79" i="14" s="1"/>
  <c r="O79" i="14" s="1"/>
  <c r="E78" i="14"/>
  <c r="N78" i="14" s="1"/>
  <c r="O78" i="14" s="1"/>
  <c r="E77" i="14"/>
  <c r="N77" i="14" s="1"/>
  <c r="O77" i="14" s="1"/>
  <c r="I76" i="14"/>
  <c r="C76" i="14"/>
  <c r="E76" i="14" s="1"/>
  <c r="N76" i="14" s="1"/>
  <c r="O76" i="14" s="1"/>
  <c r="E75" i="14"/>
  <c r="N75" i="14" s="1"/>
  <c r="O75" i="14" s="1"/>
  <c r="E74" i="14"/>
  <c r="N74" i="14" s="1"/>
  <c r="O74" i="14" s="1"/>
  <c r="C73" i="14"/>
  <c r="C72" i="14"/>
  <c r="E71" i="14"/>
  <c r="N71" i="14" s="1"/>
  <c r="O71" i="14" s="1"/>
  <c r="C70" i="14"/>
  <c r="E70" i="14" s="1"/>
  <c r="N70" i="14" s="1"/>
  <c r="O70" i="14" s="1"/>
  <c r="C68" i="14"/>
  <c r="E67" i="14"/>
  <c r="N67" i="14" s="1"/>
  <c r="O67" i="14" s="1"/>
  <c r="E66" i="14"/>
  <c r="N66" i="14" s="1"/>
  <c r="O66" i="14" s="1"/>
  <c r="E65" i="14"/>
  <c r="N65" i="14" s="1"/>
  <c r="O65" i="14" s="1"/>
  <c r="E64" i="14"/>
  <c r="N64" i="14" s="1"/>
  <c r="O64" i="14" s="1"/>
  <c r="C63" i="14"/>
  <c r="E62" i="14"/>
  <c r="N62" i="14" s="1"/>
  <c r="O62" i="14" s="1"/>
  <c r="E61" i="14"/>
  <c r="N61" i="14" s="1"/>
  <c r="O61" i="14" s="1"/>
  <c r="E60" i="14"/>
  <c r="N60" i="14" s="1"/>
  <c r="O60" i="14" s="1"/>
  <c r="G59" i="14"/>
  <c r="F59" i="14"/>
  <c r="E58" i="14"/>
  <c r="N58" i="14" s="1"/>
  <c r="O58" i="14" s="1"/>
  <c r="E57" i="14"/>
  <c r="N57" i="14" s="1"/>
  <c r="O57" i="14" s="1"/>
  <c r="E56" i="14"/>
  <c r="N56" i="14" s="1"/>
  <c r="O56" i="14" s="1"/>
  <c r="E55" i="14"/>
  <c r="N55" i="14" s="1"/>
  <c r="O55" i="14" s="1"/>
  <c r="E54" i="14"/>
  <c r="N54" i="14" s="1"/>
  <c r="O54" i="14" s="1"/>
  <c r="E53" i="14"/>
  <c r="N53" i="14" s="1"/>
  <c r="O53" i="14" s="1"/>
  <c r="E52" i="14"/>
  <c r="N52" i="14" s="1"/>
  <c r="O52" i="14" s="1"/>
  <c r="E51" i="14"/>
  <c r="N51" i="14" s="1"/>
  <c r="O51" i="14" s="1"/>
  <c r="E50" i="14"/>
  <c r="N50" i="14" s="1"/>
  <c r="O50" i="14" s="1"/>
  <c r="D49" i="14"/>
  <c r="C48" i="14"/>
  <c r="C47" i="14"/>
  <c r="E46" i="14"/>
  <c r="N46" i="14" s="1"/>
  <c r="O46" i="14" s="1"/>
  <c r="E45" i="14"/>
  <c r="N45" i="14" s="1"/>
  <c r="O45" i="14" s="1"/>
  <c r="D44" i="14"/>
  <c r="C44" i="14"/>
  <c r="E43" i="14"/>
  <c r="N43" i="14" s="1"/>
  <c r="O43" i="14" s="1"/>
  <c r="E42" i="14"/>
  <c r="N42" i="14" s="1"/>
  <c r="O42" i="14" s="1"/>
  <c r="E41" i="14"/>
  <c r="N41" i="14" s="1"/>
  <c r="O41" i="14" s="1"/>
  <c r="I40" i="14"/>
  <c r="C40" i="14"/>
  <c r="C39" i="14"/>
  <c r="E39" i="14" s="1"/>
  <c r="N39" i="14" s="1"/>
  <c r="O39" i="14" s="1"/>
  <c r="E38" i="14"/>
  <c r="N38" i="14" s="1"/>
  <c r="O38" i="14" s="1"/>
  <c r="E37" i="14"/>
  <c r="N37" i="14" s="1"/>
  <c r="O37" i="14" s="1"/>
  <c r="E36" i="14"/>
  <c r="N36" i="14" s="1"/>
  <c r="O36" i="14" s="1"/>
  <c r="E35" i="14"/>
  <c r="N35" i="14" s="1"/>
  <c r="O35" i="14" s="1"/>
  <c r="I34" i="14"/>
  <c r="E34" i="14"/>
  <c r="N34" i="14" s="1"/>
  <c r="O34" i="14" s="1"/>
  <c r="E33" i="14"/>
  <c r="N33" i="14" s="1"/>
  <c r="O33" i="14" s="1"/>
  <c r="C32" i="14"/>
  <c r="E31" i="14"/>
  <c r="N31" i="14" s="1"/>
  <c r="O31" i="14" s="1"/>
  <c r="H30" i="14"/>
  <c r="H59" i="14" s="1"/>
  <c r="E30" i="14"/>
  <c r="N30" i="14" s="1"/>
  <c r="O30" i="14" s="1"/>
  <c r="E29" i="14"/>
  <c r="N29" i="14" s="1"/>
  <c r="O29" i="14" s="1"/>
  <c r="E28" i="14"/>
  <c r="N28" i="14" s="1"/>
  <c r="O28" i="14" s="1"/>
  <c r="E27" i="14"/>
  <c r="N27" i="14" s="1"/>
  <c r="I26" i="14"/>
  <c r="H26" i="14"/>
  <c r="G26" i="14"/>
  <c r="F26" i="14"/>
  <c r="D26" i="14"/>
  <c r="E25" i="14"/>
  <c r="N25" i="14" s="1"/>
  <c r="O25" i="14" s="1"/>
  <c r="C24" i="14"/>
  <c r="C23" i="14"/>
  <c r="C22" i="14"/>
  <c r="C21" i="14"/>
  <c r="E20" i="14"/>
  <c r="N20" i="14" s="1"/>
  <c r="O20" i="14" s="1"/>
  <c r="E19" i="14"/>
  <c r="N19" i="14" s="1"/>
  <c r="O19" i="14" s="1"/>
  <c r="E18" i="14"/>
  <c r="C17" i="14"/>
  <c r="C16" i="14"/>
  <c r="E16" i="14" s="1"/>
  <c r="N16" i="14" s="1"/>
  <c r="O16" i="14" s="1"/>
  <c r="C15" i="14"/>
  <c r="C14" i="14"/>
  <c r="E13" i="14"/>
  <c r="N13" i="14" s="1"/>
  <c r="O13" i="14" s="1"/>
  <c r="E12" i="14"/>
  <c r="N12" i="14" s="1"/>
  <c r="O12" i="14" s="1"/>
  <c r="C11" i="14"/>
  <c r="E11" i="14" s="1"/>
  <c r="N11" i="14" s="1"/>
  <c r="O11" i="14" s="1"/>
  <c r="C10" i="14"/>
  <c r="E10" i="14" s="1"/>
  <c r="N10" i="14" s="1"/>
  <c r="O10" i="14" s="1"/>
  <c r="E9" i="14"/>
  <c r="N9" i="14" s="1"/>
  <c r="O9" i="14" s="1"/>
  <c r="C8" i="14"/>
  <c r="S122" i="18" l="1"/>
  <c r="X27" i="18"/>
  <c r="S103" i="18"/>
  <c r="P128" i="18"/>
  <c r="S124" i="18"/>
  <c r="S125" i="18" s="1"/>
  <c r="P122" i="18"/>
  <c r="S50" i="18"/>
  <c r="Y85" i="18"/>
  <c r="AH85" i="18" s="1"/>
  <c r="Y98" i="18"/>
  <c r="AH98" i="18" s="1"/>
  <c r="X61" i="18"/>
  <c r="P45" i="18"/>
  <c r="S45" i="18" s="1"/>
  <c r="S61" i="18" s="1"/>
  <c r="X103" i="18"/>
  <c r="Y44" i="18"/>
  <c r="AH44" i="18" s="1"/>
  <c r="Y67" i="18"/>
  <c r="AH67" i="18" s="1"/>
  <c r="Y86" i="18"/>
  <c r="AH86" i="18" s="1"/>
  <c r="Y81" i="18"/>
  <c r="AH81" i="18" s="1"/>
  <c r="Y89" i="18"/>
  <c r="AH89" i="18" s="1"/>
  <c r="P27" i="18"/>
  <c r="O61" i="18"/>
  <c r="O134" i="18" s="1"/>
  <c r="J134" i="18"/>
  <c r="Y65" i="18"/>
  <c r="Y82" i="18"/>
  <c r="AH82" i="18" s="1"/>
  <c r="Y95" i="18"/>
  <c r="AH95" i="18" s="1"/>
  <c r="Y46" i="18"/>
  <c r="AH46" i="18" s="1"/>
  <c r="S27" i="18"/>
  <c r="Y131" i="18"/>
  <c r="AH131" i="18"/>
  <c r="Y106" i="18"/>
  <c r="AH106" i="18" s="1"/>
  <c r="X108" i="18"/>
  <c r="AF103" i="18"/>
  <c r="Y110" i="18"/>
  <c r="AH110" i="18" s="1"/>
  <c r="X122" i="18"/>
  <c r="AF131" i="18"/>
  <c r="Y124" i="18"/>
  <c r="AH124" i="18" s="1"/>
  <c r="AH125" i="18" s="1"/>
  <c r="AF125" i="18"/>
  <c r="P106" i="18"/>
  <c r="Y27" i="18"/>
  <c r="Y103" i="18"/>
  <c r="AF27" i="18"/>
  <c r="AH27" i="18"/>
  <c r="Q32" i="17"/>
  <c r="E34" i="17"/>
  <c r="O34" i="17"/>
  <c r="K34" i="17"/>
  <c r="F34" i="17"/>
  <c r="P34" i="17"/>
  <c r="L34" i="17"/>
  <c r="H34" i="17"/>
  <c r="M34" i="17"/>
  <c r="I34" i="17"/>
  <c r="N34" i="17"/>
  <c r="J34" i="17"/>
  <c r="W118" i="14"/>
  <c r="W104" i="14"/>
  <c r="S130" i="14"/>
  <c r="U130" i="14"/>
  <c r="W26" i="14"/>
  <c r="V99" i="14"/>
  <c r="P130" i="14"/>
  <c r="W30" i="14"/>
  <c r="Q130" i="14"/>
  <c r="W34" i="14"/>
  <c r="W124" i="14"/>
  <c r="W127" i="14"/>
  <c r="W76" i="14"/>
  <c r="V104" i="14"/>
  <c r="V118" i="14"/>
  <c r="V121" i="14"/>
  <c r="W121" i="14" s="1"/>
  <c r="V124" i="14"/>
  <c r="V127" i="14"/>
  <c r="W60" i="14"/>
  <c r="W99" i="14" s="1"/>
  <c r="P104" i="15"/>
  <c r="V99" i="15"/>
  <c r="F130" i="15"/>
  <c r="O33" i="15"/>
  <c r="O59" i="15" s="1"/>
  <c r="D130" i="15"/>
  <c r="G130" i="15"/>
  <c r="K130" i="15"/>
  <c r="M130" i="15"/>
  <c r="I59" i="15"/>
  <c r="E43" i="15"/>
  <c r="N43" i="15" s="1"/>
  <c r="O43" i="15" s="1"/>
  <c r="H103" i="15"/>
  <c r="H104" i="15" s="1"/>
  <c r="J130" i="15"/>
  <c r="E127" i="15"/>
  <c r="P121" i="15"/>
  <c r="W29" i="15"/>
  <c r="V59" i="15"/>
  <c r="Q59" i="15"/>
  <c r="Q130" i="15" s="1"/>
  <c r="W33" i="15"/>
  <c r="W127" i="15"/>
  <c r="W76" i="15"/>
  <c r="W99" i="15" s="1"/>
  <c r="V104" i="15"/>
  <c r="V118" i="15"/>
  <c r="V121" i="15"/>
  <c r="W121" i="15" s="1"/>
  <c r="W124" i="15" s="1"/>
  <c r="V124" i="15"/>
  <c r="V127" i="15"/>
  <c r="W60" i="15"/>
  <c r="N25" i="15"/>
  <c r="O7" i="15"/>
  <c r="O25" i="15" s="1"/>
  <c r="C25" i="15"/>
  <c r="I130" i="15"/>
  <c r="O99" i="15"/>
  <c r="E102" i="15"/>
  <c r="N102" i="15" s="1"/>
  <c r="O102" i="15" s="1"/>
  <c r="O124" i="15"/>
  <c r="N121" i="15"/>
  <c r="O121" i="15" s="1"/>
  <c r="N124" i="15"/>
  <c r="L130" i="15"/>
  <c r="C59" i="15"/>
  <c r="E59" i="15" s="1"/>
  <c r="C99" i="15"/>
  <c r="E63" i="15"/>
  <c r="E104" i="15"/>
  <c r="N100" i="15"/>
  <c r="C118" i="15"/>
  <c r="E118" i="15" s="1"/>
  <c r="N127" i="15"/>
  <c r="E106" i="15"/>
  <c r="N106" i="15" s="1"/>
  <c r="O27" i="14"/>
  <c r="O125" i="14"/>
  <c r="O127" i="14" s="1"/>
  <c r="N127" i="14"/>
  <c r="O100" i="14"/>
  <c r="N104" i="14"/>
  <c r="N121" i="14"/>
  <c r="H103" i="14"/>
  <c r="H104" i="14" s="1"/>
  <c r="N103" i="14"/>
  <c r="O103" i="14" s="1"/>
  <c r="O119" i="14"/>
  <c r="E14" i="14"/>
  <c r="N14" i="14" s="1"/>
  <c r="O14" i="14" s="1"/>
  <c r="D118" i="14"/>
  <c r="E111" i="14"/>
  <c r="N111" i="14" s="1"/>
  <c r="O111" i="14" s="1"/>
  <c r="E15" i="14"/>
  <c r="N15" i="14" s="1"/>
  <c r="O15" i="14" s="1"/>
  <c r="E17" i="14"/>
  <c r="N17" i="14" s="1"/>
  <c r="O17" i="14" s="1"/>
  <c r="E63" i="14"/>
  <c r="N63" i="14" s="1"/>
  <c r="O63" i="14" s="1"/>
  <c r="O99" i="14" s="1"/>
  <c r="E68" i="14"/>
  <c r="N68" i="14" s="1"/>
  <c r="O68" i="14" s="1"/>
  <c r="E127" i="14"/>
  <c r="E40" i="14"/>
  <c r="N40" i="14" s="1"/>
  <c r="O40" i="14" s="1"/>
  <c r="D59" i="14"/>
  <c r="D130" i="14" s="1"/>
  <c r="H119" i="14"/>
  <c r="H120" i="14"/>
  <c r="G130" i="14"/>
  <c r="E21" i="14"/>
  <c r="N21" i="14" s="1"/>
  <c r="O21" i="14" s="1"/>
  <c r="E23" i="14"/>
  <c r="N23" i="14" s="1"/>
  <c r="O23" i="14" s="1"/>
  <c r="C59" i="14"/>
  <c r="E32" i="14"/>
  <c r="N32" i="14" s="1"/>
  <c r="O32" i="14" s="1"/>
  <c r="I59" i="14"/>
  <c r="E48" i="14"/>
  <c r="N48" i="14" s="1"/>
  <c r="O48" i="14" s="1"/>
  <c r="E73" i="14"/>
  <c r="N73" i="14" s="1"/>
  <c r="O73" i="14" s="1"/>
  <c r="I99" i="14"/>
  <c r="C26" i="14"/>
  <c r="E8" i="14"/>
  <c r="E22" i="14"/>
  <c r="N22" i="14" s="1"/>
  <c r="O22" i="14" s="1"/>
  <c r="E24" i="14"/>
  <c r="N24" i="14" s="1"/>
  <c r="O24" i="14" s="1"/>
  <c r="F130" i="14"/>
  <c r="E47" i="14"/>
  <c r="N47" i="14" s="1"/>
  <c r="O47" i="14" s="1"/>
  <c r="E49" i="14"/>
  <c r="N49" i="14" s="1"/>
  <c r="O49" i="14" s="1"/>
  <c r="E72" i="14"/>
  <c r="N72" i="14" s="1"/>
  <c r="O72" i="14" s="1"/>
  <c r="E81" i="14"/>
  <c r="N81" i="14" s="1"/>
  <c r="O81" i="14" s="1"/>
  <c r="E116" i="14"/>
  <c r="N116" i="14" s="1"/>
  <c r="O116" i="14" s="1"/>
  <c r="E44" i="14"/>
  <c r="N44" i="14" s="1"/>
  <c r="O44" i="14" s="1"/>
  <c r="C99" i="14"/>
  <c r="E90" i="14"/>
  <c r="N90" i="14" s="1"/>
  <c r="O90" i="14" s="1"/>
  <c r="E102" i="14"/>
  <c r="N102" i="14" s="1"/>
  <c r="O102" i="14" s="1"/>
  <c r="C118" i="14"/>
  <c r="E118" i="14" s="1"/>
  <c r="E107" i="14"/>
  <c r="N107" i="14" s="1"/>
  <c r="O107" i="14" s="1"/>
  <c r="E113" i="14"/>
  <c r="N113" i="14" s="1"/>
  <c r="O113" i="14" s="1"/>
  <c r="E106" i="14"/>
  <c r="N106" i="14" s="1"/>
  <c r="X126" i="12"/>
  <c r="X125" i="12"/>
  <c r="X123" i="12"/>
  <c r="X122" i="12"/>
  <c r="X120" i="12"/>
  <c r="X119" i="12"/>
  <c r="X117" i="12"/>
  <c r="X116" i="12"/>
  <c r="X115" i="12"/>
  <c r="X114" i="12"/>
  <c r="X113" i="12"/>
  <c r="X112" i="12"/>
  <c r="X111" i="12"/>
  <c r="X110" i="12"/>
  <c r="X109" i="12"/>
  <c r="X108" i="12"/>
  <c r="X107" i="12"/>
  <c r="X106" i="12"/>
  <c r="X105" i="12"/>
  <c r="X103" i="12"/>
  <c r="X101" i="12"/>
  <c r="X100" i="12"/>
  <c r="X97" i="12"/>
  <c r="X96" i="12"/>
  <c r="X95" i="12"/>
  <c r="X94" i="12"/>
  <c r="X93" i="12"/>
  <c r="X91" i="12"/>
  <c r="X90" i="12"/>
  <c r="X89" i="12"/>
  <c r="X88" i="12"/>
  <c r="X87" i="12"/>
  <c r="X86" i="12"/>
  <c r="X85" i="12"/>
  <c r="X84" i="12"/>
  <c r="X83" i="12"/>
  <c r="X82" i="12"/>
  <c r="X81" i="12"/>
  <c r="X80" i="12"/>
  <c r="X79" i="12"/>
  <c r="X78" i="12"/>
  <c r="X77" i="12"/>
  <c r="X76" i="12"/>
  <c r="X75" i="12"/>
  <c r="X74" i="12"/>
  <c r="X73" i="12"/>
  <c r="X72" i="12"/>
  <c r="X70" i="12"/>
  <c r="X69" i="12"/>
  <c r="X68" i="12"/>
  <c r="X67" i="12"/>
  <c r="X66" i="12"/>
  <c r="X65" i="12"/>
  <c r="X64" i="12"/>
  <c r="X63" i="12"/>
  <c r="X62" i="12"/>
  <c r="X61" i="12"/>
  <c r="X60" i="12"/>
  <c r="X58" i="12"/>
  <c r="X57" i="12"/>
  <c r="X56" i="12"/>
  <c r="X55" i="12"/>
  <c r="X54" i="12"/>
  <c r="X53" i="12"/>
  <c r="X52" i="12"/>
  <c r="X51" i="12"/>
  <c r="X50" i="12"/>
  <c r="X49" i="12"/>
  <c r="X48" i="12"/>
  <c r="X47" i="12"/>
  <c r="X45" i="12"/>
  <c r="X44" i="12"/>
  <c r="X43" i="12"/>
  <c r="X42" i="12"/>
  <c r="X41" i="12"/>
  <c r="X40" i="12"/>
  <c r="X39" i="12"/>
  <c r="X38" i="12"/>
  <c r="X37" i="12"/>
  <c r="X36" i="12"/>
  <c r="X35" i="12"/>
  <c r="X34" i="12"/>
  <c r="X33" i="12"/>
  <c r="X32" i="12"/>
  <c r="X29" i="12"/>
  <c r="X28" i="12"/>
  <c r="X27" i="12"/>
  <c r="X26" i="12"/>
  <c r="X24" i="12"/>
  <c r="X23" i="12"/>
  <c r="X22" i="12"/>
  <c r="X21" i="12"/>
  <c r="X20" i="12"/>
  <c r="X19" i="12"/>
  <c r="X18" i="12"/>
  <c r="X17" i="12"/>
  <c r="X16" i="12"/>
  <c r="X15" i="12"/>
  <c r="X14" i="12"/>
  <c r="X13" i="12"/>
  <c r="X12" i="12"/>
  <c r="X11" i="12"/>
  <c r="X10" i="12"/>
  <c r="X9" i="12"/>
  <c r="X8" i="12"/>
  <c r="X7" i="12"/>
  <c r="W69" i="12"/>
  <c r="V69" i="12"/>
  <c r="R125" i="12"/>
  <c r="Q69" i="12"/>
  <c r="P87" i="12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S134" i="18" l="1"/>
  <c r="X134" i="18"/>
  <c r="P108" i="18"/>
  <c r="S106" i="18"/>
  <c r="S108" i="18" s="1"/>
  <c r="AH65" i="18"/>
  <c r="AH103" i="18" s="1"/>
  <c r="Y45" i="18"/>
  <c r="AH45" i="18" s="1"/>
  <c r="P61" i="18"/>
  <c r="AF122" i="18"/>
  <c r="AF108" i="18"/>
  <c r="AH122" i="18"/>
  <c r="Y122" i="18"/>
  <c r="AH108" i="18"/>
  <c r="Y108" i="18"/>
  <c r="Y125" i="18"/>
  <c r="AH128" i="18" s="1"/>
  <c r="Q34" i="17"/>
  <c r="V130" i="14"/>
  <c r="O26" i="14"/>
  <c r="W59" i="14"/>
  <c r="W130" i="14" s="1"/>
  <c r="P130" i="15"/>
  <c r="E99" i="15"/>
  <c r="N59" i="15"/>
  <c r="V130" i="15"/>
  <c r="W59" i="15"/>
  <c r="W104" i="15"/>
  <c r="W118" i="15" s="1"/>
  <c r="N99" i="15"/>
  <c r="O59" i="14"/>
  <c r="O104" i="14"/>
  <c r="C130" i="15"/>
  <c r="E25" i="15"/>
  <c r="O106" i="15"/>
  <c r="N118" i="15"/>
  <c r="O100" i="15"/>
  <c r="N104" i="15"/>
  <c r="N130" i="15" s="1"/>
  <c r="N59" i="14"/>
  <c r="O106" i="14"/>
  <c r="O118" i="14" s="1"/>
  <c r="N118" i="14"/>
  <c r="N26" i="14"/>
  <c r="N99" i="14"/>
  <c r="E59" i="14"/>
  <c r="H121" i="14"/>
  <c r="E99" i="14"/>
  <c r="E104" i="14"/>
  <c r="C130" i="14"/>
  <c r="E26" i="14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Q15" i="13"/>
  <c r="Q16" i="13" s="1"/>
  <c r="P15" i="13"/>
  <c r="E14" i="13"/>
  <c r="Q14" i="13" s="1"/>
  <c r="P134" i="18" l="1"/>
  <c r="AF61" i="18"/>
  <c r="AF134" i="18" s="1"/>
  <c r="AH61" i="18"/>
  <c r="AH134" i="18" s="1"/>
  <c r="Y61" i="18"/>
  <c r="Y128" i="18"/>
  <c r="E130" i="15"/>
  <c r="W130" i="15"/>
  <c r="O104" i="15"/>
  <c r="O118" i="15" s="1"/>
  <c r="N130" i="14"/>
  <c r="H130" i="14"/>
  <c r="O121" i="14"/>
  <c r="O124" i="14" s="1"/>
  <c r="E130" i="14"/>
  <c r="M40" i="13"/>
  <c r="N30" i="13"/>
  <c r="L30" i="13"/>
  <c r="J30" i="13"/>
  <c r="H30" i="13"/>
  <c r="O30" i="13"/>
  <c r="M30" i="13"/>
  <c r="K30" i="13"/>
  <c r="I30" i="13"/>
  <c r="E30" i="13"/>
  <c r="G26" i="13"/>
  <c r="E26" i="13"/>
  <c r="Q26" i="13" s="1"/>
  <c r="E25" i="13"/>
  <c r="Q25" i="13" s="1"/>
  <c r="E24" i="13"/>
  <c r="Q24" i="13" s="1"/>
  <c r="E23" i="13"/>
  <c r="Q23" i="13" s="1"/>
  <c r="G22" i="13"/>
  <c r="E22" i="13"/>
  <c r="Q22" i="13" s="1"/>
  <c r="Q21" i="13"/>
  <c r="E21" i="13"/>
  <c r="Q20" i="13"/>
  <c r="E20" i="13"/>
  <c r="Q19" i="13"/>
  <c r="E19" i="13"/>
  <c r="Q18" i="13"/>
  <c r="E18" i="13"/>
  <c r="Q17" i="13"/>
  <c r="E17" i="13"/>
  <c r="O13" i="13"/>
  <c r="N13" i="13"/>
  <c r="M13" i="13"/>
  <c r="L13" i="13"/>
  <c r="K13" i="13"/>
  <c r="J13" i="13"/>
  <c r="I13" i="13"/>
  <c r="H13" i="13"/>
  <c r="G13" i="13"/>
  <c r="F13" i="13"/>
  <c r="E13" i="13"/>
  <c r="P12" i="13"/>
  <c r="P13" i="13" s="1"/>
  <c r="G12" i="13"/>
  <c r="G30" i="13" s="1"/>
  <c r="Q11" i="13"/>
  <c r="E11" i="13"/>
  <c r="Y134" i="18" l="1"/>
  <c r="O130" i="15"/>
  <c r="O130" i="14"/>
  <c r="I130" i="14"/>
  <c r="F30" i="13"/>
  <c r="H32" i="13"/>
  <c r="F32" i="13"/>
  <c r="K32" i="13"/>
  <c r="O32" i="13"/>
  <c r="P30" i="13"/>
  <c r="Q12" i="13"/>
  <c r="J32" i="13" l="1"/>
  <c r="M32" i="13"/>
  <c r="I32" i="13"/>
  <c r="G32" i="13"/>
  <c r="E32" i="13"/>
  <c r="N32" i="13"/>
  <c r="Q30" i="13"/>
  <c r="Q13" i="13"/>
  <c r="P32" i="13"/>
  <c r="L32" i="13"/>
  <c r="Q32" i="13" l="1"/>
  <c r="W125" i="12" l="1"/>
  <c r="W127" i="12"/>
  <c r="W46" i="12"/>
  <c r="X46" i="12" s="1"/>
  <c r="E46" i="12"/>
  <c r="J46" i="12"/>
  <c r="Q46" i="12" s="1"/>
  <c r="V46" i="12"/>
  <c r="P83" i="12" l="1"/>
  <c r="W83" i="12" s="1"/>
  <c r="U130" i="12"/>
  <c r="T130" i="12"/>
  <c r="W126" i="12"/>
  <c r="W123" i="12"/>
  <c r="W122" i="12"/>
  <c r="W120" i="12"/>
  <c r="W119" i="12"/>
  <c r="W117" i="12"/>
  <c r="W116" i="12"/>
  <c r="W115" i="12"/>
  <c r="W114" i="12"/>
  <c r="W113" i="12"/>
  <c r="W112" i="12"/>
  <c r="W111" i="12"/>
  <c r="W110" i="12"/>
  <c r="W109" i="12"/>
  <c r="W108" i="12"/>
  <c r="W107" i="12"/>
  <c r="W106" i="12"/>
  <c r="W105" i="12"/>
  <c r="W103" i="12"/>
  <c r="W102" i="12"/>
  <c r="X102" i="12" s="1"/>
  <c r="W101" i="12"/>
  <c r="W100" i="12"/>
  <c r="W98" i="12"/>
  <c r="X98" i="12" s="1"/>
  <c r="W97" i="12"/>
  <c r="W96" i="12"/>
  <c r="W95" i="12"/>
  <c r="W94" i="12"/>
  <c r="W93" i="12"/>
  <c r="W92" i="12"/>
  <c r="X92" i="12" s="1"/>
  <c r="W91" i="12"/>
  <c r="W90" i="12"/>
  <c r="W89" i="12"/>
  <c r="W88" i="12"/>
  <c r="W87" i="12"/>
  <c r="W86" i="12"/>
  <c r="W85" i="12"/>
  <c r="W84" i="12"/>
  <c r="W82" i="12"/>
  <c r="W81" i="12"/>
  <c r="W80" i="12"/>
  <c r="W79" i="12"/>
  <c r="W78" i="12"/>
  <c r="W77" i="12"/>
  <c r="W76" i="12"/>
  <c r="W75" i="12"/>
  <c r="W74" i="12"/>
  <c r="W73" i="12"/>
  <c r="W72" i="12"/>
  <c r="W71" i="12"/>
  <c r="X71" i="12" s="1"/>
  <c r="W70" i="12"/>
  <c r="W68" i="12"/>
  <c r="W67" i="12"/>
  <c r="W66" i="12"/>
  <c r="W65" i="12"/>
  <c r="W64" i="12"/>
  <c r="W63" i="12"/>
  <c r="W62" i="12"/>
  <c r="W61" i="12"/>
  <c r="W60" i="12"/>
  <c r="W58" i="12"/>
  <c r="W57" i="12"/>
  <c r="W56" i="12"/>
  <c r="W55" i="12"/>
  <c r="W54" i="12"/>
  <c r="W53" i="12"/>
  <c r="W52" i="12"/>
  <c r="W51" i="12"/>
  <c r="W50" i="12"/>
  <c r="W49" i="12"/>
  <c r="W48" i="12"/>
  <c r="W47" i="12"/>
  <c r="W45" i="12"/>
  <c r="W44" i="12"/>
  <c r="W43" i="12"/>
  <c r="W42" i="12"/>
  <c r="W41" i="12"/>
  <c r="W40" i="12"/>
  <c r="W39" i="12"/>
  <c r="W38" i="12"/>
  <c r="W37" i="12"/>
  <c r="W36" i="12"/>
  <c r="W35" i="12"/>
  <c r="W34" i="12"/>
  <c r="W33" i="12"/>
  <c r="W32" i="12"/>
  <c r="W31" i="12"/>
  <c r="X31" i="12" s="1"/>
  <c r="W30" i="12"/>
  <c r="X30" i="12" s="1"/>
  <c r="W29" i="12"/>
  <c r="W28" i="12"/>
  <c r="W27" i="12"/>
  <c r="W26" i="12"/>
  <c r="W24" i="12"/>
  <c r="W23" i="12"/>
  <c r="W22" i="12"/>
  <c r="W21" i="12"/>
  <c r="W20" i="12"/>
  <c r="W19" i="12"/>
  <c r="W18" i="12"/>
  <c r="W17" i="12"/>
  <c r="W16" i="12"/>
  <c r="W15" i="12"/>
  <c r="W14" i="12"/>
  <c r="W13" i="12"/>
  <c r="W12" i="12"/>
  <c r="W11" i="12"/>
  <c r="W10" i="12"/>
  <c r="W9" i="12"/>
  <c r="W8" i="12"/>
  <c r="W7" i="12"/>
  <c r="Q126" i="12"/>
  <c r="Q125" i="12"/>
  <c r="Q123" i="12"/>
  <c r="Q122" i="12"/>
  <c r="Q124" i="12" s="1"/>
  <c r="Q120" i="12"/>
  <c r="Q119" i="12"/>
  <c r="Q117" i="12"/>
  <c r="Q116" i="12"/>
  <c r="Q115" i="12"/>
  <c r="Q114" i="12"/>
  <c r="Q113" i="12"/>
  <c r="Q112" i="12"/>
  <c r="Q111" i="12"/>
  <c r="Q110" i="12"/>
  <c r="Q109" i="12"/>
  <c r="Q108" i="12"/>
  <c r="Q107" i="12"/>
  <c r="Q106" i="12"/>
  <c r="Q105" i="12"/>
  <c r="Q103" i="12"/>
  <c r="Q101" i="12"/>
  <c r="Q100" i="12"/>
  <c r="Q98" i="12"/>
  <c r="P127" i="12"/>
  <c r="P124" i="12"/>
  <c r="P121" i="12"/>
  <c r="P118" i="12"/>
  <c r="P104" i="12"/>
  <c r="P59" i="12"/>
  <c r="U121" i="12"/>
  <c r="T121" i="12"/>
  <c r="S121" i="12"/>
  <c r="R121" i="12"/>
  <c r="Q121" i="12"/>
  <c r="O121" i="12"/>
  <c r="N121" i="12"/>
  <c r="M121" i="12"/>
  <c r="L121" i="12"/>
  <c r="K121" i="12"/>
  <c r="U124" i="12"/>
  <c r="T124" i="12"/>
  <c r="S124" i="12"/>
  <c r="R124" i="12"/>
  <c r="O124" i="12"/>
  <c r="N124" i="12"/>
  <c r="M124" i="12"/>
  <c r="L124" i="12"/>
  <c r="K124" i="12"/>
  <c r="U127" i="12"/>
  <c r="T127" i="12"/>
  <c r="S127" i="12"/>
  <c r="R127" i="12"/>
  <c r="Q127" i="12"/>
  <c r="O127" i="12"/>
  <c r="N127" i="12"/>
  <c r="M127" i="12"/>
  <c r="L127" i="12"/>
  <c r="U118" i="12"/>
  <c r="T118" i="12"/>
  <c r="S118" i="12"/>
  <c r="R118" i="12"/>
  <c r="O118" i="12"/>
  <c r="N118" i="12"/>
  <c r="M118" i="12"/>
  <c r="U104" i="12"/>
  <c r="T104" i="12"/>
  <c r="S104" i="12"/>
  <c r="R104" i="12"/>
  <c r="O104" i="12"/>
  <c r="U99" i="12"/>
  <c r="T99" i="12"/>
  <c r="S99" i="12"/>
  <c r="R99" i="12"/>
  <c r="O99" i="12"/>
  <c r="U25" i="12"/>
  <c r="T25" i="12"/>
  <c r="S25" i="12"/>
  <c r="R25" i="12"/>
  <c r="U59" i="12"/>
  <c r="T59" i="12"/>
  <c r="S59" i="12"/>
  <c r="R59" i="12"/>
  <c r="O59" i="12"/>
  <c r="O130" i="12" s="1"/>
  <c r="Q7" i="12"/>
  <c r="P25" i="12"/>
  <c r="K127" i="12"/>
  <c r="I127" i="12"/>
  <c r="H127" i="12"/>
  <c r="G127" i="12"/>
  <c r="F127" i="12"/>
  <c r="D127" i="12"/>
  <c r="C127" i="12"/>
  <c r="E127" i="12" s="1"/>
  <c r="V126" i="12"/>
  <c r="E126" i="12"/>
  <c r="J126" i="12" s="1"/>
  <c r="V125" i="12"/>
  <c r="J125" i="12"/>
  <c r="E125" i="12"/>
  <c r="H124" i="12"/>
  <c r="E124" i="12"/>
  <c r="I124" i="12" s="1"/>
  <c r="D124" i="12"/>
  <c r="V123" i="12"/>
  <c r="E123" i="12"/>
  <c r="J123" i="12" s="1"/>
  <c r="V122" i="12"/>
  <c r="E122" i="12"/>
  <c r="J122" i="12" s="1"/>
  <c r="D121" i="12"/>
  <c r="E121" i="12" s="1"/>
  <c r="V120" i="12"/>
  <c r="E120" i="12"/>
  <c r="J120" i="12" s="1"/>
  <c r="V119" i="12"/>
  <c r="E119" i="12"/>
  <c r="J119" i="12" s="1"/>
  <c r="L118" i="12"/>
  <c r="K118" i="12"/>
  <c r="H118" i="12"/>
  <c r="G118" i="12"/>
  <c r="F118" i="12"/>
  <c r="V117" i="12"/>
  <c r="E117" i="12"/>
  <c r="J117" i="12" s="1"/>
  <c r="C116" i="12"/>
  <c r="V115" i="12"/>
  <c r="E115" i="12"/>
  <c r="J115" i="12" s="1"/>
  <c r="V114" i="12"/>
  <c r="E114" i="12"/>
  <c r="J114" i="12" s="1"/>
  <c r="C113" i="12"/>
  <c r="V112" i="12"/>
  <c r="J112" i="12"/>
  <c r="E112" i="12"/>
  <c r="E111" i="12"/>
  <c r="J111" i="12" s="1"/>
  <c r="D111" i="12"/>
  <c r="V111" i="12" s="1"/>
  <c r="V110" i="12"/>
  <c r="E110" i="12"/>
  <c r="J110" i="12" s="1"/>
  <c r="V109" i="12"/>
  <c r="E109" i="12"/>
  <c r="J109" i="12" s="1"/>
  <c r="V108" i="12"/>
  <c r="E108" i="12"/>
  <c r="J108" i="12" s="1"/>
  <c r="C107" i="12"/>
  <c r="D106" i="12"/>
  <c r="D118" i="12" s="1"/>
  <c r="C106" i="12"/>
  <c r="V105" i="12"/>
  <c r="E105" i="12"/>
  <c r="J105" i="12" s="1"/>
  <c r="N104" i="12"/>
  <c r="M104" i="12"/>
  <c r="L104" i="12"/>
  <c r="K104" i="12"/>
  <c r="I104" i="12"/>
  <c r="V103" i="12"/>
  <c r="H103" i="12"/>
  <c r="H104" i="12" s="1"/>
  <c r="E103" i="12"/>
  <c r="J103" i="12" s="1"/>
  <c r="D102" i="12"/>
  <c r="D104" i="12" s="1"/>
  <c r="C102" i="12"/>
  <c r="C104" i="12" s="1"/>
  <c r="V101" i="12"/>
  <c r="J101" i="12"/>
  <c r="E101" i="12"/>
  <c r="V100" i="12"/>
  <c r="E100" i="12"/>
  <c r="N99" i="12"/>
  <c r="M99" i="12"/>
  <c r="L99" i="12"/>
  <c r="K99" i="12"/>
  <c r="H99" i="12"/>
  <c r="G99" i="12"/>
  <c r="F99" i="12"/>
  <c r="D99" i="12"/>
  <c r="C98" i="12"/>
  <c r="E98" i="12" s="1"/>
  <c r="J98" i="12" s="1"/>
  <c r="V97" i="12"/>
  <c r="E97" i="12"/>
  <c r="J97" i="12" s="1"/>
  <c r="Q97" i="12" s="1"/>
  <c r="V96" i="12"/>
  <c r="E96" i="12"/>
  <c r="J96" i="12" s="1"/>
  <c r="Q96" i="12" s="1"/>
  <c r="V95" i="12"/>
  <c r="E95" i="12"/>
  <c r="J95" i="12" s="1"/>
  <c r="Q95" i="12" s="1"/>
  <c r="V94" i="12"/>
  <c r="E94" i="12"/>
  <c r="J94" i="12" s="1"/>
  <c r="Q94" i="12" s="1"/>
  <c r="V93" i="12"/>
  <c r="E93" i="12"/>
  <c r="J93" i="12" s="1"/>
  <c r="Q93" i="12" s="1"/>
  <c r="V92" i="12"/>
  <c r="J92" i="12"/>
  <c r="Q92" i="12" s="1"/>
  <c r="E92" i="12"/>
  <c r="V91" i="12"/>
  <c r="E91" i="12"/>
  <c r="J91" i="12" s="1"/>
  <c r="Q91" i="12" s="1"/>
  <c r="C90" i="12"/>
  <c r="V89" i="12"/>
  <c r="E89" i="12"/>
  <c r="J89" i="12" s="1"/>
  <c r="Q89" i="12" s="1"/>
  <c r="C88" i="12"/>
  <c r="E88" i="12" s="1"/>
  <c r="J88" i="12" s="1"/>
  <c r="Q88" i="12" s="1"/>
  <c r="V87" i="12"/>
  <c r="E87" i="12"/>
  <c r="J87" i="12" s="1"/>
  <c r="Q87" i="12" s="1"/>
  <c r="V86" i="12"/>
  <c r="E86" i="12"/>
  <c r="J86" i="12" s="1"/>
  <c r="Q86" i="12" s="1"/>
  <c r="V85" i="12"/>
  <c r="E85" i="12"/>
  <c r="J85" i="12" s="1"/>
  <c r="Q85" i="12" s="1"/>
  <c r="V84" i="12"/>
  <c r="E84" i="12"/>
  <c r="J84" i="12" s="1"/>
  <c r="Q84" i="12" s="1"/>
  <c r="V83" i="12"/>
  <c r="E83" i="12"/>
  <c r="J83" i="12" s="1"/>
  <c r="Q83" i="12" s="1"/>
  <c r="V82" i="12"/>
  <c r="J82" i="12"/>
  <c r="Q82" i="12" s="1"/>
  <c r="E82" i="12"/>
  <c r="D81" i="12"/>
  <c r="C81" i="12"/>
  <c r="V81" i="12" s="1"/>
  <c r="V80" i="12"/>
  <c r="E80" i="12"/>
  <c r="J80" i="12" s="1"/>
  <c r="Q80" i="12" s="1"/>
  <c r="V79" i="12"/>
  <c r="E79" i="12"/>
  <c r="J79" i="12" s="1"/>
  <c r="Q79" i="12" s="1"/>
  <c r="V78" i="12"/>
  <c r="E78" i="12"/>
  <c r="J78" i="12" s="1"/>
  <c r="Q78" i="12" s="1"/>
  <c r="V77" i="12"/>
  <c r="E77" i="12"/>
  <c r="J77" i="12" s="1"/>
  <c r="Q77" i="12" s="1"/>
  <c r="I76" i="12"/>
  <c r="C76" i="12"/>
  <c r="E76" i="12" s="1"/>
  <c r="V75" i="12"/>
  <c r="E75" i="12"/>
  <c r="J75" i="12" s="1"/>
  <c r="Q75" i="12" s="1"/>
  <c r="V74" i="12"/>
  <c r="E74" i="12"/>
  <c r="J74" i="12" s="1"/>
  <c r="Q74" i="12" s="1"/>
  <c r="C73" i="12"/>
  <c r="C72" i="12"/>
  <c r="V71" i="12"/>
  <c r="E71" i="12"/>
  <c r="J71" i="12" s="1"/>
  <c r="Q71" i="12" s="1"/>
  <c r="E70" i="12"/>
  <c r="J70" i="12" s="1"/>
  <c r="Q70" i="12" s="1"/>
  <c r="C70" i="12"/>
  <c r="V70" i="12" s="1"/>
  <c r="E68" i="12"/>
  <c r="J68" i="12" s="1"/>
  <c r="Q68" i="12" s="1"/>
  <c r="C68" i="12"/>
  <c r="V68" i="12" s="1"/>
  <c r="V67" i="12"/>
  <c r="E67" i="12"/>
  <c r="J67" i="12" s="1"/>
  <c r="Q67" i="12" s="1"/>
  <c r="V66" i="12"/>
  <c r="E66" i="12"/>
  <c r="J66" i="12" s="1"/>
  <c r="Q66" i="12" s="1"/>
  <c r="V65" i="12"/>
  <c r="E65" i="12"/>
  <c r="J65" i="12" s="1"/>
  <c r="Q65" i="12" s="1"/>
  <c r="V64" i="12"/>
  <c r="J64" i="12"/>
  <c r="Q64" i="12" s="1"/>
  <c r="E64" i="12"/>
  <c r="E63" i="12"/>
  <c r="J63" i="12" s="1"/>
  <c r="Q63" i="12" s="1"/>
  <c r="C63" i="12"/>
  <c r="V63" i="12" s="1"/>
  <c r="V62" i="12"/>
  <c r="E62" i="12"/>
  <c r="J62" i="12" s="1"/>
  <c r="Q62" i="12" s="1"/>
  <c r="V61" i="12"/>
  <c r="E61" i="12"/>
  <c r="J61" i="12" s="1"/>
  <c r="Q61" i="12" s="1"/>
  <c r="V60" i="12"/>
  <c r="E60" i="12"/>
  <c r="N59" i="12"/>
  <c r="M59" i="12"/>
  <c r="L59" i="12"/>
  <c r="K59" i="12"/>
  <c r="G59" i="12"/>
  <c r="F59" i="12"/>
  <c r="V58" i="12"/>
  <c r="E58" i="12"/>
  <c r="J58" i="12" s="1"/>
  <c r="Q58" i="12" s="1"/>
  <c r="V57" i="12"/>
  <c r="E57" i="12"/>
  <c r="J57" i="12" s="1"/>
  <c r="Q57" i="12" s="1"/>
  <c r="V56" i="12"/>
  <c r="E56" i="12"/>
  <c r="J56" i="12" s="1"/>
  <c r="Q56" i="12" s="1"/>
  <c r="V55" i="12"/>
  <c r="E55" i="12"/>
  <c r="J55" i="12" s="1"/>
  <c r="Q55" i="12" s="1"/>
  <c r="V54" i="12"/>
  <c r="E54" i="12"/>
  <c r="J54" i="12" s="1"/>
  <c r="Q54" i="12" s="1"/>
  <c r="V53" i="12"/>
  <c r="E53" i="12"/>
  <c r="J53" i="12" s="1"/>
  <c r="Q53" i="12" s="1"/>
  <c r="V52" i="12"/>
  <c r="E52" i="12"/>
  <c r="J52" i="12" s="1"/>
  <c r="Q52" i="12" s="1"/>
  <c r="V51" i="12"/>
  <c r="E51" i="12"/>
  <c r="J51" i="12" s="1"/>
  <c r="Q51" i="12" s="1"/>
  <c r="V50" i="12"/>
  <c r="E50" i="12"/>
  <c r="J50" i="12" s="1"/>
  <c r="Q50" i="12" s="1"/>
  <c r="D49" i="12"/>
  <c r="C48" i="12"/>
  <c r="C47" i="12"/>
  <c r="V45" i="12"/>
  <c r="E45" i="12"/>
  <c r="J45" i="12" s="1"/>
  <c r="Q45" i="12" s="1"/>
  <c r="V44" i="12"/>
  <c r="E44" i="12"/>
  <c r="J44" i="12" s="1"/>
  <c r="Q44" i="12" s="1"/>
  <c r="D43" i="12"/>
  <c r="C43" i="12"/>
  <c r="V42" i="12"/>
  <c r="E42" i="12"/>
  <c r="J42" i="12" s="1"/>
  <c r="Q42" i="12" s="1"/>
  <c r="V41" i="12"/>
  <c r="E41" i="12"/>
  <c r="J41" i="12" s="1"/>
  <c r="Q41" i="12" s="1"/>
  <c r="V40" i="12"/>
  <c r="E40" i="12"/>
  <c r="J40" i="12" s="1"/>
  <c r="Q40" i="12" s="1"/>
  <c r="I39" i="12"/>
  <c r="C39" i="12"/>
  <c r="V39" i="12" s="1"/>
  <c r="C38" i="12"/>
  <c r="E38" i="12" s="1"/>
  <c r="J38" i="12" s="1"/>
  <c r="Q38" i="12" s="1"/>
  <c r="V37" i="12"/>
  <c r="E37" i="12"/>
  <c r="J37" i="12" s="1"/>
  <c r="Q37" i="12" s="1"/>
  <c r="V36" i="12"/>
  <c r="E36" i="12"/>
  <c r="J36" i="12" s="1"/>
  <c r="Q36" i="12" s="1"/>
  <c r="V35" i="12"/>
  <c r="E35" i="12"/>
  <c r="J35" i="12" s="1"/>
  <c r="Q35" i="12" s="1"/>
  <c r="V34" i="12"/>
  <c r="E34" i="12"/>
  <c r="J34" i="12" s="1"/>
  <c r="Q34" i="12" s="1"/>
  <c r="V33" i="12"/>
  <c r="I33" i="12"/>
  <c r="E33" i="12"/>
  <c r="V32" i="12"/>
  <c r="E32" i="12"/>
  <c r="J32" i="12" s="1"/>
  <c r="Q32" i="12" s="1"/>
  <c r="C31" i="12"/>
  <c r="V30" i="12"/>
  <c r="E30" i="12"/>
  <c r="J30" i="12" s="1"/>
  <c r="Q30" i="12" s="1"/>
  <c r="V29" i="12"/>
  <c r="H29" i="12"/>
  <c r="H59" i="12" s="1"/>
  <c r="E29" i="12"/>
  <c r="J29" i="12" s="1"/>
  <c r="Q29" i="12" s="1"/>
  <c r="V28" i="12"/>
  <c r="E28" i="12"/>
  <c r="J28" i="12" s="1"/>
  <c r="Q28" i="12" s="1"/>
  <c r="V27" i="12"/>
  <c r="E27" i="12"/>
  <c r="J27" i="12" s="1"/>
  <c r="Q27" i="12" s="1"/>
  <c r="V26" i="12"/>
  <c r="E26" i="12"/>
  <c r="J26" i="12" s="1"/>
  <c r="Q26" i="12" s="1"/>
  <c r="N25" i="12"/>
  <c r="M25" i="12"/>
  <c r="L25" i="12"/>
  <c r="K25" i="12"/>
  <c r="I25" i="12"/>
  <c r="H25" i="12"/>
  <c r="G25" i="12"/>
  <c r="F25" i="12"/>
  <c r="D25" i="12"/>
  <c r="V24" i="12"/>
  <c r="E24" i="12"/>
  <c r="J24" i="12" s="1"/>
  <c r="Q24" i="12" s="1"/>
  <c r="C23" i="12"/>
  <c r="C22" i="12"/>
  <c r="C21" i="12"/>
  <c r="C20" i="12"/>
  <c r="V19" i="12"/>
  <c r="E19" i="12"/>
  <c r="J19" i="12" s="1"/>
  <c r="Q19" i="12" s="1"/>
  <c r="V18" i="12"/>
  <c r="E18" i="12"/>
  <c r="J18" i="12" s="1"/>
  <c r="Q18" i="12" s="1"/>
  <c r="V17" i="12"/>
  <c r="J17" i="12"/>
  <c r="Q17" i="12" s="1"/>
  <c r="E17" i="12"/>
  <c r="E16" i="12"/>
  <c r="J16" i="12" s="1"/>
  <c r="Q16" i="12" s="1"/>
  <c r="C16" i="12"/>
  <c r="V16" i="12" s="1"/>
  <c r="E15" i="12"/>
  <c r="J15" i="12" s="1"/>
  <c r="Q15" i="12" s="1"/>
  <c r="C15" i="12"/>
  <c r="V15" i="12" s="1"/>
  <c r="E14" i="12"/>
  <c r="J14" i="12" s="1"/>
  <c r="Q14" i="12" s="1"/>
  <c r="C14" i="12"/>
  <c r="V14" i="12" s="1"/>
  <c r="E13" i="12"/>
  <c r="J13" i="12" s="1"/>
  <c r="Q13" i="12" s="1"/>
  <c r="C13" i="12"/>
  <c r="V13" i="12" s="1"/>
  <c r="V12" i="12"/>
  <c r="E12" i="12"/>
  <c r="J12" i="12" s="1"/>
  <c r="Q12" i="12" s="1"/>
  <c r="V11" i="12"/>
  <c r="E11" i="12"/>
  <c r="J11" i="12" s="1"/>
  <c r="Q11" i="12" s="1"/>
  <c r="C10" i="12"/>
  <c r="E10" i="12" s="1"/>
  <c r="J10" i="12" s="1"/>
  <c r="Q10" i="12" s="1"/>
  <c r="C9" i="12"/>
  <c r="E9" i="12" s="1"/>
  <c r="J9" i="12" s="1"/>
  <c r="Q9" i="12" s="1"/>
  <c r="V8" i="12"/>
  <c r="E8" i="12"/>
  <c r="J8" i="12" s="1"/>
  <c r="Q8" i="12" s="1"/>
  <c r="C7" i="12"/>
  <c r="C7" i="8"/>
  <c r="E7" i="8"/>
  <c r="F7" i="8" s="1"/>
  <c r="I7" i="8"/>
  <c r="U7" i="8"/>
  <c r="V7" i="8"/>
  <c r="W7" i="8" s="1"/>
  <c r="AA7" i="8"/>
  <c r="E8" i="8"/>
  <c r="F8" i="8"/>
  <c r="I8" i="8"/>
  <c r="N8" i="8"/>
  <c r="P8" i="8" s="1"/>
  <c r="U8" i="8"/>
  <c r="V8" i="8"/>
  <c r="W8" i="8"/>
  <c r="C9" i="8"/>
  <c r="I9" i="8"/>
  <c r="N9" i="8"/>
  <c r="P9" i="8" s="1"/>
  <c r="V9" i="8"/>
  <c r="C10" i="8"/>
  <c r="E10" i="8" s="1"/>
  <c r="F10" i="8"/>
  <c r="AA10" i="8" s="1"/>
  <c r="I10" i="8"/>
  <c r="N10" i="8"/>
  <c r="P10" i="8" s="1"/>
  <c r="U10" i="8"/>
  <c r="V10" i="8"/>
  <c r="W10" i="8"/>
  <c r="E11" i="8"/>
  <c r="F11" i="8" s="1"/>
  <c r="AA11" i="8" s="1"/>
  <c r="I11" i="8"/>
  <c r="N11" i="8" s="1"/>
  <c r="P11" i="8"/>
  <c r="U11" i="8"/>
  <c r="V11" i="8"/>
  <c r="E12" i="8"/>
  <c r="F12" i="8"/>
  <c r="AA12" i="8" s="1"/>
  <c r="I12" i="8"/>
  <c r="N12" i="8"/>
  <c r="P12" i="8" s="1"/>
  <c r="U12" i="8"/>
  <c r="V12" i="8"/>
  <c r="W12" i="8"/>
  <c r="C13" i="8"/>
  <c r="E13" i="8" s="1"/>
  <c r="F13" i="8"/>
  <c r="AA13" i="8" s="1"/>
  <c r="I13" i="8"/>
  <c r="N13" i="8"/>
  <c r="P13" i="8" s="1"/>
  <c r="U13" i="8"/>
  <c r="V13" i="8"/>
  <c r="W13" i="8"/>
  <c r="C14" i="8"/>
  <c r="E14" i="8" s="1"/>
  <c r="F14" i="8" s="1"/>
  <c r="AA14" i="8" s="1"/>
  <c r="I14" i="8"/>
  <c r="N14" i="8"/>
  <c r="P14" i="8" s="1"/>
  <c r="V14" i="8"/>
  <c r="C15" i="8"/>
  <c r="E15" i="8" s="1"/>
  <c r="F15" i="8"/>
  <c r="AA15" i="8" s="1"/>
  <c r="I15" i="8"/>
  <c r="N15" i="8"/>
  <c r="P15" i="8" s="1"/>
  <c r="U15" i="8"/>
  <c r="V15" i="8"/>
  <c r="W15" i="8"/>
  <c r="C16" i="8"/>
  <c r="E16" i="8" s="1"/>
  <c r="F16" i="8" s="1"/>
  <c r="AA16" i="8" s="1"/>
  <c r="I16" i="8"/>
  <c r="N16" i="8"/>
  <c r="P16" i="8" s="1"/>
  <c r="U16" i="8"/>
  <c r="V16" i="8"/>
  <c r="W16" i="8"/>
  <c r="E17" i="8"/>
  <c r="F17" i="8" s="1"/>
  <c r="I17" i="8"/>
  <c r="N17" i="8" s="1"/>
  <c r="P17" i="8" s="1"/>
  <c r="U17" i="8"/>
  <c r="V17" i="8"/>
  <c r="W17" i="8" s="1"/>
  <c r="AA17" i="8"/>
  <c r="E18" i="8"/>
  <c r="F18" i="8"/>
  <c r="AA18" i="8" s="1"/>
  <c r="I18" i="8"/>
  <c r="N18" i="8"/>
  <c r="P18" i="8" s="1"/>
  <c r="U18" i="8"/>
  <c r="V18" i="8"/>
  <c r="W18" i="8"/>
  <c r="E19" i="8"/>
  <c r="F19" i="8" s="1"/>
  <c r="AA19" i="8" s="1"/>
  <c r="I19" i="8"/>
  <c r="N19" i="8" s="1"/>
  <c r="P19" i="8"/>
  <c r="U19" i="8"/>
  <c r="V19" i="8"/>
  <c r="W19" i="8" s="1"/>
  <c r="C20" i="8"/>
  <c r="E20" i="8"/>
  <c r="F20" i="8" s="1"/>
  <c r="I20" i="8"/>
  <c r="N20" i="8" s="1"/>
  <c r="P20" i="8" s="1"/>
  <c r="U20" i="8"/>
  <c r="V20" i="8"/>
  <c r="W20" i="8" s="1"/>
  <c r="AA20" i="8"/>
  <c r="C21" i="8"/>
  <c r="E21" i="8"/>
  <c r="F21" i="8" s="1"/>
  <c r="AA21" i="8" s="1"/>
  <c r="I21" i="8"/>
  <c r="N21" i="8" s="1"/>
  <c r="P21" i="8"/>
  <c r="U21" i="8"/>
  <c r="V21" i="8"/>
  <c r="W21" i="8" s="1"/>
  <c r="C22" i="8"/>
  <c r="E22" i="8"/>
  <c r="F22" i="8" s="1"/>
  <c r="I22" i="8"/>
  <c r="N22" i="8" s="1"/>
  <c r="P22" i="8" s="1"/>
  <c r="U22" i="8"/>
  <c r="V22" i="8"/>
  <c r="W22" i="8" s="1"/>
  <c r="AA22" i="8"/>
  <c r="C23" i="8"/>
  <c r="E23" i="8"/>
  <c r="F23" i="8" s="1"/>
  <c r="AA23" i="8" s="1"/>
  <c r="I23" i="8"/>
  <c r="P23" i="8"/>
  <c r="U23" i="8"/>
  <c r="V23" i="8"/>
  <c r="W23" i="8"/>
  <c r="E24" i="8"/>
  <c r="F24" i="8" s="1"/>
  <c r="AA24" i="8" s="1"/>
  <c r="I24" i="8"/>
  <c r="N24" i="8" s="1"/>
  <c r="P24" i="8"/>
  <c r="U24" i="8"/>
  <c r="V24" i="8"/>
  <c r="W24" i="8" s="1"/>
  <c r="D25" i="8"/>
  <c r="G25" i="8"/>
  <c r="H25" i="8"/>
  <c r="J25" i="8"/>
  <c r="K25" i="8"/>
  <c r="L25" i="8"/>
  <c r="M25" i="8"/>
  <c r="O25" i="8"/>
  <c r="Q25" i="8"/>
  <c r="R25" i="8"/>
  <c r="S25" i="8"/>
  <c r="T25" i="8"/>
  <c r="E26" i="8"/>
  <c r="I26" i="8"/>
  <c r="N26" i="8"/>
  <c r="P26" i="8" s="1"/>
  <c r="U26" i="8"/>
  <c r="V26" i="8"/>
  <c r="W26" i="8"/>
  <c r="E27" i="8"/>
  <c r="I27" i="8"/>
  <c r="N27" i="8"/>
  <c r="P27" i="8"/>
  <c r="U27" i="8"/>
  <c r="V27" i="8"/>
  <c r="W27" i="8" s="1"/>
  <c r="E28" i="8"/>
  <c r="I28" i="8"/>
  <c r="N28" i="8"/>
  <c r="P28" i="8" s="1"/>
  <c r="U28" i="8"/>
  <c r="V28" i="8"/>
  <c r="W28" i="8"/>
  <c r="E29" i="8"/>
  <c r="G29" i="8"/>
  <c r="I29" i="8" s="1"/>
  <c r="N29" i="8"/>
  <c r="P29" i="8" s="1"/>
  <c r="U29" i="8"/>
  <c r="V29" i="8"/>
  <c r="W29" i="8"/>
  <c r="E30" i="8"/>
  <c r="I30" i="8"/>
  <c r="N30" i="8" s="1"/>
  <c r="P30" i="8"/>
  <c r="U30" i="8"/>
  <c r="V30" i="8"/>
  <c r="W30" i="8" s="1"/>
  <c r="C31" i="8"/>
  <c r="I31" i="8"/>
  <c r="V31" i="8"/>
  <c r="E32" i="8"/>
  <c r="I32" i="8"/>
  <c r="N32" i="8"/>
  <c r="P32" i="8" s="1"/>
  <c r="U32" i="8"/>
  <c r="V32" i="8"/>
  <c r="W32" i="8"/>
  <c r="E33" i="8"/>
  <c r="I33" i="8"/>
  <c r="N33" i="8"/>
  <c r="P33" i="8"/>
  <c r="U33" i="8"/>
  <c r="V33" i="8"/>
  <c r="W33" i="8" s="1"/>
  <c r="E34" i="8"/>
  <c r="I34" i="8"/>
  <c r="N34" i="8"/>
  <c r="P34" i="8" s="1"/>
  <c r="U34" i="8"/>
  <c r="V34" i="8"/>
  <c r="W34" i="8"/>
  <c r="E35" i="8"/>
  <c r="I35" i="8"/>
  <c r="N35" i="8"/>
  <c r="P35" i="8"/>
  <c r="U35" i="8"/>
  <c r="V35" i="8"/>
  <c r="W35" i="8" s="1"/>
  <c r="E36" i="8"/>
  <c r="I36" i="8"/>
  <c r="N36" i="8"/>
  <c r="P36" i="8" s="1"/>
  <c r="U36" i="8"/>
  <c r="V36" i="8"/>
  <c r="W36" i="8"/>
  <c r="E37" i="8"/>
  <c r="I37" i="8"/>
  <c r="N37" i="8"/>
  <c r="P37" i="8"/>
  <c r="U37" i="8"/>
  <c r="V37" i="8"/>
  <c r="W37" i="8" s="1"/>
  <c r="C38" i="8"/>
  <c r="I38" i="8"/>
  <c r="V38" i="8"/>
  <c r="C39" i="8"/>
  <c r="I39" i="8"/>
  <c r="V39" i="8"/>
  <c r="E40" i="8"/>
  <c r="I40" i="8"/>
  <c r="N40" i="8"/>
  <c r="P40" i="8" s="1"/>
  <c r="U40" i="8"/>
  <c r="V40" i="8"/>
  <c r="W40" i="8"/>
  <c r="E41" i="8"/>
  <c r="I41" i="8"/>
  <c r="N41" i="8"/>
  <c r="P41" i="8"/>
  <c r="U41" i="8"/>
  <c r="V41" i="8"/>
  <c r="W41" i="8" s="1"/>
  <c r="E42" i="8"/>
  <c r="I42" i="8"/>
  <c r="N42" i="8"/>
  <c r="P42" i="8" s="1"/>
  <c r="U42" i="8"/>
  <c r="V42" i="8"/>
  <c r="W42" i="8"/>
  <c r="C43" i="8"/>
  <c r="D43" i="8"/>
  <c r="I43" i="8"/>
  <c r="V43" i="8"/>
  <c r="E44" i="8"/>
  <c r="I44" i="8"/>
  <c r="N44" i="8"/>
  <c r="P44" i="8" s="1"/>
  <c r="U44" i="8"/>
  <c r="V44" i="8"/>
  <c r="W44" i="8"/>
  <c r="E45" i="8"/>
  <c r="I45" i="8"/>
  <c r="N45" i="8"/>
  <c r="P45" i="8"/>
  <c r="U45" i="8"/>
  <c r="V45" i="8"/>
  <c r="W45" i="8" s="1"/>
  <c r="C46" i="8"/>
  <c r="I46" i="8"/>
  <c r="V46" i="8"/>
  <c r="C47" i="8"/>
  <c r="I47" i="8"/>
  <c r="V47" i="8"/>
  <c r="D48" i="8"/>
  <c r="I48" i="8"/>
  <c r="V48" i="8"/>
  <c r="E49" i="8"/>
  <c r="I49" i="8"/>
  <c r="N49" i="8"/>
  <c r="P49" i="8" s="1"/>
  <c r="U49" i="8"/>
  <c r="V49" i="8"/>
  <c r="W49" i="8"/>
  <c r="E50" i="8"/>
  <c r="I50" i="8"/>
  <c r="N50" i="8" s="1"/>
  <c r="P50" i="8" s="1"/>
  <c r="U50" i="8"/>
  <c r="V50" i="8"/>
  <c r="W50" i="8" s="1"/>
  <c r="E51" i="8"/>
  <c r="I51" i="8"/>
  <c r="N51" i="8"/>
  <c r="P51" i="8" s="1"/>
  <c r="U51" i="8"/>
  <c r="V51" i="8"/>
  <c r="W51" i="8"/>
  <c r="E52" i="8"/>
  <c r="I52" i="8"/>
  <c r="N52" i="8" s="1"/>
  <c r="P52" i="8"/>
  <c r="U52" i="8"/>
  <c r="V52" i="8"/>
  <c r="W52" i="8" s="1"/>
  <c r="E53" i="8"/>
  <c r="I53" i="8"/>
  <c r="N53" i="8"/>
  <c r="P53" i="8" s="1"/>
  <c r="U53" i="8"/>
  <c r="V53" i="8"/>
  <c r="W53" i="8"/>
  <c r="E54" i="8"/>
  <c r="I54" i="8"/>
  <c r="N54" i="8"/>
  <c r="P54" i="8"/>
  <c r="U54" i="8"/>
  <c r="V54" i="8"/>
  <c r="W54" i="8" s="1"/>
  <c r="E55" i="8"/>
  <c r="I55" i="8"/>
  <c r="N55" i="8"/>
  <c r="P55" i="8" s="1"/>
  <c r="U55" i="8"/>
  <c r="V55" i="8"/>
  <c r="W55" i="8"/>
  <c r="I56" i="8"/>
  <c r="N56" i="8"/>
  <c r="P56" i="8" s="1"/>
  <c r="U56" i="8"/>
  <c r="V56" i="8"/>
  <c r="W56" i="8"/>
  <c r="E57" i="8"/>
  <c r="I57" i="8"/>
  <c r="N57" i="8"/>
  <c r="P57" i="8"/>
  <c r="U57" i="8"/>
  <c r="V57" i="8"/>
  <c r="W57" i="8" s="1"/>
  <c r="C58" i="8"/>
  <c r="G58" i="8"/>
  <c r="H58" i="8"/>
  <c r="J58" i="8"/>
  <c r="K58" i="8"/>
  <c r="L58" i="8"/>
  <c r="M58" i="8"/>
  <c r="O58" i="8"/>
  <c r="Q58" i="8"/>
  <c r="R58" i="8"/>
  <c r="R128" i="8" s="1"/>
  <c r="S58" i="8"/>
  <c r="T58" i="8"/>
  <c r="T128" i="8" s="1"/>
  <c r="E59" i="8"/>
  <c r="I59" i="8"/>
  <c r="N59" i="8"/>
  <c r="P59" i="8" s="1"/>
  <c r="U59" i="8"/>
  <c r="V59" i="8"/>
  <c r="W59" i="8"/>
  <c r="E60" i="8"/>
  <c r="I60" i="8"/>
  <c r="N60" i="8"/>
  <c r="P60" i="8"/>
  <c r="U60" i="8"/>
  <c r="V60" i="8"/>
  <c r="W60" i="8" s="1"/>
  <c r="E61" i="8"/>
  <c r="I61" i="8"/>
  <c r="N61" i="8"/>
  <c r="P61" i="8" s="1"/>
  <c r="U61" i="8"/>
  <c r="V61" i="8"/>
  <c r="W61" i="8"/>
  <c r="C62" i="8"/>
  <c r="E62" i="8"/>
  <c r="I62" i="8"/>
  <c r="N62" i="8"/>
  <c r="P62" i="8" s="1"/>
  <c r="U62" i="8"/>
  <c r="V62" i="8"/>
  <c r="W62" i="8"/>
  <c r="E63" i="8"/>
  <c r="I63" i="8"/>
  <c r="N63" i="8"/>
  <c r="P63" i="8"/>
  <c r="U63" i="8"/>
  <c r="V63" i="8"/>
  <c r="W63" i="8" s="1"/>
  <c r="E64" i="8"/>
  <c r="I64" i="8"/>
  <c r="N64" i="8"/>
  <c r="P64" i="8" s="1"/>
  <c r="U64" i="8"/>
  <c r="V64" i="8"/>
  <c r="W64" i="8"/>
  <c r="E65" i="8"/>
  <c r="I65" i="8"/>
  <c r="N65" i="8"/>
  <c r="P65" i="8"/>
  <c r="U65" i="8"/>
  <c r="V65" i="8"/>
  <c r="W65" i="8" s="1"/>
  <c r="E66" i="8"/>
  <c r="I66" i="8"/>
  <c r="N66" i="8"/>
  <c r="P66" i="8" s="1"/>
  <c r="U66" i="8"/>
  <c r="V66" i="8"/>
  <c r="W66" i="8"/>
  <c r="C67" i="8"/>
  <c r="E67" i="8"/>
  <c r="I67" i="8"/>
  <c r="N67" i="8"/>
  <c r="P67" i="8" s="1"/>
  <c r="U67" i="8"/>
  <c r="V67" i="8"/>
  <c r="W67" i="8"/>
  <c r="C68" i="8"/>
  <c r="E68" i="8"/>
  <c r="I68" i="8"/>
  <c r="N68" i="8"/>
  <c r="P68" i="8" s="1"/>
  <c r="U68" i="8"/>
  <c r="V68" i="8"/>
  <c r="W68" i="8"/>
  <c r="E69" i="8"/>
  <c r="I69" i="8"/>
  <c r="N69" i="8" s="1"/>
  <c r="P69" i="8" s="1"/>
  <c r="U69" i="8"/>
  <c r="V69" i="8"/>
  <c r="W69" i="8" s="1"/>
  <c r="C70" i="8"/>
  <c r="I70" i="8"/>
  <c r="V70" i="8"/>
  <c r="C71" i="8"/>
  <c r="I71" i="8"/>
  <c r="V71" i="8"/>
  <c r="E72" i="8"/>
  <c r="I72" i="8"/>
  <c r="N72" i="8"/>
  <c r="P72" i="8" s="1"/>
  <c r="U72" i="8"/>
  <c r="V72" i="8"/>
  <c r="W72" i="8"/>
  <c r="E73" i="8"/>
  <c r="I73" i="8"/>
  <c r="N73" i="8"/>
  <c r="P73" i="8"/>
  <c r="U73" i="8"/>
  <c r="V73" i="8"/>
  <c r="W73" i="8" s="1"/>
  <c r="C74" i="8"/>
  <c r="E74" i="8" s="1"/>
  <c r="H74" i="8"/>
  <c r="E75" i="8"/>
  <c r="I75" i="8"/>
  <c r="N75" i="8" s="1"/>
  <c r="P75" i="8" s="1"/>
  <c r="U75" i="8"/>
  <c r="V75" i="8"/>
  <c r="W75" i="8" s="1"/>
  <c r="E76" i="8"/>
  <c r="I76" i="8"/>
  <c r="N76" i="8"/>
  <c r="P76" i="8" s="1"/>
  <c r="U76" i="8"/>
  <c r="V76" i="8"/>
  <c r="W76" i="8"/>
  <c r="E77" i="8"/>
  <c r="I77" i="8"/>
  <c r="N77" i="8" s="1"/>
  <c r="P77" i="8"/>
  <c r="U77" i="8"/>
  <c r="V77" i="8"/>
  <c r="W77" i="8" s="1"/>
  <c r="E78" i="8"/>
  <c r="I78" i="8"/>
  <c r="N78" i="8"/>
  <c r="P78" i="8" s="1"/>
  <c r="U78" i="8"/>
  <c r="V78" i="8"/>
  <c r="W78" i="8"/>
  <c r="C79" i="8"/>
  <c r="D79" i="8"/>
  <c r="E79" i="8" s="1"/>
  <c r="I79" i="8"/>
  <c r="V79" i="8"/>
  <c r="E80" i="8"/>
  <c r="I80" i="8"/>
  <c r="N80" i="8"/>
  <c r="P80" i="8" s="1"/>
  <c r="U80" i="8"/>
  <c r="V80" i="8"/>
  <c r="W80" i="8"/>
  <c r="E81" i="8"/>
  <c r="I81" i="8"/>
  <c r="N81" i="8" s="1"/>
  <c r="P81" i="8" s="1"/>
  <c r="U81" i="8"/>
  <c r="V81" i="8"/>
  <c r="W81" i="8" s="1"/>
  <c r="E82" i="8"/>
  <c r="I82" i="8"/>
  <c r="N82" i="8"/>
  <c r="P82" i="8" s="1"/>
  <c r="U82" i="8"/>
  <c r="V82" i="8"/>
  <c r="W82" i="8"/>
  <c r="E83" i="8"/>
  <c r="I83" i="8"/>
  <c r="N83" i="8"/>
  <c r="P83" i="8"/>
  <c r="U83" i="8"/>
  <c r="V83" i="8"/>
  <c r="W83" i="8" s="1"/>
  <c r="E84" i="8"/>
  <c r="I84" i="8"/>
  <c r="N84" i="8"/>
  <c r="P84" i="8" s="1"/>
  <c r="U84" i="8"/>
  <c r="V84" i="8"/>
  <c r="W84" i="8"/>
  <c r="E85" i="8"/>
  <c r="I85" i="8"/>
  <c r="N85" i="8"/>
  <c r="P85" i="8"/>
  <c r="U85" i="8"/>
  <c r="V85" i="8"/>
  <c r="W85" i="8" s="1"/>
  <c r="C86" i="8"/>
  <c r="E86" i="8" s="1"/>
  <c r="N86" i="8" s="1"/>
  <c r="P86" i="8" s="1"/>
  <c r="I86" i="8"/>
  <c r="V86" i="8"/>
  <c r="E87" i="8"/>
  <c r="I87" i="8"/>
  <c r="N87" i="8"/>
  <c r="P87" i="8" s="1"/>
  <c r="U87" i="8"/>
  <c r="V87" i="8"/>
  <c r="W87" i="8"/>
  <c r="C88" i="8"/>
  <c r="E88" i="8"/>
  <c r="I88" i="8"/>
  <c r="N88" i="8"/>
  <c r="P88" i="8" s="1"/>
  <c r="U88" i="8"/>
  <c r="V88" i="8"/>
  <c r="W88" i="8"/>
  <c r="E89" i="8"/>
  <c r="I89" i="8"/>
  <c r="N89" i="8"/>
  <c r="P89" i="8"/>
  <c r="U89" i="8"/>
  <c r="V89" i="8"/>
  <c r="W89" i="8" s="1"/>
  <c r="E90" i="8"/>
  <c r="I90" i="8"/>
  <c r="N90" i="8"/>
  <c r="P90" i="8" s="1"/>
  <c r="U90" i="8"/>
  <c r="V90" i="8"/>
  <c r="W90" i="8"/>
  <c r="E91" i="8"/>
  <c r="I91" i="8"/>
  <c r="N91" i="8" s="1"/>
  <c r="P91" i="8" s="1"/>
  <c r="U91" i="8"/>
  <c r="V91" i="8"/>
  <c r="W91" i="8" s="1"/>
  <c r="E92" i="8"/>
  <c r="I92" i="8"/>
  <c r="N92" i="8"/>
  <c r="P92" i="8" s="1"/>
  <c r="U92" i="8"/>
  <c r="V92" i="8"/>
  <c r="W92" i="8"/>
  <c r="E93" i="8"/>
  <c r="I93" i="8"/>
  <c r="N93" i="8"/>
  <c r="P93" i="8"/>
  <c r="U93" i="8"/>
  <c r="V93" i="8"/>
  <c r="W93" i="8" s="1"/>
  <c r="E94" i="8"/>
  <c r="I94" i="8"/>
  <c r="N94" i="8"/>
  <c r="P94" i="8" s="1"/>
  <c r="U94" i="8"/>
  <c r="V94" i="8"/>
  <c r="W94" i="8"/>
  <c r="E95" i="8"/>
  <c r="I95" i="8"/>
  <c r="N95" i="8"/>
  <c r="P95" i="8"/>
  <c r="U95" i="8"/>
  <c r="V95" i="8"/>
  <c r="W95" i="8" s="1"/>
  <c r="C96" i="8"/>
  <c r="E96" i="8" s="1"/>
  <c r="I96" i="8"/>
  <c r="V96" i="8"/>
  <c r="C97" i="8"/>
  <c r="G97" i="8"/>
  <c r="H97" i="8"/>
  <c r="J97" i="8"/>
  <c r="K97" i="8"/>
  <c r="L97" i="8"/>
  <c r="M97" i="8"/>
  <c r="O97" i="8"/>
  <c r="Q97" i="8"/>
  <c r="R97" i="8"/>
  <c r="S97" i="8"/>
  <c r="T97" i="8"/>
  <c r="E98" i="8"/>
  <c r="E102" i="8" s="1"/>
  <c r="I98" i="8"/>
  <c r="N98" i="8"/>
  <c r="P98" i="8" s="1"/>
  <c r="U98" i="8"/>
  <c r="V98" i="8"/>
  <c r="W98" i="8"/>
  <c r="E99" i="8"/>
  <c r="I99" i="8"/>
  <c r="N99" i="8"/>
  <c r="P99" i="8"/>
  <c r="U99" i="8"/>
  <c r="V99" i="8"/>
  <c r="W99" i="8" s="1"/>
  <c r="W102" i="8" s="1"/>
  <c r="C100" i="8"/>
  <c r="C102" i="8" s="1"/>
  <c r="D100" i="8"/>
  <c r="E100" i="8"/>
  <c r="I100" i="8"/>
  <c r="N100" i="8"/>
  <c r="P100" i="8" s="1"/>
  <c r="U100" i="8"/>
  <c r="V100" i="8"/>
  <c r="W100" i="8"/>
  <c r="E101" i="8"/>
  <c r="G101" i="8"/>
  <c r="I101" i="8" s="1"/>
  <c r="I102" i="8" s="1"/>
  <c r="N101" i="8"/>
  <c r="P101" i="8" s="1"/>
  <c r="U101" i="8"/>
  <c r="V101" i="8"/>
  <c r="W101" i="8"/>
  <c r="D102" i="8"/>
  <c r="G102" i="8"/>
  <c r="H102" i="8"/>
  <c r="J102" i="8"/>
  <c r="K102" i="8"/>
  <c r="L102" i="8"/>
  <c r="M102" i="8"/>
  <c r="O102" i="8"/>
  <c r="Q102" i="8"/>
  <c r="R102" i="8"/>
  <c r="S102" i="8"/>
  <c r="T102" i="8"/>
  <c r="U102" i="8"/>
  <c r="E103" i="8"/>
  <c r="I103" i="8"/>
  <c r="N103" i="8"/>
  <c r="P103" i="8"/>
  <c r="U103" i="8"/>
  <c r="V103" i="8"/>
  <c r="W103" i="8" s="1"/>
  <c r="C104" i="8"/>
  <c r="D104" i="8"/>
  <c r="E104" i="8"/>
  <c r="I104" i="8"/>
  <c r="N104" i="8"/>
  <c r="P104" i="8" s="1"/>
  <c r="U104" i="8"/>
  <c r="V104" i="8"/>
  <c r="W104" i="8"/>
  <c r="C105" i="8"/>
  <c r="E105" i="8"/>
  <c r="I105" i="8"/>
  <c r="N105" i="8"/>
  <c r="P105" i="8" s="1"/>
  <c r="U105" i="8"/>
  <c r="V105" i="8"/>
  <c r="W105" i="8"/>
  <c r="E106" i="8"/>
  <c r="I106" i="8"/>
  <c r="N106" i="8"/>
  <c r="P106" i="8"/>
  <c r="U106" i="8"/>
  <c r="V106" i="8"/>
  <c r="W106" i="8" s="1"/>
  <c r="E107" i="8"/>
  <c r="I107" i="8"/>
  <c r="N107" i="8"/>
  <c r="P107" i="8" s="1"/>
  <c r="U107" i="8"/>
  <c r="V107" i="8"/>
  <c r="W107" i="8"/>
  <c r="E108" i="8"/>
  <c r="I108" i="8"/>
  <c r="N108" i="8"/>
  <c r="P108" i="8"/>
  <c r="U108" i="8"/>
  <c r="V108" i="8"/>
  <c r="W108" i="8" s="1"/>
  <c r="D109" i="8"/>
  <c r="E109" i="8" s="1"/>
  <c r="N109" i="8" s="1"/>
  <c r="P109" i="8" s="1"/>
  <c r="I109" i="8"/>
  <c r="V109" i="8"/>
  <c r="E110" i="8"/>
  <c r="I110" i="8"/>
  <c r="N110" i="8"/>
  <c r="P110" i="8" s="1"/>
  <c r="U110" i="8"/>
  <c r="V110" i="8"/>
  <c r="W110" i="8"/>
  <c r="C111" i="8"/>
  <c r="E111" i="8"/>
  <c r="I111" i="8"/>
  <c r="N111" i="8"/>
  <c r="P111" i="8" s="1"/>
  <c r="U111" i="8"/>
  <c r="V111" i="8"/>
  <c r="W111" i="8"/>
  <c r="E112" i="8"/>
  <c r="I112" i="8"/>
  <c r="N112" i="8"/>
  <c r="P112" i="8"/>
  <c r="U112" i="8"/>
  <c r="V112" i="8"/>
  <c r="W112" i="8" s="1"/>
  <c r="E113" i="8"/>
  <c r="I113" i="8"/>
  <c r="N113" i="8"/>
  <c r="P113" i="8" s="1"/>
  <c r="U113" i="8"/>
  <c r="V113" i="8"/>
  <c r="W113" i="8"/>
  <c r="C114" i="8"/>
  <c r="E114" i="8"/>
  <c r="I114" i="8"/>
  <c r="N114" i="8"/>
  <c r="P114" i="8" s="1"/>
  <c r="U114" i="8"/>
  <c r="V114" i="8"/>
  <c r="W114" i="8"/>
  <c r="E115" i="8"/>
  <c r="I115" i="8"/>
  <c r="N115" i="8"/>
  <c r="P115" i="8"/>
  <c r="U115" i="8"/>
  <c r="V115" i="8"/>
  <c r="W115" i="8" s="1"/>
  <c r="C116" i="8"/>
  <c r="G116" i="8"/>
  <c r="I116" i="8"/>
  <c r="J116" i="8"/>
  <c r="K116" i="8"/>
  <c r="L116" i="8"/>
  <c r="M116" i="8"/>
  <c r="O116" i="8"/>
  <c r="Q116" i="8"/>
  <c r="R116" i="8"/>
  <c r="S116" i="8"/>
  <c r="T116" i="8"/>
  <c r="E117" i="8"/>
  <c r="G117" i="8"/>
  <c r="I117" i="8" s="1"/>
  <c r="N117" i="8"/>
  <c r="P117" i="8" s="1"/>
  <c r="U117" i="8"/>
  <c r="U119" i="8" s="1"/>
  <c r="V117" i="8"/>
  <c r="W117" i="8"/>
  <c r="W119" i="8" s="1"/>
  <c r="E118" i="8"/>
  <c r="G118" i="8"/>
  <c r="I118" i="8" s="1"/>
  <c r="N118" i="8"/>
  <c r="P118" i="8" s="1"/>
  <c r="U118" i="8"/>
  <c r="V118" i="8"/>
  <c r="W118" i="8"/>
  <c r="D119" i="8"/>
  <c r="E119" i="8"/>
  <c r="N119" i="8"/>
  <c r="O119" i="8"/>
  <c r="Q119" i="8"/>
  <c r="R119" i="8"/>
  <c r="S119" i="8"/>
  <c r="T119" i="8"/>
  <c r="E120" i="8"/>
  <c r="I120" i="8"/>
  <c r="N120" i="8"/>
  <c r="P120" i="8" s="1"/>
  <c r="P122" i="8" s="1"/>
  <c r="U120" i="8"/>
  <c r="V120" i="8"/>
  <c r="W120" i="8"/>
  <c r="E121" i="8"/>
  <c r="I121" i="8"/>
  <c r="N121" i="8"/>
  <c r="P121" i="8"/>
  <c r="U121" i="8"/>
  <c r="V121" i="8"/>
  <c r="W121" i="8" s="1"/>
  <c r="W122" i="8" s="1"/>
  <c r="D122" i="8"/>
  <c r="E122" i="8" s="1"/>
  <c r="H122" i="8" s="1"/>
  <c r="G122" i="8"/>
  <c r="O122" i="8"/>
  <c r="Q122" i="8"/>
  <c r="R122" i="8"/>
  <c r="S122" i="8"/>
  <c r="T122" i="8"/>
  <c r="U122" i="8"/>
  <c r="E123" i="8"/>
  <c r="I123" i="8"/>
  <c r="N123" i="8"/>
  <c r="P123" i="8"/>
  <c r="U123" i="8"/>
  <c r="V123" i="8"/>
  <c r="W123" i="8" s="1"/>
  <c r="W125" i="8" s="1"/>
  <c r="E124" i="8"/>
  <c r="I124" i="8"/>
  <c r="N124" i="8"/>
  <c r="P124" i="8" s="1"/>
  <c r="U124" i="8"/>
  <c r="V124" i="8"/>
  <c r="W124" i="8"/>
  <c r="C125" i="8"/>
  <c r="D125" i="8"/>
  <c r="E125" i="8" s="1"/>
  <c r="G125" i="8"/>
  <c r="O125" i="8"/>
  <c r="Q125" i="8"/>
  <c r="R125" i="8"/>
  <c r="S125" i="8"/>
  <c r="T125" i="8"/>
  <c r="U125" i="8"/>
  <c r="O128" i="8"/>
  <c r="Q128" i="8"/>
  <c r="S128" i="8"/>
  <c r="E56" i="11"/>
  <c r="J56" i="11" s="1"/>
  <c r="I33" i="11"/>
  <c r="J33" i="11" s="1"/>
  <c r="I39" i="11"/>
  <c r="J39" i="11" s="1"/>
  <c r="K125" i="11"/>
  <c r="J125" i="11"/>
  <c r="I125" i="11"/>
  <c r="J124" i="11"/>
  <c r="J123" i="11"/>
  <c r="J121" i="11"/>
  <c r="J120" i="11"/>
  <c r="J118" i="11"/>
  <c r="J117" i="11"/>
  <c r="J115" i="11"/>
  <c r="J114" i="11"/>
  <c r="J113" i="11"/>
  <c r="J112" i="11"/>
  <c r="J111" i="11"/>
  <c r="J110" i="11"/>
  <c r="J109" i="11"/>
  <c r="J108" i="11"/>
  <c r="J107" i="11"/>
  <c r="J106" i="11"/>
  <c r="J105" i="11"/>
  <c r="J104" i="11"/>
  <c r="J103" i="11"/>
  <c r="J101" i="11"/>
  <c r="J100" i="11"/>
  <c r="J99" i="11"/>
  <c r="J98" i="11"/>
  <c r="J96" i="11"/>
  <c r="J95" i="11"/>
  <c r="J94" i="11"/>
  <c r="J93" i="11"/>
  <c r="J92" i="11"/>
  <c r="J91" i="11"/>
  <c r="J90" i="11"/>
  <c r="J89" i="11"/>
  <c r="J88" i="11"/>
  <c r="J87" i="11"/>
  <c r="J86" i="11"/>
  <c r="J85" i="11"/>
  <c r="J84" i="11"/>
  <c r="J83" i="11"/>
  <c r="J82" i="11"/>
  <c r="J81" i="11"/>
  <c r="J80" i="11"/>
  <c r="J79" i="11"/>
  <c r="J78" i="11"/>
  <c r="J77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59" i="11"/>
  <c r="J57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8" i="11"/>
  <c r="J37" i="11"/>
  <c r="J36" i="11"/>
  <c r="J35" i="11"/>
  <c r="J34" i="11"/>
  <c r="J32" i="11"/>
  <c r="J31" i="11"/>
  <c r="J30" i="11"/>
  <c r="J29" i="11"/>
  <c r="J28" i="11"/>
  <c r="J27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26" i="11"/>
  <c r="O125" i="11"/>
  <c r="H125" i="11"/>
  <c r="G125" i="11"/>
  <c r="F125" i="11"/>
  <c r="D125" i="11"/>
  <c r="C125" i="11"/>
  <c r="E125" i="11" s="1"/>
  <c r="P124" i="11"/>
  <c r="O124" i="11"/>
  <c r="Q124" i="11" s="1"/>
  <c r="E124" i="11"/>
  <c r="P123" i="11"/>
  <c r="O123" i="11"/>
  <c r="Q123" i="11" s="1"/>
  <c r="Q125" i="11" s="1"/>
  <c r="E123" i="11"/>
  <c r="H122" i="11"/>
  <c r="D122" i="11"/>
  <c r="E122" i="11" s="1"/>
  <c r="P121" i="11"/>
  <c r="O121" i="11"/>
  <c r="E121" i="11"/>
  <c r="P120" i="11"/>
  <c r="O120" i="11"/>
  <c r="O122" i="11" s="1"/>
  <c r="E120" i="11"/>
  <c r="D119" i="11"/>
  <c r="E119" i="11" s="1"/>
  <c r="P118" i="11"/>
  <c r="O118" i="11"/>
  <c r="Q118" i="11" s="1"/>
  <c r="E118" i="11"/>
  <c r="H118" i="11" s="1"/>
  <c r="P117" i="11"/>
  <c r="O117" i="11"/>
  <c r="O119" i="11" s="1"/>
  <c r="E117" i="11"/>
  <c r="H117" i="11" s="1"/>
  <c r="H119" i="11" s="1"/>
  <c r="N116" i="11"/>
  <c r="M116" i="11"/>
  <c r="L116" i="11"/>
  <c r="K116" i="11"/>
  <c r="H116" i="11"/>
  <c r="G116" i="11"/>
  <c r="F116" i="11"/>
  <c r="P115" i="11"/>
  <c r="O115" i="11"/>
  <c r="E115" i="11"/>
  <c r="P114" i="11"/>
  <c r="O114" i="11"/>
  <c r="Q114" i="11" s="1"/>
  <c r="E114" i="11"/>
  <c r="C114" i="11"/>
  <c r="P113" i="11"/>
  <c r="O113" i="11"/>
  <c r="Q113" i="11" s="1"/>
  <c r="E113" i="11"/>
  <c r="P112" i="11"/>
  <c r="O112" i="11"/>
  <c r="Q112" i="11" s="1"/>
  <c r="E112" i="11"/>
  <c r="P111" i="11"/>
  <c r="O111" i="11"/>
  <c r="Q111" i="11" s="1"/>
  <c r="E111" i="11"/>
  <c r="C111" i="11"/>
  <c r="P110" i="11"/>
  <c r="O110" i="11"/>
  <c r="Q110" i="11" s="1"/>
  <c r="E110" i="11"/>
  <c r="P109" i="11"/>
  <c r="D109" i="11"/>
  <c r="P108" i="11"/>
  <c r="O108" i="11"/>
  <c r="Q108" i="11" s="1"/>
  <c r="E108" i="11"/>
  <c r="P107" i="11"/>
  <c r="O107" i="11"/>
  <c r="Q107" i="11" s="1"/>
  <c r="E107" i="11"/>
  <c r="P106" i="11"/>
  <c r="O106" i="11"/>
  <c r="J116" i="11"/>
  <c r="E106" i="11"/>
  <c r="P105" i="11"/>
  <c r="O105" i="11"/>
  <c r="Q105" i="11" s="1"/>
  <c r="E105" i="11"/>
  <c r="C105" i="11"/>
  <c r="P104" i="11"/>
  <c r="D104" i="11"/>
  <c r="C104" i="11"/>
  <c r="C116" i="11" s="1"/>
  <c r="P103" i="11"/>
  <c r="P116" i="11" s="1"/>
  <c r="O103" i="11"/>
  <c r="E103" i="11"/>
  <c r="N102" i="11"/>
  <c r="M102" i="11"/>
  <c r="L102" i="11"/>
  <c r="K102" i="11"/>
  <c r="I102" i="11"/>
  <c r="C102" i="11"/>
  <c r="P101" i="11"/>
  <c r="O101" i="11"/>
  <c r="E101" i="11"/>
  <c r="H101" i="11" s="1"/>
  <c r="H102" i="11" s="1"/>
  <c r="P100" i="11"/>
  <c r="D100" i="11"/>
  <c r="D102" i="11" s="1"/>
  <c r="C100" i="11"/>
  <c r="P99" i="11"/>
  <c r="O99" i="11"/>
  <c r="E99" i="11"/>
  <c r="P98" i="11"/>
  <c r="O98" i="11"/>
  <c r="Q98" i="11" s="1"/>
  <c r="E98" i="11"/>
  <c r="N97" i="11"/>
  <c r="M97" i="11"/>
  <c r="L97" i="11"/>
  <c r="K97" i="11"/>
  <c r="H97" i="11"/>
  <c r="G97" i="11"/>
  <c r="F97" i="11"/>
  <c r="P96" i="11"/>
  <c r="C96" i="11"/>
  <c r="P95" i="11"/>
  <c r="O95" i="11"/>
  <c r="E95" i="11"/>
  <c r="P94" i="11"/>
  <c r="O94" i="11"/>
  <c r="Q94" i="11" s="1"/>
  <c r="E94" i="11"/>
  <c r="P93" i="11"/>
  <c r="O93" i="11"/>
  <c r="Q93" i="11" s="1"/>
  <c r="E93" i="11"/>
  <c r="P92" i="11"/>
  <c r="O92" i="11"/>
  <c r="Q92" i="11" s="1"/>
  <c r="E92" i="11"/>
  <c r="P91" i="11"/>
  <c r="O91" i="11"/>
  <c r="E91" i="11"/>
  <c r="P90" i="11"/>
  <c r="O90" i="11"/>
  <c r="Q90" i="11" s="1"/>
  <c r="E90" i="11"/>
  <c r="P89" i="11"/>
  <c r="O89" i="11"/>
  <c r="Q89" i="11" s="1"/>
  <c r="E89" i="11"/>
  <c r="P88" i="11"/>
  <c r="O88" i="11"/>
  <c r="Q88" i="11" s="1"/>
  <c r="E88" i="11"/>
  <c r="C88" i="11"/>
  <c r="P87" i="11"/>
  <c r="O87" i="11"/>
  <c r="Q87" i="11" s="1"/>
  <c r="E87" i="11"/>
  <c r="P86" i="11"/>
  <c r="C86" i="11"/>
  <c r="P85" i="11"/>
  <c r="O85" i="11"/>
  <c r="Q85" i="11" s="1"/>
  <c r="E85" i="11"/>
  <c r="P84" i="11"/>
  <c r="O84" i="11"/>
  <c r="Q84" i="11" s="1"/>
  <c r="E84" i="11"/>
  <c r="P83" i="11"/>
  <c r="O83" i="11"/>
  <c r="E83" i="11"/>
  <c r="P82" i="11"/>
  <c r="O82" i="11"/>
  <c r="Q82" i="11" s="1"/>
  <c r="E82" i="11"/>
  <c r="P81" i="11"/>
  <c r="O81" i="11"/>
  <c r="Q81" i="11" s="1"/>
  <c r="E81" i="11"/>
  <c r="P80" i="11"/>
  <c r="O80" i="11"/>
  <c r="Q80" i="11" s="1"/>
  <c r="E80" i="11"/>
  <c r="P79" i="11"/>
  <c r="D79" i="11"/>
  <c r="C79" i="11"/>
  <c r="P78" i="11"/>
  <c r="O78" i="11"/>
  <c r="Q78" i="11" s="1"/>
  <c r="E78" i="11"/>
  <c r="P77" i="11"/>
  <c r="O77" i="11"/>
  <c r="Q77" i="11" s="1"/>
  <c r="E77" i="11"/>
  <c r="P76" i="11"/>
  <c r="O76" i="11"/>
  <c r="Q76" i="11" s="1"/>
  <c r="E76" i="11"/>
  <c r="P75" i="11"/>
  <c r="O75" i="11"/>
  <c r="E75" i="11"/>
  <c r="I74" i="11"/>
  <c r="C74" i="11"/>
  <c r="E74" i="11" s="1"/>
  <c r="P73" i="11"/>
  <c r="O73" i="11"/>
  <c r="E73" i="11"/>
  <c r="P72" i="11"/>
  <c r="O72" i="11"/>
  <c r="Q72" i="11" s="1"/>
  <c r="E72" i="11"/>
  <c r="P71" i="11"/>
  <c r="C71" i="11"/>
  <c r="P70" i="11"/>
  <c r="C70" i="11"/>
  <c r="P69" i="11"/>
  <c r="O69" i="11"/>
  <c r="Q69" i="11" s="1"/>
  <c r="E69" i="11"/>
  <c r="P68" i="11"/>
  <c r="O68" i="11"/>
  <c r="Q68" i="11" s="1"/>
  <c r="E68" i="11"/>
  <c r="C68" i="11"/>
  <c r="P67" i="11"/>
  <c r="O67" i="11"/>
  <c r="Q67" i="11" s="1"/>
  <c r="E67" i="11"/>
  <c r="C67" i="11"/>
  <c r="P66" i="11"/>
  <c r="O66" i="11"/>
  <c r="Q66" i="11" s="1"/>
  <c r="E66" i="11"/>
  <c r="P65" i="11"/>
  <c r="O65" i="11"/>
  <c r="E65" i="11"/>
  <c r="P64" i="11"/>
  <c r="O64" i="11"/>
  <c r="Q64" i="11" s="1"/>
  <c r="E64" i="11"/>
  <c r="P63" i="11"/>
  <c r="O63" i="11"/>
  <c r="Q63" i="11" s="1"/>
  <c r="E63" i="11"/>
  <c r="P62" i="11"/>
  <c r="O62" i="11"/>
  <c r="Q62" i="11" s="1"/>
  <c r="E62" i="11"/>
  <c r="C62" i="11"/>
  <c r="P61" i="11"/>
  <c r="O61" i="11"/>
  <c r="Q61" i="11" s="1"/>
  <c r="E61" i="11"/>
  <c r="P60" i="11"/>
  <c r="O60" i="11"/>
  <c r="E60" i="11"/>
  <c r="P59" i="11"/>
  <c r="O59" i="11"/>
  <c r="E59" i="11"/>
  <c r="N58" i="11"/>
  <c r="M58" i="11"/>
  <c r="L58" i="11"/>
  <c r="K58" i="11"/>
  <c r="G58" i="11"/>
  <c r="F58" i="11"/>
  <c r="P57" i="11"/>
  <c r="O57" i="11"/>
  <c r="Q57" i="11" s="1"/>
  <c r="E57" i="11"/>
  <c r="P56" i="11"/>
  <c r="O56" i="11"/>
  <c r="Q56" i="11" s="1"/>
  <c r="P55" i="11"/>
  <c r="O55" i="11"/>
  <c r="Q55" i="11" s="1"/>
  <c r="E55" i="11"/>
  <c r="P54" i="11"/>
  <c r="O54" i="11"/>
  <c r="Q54" i="11" s="1"/>
  <c r="E54" i="11"/>
  <c r="P53" i="11"/>
  <c r="O53" i="11"/>
  <c r="Q53" i="11" s="1"/>
  <c r="E53" i="11"/>
  <c r="P52" i="11"/>
  <c r="O52" i="11"/>
  <c r="Q52" i="11" s="1"/>
  <c r="E52" i="11"/>
  <c r="P51" i="11"/>
  <c r="O51" i="11"/>
  <c r="Q51" i="11" s="1"/>
  <c r="E51" i="11"/>
  <c r="P50" i="11"/>
  <c r="O50" i="11"/>
  <c r="Q50" i="11" s="1"/>
  <c r="E50" i="11"/>
  <c r="P49" i="11"/>
  <c r="O49" i="11"/>
  <c r="Q49" i="11" s="1"/>
  <c r="E49" i="11"/>
  <c r="P48" i="11"/>
  <c r="D48" i="11"/>
  <c r="O48" i="11" s="1"/>
  <c r="Q48" i="11" s="1"/>
  <c r="P47" i="11"/>
  <c r="C47" i="11"/>
  <c r="O47" i="11" s="1"/>
  <c r="Q47" i="11" s="1"/>
  <c r="P46" i="11"/>
  <c r="C46" i="11"/>
  <c r="O46" i="11" s="1"/>
  <c r="Q46" i="11" s="1"/>
  <c r="P45" i="11"/>
  <c r="O45" i="11"/>
  <c r="Q45" i="11" s="1"/>
  <c r="E45" i="11"/>
  <c r="P44" i="11"/>
  <c r="O44" i="11"/>
  <c r="Q44" i="11" s="1"/>
  <c r="E44" i="11"/>
  <c r="P43" i="11"/>
  <c r="D43" i="11"/>
  <c r="D58" i="11" s="1"/>
  <c r="C43" i="11"/>
  <c r="O43" i="11" s="1"/>
  <c r="Q43" i="11" s="1"/>
  <c r="P42" i="11"/>
  <c r="O42" i="11"/>
  <c r="Q42" i="11" s="1"/>
  <c r="E42" i="11"/>
  <c r="P41" i="11"/>
  <c r="O41" i="11"/>
  <c r="Q41" i="11" s="1"/>
  <c r="E41" i="11"/>
  <c r="P40" i="11"/>
  <c r="O40" i="11"/>
  <c r="Q40" i="11" s="1"/>
  <c r="E40" i="11"/>
  <c r="P39" i="11"/>
  <c r="C39" i="11"/>
  <c r="O39" i="11" s="1"/>
  <c r="P38" i="11"/>
  <c r="C38" i="11"/>
  <c r="O38" i="11" s="1"/>
  <c r="Q38" i="11" s="1"/>
  <c r="P37" i="11"/>
  <c r="O37" i="11"/>
  <c r="Q37" i="11" s="1"/>
  <c r="E37" i="11"/>
  <c r="P36" i="11"/>
  <c r="O36" i="11"/>
  <c r="Q36" i="11" s="1"/>
  <c r="E36" i="11"/>
  <c r="P35" i="11"/>
  <c r="O35" i="11"/>
  <c r="Q35" i="11" s="1"/>
  <c r="E35" i="11"/>
  <c r="P34" i="11"/>
  <c r="O34" i="11"/>
  <c r="E34" i="11"/>
  <c r="O33" i="11"/>
  <c r="E33" i="11"/>
  <c r="P32" i="11"/>
  <c r="O32" i="11"/>
  <c r="Q32" i="11" s="1"/>
  <c r="E32" i="11"/>
  <c r="P31" i="11"/>
  <c r="C31" i="11"/>
  <c r="O31" i="11" s="1"/>
  <c r="Q31" i="11" s="1"/>
  <c r="P30" i="11"/>
  <c r="O30" i="11"/>
  <c r="Q30" i="11" s="1"/>
  <c r="E30" i="11"/>
  <c r="P29" i="11"/>
  <c r="O29" i="11"/>
  <c r="Q29" i="11" s="1"/>
  <c r="H29" i="11"/>
  <c r="E29" i="11"/>
  <c r="P28" i="11"/>
  <c r="O28" i="11"/>
  <c r="Q28" i="11" s="1"/>
  <c r="E28" i="11"/>
  <c r="P27" i="11"/>
  <c r="O27" i="11"/>
  <c r="Q27" i="11" s="1"/>
  <c r="E27" i="11"/>
  <c r="P26" i="11"/>
  <c r="O26" i="11"/>
  <c r="E26" i="11"/>
  <c r="N25" i="11"/>
  <c r="M25" i="11"/>
  <c r="L25" i="11"/>
  <c r="K25" i="11"/>
  <c r="I25" i="11"/>
  <c r="H25" i="11"/>
  <c r="G25" i="11"/>
  <c r="G128" i="11" s="1"/>
  <c r="F25" i="11"/>
  <c r="F128" i="11" s="1"/>
  <c r="D25" i="11"/>
  <c r="P24" i="11"/>
  <c r="O24" i="11"/>
  <c r="Q24" i="11" s="1"/>
  <c r="E24" i="11"/>
  <c r="P23" i="11"/>
  <c r="C23" i="11"/>
  <c r="O23" i="11" s="1"/>
  <c r="Q23" i="11" s="1"/>
  <c r="P22" i="11"/>
  <c r="C22" i="11"/>
  <c r="O22" i="11" s="1"/>
  <c r="Q22" i="11" s="1"/>
  <c r="P21" i="11"/>
  <c r="C21" i="11"/>
  <c r="O21" i="11" s="1"/>
  <c r="Q21" i="11" s="1"/>
  <c r="P20" i="11"/>
  <c r="C20" i="11"/>
  <c r="O20" i="11" s="1"/>
  <c r="Q20" i="11" s="1"/>
  <c r="P19" i="11"/>
  <c r="O19" i="11"/>
  <c r="Q19" i="11" s="1"/>
  <c r="E19" i="11"/>
  <c r="P18" i="11"/>
  <c r="O18" i="11"/>
  <c r="Q18" i="11" s="1"/>
  <c r="E18" i="11"/>
  <c r="P17" i="11"/>
  <c r="O17" i="11"/>
  <c r="E17" i="11"/>
  <c r="P16" i="11"/>
  <c r="O16" i="11"/>
  <c r="Q16" i="11" s="1"/>
  <c r="E16" i="11"/>
  <c r="C16" i="11"/>
  <c r="P15" i="11"/>
  <c r="O15" i="11"/>
  <c r="Q15" i="11" s="1"/>
  <c r="E15" i="11"/>
  <c r="C15" i="11"/>
  <c r="P14" i="11"/>
  <c r="O14" i="11"/>
  <c r="Q14" i="11" s="1"/>
  <c r="E14" i="11"/>
  <c r="C14" i="11"/>
  <c r="P13" i="11"/>
  <c r="O13" i="11"/>
  <c r="Q13" i="11" s="1"/>
  <c r="E13" i="11"/>
  <c r="C13" i="11"/>
  <c r="P12" i="11"/>
  <c r="O12" i="11"/>
  <c r="Q12" i="11" s="1"/>
  <c r="E12" i="11"/>
  <c r="P11" i="11"/>
  <c r="O11" i="11"/>
  <c r="Q11" i="11" s="1"/>
  <c r="E11" i="11"/>
  <c r="P10" i="11"/>
  <c r="O10" i="11"/>
  <c r="Q10" i="11" s="1"/>
  <c r="E10" i="11"/>
  <c r="C10" i="11"/>
  <c r="P9" i="11"/>
  <c r="O9" i="11"/>
  <c r="Q9" i="11" s="1"/>
  <c r="E9" i="11"/>
  <c r="C9" i="11"/>
  <c r="P8" i="11"/>
  <c r="O8" i="11"/>
  <c r="Q8" i="11" s="1"/>
  <c r="E8" i="11"/>
  <c r="P7" i="11"/>
  <c r="P25" i="11" s="1"/>
  <c r="C7" i="11"/>
  <c r="R130" i="12" l="1"/>
  <c r="S130" i="12"/>
  <c r="Q118" i="12"/>
  <c r="P130" i="12"/>
  <c r="X124" i="12"/>
  <c r="V9" i="12"/>
  <c r="V10" i="12"/>
  <c r="V38" i="12"/>
  <c r="V88" i="12"/>
  <c r="V98" i="12"/>
  <c r="W104" i="12"/>
  <c r="V121" i="12"/>
  <c r="V124" i="12"/>
  <c r="W25" i="12"/>
  <c r="E39" i="12"/>
  <c r="J39" i="12" s="1"/>
  <c r="Q39" i="12" s="1"/>
  <c r="D59" i="12"/>
  <c r="V104" i="12"/>
  <c r="V102" i="12"/>
  <c r="H119" i="12"/>
  <c r="H120" i="12"/>
  <c r="J127" i="12"/>
  <c r="V127" i="12"/>
  <c r="G130" i="12"/>
  <c r="V20" i="12"/>
  <c r="E20" i="12"/>
  <c r="J20" i="12" s="1"/>
  <c r="Q20" i="12" s="1"/>
  <c r="V22" i="12"/>
  <c r="E22" i="12"/>
  <c r="J22" i="12" s="1"/>
  <c r="Q22" i="12" s="1"/>
  <c r="D130" i="12"/>
  <c r="C59" i="12"/>
  <c r="E59" i="12" s="1"/>
  <c r="V31" i="12"/>
  <c r="E31" i="12"/>
  <c r="J31" i="12" s="1"/>
  <c r="Q31" i="12" s="1"/>
  <c r="I59" i="12"/>
  <c r="V48" i="12"/>
  <c r="E48" i="12"/>
  <c r="J48" i="12" s="1"/>
  <c r="Q48" i="12" s="1"/>
  <c r="J60" i="12"/>
  <c r="Q60" i="12" s="1"/>
  <c r="V73" i="12"/>
  <c r="E73" i="12"/>
  <c r="J73" i="12" s="1"/>
  <c r="Q73" i="12" s="1"/>
  <c r="I99" i="12"/>
  <c r="C25" i="12"/>
  <c r="V7" i="12"/>
  <c r="E7" i="12"/>
  <c r="J7" i="12" s="1"/>
  <c r="V21" i="12"/>
  <c r="E21" i="12"/>
  <c r="J21" i="12" s="1"/>
  <c r="Q21" i="12" s="1"/>
  <c r="V23" i="12"/>
  <c r="E23" i="12"/>
  <c r="J23" i="12" s="1"/>
  <c r="Q23" i="12" s="1"/>
  <c r="F130" i="12"/>
  <c r="J33" i="12"/>
  <c r="Q33" i="12" s="1"/>
  <c r="V43" i="12"/>
  <c r="V47" i="12"/>
  <c r="E47" i="12"/>
  <c r="J47" i="12" s="1"/>
  <c r="Q47" i="12" s="1"/>
  <c r="V49" i="12"/>
  <c r="E49" i="12"/>
  <c r="J49" i="12" s="1"/>
  <c r="Q49" i="12" s="1"/>
  <c r="W99" i="12"/>
  <c r="V72" i="12"/>
  <c r="E72" i="12"/>
  <c r="J72" i="12" s="1"/>
  <c r="Q72" i="12" s="1"/>
  <c r="J76" i="12"/>
  <c r="Q76" i="12" s="1"/>
  <c r="V76" i="12"/>
  <c r="E81" i="12"/>
  <c r="J81" i="12" s="1"/>
  <c r="Q81" i="12" s="1"/>
  <c r="V116" i="12"/>
  <c r="E116" i="12"/>
  <c r="J116" i="12" s="1"/>
  <c r="X121" i="12"/>
  <c r="J124" i="12"/>
  <c r="X127" i="12"/>
  <c r="E43" i="12"/>
  <c r="J43" i="12" s="1"/>
  <c r="Q43" i="12" s="1"/>
  <c r="C99" i="12"/>
  <c r="V90" i="12"/>
  <c r="E90" i="12"/>
  <c r="J90" i="12" s="1"/>
  <c r="Q90" i="12" s="1"/>
  <c r="J100" i="12"/>
  <c r="E102" i="12"/>
  <c r="J102" i="12" s="1"/>
  <c r="Q102" i="12" s="1"/>
  <c r="Q104" i="12" s="1"/>
  <c r="W118" i="12"/>
  <c r="C118" i="12"/>
  <c r="E118" i="12" s="1"/>
  <c r="V107" i="12"/>
  <c r="E107" i="12"/>
  <c r="J107" i="12" s="1"/>
  <c r="V113" i="12"/>
  <c r="E113" i="12"/>
  <c r="J113" i="12" s="1"/>
  <c r="E106" i="12"/>
  <c r="J106" i="12" s="1"/>
  <c r="J118" i="12" s="1"/>
  <c r="V106" i="12"/>
  <c r="I122" i="8"/>
  <c r="P119" i="8"/>
  <c r="P125" i="8"/>
  <c r="P116" i="8"/>
  <c r="P102" i="8"/>
  <c r="N96" i="8"/>
  <c r="P96" i="8" s="1"/>
  <c r="E71" i="8"/>
  <c r="N71" i="8" s="1"/>
  <c r="P71" i="8" s="1"/>
  <c r="U71" i="8"/>
  <c r="W71" i="8" s="1"/>
  <c r="E70" i="8"/>
  <c r="E97" i="8" s="1"/>
  <c r="U70" i="8"/>
  <c r="W70" i="8" s="1"/>
  <c r="N39" i="8"/>
  <c r="P39" i="8" s="1"/>
  <c r="I58" i="8"/>
  <c r="E9" i="8"/>
  <c r="F9" i="8" s="1"/>
  <c r="AA9" i="8" s="1"/>
  <c r="C25" i="8"/>
  <c r="AA8" i="8"/>
  <c r="V125" i="8"/>
  <c r="N125" i="8"/>
  <c r="N122" i="8"/>
  <c r="G119" i="8"/>
  <c r="V116" i="8"/>
  <c r="N116" i="8"/>
  <c r="D116" i="8"/>
  <c r="E116" i="8" s="1"/>
  <c r="U109" i="8"/>
  <c r="V102" i="8"/>
  <c r="N102" i="8"/>
  <c r="D97" i="8"/>
  <c r="U96" i="8"/>
  <c r="W96" i="8" s="1"/>
  <c r="U86" i="8"/>
  <c r="W86" i="8" s="1"/>
  <c r="U79" i="8"/>
  <c r="W79" i="8" s="1"/>
  <c r="N79" i="8"/>
  <c r="P79" i="8" s="1"/>
  <c r="U74" i="8"/>
  <c r="I74" i="8"/>
  <c r="N74" i="8" s="1"/>
  <c r="P74" i="8" s="1"/>
  <c r="V74" i="8"/>
  <c r="V97" i="8" s="1"/>
  <c r="N70" i="8"/>
  <c r="V58" i="8"/>
  <c r="E48" i="8"/>
  <c r="N48" i="8" s="1"/>
  <c r="P48" i="8" s="1"/>
  <c r="U48" i="8"/>
  <c r="W48" i="8" s="1"/>
  <c r="E47" i="8"/>
  <c r="N47" i="8" s="1"/>
  <c r="P47" i="8" s="1"/>
  <c r="U47" i="8"/>
  <c r="W47" i="8" s="1"/>
  <c r="E46" i="8"/>
  <c r="N46" i="8" s="1"/>
  <c r="P46" i="8" s="1"/>
  <c r="U46" i="8"/>
  <c r="W46" i="8" s="1"/>
  <c r="E43" i="8"/>
  <c r="U43" i="8"/>
  <c r="W43" i="8" s="1"/>
  <c r="D58" i="8"/>
  <c r="D128" i="8" s="1"/>
  <c r="U14" i="8"/>
  <c r="W14" i="8" s="1"/>
  <c r="W11" i="8"/>
  <c r="V25" i="8"/>
  <c r="U9" i="8"/>
  <c r="W9" i="8" s="1"/>
  <c r="N7" i="8"/>
  <c r="I25" i="8"/>
  <c r="N43" i="8"/>
  <c r="P43" i="8" s="1"/>
  <c r="E39" i="8"/>
  <c r="U39" i="8"/>
  <c r="W39" i="8" s="1"/>
  <c r="E38" i="8"/>
  <c r="N38" i="8" s="1"/>
  <c r="P38" i="8" s="1"/>
  <c r="U38" i="8"/>
  <c r="W38" i="8" s="1"/>
  <c r="E31" i="8"/>
  <c r="N31" i="8" s="1"/>
  <c r="U31" i="8"/>
  <c r="W25" i="8"/>
  <c r="P33" i="11"/>
  <c r="Q33" i="11" s="1"/>
  <c r="Q39" i="11"/>
  <c r="I58" i="11"/>
  <c r="Q34" i="11"/>
  <c r="P58" i="11"/>
  <c r="J58" i="11"/>
  <c r="C25" i="11"/>
  <c r="O7" i="11"/>
  <c r="E7" i="11"/>
  <c r="J25" i="11"/>
  <c r="Q17" i="11"/>
  <c r="O102" i="11"/>
  <c r="D128" i="11"/>
  <c r="O58" i="11"/>
  <c r="Q26" i="11"/>
  <c r="C58" i="11"/>
  <c r="E58" i="11" s="1"/>
  <c r="H58" i="11"/>
  <c r="H128" i="11" s="1"/>
  <c r="Q59" i="11"/>
  <c r="O70" i="11"/>
  <c r="Q70" i="11" s="1"/>
  <c r="E70" i="11"/>
  <c r="E97" i="11" s="1"/>
  <c r="P74" i="11"/>
  <c r="J97" i="11"/>
  <c r="D97" i="11"/>
  <c r="E79" i="11"/>
  <c r="O86" i="11"/>
  <c r="Q86" i="11" s="1"/>
  <c r="E86" i="11"/>
  <c r="C97" i="11"/>
  <c r="Q99" i="11"/>
  <c r="Q102" i="11" s="1"/>
  <c r="E104" i="11"/>
  <c r="O104" i="11"/>
  <c r="Q104" i="11" s="1"/>
  <c r="O109" i="11"/>
  <c r="Q109" i="11" s="1"/>
  <c r="E109" i="11"/>
  <c r="I119" i="11"/>
  <c r="Q120" i="11"/>
  <c r="E20" i="11"/>
  <c r="E21" i="11"/>
  <c r="E22" i="11"/>
  <c r="E23" i="11"/>
  <c r="E31" i="11"/>
  <c r="E38" i="11"/>
  <c r="E39" i="11"/>
  <c r="E43" i="11"/>
  <c r="E46" i="11"/>
  <c r="E47" i="11"/>
  <c r="E48" i="11"/>
  <c r="P97" i="11"/>
  <c r="Q60" i="11"/>
  <c r="Q65" i="11"/>
  <c r="O71" i="11"/>
  <c r="Q71" i="11" s="1"/>
  <c r="E71" i="11"/>
  <c r="Q73" i="11"/>
  <c r="O74" i="11"/>
  <c r="Q74" i="11" s="1"/>
  <c r="Q75" i="11"/>
  <c r="O79" i="11"/>
  <c r="Q79" i="11" s="1"/>
  <c r="Q83" i="11"/>
  <c r="Q91" i="11"/>
  <c r="Q95" i="11"/>
  <c r="O96" i="11"/>
  <c r="Q96" i="11" s="1"/>
  <c r="E96" i="11"/>
  <c r="I97" i="11"/>
  <c r="J102" i="11"/>
  <c r="P102" i="11"/>
  <c r="O100" i="11"/>
  <c r="Q100" i="11" s="1"/>
  <c r="Q101" i="11"/>
  <c r="D116" i="11"/>
  <c r="E116" i="11" s="1"/>
  <c r="Q106" i="11"/>
  <c r="Q115" i="11"/>
  <c r="Q121" i="11"/>
  <c r="I122" i="11"/>
  <c r="E100" i="11"/>
  <c r="E102" i="11" s="1"/>
  <c r="Q103" i="11"/>
  <c r="Q116" i="11" s="1"/>
  <c r="Q117" i="11"/>
  <c r="Q119" i="11" s="1"/>
  <c r="Q99" i="12" l="1"/>
  <c r="Q25" i="12"/>
  <c r="Q59" i="12"/>
  <c r="Q130" i="12" s="1"/>
  <c r="J59" i="12"/>
  <c r="H121" i="12"/>
  <c r="X104" i="12"/>
  <c r="W59" i="12"/>
  <c r="J104" i="12"/>
  <c r="V118" i="12"/>
  <c r="X99" i="12"/>
  <c r="V25" i="12"/>
  <c r="X25" i="12"/>
  <c r="E99" i="12"/>
  <c r="X59" i="12"/>
  <c r="E104" i="12"/>
  <c r="X118" i="12"/>
  <c r="V99" i="12"/>
  <c r="J25" i="12"/>
  <c r="C130" i="12"/>
  <c r="E25" i="12"/>
  <c r="J99" i="12"/>
  <c r="V59" i="12"/>
  <c r="P31" i="8"/>
  <c r="P58" i="8" s="1"/>
  <c r="N58" i="8"/>
  <c r="W31" i="8"/>
  <c r="W58" i="8" s="1"/>
  <c r="U58" i="8"/>
  <c r="P7" i="8"/>
  <c r="P25" i="8" s="1"/>
  <c r="N25" i="8"/>
  <c r="N128" i="8" s="1"/>
  <c r="P70" i="8"/>
  <c r="P97" i="8" s="1"/>
  <c r="N97" i="8"/>
  <c r="E58" i="8"/>
  <c r="U25" i="8"/>
  <c r="W74" i="8"/>
  <c r="W97" i="8" s="1"/>
  <c r="W128" i="8" s="1"/>
  <c r="W109" i="8"/>
  <c r="W116" i="8" s="1"/>
  <c r="U116" i="8"/>
  <c r="H119" i="8"/>
  <c r="G128" i="8"/>
  <c r="F25" i="8"/>
  <c r="E25" i="8"/>
  <c r="C128" i="8"/>
  <c r="U97" i="8"/>
  <c r="I97" i="8"/>
  <c r="J122" i="8"/>
  <c r="Q58" i="11"/>
  <c r="I128" i="11"/>
  <c r="Q97" i="11"/>
  <c r="J122" i="11"/>
  <c r="O97" i="11"/>
  <c r="C128" i="11"/>
  <c r="E25" i="11"/>
  <c r="E128" i="11" s="1"/>
  <c r="Q122" i="11"/>
  <c r="O116" i="11"/>
  <c r="J119" i="11"/>
  <c r="O25" i="11"/>
  <c r="Q7" i="11"/>
  <c r="Q25" i="11" s="1"/>
  <c r="E130" i="12" l="1"/>
  <c r="I121" i="12"/>
  <c r="J121" i="12"/>
  <c r="H130" i="12"/>
  <c r="J130" i="12"/>
  <c r="V130" i="12"/>
  <c r="X130" i="12"/>
  <c r="J119" i="8"/>
  <c r="H128" i="8"/>
  <c r="U128" i="8"/>
  <c r="E128" i="8"/>
  <c r="I119" i="8"/>
  <c r="K122" i="8"/>
  <c r="P128" i="8"/>
  <c r="Q128" i="11"/>
  <c r="O128" i="11"/>
  <c r="J128" i="11"/>
  <c r="K119" i="11"/>
  <c r="K122" i="11"/>
  <c r="K130" i="12" l="1"/>
  <c r="I130" i="12"/>
  <c r="W124" i="12"/>
  <c r="J128" i="8"/>
  <c r="K119" i="8"/>
  <c r="L122" i="8"/>
  <c r="M122" i="8" s="1"/>
  <c r="V122" i="8" s="1"/>
  <c r="I128" i="8"/>
  <c r="K128" i="11"/>
  <c r="L119" i="11"/>
  <c r="L122" i="11"/>
  <c r="L130" i="12" l="1"/>
  <c r="K128" i="8"/>
  <c r="L119" i="8"/>
  <c r="L128" i="8" s="1"/>
  <c r="L128" i="11"/>
  <c r="M119" i="11"/>
  <c r="M122" i="11"/>
  <c r="N122" i="11" s="1"/>
  <c r="P122" i="11" s="1"/>
  <c r="M130" i="12" l="1"/>
  <c r="M119" i="8"/>
  <c r="M128" i="11"/>
  <c r="N119" i="11"/>
  <c r="V119" i="8" l="1"/>
  <c r="V128" i="8" s="1"/>
  <c r="M128" i="8"/>
  <c r="P119" i="11"/>
  <c r="P128" i="11" s="1"/>
  <c r="N128" i="11"/>
  <c r="W121" i="12" l="1"/>
  <c r="W130" i="12" s="1"/>
  <c r="N130" i="12"/>
  <c r="G119" i="3"/>
  <c r="G128" i="3"/>
  <c r="G125" i="3"/>
  <c r="G122" i="3"/>
  <c r="G105" i="3"/>
  <c r="G100" i="3"/>
  <c r="G61" i="3"/>
  <c r="G28" i="3"/>
  <c r="D33" i="9"/>
  <c r="D22" i="9"/>
  <c r="D13" i="9"/>
  <c r="G13" i="10"/>
  <c r="G7" i="10"/>
  <c r="R28" i="3"/>
  <c r="R130" i="3" s="1"/>
  <c r="Q28" i="3"/>
  <c r="Q130" i="3" s="1"/>
  <c r="P28" i="3"/>
  <c r="P130" i="3" s="1"/>
  <c r="O28" i="3"/>
  <c r="O130" i="3" s="1"/>
  <c r="N28" i="3"/>
  <c r="N130" i="3" s="1"/>
  <c r="M28" i="3"/>
  <c r="M130" i="3" s="1"/>
  <c r="L28" i="3"/>
  <c r="L130" i="3" s="1"/>
  <c r="K28" i="3"/>
  <c r="K130" i="3" s="1"/>
  <c r="J28" i="3"/>
  <c r="J130" i="3" s="1"/>
  <c r="I28" i="3"/>
  <c r="I130" i="3" s="1"/>
  <c r="H28" i="3"/>
  <c r="H130" i="3" s="1"/>
  <c r="G26" i="10" l="1"/>
  <c r="I74" i="7"/>
  <c r="D31" i="5" l="1"/>
  <c r="D20" i="5"/>
  <c r="D10" i="5"/>
  <c r="H29" i="7"/>
  <c r="H58" i="7" s="1"/>
  <c r="D108" i="3"/>
  <c r="J126" i="7"/>
  <c r="E126" i="7"/>
  <c r="H125" i="7"/>
  <c r="G125" i="7"/>
  <c r="F125" i="7"/>
  <c r="D125" i="7"/>
  <c r="C125" i="7"/>
  <c r="E125" i="7" s="1"/>
  <c r="P124" i="7"/>
  <c r="O124" i="7"/>
  <c r="Q124" i="7" s="1"/>
  <c r="J124" i="7"/>
  <c r="E124" i="7"/>
  <c r="P123" i="7"/>
  <c r="O123" i="7"/>
  <c r="O125" i="7" s="1"/>
  <c r="J123" i="7"/>
  <c r="E123" i="7"/>
  <c r="H122" i="7"/>
  <c r="D122" i="7"/>
  <c r="E122" i="7" s="1"/>
  <c r="I122" i="7" s="1"/>
  <c r="P121" i="7"/>
  <c r="O121" i="7"/>
  <c r="Q121" i="7" s="1"/>
  <c r="J121" i="7"/>
  <c r="E121" i="7"/>
  <c r="P120" i="7"/>
  <c r="O120" i="7"/>
  <c r="Q120" i="7" s="1"/>
  <c r="Q122" i="7" s="1"/>
  <c r="J120" i="7"/>
  <c r="E120" i="7"/>
  <c r="D119" i="7"/>
  <c r="E119" i="7" s="1"/>
  <c r="P118" i="7"/>
  <c r="O118" i="7"/>
  <c r="E118" i="7"/>
  <c r="H118" i="7" s="1"/>
  <c r="J118" i="7" s="1"/>
  <c r="P117" i="7"/>
  <c r="O117" i="7"/>
  <c r="O119" i="7" s="1"/>
  <c r="E117" i="7"/>
  <c r="H117" i="7" s="1"/>
  <c r="N116" i="7"/>
  <c r="M116" i="7"/>
  <c r="L116" i="7"/>
  <c r="K116" i="7"/>
  <c r="H116" i="7"/>
  <c r="G116" i="7"/>
  <c r="F116" i="7"/>
  <c r="P115" i="7"/>
  <c r="O115" i="7"/>
  <c r="Q115" i="7" s="1"/>
  <c r="J115" i="7"/>
  <c r="E115" i="7"/>
  <c r="P114" i="7"/>
  <c r="J114" i="7"/>
  <c r="C114" i="7"/>
  <c r="O114" i="7" s="1"/>
  <c r="Q114" i="7" s="1"/>
  <c r="P113" i="7"/>
  <c r="O113" i="7"/>
  <c r="J113" i="7"/>
  <c r="E113" i="7"/>
  <c r="P112" i="7"/>
  <c r="O112" i="7"/>
  <c r="J112" i="7"/>
  <c r="E112" i="7"/>
  <c r="P111" i="7"/>
  <c r="J111" i="7"/>
  <c r="C111" i="7"/>
  <c r="O111" i="7" s="1"/>
  <c r="Q111" i="7" s="1"/>
  <c r="P110" i="7"/>
  <c r="O110" i="7"/>
  <c r="Q110" i="7" s="1"/>
  <c r="J110" i="7"/>
  <c r="E110" i="7"/>
  <c r="P109" i="7"/>
  <c r="J109" i="7"/>
  <c r="D109" i="7"/>
  <c r="O109" i="7" s="1"/>
  <c r="Q109" i="7" s="1"/>
  <c r="P108" i="7"/>
  <c r="O108" i="7"/>
  <c r="J108" i="7"/>
  <c r="E108" i="7"/>
  <c r="P107" i="7"/>
  <c r="O107" i="7"/>
  <c r="J107" i="7"/>
  <c r="E107" i="7"/>
  <c r="P106" i="7"/>
  <c r="O106" i="7"/>
  <c r="J106" i="7"/>
  <c r="E106" i="7"/>
  <c r="P105" i="7"/>
  <c r="J105" i="7"/>
  <c r="C105" i="7"/>
  <c r="O105" i="7" s="1"/>
  <c r="Q105" i="7" s="1"/>
  <c r="P104" i="7"/>
  <c r="J104" i="7"/>
  <c r="D104" i="7"/>
  <c r="D116" i="7" s="1"/>
  <c r="C104" i="7"/>
  <c r="C116" i="7" s="1"/>
  <c r="E116" i="7" s="1"/>
  <c r="P103" i="7"/>
  <c r="O103" i="7"/>
  <c r="J103" i="7"/>
  <c r="E103" i="7"/>
  <c r="N102" i="7"/>
  <c r="M102" i="7"/>
  <c r="L102" i="7"/>
  <c r="K102" i="7"/>
  <c r="I102" i="7"/>
  <c r="P101" i="7"/>
  <c r="O101" i="7"/>
  <c r="E101" i="7"/>
  <c r="H101" i="7" s="1"/>
  <c r="P100" i="7"/>
  <c r="J100" i="7"/>
  <c r="D100" i="7"/>
  <c r="D102" i="7" s="1"/>
  <c r="C100" i="7"/>
  <c r="C102" i="7" s="1"/>
  <c r="P99" i="7"/>
  <c r="O99" i="7"/>
  <c r="Q99" i="7" s="1"/>
  <c r="J99" i="7"/>
  <c r="E99" i="7"/>
  <c r="P98" i="7"/>
  <c r="O98" i="7"/>
  <c r="J98" i="7"/>
  <c r="E98" i="7"/>
  <c r="N97" i="7"/>
  <c r="M97" i="7"/>
  <c r="L97" i="7"/>
  <c r="K97" i="7"/>
  <c r="I97" i="7"/>
  <c r="H97" i="7"/>
  <c r="G97" i="7"/>
  <c r="F97" i="7"/>
  <c r="P96" i="7"/>
  <c r="J96" i="7"/>
  <c r="C96" i="7"/>
  <c r="O96" i="7" s="1"/>
  <c r="Q96" i="7" s="1"/>
  <c r="P95" i="7"/>
  <c r="O95" i="7"/>
  <c r="J95" i="7"/>
  <c r="E95" i="7"/>
  <c r="P94" i="7"/>
  <c r="O94" i="7"/>
  <c r="J94" i="7"/>
  <c r="E94" i="7"/>
  <c r="P93" i="7"/>
  <c r="O93" i="7"/>
  <c r="J93" i="7"/>
  <c r="E93" i="7"/>
  <c r="P92" i="7"/>
  <c r="O92" i="7"/>
  <c r="J92" i="7"/>
  <c r="E92" i="7"/>
  <c r="P91" i="7"/>
  <c r="O91" i="7"/>
  <c r="J91" i="7"/>
  <c r="E91" i="7"/>
  <c r="P90" i="7"/>
  <c r="O90" i="7"/>
  <c r="J90" i="7"/>
  <c r="E90" i="7"/>
  <c r="P89" i="7"/>
  <c r="O89" i="7"/>
  <c r="J89" i="7"/>
  <c r="E89" i="7"/>
  <c r="P88" i="7"/>
  <c r="J88" i="7"/>
  <c r="C88" i="7"/>
  <c r="O88" i="7" s="1"/>
  <c r="Q88" i="7" s="1"/>
  <c r="P87" i="7"/>
  <c r="O87" i="7"/>
  <c r="Q87" i="7" s="1"/>
  <c r="J87" i="7"/>
  <c r="E87" i="7"/>
  <c r="P86" i="7"/>
  <c r="J86" i="7"/>
  <c r="C86" i="7"/>
  <c r="O86" i="7" s="1"/>
  <c r="Q86" i="7" s="1"/>
  <c r="P85" i="7"/>
  <c r="O85" i="7"/>
  <c r="J85" i="7"/>
  <c r="E85" i="7"/>
  <c r="P84" i="7"/>
  <c r="O84" i="7"/>
  <c r="J84" i="7"/>
  <c r="E84" i="7"/>
  <c r="P83" i="7"/>
  <c r="O83" i="7"/>
  <c r="J83" i="7"/>
  <c r="E83" i="7"/>
  <c r="P82" i="7"/>
  <c r="O82" i="7"/>
  <c r="J82" i="7"/>
  <c r="E82" i="7"/>
  <c r="P81" i="7"/>
  <c r="O81" i="7"/>
  <c r="J81" i="7"/>
  <c r="E81" i="7"/>
  <c r="P80" i="7"/>
  <c r="O80" i="7"/>
  <c r="J80" i="7"/>
  <c r="E80" i="7"/>
  <c r="P79" i="7"/>
  <c r="J79" i="7"/>
  <c r="D79" i="7"/>
  <c r="D97" i="7" s="1"/>
  <c r="C79" i="7"/>
  <c r="P78" i="7"/>
  <c r="O78" i="7"/>
  <c r="J78" i="7"/>
  <c r="E78" i="7"/>
  <c r="P77" i="7"/>
  <c r="O77" i="7"/>
  <c r="J77" i="7"/>
  <c r="E77" i="7"/>
  <c r="P76" i="7"/>
  <c r="O76" i="7"/>
  <c r="J76" i="7"/>
  <c r="E76" i="7"/>
  <c r="P75" i="7"/>
  <c r="O75" i="7"/>
  <c r="J75" i="7"/>
  <c r="E75" i="7"/>
  <c r="P74" i="7"/>
  <c r="J74" i="7"/>
  <c r="C74" i="7"/>
  <c r="O74" i="7" s="1"/>
  <c r="P73" i="7"/>
  <c r="O73" i="7"/>
  <c r="Q73" i="7" s="1"/>
  <c r="J73" i="7"/>
  <c r="E73" i="7"/>
  <c r="P72" i="7"/>
  <c r="O72" i="7"/>
  <c r="Q72" i="7" s="1"/>
  <c r="J72" i="7"/>
  <c r="E72" i="7"/>
  <c r="P71" i="7"/>
  <c r="O71" i="7"/>
  <c r="Q71" i="7" s="1"/>
  <c r="J71" i="7"/>
  <c r="E71" i="7"/>
  <c r="C71" i="7"/>
  <c r="P70" i="7"/>
  <c r="J70" i="7"/>
  <c r="C70" i="7"/>
  <c r="O70" i="7" s="1"/>
  <c r="Q70" i="7" s="1"/>
  <c r="P69" i="7"/>
  <c r="O69" i="7"/>
  <c r="Q69" i="7" s="1"/>
  <c r="J69" i="7"/>
  <c r="E69" i="7"/>
  <c r="P68" i="7"/>
  <c r="J68" i="7"/>
  <c r="C68" i="7"/>
  <c r="O68" i="7" s="1"/>
  <c r="Q68" i="7" s="1"/>
  <c r="P67" i="7"/>
  <c r="J67" i="7"/>
  <c r="C67" i="7"/>
  <c r="O67" i="7" s="1"/>
  <c r="Q67" i="7" s="1"/>
  <c r="P66" i="7"/>
  <c r="O66" i="7"/>
  <c r="Q66" i="7" s="1"/>
  <c r="J66" i="7"/>
  <c r="E66" i="7"/>
  <c r="P65" i="7"/>
  <c r="O65" i="7"/>
  <c r="Q65" i="7" s="1"/>
  <c r="J65" i="7"/>
  <c r="E65" i="7"/>
  <c r="P64" i="7"/>
  <c r="O64" i="7"/>
  <c r="Q64" i="7" s="1"/>
  <c r="J64" i="7"/>
  <c r="E64" i="7"/>
  <c r="P63" i="7"/>
  <c r="O63" i="7"/>
  <c r="Q63" i="7" s="1"/>
  <c r="J63" i="7"/>
  <c r="E63" i="7"/>
  <c r="P62" i="7"/>
  <c r="J62" i="7"/>
  <c r="C62" i="7"/>
  <c r="P61" i="7"/>
  <c r="O61" i="7"/>
  <c r="J61" i="7"/>
  <c r="E61" i="7"/>
  <c r="P60" i="7"/>
  <c r="O60" i="7"/>
  <c r="J60" i="7"/>
  <c r="E60" i="7"/>
  <c r="P59" i="7"/>
  <c r="P97" i="7" s="1"/>
  <c r="O59" i="7"/>
  <c r="J59" i="7"/>
  <c r="J97" i="7" s="1"/>
  <c r="E59" i="7"/>
  <c r="N58" i="7"/>
  <c r="M58" i="7"/>
  <c r="L58" i="7"/>
  <c r="K58" i="7"/>
  <c r="I58" i="7"/>
  <c r="G58" i="7"/>
  <c r="F58" i="7"/>
  <c r="P57" i="7"/>
  <c r="O57" i="7"/>
  <c r="J57" i="7"/>
  <c r="E57" i="7"/>
  <c r="P56" i="7"/>
  <c r="O56" i="7"/>
  <c r="J56" i="7"/>
  <c r="P55" i="7"/>
  <c r="O55" i="7"/>
  <c r="Q55" i="7" s="1"/>
  <c r="J55" i="7"/>
  <c r="E55" i="7"/>
  <c r="P54" i="7"/>
  <c r="O54" i="7"/>
  <c r="Q54" i="7" s="1"/>
  <c r="J54" i="7"/>
  <c r="E54" i="7"/>
  <c r="P53" i="7"/>
  <c r="O53" i="7"/>
  <c r="Q53" i="7" s="1"/>
  <c r="J53" i="7"/>
  <c r="E53" i="7"/>
  <c r="P52" i="7"/>
  <c r="O52" i="7"/>
  <c r="Q52" i="7" s="1"/>
  <c r="J52" i="7"/>
  <c r="E52" i="7"/>
  <c r="P51" i="7"/>
  <c r="O51" i="7"/>
  <c r="Q51" i="7" s="1"/>
  <c r="J51" i="7"/>
  <c r="E51" i="7"/>
  <c r="P50" i="7"/>
  <c r="O50" i="7"/>
  <c r="Q50" i="7" s="1"/>
  <c r="J50" i="7"/>
  <c r="E50" i="7"/>
  <c r="P49" i="7"/>
  <c r="O49" i="7"/>
  <c r="Q49" i="7" s="1"/>
  <c r="J49" i="7"/>
  <c r="E49" i="7"/>
  <c r="P48" i="7"/>
  <c r="J48" i="7"/>
  <c r="D48" i="7"/>
  <c r="O48" i="7" s="1"/>
  <c r="Q48" i="7" s="1"/>
  <c r="P47" i="7"/>
  <c r="J47" i="7"/>
  <c r="C47" i="7"/>
  <c r="O47" i="7" s="1"/>
  <c r="Q47" i="7" s="1"/>
  <c r="P46" i="7"/>
  <c r="J46" i="7"/>
  <c r="C46" i="7"/>
  <c r="O46" i="7" s="1"/>
  <c r="Q46" i="7" s="1"/>
  <c r="P45" i="7"/>
  <c r="O45" i="7"/>
  <c r="J45" i="7"/>
  <c r="E45" i="7"/>
  <c r="P44" i="7"/>
  <c r="O44" i="7"/>
  <c r="J44" i="7"/>
  <c r="E44" i="7"/>
  <c r="P43" i="7"/>
  <c r="J43" i="7"/>
  <c r="D43" i="7"/>
  <c r="D58" i="7" s="1"/>
  <c r="C43" i="7"/>
  <c r="P42" i="7"/>
  <c r="O42" i="7"/>
  <c r="J42" i="7"/>
  <c r="E42" i="7"/>
  <c r="P41" i="7"/>
  <c r="O41" i="7"/>
  <c r="J41" i="7"/>
  <c r="E41" i="7"/>
  <c r="P40" i="7"/>
  <c r="O40" i="7"/>
  <c r="J40" i="7"/>
  <c r="E40" i="7"/>
  <c r="P39" i="7"/>
  <c r="J39" i="7"/>
  <c r="C39" i="7"/>
  <c r="O39" i="7" s="1"/>
  <c r="Q39" i="7" s="1"/>
  <c r="P38" i="7"/>
  <c r="J38" i="7"/>
  <c r="C38" i="7"/>
  <c r="O38" i="7" s="1"/>
  <c r="Q38" i="7" s="1"/>
  <c r="P37" i="7"/>
  <c r="O37" i="7"/>
  <c r="J37" i="7"/>
  <c r="E37" i="7"/>
  <c r="P36" i="7"/>
  <c r="O36" i="7"/>
  <c r="J36" i="7"/>
  <c r="E36" i="7"/>
  <c r="P35" i="7"/>
  <c r="O35" i="7"/>
  <c r="J35" i="7"/>
  <c r="E35" i="7"/>
  <c r="P34" i="7"/>
  <c r="O34" i="7"/>
  <c r="J34" i="7"/>
  <c r="E34" i="7"/>
  <c r="P33" i="7"/>
  <c r="O33" i="7"/>
  <c r="J33" i="7"/>
  <c r="E33" i="7"/>
  <c r="P32" i="7"/>
  <c r="O32" i="7"/>
  <c r="J32" i="7"/>
  <c r="E32" i="7"/>
  <c r="P31" i="7"/>
  <c r="J31" i="7"/>
  <c r="C31" i="7"/>
  <c r="O31" i="7" s="1"/>
  <c r="Q31" i="7" s="1"/>
  <c r="P30" i="7"/>
  <c r="O30" i="7"/>
  <c r="Q30" i="7" s="1"/>
  <c r="J30" i="7"/>
  <c r="E30" i="7"/>
  <c r="P29" i="7"/>
  <c r="O29" i="7"/>
  <c r="Q29" i="7" s="1"/>
  <c r="E29" i="7"/>
  <c r="P28" i="7"/>
  <c r="O28" i="7"/>
  <c r="Q28" i="7" s="1"/>
  <c r="J28" i="7"/>
  <c r="E28" i="7"/>
  <c r="P27" i="7"/>
  <c r="O27" i="7"/>
  <c r="Q27" i="7" s="1"/>
  <c r="J27" i="7"/>
  <c r="E27" i="7"/>
  <c r="P26" i="7"/>
  <c r="O26" i="7"/>
  <c r="J26" i="7"/>
  <c r="E26" i="7"/>
  <c r="N25" i="7"/>
  <c r="M25" i="7"/>
  <c r="L25" i="7"/>
  <c r="K25" i="7"/>
  <c r="I25" i="7"/>
  <c r="H25" i="7"/>
  <c r="G25" i="7"/>
  <c r="F25" i="7"/>
  <c r="F128" i="7" s="1"/>
  <c r="D25" i="7"/>
  <c r="P24" i="7"/>
  <c r="O24" i="7"/>
  <c r="J24" i="7"/>
  <c r="E24" i="7"/>
  <c r="P23" i="7"/>
  <c r="J23" i="7"/>
  <c r="C23" i="7"/>
  <c r="O23" i="7" s="1"/>
  <c r="Q23" i="7" s="1"/>
  <c r="P22" i="7"/>
  <c r="O22" i="7"/>
  <c r="Q22" i="7" s="1"/>
  <c r="J22" i="7"/>
  <c r="E22" i="7"/>
  <c r="C22" i="7"/>
  <c r="P21" i="7"/>
  <c r="J21" i="7"/>
  <c r="C21" i="7"/>
  <c r="O21" i="7" s="1"/>
  <c r="Q21" i="7" s="1"/>
  <c r="P20" i="7"/>
  <c r="O20" i="7"/>
  <c r="Q20" i="7" s="1"/>
  <c r="J20" i="7"/>
  <c r="E20" i="7"/>
  <c r="C20" i="7"/>
  <c r="P19" i="7"/>
  <c r="O19" i="7"/>
  <c r="J19" i="7"/>
  <c r="E19" i="7"/>
  <c r="P18" i="7"/>
  <c r="O18" i="7"/>
  <c r="J18" i="7"/>
  <c r="E18" i="7"/>
  <c r="P17" i="7"/>
  <c r="O17" i="7"/>
  <c r="J17" i="7"/>
  <c r="E17" i="7"/>
  <c r="P16" i="7"/>
  <c r="J16" i="7"/>
  <c r="C16" i="7"/>
  <c r="O16" i="7" s="1"/>
  <c r="Q16" i="7" s="1"/>
  <c r="P15" i="7"/>
  <c r="J15" i="7"/>
  <c r="C15" i="7"/>
  <c r="O15" i="7" s="1"/>
  <c r="Q15" i="7" s="1"/>
  <c r="P14" i="7"/>
  <c r="J14" i="7"/>
  <c r="C14" i="7"/>
  <c r="O14" i="7" s="1"/>
  <c r="Q14" i="7" s="1"/>
  <c r="P13" i="7"/>
  <c r="J13" i="7"/>
  <c r="C13" i="7"/>
  <c r="O13" i="7" s="1"/>
  <c r="Q13" i="7" s="1"/>
  <c r="P12" i="7"/>
  <c r="O12" i="7"/>
  <c r="J12" i="7"/>
  <c r="E12" i="7"/>
  <c r="P11" i="7"/>
  <c r="O11" i="7"/>
  <c r="J11" i="7"/>
  <c r="E11" i="7"/>
  <c r="P10" i="7"/>
  <c r="J10" i="7"/>
  <c r="C10" i="7"/>
  <c r="O10" i="7" s="1"/>
  <c r="Q10" i="7" s="1"/>
  <c r="P9" i="7"/>
  <c r="J9" i="7"/>
  <c r="C9" i="7"/>
  <c r="O9" i="7" s="1"/>
  <c r="Q9" i="7" s="1"/>
  <c r="P8" i="7"/>
  <c r="O8" i="7"/>
  <c r="J8" i="7"/>
  <c r="E8" i="7"/>
  <c r="P7" i="7"/>
  <c r="P25" i="7" s="1"/>
  <c r="J7" i="7"/>
  <c r="C7" i="7"/>
  <c r="C25" i="7" s="1"/>
  <c r="M38" i="2"/>
  <c r="G12" i="2"/>
  <c r="P12" i="2"/>
  <c r="E11" i="2"/>
  <c r="E26" i="2" s="1"/>
  <c r="E24" i="2"/>
  <c r="E23" i="2"/>
  <c r="Q23" i="2" s="1"/>
  <c r="E22" i="2"/>
  <c r="Q22" i="2" s="1"/>
  <c r="E21" i="2"/>
  <c r="Q21" i="2" s="1"/>
  <c r="E20" i="2"/>
  <c r="E19" i="2"/>
  <c r="Q19" i="2" s="1"/>
  <c r="E18" i="2"/>
  <c r="E17" i="2"/>
  <c r="Q17" i="2" s="1"/>
  <c r="E16" i="2"/>
  <c r="Q16" i="2" s="1"/>
  <c r="E15" i="2"/>
  <c r="Q15" i="2" s="1"/>
  <c r="E14" i="2"/>
  <c r="D22" i="1"/>
  <c r="D21" i="1"/>
  <c r="D20" i="1"/>
  <c r="D19" i="1"/>
  <c r="D18" i="1"/>
  <c r="D17" i="1"/>
  <c r="D16" i="1"/>
  <c r="D15" i="1"/>
  <c r="D14" i="1"/>
  <c r="D13" i="1"/>
  <c r="D12" i="1"/>
  <c r="D11" i="1"/>
  <c r="P21" i="1"/>
  <c r="P20" i="1"/>
  <c r="P19" i="1"/>
  <c r="P17" i="1"/>
  <c r="P16" i="1"/>
  <c r="P15" i="1"/>
  <c r="P14" i="1"/>
  <c r="P13" i="1"/>
  <c r="P12" i="1"/>
  <c r="P11" i="1"/>
  <c r="Q18" i="2"/>
  <c r="Q14" i="2"/>
  <c r="E25" i="2"/>
  <c r="E27" i="2"/>
  <c r="D23" i="1"/>
  <c r="Q12" i="2" l="1"/>
  <c r="E7" i="7"/>
  <c r="O7" i="7"/>
  <c r="O25" i="7" s="1"/>
  <c r="Q8" i="7"/>
  <c r="Q11" i="7"/>
  <c r="Q12" i="7"/>
  <c r="Q17" i="7"/>
  <c r="Q18" i="7"/>
  <c r="Q19" i="7"/>
  <c r="E21" i="7"/>
  <c r="E23" i="7"/>
  <c r="Q24" i="7"/>
  <c r="D128" i="7"/>
  <c r="G128" i="7"/>
  <c r="P58" i="7"/>
  <c r="J29" i="7"/>
  <c r="J58" i="7" s="1"/>
  <c r="Q32" i="7"/>
  <c r="Q33" i="7"/>
  <c r="Q34" i="7"/>
  <c r="Q35" i="7"/>
  <c r="Q36" i="7"/>
  <c r="Q37" i="7"/>
  <c r="Q40" i="7"/>
  <c r="Q41" i="7"/>
  <c r="Q42" i="7"/>
  <c r="O43" i="7"/>
  <c r="Q43" i="7" s="1"/>
  <c r="Q44" i="7"/>
  <c r="Q45" i="7"/>
  <c r="Q56" i="7"/>
  <c r="Q57" i="7"/>
  <c r="Q60" i="7"/>
  <c r="Q61" i="7"/>
  <c r="C97" i="7"/>
  <c r="E70" i="7"/>
  <c r="E74" i="7"/>
  <c r="Q75" i="7"/>
  <c r="Q76" i="7"/>
  <c r="Q77" i="7"/>
  <c r="Q78" i="7"/>
  <c r="O79" i="7"/>
  <c r="Q79" i="7" s="1"/>
  <c r="Q80" i="7"/>
  <c r="Q81" i="7"/>
  <c r="Q82" i="7"/>
  <c r="Q83" i="7"/>
  <c r="Q84" i="7"/>
  <c r="Q85" i="7"/>
  <c r="E88" i="7"/>
  <c r="Q89" i="7"/>
  <c r="Q90" i="7"/>
  <c r="Q91" i="7"/>
  <c r="Q92" i="7"/>
  <c r="Q93" i="7"/>
  <c r="Q94" i="7"/>
  <c r="Q95" i="7"/>
  <c r="P102" i="7"/>
  <c r="Q101" i="7"/>
  <c r="J116" i="7"/>
  <c r="P116" i="7"/>
  <c r="Q106" i="7"/>
  <c r="Q107" i="7"/>
  <c r="Q108" i="7"/>
  <c r="Q112" i="7"/>
  <c r="Q113" i="7"/>
  <c r="Q118" i="7"/>
  <c r="Q74" i="7"/>
  <c r="J25" i="7"/>
  <c r="E25" i="7"/>
  <c r="Q7" i="7"/>
  <c r="C58" i="7"/>
  <c r="E58" i="7" s="1"/>
  <c r="H119" i="7"/>
  <c r="J117" i="7"/>
  <c r="I119" i="7"/>
  <c r="J122" i="7"/>
  <c r="E9" i="7"/>
  <c r="E10" i="7"/>
  <c r="E13" i="7"/>
  <c r="E14" i="7"/>
  <c r="E15" i="7"/>
  <c r="E16" i="7"/>
  <c r="O58" i="7"/>
  <c r="Q26" i="7"/>
  <c r="Q58" i="7" s="1"/>
  <c r="E31" i="7"/>
  <c r="E38" i="7"/>
  <c r="E39" i="7"/>
  <c r="E43" i="7"/>
  <c r="E46" i="7"/>
  <c r="E47" i="7"/>
  <c r="E48" i="7"/>
  <c r="J101" i="7"/>
  <c r="J102" i="7" s="1"/>
  <c r="H102" i="7"/>
  <c r="H128" i="7" s="1"/>
  <c r="K122" i="7"/>
  <c r="Q59" i="7"/>
  <c r="E62" i="7"/>
  <c r="O62" i="7"/>
  <c r="Q62" i="7" s="1"/>
  <c r="E67" i="7"/>
  <c r="E68" i="7"/>
  <c r="E79" i="7"/>
  <c r="E86" i="7"/>
  <c r="E96" i="7"/>
  <c r="Q98" i="7"/>
  <c r="E100" i="7"/>
  <c r="E102" i="7" s="1"/>
  <c r="O100" i="7"/>
  <c r="Q100" i="7" s="1"/>
  <c r="Q103" i="7"/>
  <c r="E109" i="7"/>
  <c r="Q117" i="7"/>
  <c r="Q119" i="7" s="1"/>
  <c r="O122" i="7"/>
  <c r="E104" i="7"/>
  <c r="O104" i="7"/>
  <c r="Q104" i="7" s="1"/>
  <c r="E105" i="7"/>
  <c r="E111" i="7"/>
  <c r="E114" i="7"/>
  <c r="Q123" i="7"/>
  <c r="Q125" i="7" s="1"/>
  <c r="Q11" i="2"/>
  <c r="E13" i="2"/>
  <c r="E28" i="2"/>
  <c r="E97" i="7" l="1"/>
  <c r="Q25" i="7"/>
  <c r="Q102" i="7"/>
  <c r="Q97" i="7"/>
  <c r="O116" i="7"/>
  <c r="K119" i="7"/>
  <c r="J119" i="7"/>
  <c r="J128" i="7" s="1"/>
  <c r="O97" i="7"/>
  <c r="O128" i="7" s="1"/>
  <c r="C128" i="7"/>
  <c r="Q116" i="7"/>
  <c r="O102" i="7"/>
  <c r="L122" i="7"/>
  <c r="I128" i="7"/>
  <c r="E128" i="7"/>
  <c r="Q128" i="7" l="1"/>
  <c r="K128" i="7"/>
  <c r="M122" i="7"/>
  <c r="N122" i="7" s="1"/>
  <c r="P122" i="7" s="1"/>
  <c r="L119" i="7"/>
  <c r="L128" i="7" l="1"/>
  <c r="M119" i="7"/>
  <c r="M128" i="7" s="1"/>
  <c r="N119" i="7" l="1"/>
  <c r="P119" i="7" l="1"/>
  <c r="P128" i="7" s="1"/>
  <c r="N128" i="7"/>
  <c r="L33" i="1" l="1"/>
  <c r="G24" i="2"/>
  <c r="Q24" i="2" s="1"/>
  <c r="G20" i="2"/>
  <c r="Q20" i="2" s="1"/>
  <c r="F129" i="3" l="1"/>
  <c r="E128" i="3"/>
  <c r="D128" i="3"/>
  <c r="F127" i="3"/>
  <c r="F126" i="3"/>
  <c r="E125" i="3"/>
  <c r="F125" i="3" s="1"/>
  <c r="F124" i="3"/>
  <c r="F123" i="3"/>
  <c r="E122" i="3"/>
  <c r="F122" i="3" s="1"/>
  <c r="F121" i="3"/>
  <c r="F120" i="3"/>
  <c r="F118" i="3"/>
  <c r="D117" i="3"/>
  <c r="F117" i="3" s="1"/>
  <c r="F116" i="3"/>
  <c r="F115" i="3"/>
  <c r="D114" i="3"/>
  <c r="F114" i="3" s="1"/>
  <c r="F113" i="3"/>
  <c r="E112" i="3"/>
  <c r="F112" i="3" s="1"/>
  <c r="F111" i="3"/>
  <c r="F110" i="3"/>
  <c r="F109" i="3"/>
  <c r="F108" i="3"/>
  <c r="E107" i="3"/>
  <c r="D107" i="3"/>
  <c r="F106" i="3"/>
  <c r="F104" i="3"/>
  <c r="E103" i="3"/>
  <c r="E105" i="3" s="1"/>
  <c r="D103" i="3"/>
  <c r="D105" i="3" s="1"/>
  <c r="F102" i="3"/>
  <c r="F101" i="3"/>
  <c r="D99" i="3"/>
  <c r="F99" i="3" s="1"/>
  <c r="F98" i="3"/>
  <c r="F97" i="3"/>
  <c r="F96" i="3"/>
  <c r="F95" i="3"/>
  <c r="F94" i="3"/>
  <c r="F93" i="3"/>
  <c r="F92" i="3"/>
  <c r="D91" i="3"/>
  <c r="F91" i="3" s="1"/>
  <c r="F90" i="3"/>
  <c r="D89" i="3"/>
  <c r="F89" i="3" s="1"/>
  <c r="F88" i="3"/>
  <c r="F87" i="3"/>
  <c r="F86" i="3"/>
  <c r="F85" i="3"/>
  <c r="F84" i="3"/>
  <c r="F83" i="3"/>
  <c r="E82" i="3"/>
  <c r="E100" i="3" s="1"/>
  <c r="D82" i="3"/>
  <c r="F81" i="3"/>
  <c r="F80" i="3"/>
  <c r="F79" i="3"/>
  <c r="F78" i="3"/>
  <c r="D77" i="3"/>
  <c r="F77" i="3" s="1"/>
  <c r="F76" i="3"/>
  <c r="F75" i="3"/>
  <c r="D74" i="3"/>
  <c r="F74" i="3" s="1"/>
  <c r="D73" i="3"/>
  <c r="F73" i="3" s="1"/>
  <c r="F72" i="3"/>
  <c r="D71" i="3"/>
  <c r="F71" i="3" s="1"/>
  <c r="D70" i="3"/>
  <c r="F70" i="3" s="1"/>
  <c r="F69" i="3"/>
  <c r="F68" i="3"/>
  <c r="F67" i="3"/>
  <c r="F66" i="3"/>
  <c r="D65" i="3"/>
  <c r="F65" i="3" s="1"/>
  <c r="F64" i="3"/>
  <c r="F63" i="3"/>
  <c r="F62" i="3"/>
  <c r="F60" i="3"/>
  <c r="F58" i="3"/>
  <c r="F57" i="3"/>
  <c r="F56" i="3"/>
  <c r="F55" i="3"/>
  <c r="F54" i="3"/>
  <c r="F53" i="3"/>
  <c r="F52" i="3"/>
  <c r="E51" i="3"/>
  <c r="F51" i="3" s="1"/>
  <c r="D50" i="3"/>
  <c r="F50" i="3" s="1"/>
  <c r="D49" i="3"/>
  <c r="F49" i="3" s="1"/>
  <c r="F48" i="3"/>
  <c r="F47" i="3"/>
  <c r="E46" i="3"/>
  <c r="D46" i="3"/>
  <c r="F45" i="3"/>
  <c r="F44" i="3"/>
  <c r="F43" i="3"/>
  <c r="D42" i="3"/>
  <c r="F42" i="3" s="1"/>
  <c r="D41" i="3"/>
  <c r="F41" i="3" s="1"/>
  <c r="F40" i="3"/>
  <c r="F39" i="3"/>
  <c r="F38" i="3"/>
  <c r="F37" i="3"/>
  <c r="F36" i="3"/>
  <c r="F35" i="3"/>
  <c r="D34" i="3"/>
  <c r="F33" i="3"/>
  <c r="F32" i="3"/>
  <c r="F31" i="3"/>
  <c r="F30" i="3"/>
  <c r="F29" i="3"/>
  <c r="E28" i="3"/>
  <c r="F27" i="3"/>
  <c r="D26" i="3"/>
  <c r="F26" i="3" s="1"/>
  <c r="D25" i="3"/>
  <c r="F25" i="3" s="1"/>
  <c r="D24" i="3"/>
  <c r="F24" i="3" s="1"/>
  <c r="D23" i="3"/>
  <c r="F23" i="3" s="1"/>
  <c r="F22" i="3"/>
  <c r="F21" i="3"/>
  <c r="F20" i="3"/>
  <c r="D19" i="3"/>
  <c r="F19" i="3" s="1"/>
  <c r="D18" i="3"/>
  <c r="F18" i="3" s="1"/>
  <c r="D17" i="3"/>
  <c r="F17" i="3" s="1"/>
  <c r="D16" i="3"/>
  <c r="F16" i="3" s="1"/>
  <c r="F15" i="3"/>
  <c r="F14" i="3"/>
  <c r="D13" i="3"/>
  <c r="F13" i="3" s="1"/>
  <c r="D12" i="3"/>
  <c r="F12" i="3" s="1"/>
  <c r="F11" i="3"/>
  <c r="D10" i="3"/>
  <c r="D28" i="3" l="1"/>
  <c r="D61" i="3"/>
  <c r="E119" i="3"/>
  <c r="E61" i="3"/>
  <c r="F34" i="3"/>
  <c r="F46" i="3"/>
  <c r="D100" i="3"/>
  <c r="F82" i="3"/>
  <c r="F100" i="3" s="1"/>
  <c r="D119" i="3"/>
  <c r="F128" i="3"/>
  <c r="F28" i="3"/>
  <c r="F103" i="3"/>
  <c r="F105" i="3" s="1"/>
  <c r="F107" i="3"/>
  <c r="F10" i="3"/>
  <c r="F61" i="3" l="1"/>
  <c r="F119" i="3"/>
  <c r="G130" i="3" s="1"/>
  <c r="D130" i="3"/>
  <c r="E130" i="3"/>
  <c r="F130" i="3" l="1"/>
  <c r="P27" i="2"/>
  <c r="O27" i="2"/>
  <c r="N27" i="2"/>
  <c r="M27" i="2"/>
  <c r="L27" i="2"/>
  <c r="K27" i="2"/>
  <c r="J27" i="2"/>
  <c r="I27" i="2"/>
  <c r="H27" i="2"/>
  <c r="G27" i="2"/>
  <c r="P26" i="2"/>
  <c r="O26" i="2"/>
  <c r="N26" i="2"/>
  <c r="M26" i="2"/>
  <c r="L26" i="2"/>
  <c r="K26" i="2"/>
  <c r="J26" i="2"/>
  <c r="I26" i="2"/>
  <c r="H26" i="2"/>
  <c r="G26" i="2"/>
  <c r="P25" i="2"/>
  <c r="O25" i="2"/>
  <c r="N25" i="2"/>
  <c r="L25" i="2"/>
  <c r="K25" i="2"/>
  <c r="J25" i="2"/>
  <c r="I25" i="2"/>
  <c r="H25" i="2"/>
  <c r="F26" i="2"/>
  <c r="F25" i="2"/>
  <c r="G28" i="2" l="1"/>
  <c r="I28" i="2"/>
  <c r="K28" i="2"/>
  <c r="M28" i="2"/>
  <c r="O28" i="2"/>
  <c r="H28" i="2"/>
  <c r="J28" i="2"/>
  <c r="L28" i="2"/>
  <c r="N28" i="2"/>
  <c r="P28" i="2"/>
  <c r="G13" i="6"/>
  <c r="G7" i="6"/>
  <c r="G26" i="6" l="1"/>
  <c r="F27" i="2"/>
  <c r="F28" i="2" s="1"/>
  <c r="G13" i="2"/>
  <c r="H13" i="2"/>
  <c r="I13" i="2"/>
  <c r="J13" i="2"/>
  <c r="K13" i="2"/>
  <c r="L13" i="2"/>
  <c r="M13" i="2"/>
  <c r="N13" i="2"/>
  <c r="O13" i="2"/>
  <c r="P13" i="2"/>
  <c r="F13" i="2"/>
  <c r="M25" i="2"/>
  <c r="O23" i="1"/>
  <c r="N23" i="1"/>
  <c r="M23" i="1"/>
  <c r="K23" i="1"/>
  <c r="J23" i="1"/>
  <c r="I23" i="1"/>
  <c r="H23" i="1"/>
  <c r="G23" i="1"/>
  <c r="E23" i="1"/>
  <c r="F22" i="1"/>
  <c r="P22" i="1" s="1"/>
  <c r="F18" i="1"/>
  <c r="P18" i="1" s="1"/>
  <c r="L23" i="1"/>
  <c r="Q26" i="2" l="1"/>
  <c r="Q13" i="2"/>
  <c r="Q27" i="2"/>
  <c r="Q28" i="2" s="1"/>
  <c r="G25" i="2"/>
  <c r="Q25" i="2" s="1"/>
  <c r="E30" i="2" s="1"/>
  <c r="P23" i="1"/>
  <c r="F23" i="1"/>
  <c r="L25" i="1" l="1"/>
  <c r="D25" i="1"/>
  <c r="J25" i="1"/>
  <c r="I25" i="1"/>
  <c r="O25" i="1"/>
  <c r="N25" i="1"/>
  <c r="E25" i="1"/>
  <c r="J30" i="2"/>
  <c r="F25" i="1"/>
  <c r="M25" i="1"/>
  <c r="H25" i="1"/>
  <c r="K25" i="1"/>
  <c r="G25" i="1"/>
  <c r="P25" i="1" l="1"/>
  <c r="F30" i="2"/>
  <c r="I30" i="2"/>
  <c r="G30" i="2"/>
  <c r="P30" i="2"/>
  <c r="H30" i="2"/>
  <c r="N30" i="2"/>
  <c r="O30" i="2"/>
  <c r="M30" i="2"/>
  <c r="K30" i="2"/>
  <c r="L30" i="2"/>
  <c r="Q30" i="2" l="1"/>
</calcChain>
</file>

<file path=xl/comments1.xml><?xml version="1.0" encoding="utf-8"?>
<comments xmlns="http://schemas.openxmlformats.org/spreadsheetml/2006/main">
  <authors>
    <author>Diana Murillo</author>
  </authors>
  <commentList>
    <comment ref="D62" authorId="0" shapeId="0">
      <text>
        <r>
          <rPr>
            <b/>
            <sz val="9"/>
            <color indexed="81"/>
            <rFont val="Tahoma"/>
            <family val="2"/>
          </rPr>
          <t xml:space="preserve">Presupuesto 2017: Se esta considerando 10 10%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Diana Murillo</author>
  </authors>
  <commentList>
    <comment ref="C59" authorId="0" shapeId="0">
      <text>
        <r>
          <rPr>
            <b/>
            <sz val="9"/>
            <color indexed="81"/>
            <rFont val="Tahoma"/>
            <family val="2"/>
          </rPr>
          <t xml:space="preserve">Presupuesto 2017: Se esta considerando 10 10%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Diana Murillo</author>
  </authors>
  <commentList>
    <comment ref="C59" authorId="0" shapeId="0">
      <text>
        <r>
          <rPr>
            <b/>
            <sz val="9"/>
            <color indexed="81"/>
            <rFont val="Tahoma"/>
            <family val="2"/>
          </rPr>
          <t xml:space="preserve">Presupuesto 2017: Se esta considerando 10 10%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Diana Murillo</author>
  </authors>
  <commentList>
    <comment ref="C60" authorId="0" shapeId="0">
      <text>
        <r>
          <rPr>
            <b/>
            <sz val="9"/>
            <color indexed="81"/>
            <rFont val="Tahoma"/>
            <family val="2"/>
          </rPr>
          <t xml:space="preserve">Presupuesto 2017: Se esta considerando 10 10%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Diana Murillo</author>
  </authors>
  <commentList>
    <comment ref="C59" authorId="0" shapeId="0">
      <text>
        <r>
          <rPr>
            <b/>
            <sz val="9"/>
            <color indexed="81"/>
            <rFont val="Tahoma"/>
            <family val="2"/>
          </rPr>
          <t xml:space="preserve">Presupuesto 2017: Se esta considerando 10 10%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Diana Murillo</author>
  </authors>
  <commentList>
    <comment ref="C60" authorId="0" shapeId="0">
      <text>
        <r>
          <rPr>
            <b/>
            <sz val="9"/>
            <color indexed="81"/>
            <rFont val="Tahoma"/>
            <family val="2"/>
          </rPr>
          <t xml:space="preserve">Presupuesto 2017: Se esta considerando 10 10%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Diana Murillo</author>
  </authors>
  <commentList>
    <comment ref="C60" authorId="0" shapeId="0">
      <text>
        <r>
          <rPr>
            <b/>
            <sz val="9"/>
            <color indexed="81"/>
            <rFont val="Tahoma"/>
            <family val="2"/>
          </rPr>
          <t xml:space="preserve">Presupuesto 2017: Se esta considerando 10 10%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Diana Murillo</author>
  </authors>
  <commentList>
    <comment ref="C61" authorId="0" shapeId="0">
      <text>
        <r>
          <rPr>
            <b/>
            <sz val="9"/>
            <color indexed="81"/>
            <rFont val="Tahoma"/>
            <family val="2"/>
          </rPr>
          <t xml:space="preserve">Presupuesto 2017: Se esta considerando 10 10%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Diana Murillo</author>
  </authors>
  <commentList>
    <comment ref="C62" authorId="0" shapeId="0">
      <text>
        <r>
          <rPr>
            <b/>
            <sz val="9"/>
            <color indexed="81"/>
            <rFont val="Tahoma"/>
            <family val="2"/>
          </rPr>
          <t xml:space="preserve">Presupuesto 2017: Se esta considerando 10 10%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<sst xmlns="http://schemas.openxmlformats.org/spreadsheetml/2006/main" count="1995" uniqueCount="325">
  <si>
    <t>CUENTAS CONAC</t>
  </si>
  <si>
    <t>93 SUBSIDIOS Y SUBVENCIONES</t>
  </si>
  <si>
    <t>94 AYUDAS SOCIALES</t>
  </si>
  <si>
    <t>52 PRODUCTOS DE CAPITAL</t>
  </si>
  <si>
    <t>71 INGRESOS POR VENTAS DE BIENES Y SERVICIOS DE ORGANISMOS DESCENTRALIZADOS</t>
  </si>
  <si>
    <t>ACUMULADO</t>
  </si>
  <si>
    <t>DONATIVOS</t>
  </si>
  <si>
    <t>VENTA DE</t>
  </si>
  <si>
    <t>RECUPERAC.</t>
  </si>
  <si>
    <t xml:space="preserve">VENTA </t>
  </si>
  <si>
    <t xml:space="preserve">OTROS </t>
  </si>
  <si>
    <t xml:space="preserve">INGRESOS </t>
  </si>
  <si>
    <t>CONCEPTOS</t>
  </si>
  <si>
    <t xml:space="preserve">SUBSIDIO </t>
  </si>
  <si>
    <t>EN</t>
  </si>
  <si>
    <t>PRODUCTOS</t>
  </si>
  <si>
    <t>CUOTAS DE</t>
  </si>
  <si>
    <t xml:space="preserve">BIENES </t>
  </si>
  <si>
    <t>DE</t>
  </si>
  <si>
    <t>INGRESOS</t>
  </si>
  <si>
    <t>GESTIONADOS</t>
  </si>
  <si>
    <t>MES</t>
  </si>
  <si>
    <t>ESTATAL</t>
  </si>
  <si>
    <t>EFECTIVO</t>
  </si>
  <si>
    <t>ESPECIE</t>
  </si>
  <si>
    <t>FINANCS.</t>
  </si>
  <si>
    <t>INTERNADO</t>
  </si>
  <si>
    <t>DONADOS</t>
  </si>
  <si>
    <t>GASTOS</t>
  </si>
  <si>
    <t>DESECHOS</t>
  </si>
  <si>
    <t>RENTAS</t>
  </si>
  <si>
    <t>JTA.GBNO.</t>
  </si>
  <si>
    <t>MENSUAL</t>
  </si>
  <si>
    <t>ENERO</t>
  </si>
  <si>
    <t>FEB</t>
  </si>
  <si>
    <t>MARZO</t>
  </si>
  <si>
    <t>ABRIL</t>
  </si>
  <si>
    <t>MAYO</t>
  </si>
  <si>
    <t>JUNIO</t>
  </si>
  <si>
    <t>JULIO</t>
  </si>
  <si>
    <t>AGOSTO</t>
  </si>
  <si>
    <t>SEPT.</t>
  </si>
  <si>
    <t>OCT</t>
  </si>
  <si>
    <t>NOV.</t>
  </si>
  <si>
    <t>DIC</t>
  </si>
  <si>
    <t>TOTALES</t>
  </si>
  <si>
    <t>NOTA NO.</t>
  </si>
  <si>
    <t>TOTAL ANUAL</t>
  </si>
  <si>
    <t>PORCENTAJE</t>
  </si>
  <si>
    <t>CONSIDERACIONES AL ANTEPROYECTO DE PRESUPUESTO DE INGRESOS 2017</t>
  </si>
  <si>
    <t>CABE SEÑALAR QUE EN EL 2016 SE APROBÓ UN RECURSO FISCAL EXTRAORDINARIO POR LA CANTIDAD DE $1,506,966.00 PARA CUBRIR EL AUMENTO SALARIAL DE LOS TRABAJADORES DE NIVEL 1 AL 11</t>
  </si>
  <si>
    <t>SE CONSIDERÓ EL IMPORTE DE LO RECAUDADO DURANTE EL EJERCICIO 2016 INCREMENTADO EN UN 10%</t>
  </si>
  <si>
    <t>SE CONSIDERARON LOS DONATIVOS RECIBIDOS DURANTE EL EJERCICIO 2016 INCREMENTADO EN UN 10%</t>
  </si>
  <si>
    <t>SE CONSIDERA EL PROMEDIO MENSUAL DEL EJERCICIO 2016, TOMANDO EN CUENTA QUE LA INVERSIÓN SE DEBERÁ MANTENER EN LAS MISMAS PROPORCIONES</t>
  </si>
  <si>
    <t>SE CONSIDERÓ LO EFECTIVAMENTE COBRADO EN EL EJERCICIO FISCAL 2016</t>
  </si>
  <si>
    <t>SE CONSIDERA EL PROMEDIO DEL EJERCICIO 2016</t>
  </si>
  <si>
    <t>SE CONSIDERA EL COBRO MENSUAL POR LA RENTA DE LA CASA UBICADA EN RÍO TEPATITLÁN 1973 COL. ATLAS.</t>
  </si>
  <si>
    <t>SE CONSIDERA LA REALIZACIÓN DE POR LO MENOS UN EVENTO O ACTIVIDAD ENCAMINADA A LA RECAUDACIÓN DE FONDOS, ORGANIZADO DIRECTAMENTE POR LOS MIEMBROS DE LA JUNTA DE GOBIERNO.</t>
  </si>
  <si>
    <t>PROYECTO DE  PRESUPUESTO DE INGRESOS POR EL EJERCICIO DEL 2017</t>
  </si>
  <si>
    <r>
      <t>T</t>
    </r>
    <r>
      <rPr>
        <b/>
        <sz val="8"/>
        <color theme="0"/>
        <rFont val="Arial"/>
        <family val="2"/>
      </rPr>
      <t>OTAL</t>
    </r>
  </si>
  <si>
    <t>PRESUPUESTO DE INGRESOS ENERO 2017</t>
  </si>
  <si>
    <t>PRESUPUESTADO ENERO</t>
  </si>
  <si>
    <t>DIFERENCIA</t>
  </si>
  <si>
    <t>HOGAR CABAÑAS.</t>
  </si>
  <si>
    <t xml:space="preserve">RELACION DE TRANSFERENCIAS  ORIGEN Y DESTINO, AMPLIACIONES Y REDUCCIONES PRESUPUESTALES </t>
  </si>
  <si>
    <t>PARTIDAS ORIGEN</t>
  </si>
  <si>
    <t>NOMBRE</t>
  </si>
  <si>
    <t>IMPORTE</t>
  </si>
  <si>
    <t>TOTAL PARTIDAS DE ORIGEN</t>
  </si>
  <si>
    <t>PARTIDA DESTINO</t>
  </si>
  <si>
    <t>TOTAL PARTIDAS DE DESTINO</t>
  </si>
  <si>
    <t>PARTIDA AMPLIAC.</t>
  </si>
  <si>
    <t>AMPLIACIONES PRESUPUESTALES</t>
  </si>
  <si>
    <t>TOTAL DE AMPLIACIONES PRESUPUESTALES</t>
  </si>
  <si>
    <t>DEL MES DE ENERO DE 2017.</t>
  </si>
  <si>
    <t>HOGAR CABAÑAS</t>
  </si>
  <si>
    <t>GASTOS SEGÚN ESTADO DE RESULTADOS</t>
  </si>
  <si>
    <t>MENOS</t>
  </si>
  <si>
    <t>DEPRECIACION DE MOBILIARIO Y EQUIPO</t>
  </si>
  <si>
    <t>DEPRECIACION EQUIPO DE TRANSPORTE</t>
  </si>
  <si>
    <t>DEPRECIACION EQUIPO DE COMPUTO</t>
  </si>
  <si>
    <t>DEPRECIACION DE EDIFICIO</t>
  </si>
  <si>
    <t>DEPRECIACION DE MOB. Y EQUIPO INDUSTRIAL</t>
  </si>
  <si>
    <t>MAS</t>
  </si>
  <si>
    <t>MUEBLES DE OFICINA Y ESTANTERIA</t>
  </si>
  <si>
    <t>MUEBLES EXCEPTO DE OFICINA Y ESTANTERIA</t>
  </si>
  <si>
    <t>EQUIPO DE COMPUTO Y DE TECNOLOGIA DE LA INFORMACION</t>
  </si>
  <si>
    <t>OTROS MOBILIARIOS Y EQUIPOS DE ADMINISTRACION</t>
  </si>
  <si>
    <t>EQUIPOS Y APARATOS AUDIOVISUALES</t>
  </si>
  <si>
    <t>MAQUINARIA Y EQUIPO INDUSTRIAL</t>
  </si>
  <si>
    <t>SISTEMAS DE AIRE ACONDICIONADO, CALEFACCION Y DE REFRIGERACION</t>
  </si>
  <si>
    <t>VEHICULOS Y CAMIONES</t>
  </si>
  <si>
    <t>SOFTWARE</t>
  </si>
  <si>
    <t>LICENCIAS INFORMATICAS E INTELECTUALES</t>
  </si>
  <si>
    <t>SUBSIDIO AL EMPLEO</t>
  </si>
  <si>
    <t>IGUAL</t>
  </si>
  <si>
    <t>CONCILIACION CONTABLE PRESUPUESTAL AL 31 DE ENERO DE 2017</t>
  </si>
  <si>
    <t>DIFERENCIA GLOBAL</t>
  </si>
  <si>
    <t>PROYECTO DE PRESUPUESTO DE EGRESOS 2017</t>
  </si>
  <si>
    <t>PART</t>
  </si>
  <si>
    <t>DESCRIPCIÓN</t>
  </si>
  <si>
    <t>TOTAL</t>
  </si>
  <si>
    <t>SUELDO BASE</t>
  </si>
  <si>
    <t>PRIMA QUINQUENAL POR AÑOS DE SERVICIOS EFECTIVOS PRESTADOS</t>
  </si>
  <si>
    <t>PRIMA VACACIONAL Y DOMINICAL</t>
  </si>
  <si>
    <t>AGUINALDO</t>
  </si>
  <si>
    <t>REMUNERACIONES HRS.EXTRAORDINARIAS</t>
  </si>
  <si>
    <t>OTRAS COMPENSACIONES</t>
  </si>
  <si>
    <t>CUOTAS AL IMSS ENFERMEDADES Y MATERNIDAD</t>
  </si>
  <si>
    <t>CUOTAS PARA LA VIVIENDA</t>
  </si>
  <si>
    <t>CUOTAS A PENSIONES</t>
  </si>
  <si>
    <t>CUOTAS P/SISTEMA DE AHORRO P/EL RETIRO (SEDAR)</t>
  </si>
  <si>
    <t>CUOTAS PARA EL SEGURO DE VIDA DEL PERSONAL</t>
  </si>
  <si>
    <t>INDEMNIZACIONES POR SEPARACION</t>
  </si>
  <si>
    <t>ESTIMULOS AL PERSONAL</t>
  </si>
  <si>
    <t>IMPACTO AL SALARIO EN EL TRANSCURSO DEL AÑO</t>
  </si>
  <si>
    <t>AYUDA PARA DESPENSA</t>
  </si>
  <si>
    <t>AYUDA PARA PASAJES</t>
  </si>
  <si>
    <t>ESTIMULO POR EL DIA DEL SERVIDOR PUBLICO</t>
  </si>
  <si>
    <t>ESTIMULOS DE ANTIGÜEDAD</t>
  </si>
  <si>
    <t>TOTAL CAPÍTULO 1000</t>
  </si>
  <si>
    <t>MATERIALES UTILES Y EQUIPOS MENORES  DE OFICINA</t>
  </si>
  <si>
    <t>MATERIALES UTILES Y EQUIPOS MENORES DE TECNOLOGIAS DE LA INFORMACION Y COMUNICACIONES</t>
  </si>
  <si>
    <t>MATERIAL DE LIMPIEZA</t>
  </si>
  <si>
    <t>MATERIALES Y ÚTILES DE ENSEÑANZA</t>
  </si>
  <si>
    <t>PRODUCTOS ALIMENTICIOS PARA PERSONAS DERIVADO DE LA PRESTACIÓN DE SERVICIOS PÚBLICOS EN UNIDADES DE SALUD, EDUCATIVAS, DE READAPTACIÓN SOCIAL Y OTRAS</t>
  </si>
  <si>
    <t>PRODUCTOS ALIMENTICIOS PARA EL PERSONAL EN LAS INSTALACIONES DE LAS DEPENDENCIAS Y ENTIDADES</t>
  </si>
  <si>
    <t>UTENSILIOS PARA EL SERVICIO DE ALIMENTACION</t>
  </si>
  <si>
    <t>PRODUCTOS MINERALES NO METALICOS</t>
  </si>
  <si>
    <t>CEMENTO Y PRODUCTOS DE CONCRETO</t>
  </si>
  <si>
    <t>CAL, YESO Y PRODUCTOS DE YESO</t>
  </si>
  <si>
    <t>MADERA Y PRODUCTOS DE MADERA</t>
  </si>
  <si>
    <t>VIDRIO Y PRODUCTOS DE VIDRIO</t>
  </si>
  <si>
    <t>MATERIAL ELECTRICO Y ELECTRONICO</t>
  </si>
  <si>
    <t>ARTICULOS METALICOS PARA LA CONSTRUCCION</t>
  </si>
  <si>
    <t>MATERIALES COMPLEMENTARIOS</t>
  </si>
  <si>
    <t>OTROS MATERIALES Y ARTICULOS DE CONSTRUCCION Y REPARACION</t>
  </si>
  <si>
    <t>FERTILIZANTES PESTICIDAS Y OTROS AGROQUIMICOS</t>
  </si>
  <si>
    <t>MEDICINAS Y PRODUCTOS FARMACEUTICOS</t>
  </si>
  <si>
    <t>MATERIALES ACCESORIOS Y SUMINISTROS MEDICOS</t>
  </si>
  <si>
    <t>MATERIALES, ACCESORIOS Y SUMINISTROS DE LABORATORIO</t>
  </si>
  <si>
    <t>COMBUSTIBLES, LUBRICANTES Y ADITIVOS PARA VEHICULOS DESTINADOS A SERVICIOS PÚBLICOS Y LA OPERACIÓN DE PROGRAMAS PÚBLICOS</t>
  </si>
  <si>
    <t>COMBUSTIBLES, LUBRICANTES Y ADITIVOS PARA MAQUINARIA Y EQUIPO DE PRODUCCION</t>
  </si>
  <si>
    <t>VESTUARIO Y UNIFORMES</t>
  </si>
  <si>
    <t>PRENDAS DE SEGURIDAD Y PROTECCION PERSONAL</t>
  </si>
  <si>
    <t>ARTICULOS DEPORTIVOS</t>
  </si>
  <si>
    <t>PRODUCTOS TEXTILES</t>
  </si>
  <si>
    <t>BLANCOS</t>
  </si>
  <si>
    <t>HERRAMIENTAS MENORES</t>
  </si>
  <si>
    <t>REFACCIONES Y ACCESORIOS MENORES DE EDIFICIOS</t>
  </si>
  <si>
    <t>REFACCIONES Y ACCESORIOS MENORES DE MOB Y EQUIPO</t>
  </si>
  <si>
    <t>REFACCIONES Y ACCESORIOS MENORES DE EQUIPO DE COMPUTO</t>
  </si>
  <si>
    <t>REFACCIONES Y ACCESORIOS MENORES DE EQUIPO DE TRANSPORTE</t>
  </si>
  <si>
    <t>TOTAL CAPÍTULO 2000</t>
  </si>
  <si>
    <t>SERVICIO DE ENERGIA ELECTRICA</t>
  </si>
  <si>
    <t>SERVICIO DE GAS</t>
  </si>
  <si>
    <t>SERVICIO DE AGUA POTABLE</t>
  </si>
  <si>
    <t>TELEFONIA TRADICIONAL</t>
  </si>
  <si>
    <t>SERV DE ACCESO DE INTERNET, REDES Y PROCTO. DE INF.</t>
  </si>
  <si>
    <t>SERVICIO POSTAL</t>
  </si>
  <si>
    <t>ARRENDAMIENTO DE EQUIPO Y BIENES INFORMÁTICOS</t>
  </si>
  <si>
    <t>ARRENDAMIENTO DE MAQUINARIA, OTROS EQUIPOS Y HERRAMIENTAS</t>
  </si>
  <si>
    <t>SERVS. LEGALES, DE CONTABILIDAD, AUDITORIA Y RELACS.</t>
  </si>
  <si>
    <t>SERVS. DE CONSULTORIA ADMINISTRATIVA E INFORMATICA</t>
  </si>
  <si>
    <t>CAPACITACION INSTITUCIONAL</t>
  </si>
  <si>
    <t>CAPACITACION ESPECIALIZADA</t>
  </si>
  <si>
    <t>SERVICIOS DE INVESTIGACIÓN CIENTÍFICA Y DESARROLLO</t>
  </si>
  <si>
    <t>IMPRESIONES DE PAPELERIA OFICIAL</t>
  </si>
  <si>
    <t>SERVICIOS DE IMPRESIÓN DE MATERIAL INFORMATIVO DERIVADO DE LA OPERACIÓN Y ADMINISTRACIÓN</t>
  </si>
  <si>
    <t>SERVICIOS PROFESIONALES, CIENTIFICOS Y TECNICOS</t>
  </si>
  <si>
    <t>SERVICIOS FINANCIEROS Y BANCARIOS</t>
  </si>
  <si>
    <t>SEGURO DE BIENES PATRIMONIALES</t>
  </si>
  <si>
    <t>FLETES Y MANIOBRAS</t>
  </si>
  <si>
    <t>COMISIONES POR VENTAS</t>
  </si>
  <si>
    <t>CONSERVACION Y MANTENIMINETO MENOR DE INMUEBLES PARA LA PRESTACIÓN DE SERVICIOS PÚBLICOS</t>
  </si>
  <si>
    <t>INST. REP. DE MOBILIARIO Y EPOS DE ADMON.</t>
  </si>
  <si>
    <t>INSTALACIÓN, REPARACIÓN Y MANTENIMIENTO DE EQUIPO DE CÓMPUTO Y TECNOLOGÍAS DE LA INFORMACIÓN</t>
  </si>
  <si>
    <t>REPARACION Y MANTO. DE EQUIPO DE TRANSPORTE</t>
  </si>
  <si>
    <t>INSTALACIÓN, REPARACIÓN Y MANTENIMIENTO DE MAQUINARIA Y OTROS EQUIPOS</t>
  </si>
  <si>
    <t>INSTALACIÓN, REPARACIÓN Y MANTENIMIENTO DE MAQUINARIA Y EQUIPO DE TRABAJO ESPECÍFICO</t>
  </si>
  <si>
    <t>SERVICIO DE LIMPIEZA Y MANEJO DE DESECHOS</t>
  </si>
  <si>
    <t>SERVICIO DE JARDINERIA Y FUMIGACION</t>
  </si>
  <si>
    <t>PASAJES TERRESTRES</t>
  </si>
  <si>
    <t>VIATICOS EN EL PAIS</t>
  </si>
  <si>
    <t>OTROS SERVICIOS DE TRASLADO Y HOSPEDAJE</t>
  </si>
  <si>
    <t>GASTOS DE ORDEN SOCIAL</t>
  </si>
  <si>
    <t>GASTOS DE ORDEN CULTURAL</t>
  </si>
  <si>
    <t>IMPUESTOS Y DERECHOS</t>
  </si>
  <si>
    <t>LAUDOS LABORALES</t>
  </si>
  <si>
    <t>OTRAS EROGACIONES POR RESOLUCIONES POR AUTORIDAD COMPETENTE</t>
  </si>
  <si>
    <t>IMPUESTO SOBRE NÓMINAS Y OTROS QUE SE DERIVEN DE UNA RELACIÓN LABORAL</t>
  </si>
  <si>
    <t>GASTOS MENORES</t>
  </si>
  <si>
    <t>TOTAL CAPÍTULO 3000</t>
  </si>
  <si>
    <t>AYUDAS PARA GASTOS POR SERVICIOS DE TRASLADO DE PERSONAS</t>
  </si>
  <si>
    <t>AYUDA PARA LA ASISTENCIA SOCIAL EXTRAORDINARIA</t>
  </si>
  <si>
    <t>AYUDAS PARA CAPACITACION Y BECAS</t>
  </si>
  <si>
    <t>TOTAL CAPÍTULO 4000</t>
  </si>
  <si>
    <t>OTROS MOBILIARIOS EQUIPO EDUCACIONAL Y RECREATI</t>
  </si>
  <si>
    <t>EQUIPO MEDICO Y DE LABORATORIO</t>
  </si>
  <si>
    <t>SIST. DE AIRE ACONDICIONADO, CALEFACCION Y DE REF.</t>
  </si>
  <si>
    <t>EQUIPO DE GENERACIÓN ELÉCTRICA, APARATOS Y ACCESORIOS ELÉCTRICOS</t>
  </si>
  <si>
    <t>VEHICULOS Y EQUIPOS TERRRESTRES</t>
  </si>
  <si>
    <t>TOTAL CAPÍTULO 5000</t>
  </si>
  <si>
    <t>INSTALACIONES Y EQUIPAMIENTO EN CONSTRUCCIONES</t>
  </si>
  <si>
    <t>EDIFICACION HABITACIONAL</t>
  </si>
  <si>
    <t>TOTAL CAPÍTULO 6000</t>
  </si>
  <si>
    <t>TOTAL CAPÍTULO 7000</t>
  </si>
  <si>
    <t>PROVISIONES PARA EROGACIONES ESPECIALES (PROGRAMA DE PROTECCION CIVIL)</t>
  </si>
  <si>
    <t>TOTAL CAPÍTULO 9000</t>
  </si>
  <si>
    <t>SUMA GLOBAL</t>
  </si>
  <si>
    <t>ASIGNACION INICIAL ESTATAL</t>
  </si>
  <si>
    <t>PRESUPUESTADO</t>
  </si>
  <si>
    <t>EJERCIDO</t>
  </si>
  <si>
    <t>TRANSFERENCIAS</t>
  </si>
  <si>
    <t>TOTAL ANUAL APROBADO</t>
  </si>
  <si>
    <t>TOTAL MENSUAL ACUMULADO EJERCIDO</t>
  </si>
  <si>
    <t>DISPONIBLE GLOBAL</t>
  </si>
  <si>
    <t>DISPONIBLE</t>
  </si>
  <si>
    <t>ORIGEN</t>
  </si>
  <si>
    <t>DESTINO</t>
  </si>
  <si>
    <t>AMPLIACIONES</t>
  </si>
  <si>
    <t>REDUCCIONES</t>
  </si>
  <si>
    <t>PROPIOS</t>
  </si>
  <si>
    <t>PRESUPUESTADO AUTORIZADO</t>
  </si>
  <si>
    <t>PROGRAMA 373 "ATENCION INTEGRAL DE NIÑAS, NIÑOS Y ADOLESCENTES EN SITUACION DE VULNERABILIDAD</t>
  </si>
  <si>
    <t>COMPARATIVO DE  PRESUPUESTO DE EGRESOS AL 31 DE ENERO 2017</t>
  </si>
  <si>
    <t>SUMAS</t>
  </si>
  <si>
    <t>ADECUACION PRESUPUESTAL</t>
  </si>
  <si>
    <t>SE REQUIERE DEFINIR SI SE RETOMARÁN LAS VENTAS DE PRODUCTOS DONADOS NO UTILIZADOS EN LA INSTITUCIÓN, PARA LOS TRABAJADORES.</t>
  </si>
  <si>
    <t>RESUMEN GENERAL</t>
  </si>
  <si>
    <t>INGRESOS CON RECURSOS FISCALES</t>
  </si>
  <si>
    <t>INGRESOS PROPIOS</t>
  </si>
  <si>
    <t>REMANENTES DE EJERCICIOS ANTERIORES</t>
  </si>
  <si>
    <t>INGRESOS PROPIOS REALES DEL EJERCICIO</t>
  </si>
  <si>
    <t>PRESUPUESTO DE INGRESO TOTAL</t>
  </si>
  <si>
    <t xml:space="preserve">SE CONSIDERA LA CUOTA DE RECUPERACIÓN POR ALIMENTOS A LOS TRABAJADORES </t>
  </si>
  <si>
    <t>ANTERIORES</t>
  </si>
  <si>
    <t xml:space="preserve">REMANENTES DE </t>
  </si>
  <si>
    <t>EJERCICIOS FISCALES</t>
  </si>
  <si>
    <t>APORTACION</t>
  </si>
  <si>
    <t>COMPLEMENTARIA</t>
  </si>
  <si>
    <t>REFRENDOS</t>
  </si>
  <si>
    <t>SE CONSIDERARON LOS RECURSOS FISCALES APROBADOS EN EL PRESUPUESTO DE EGRESOS PUBLICADO EN EL DECRETO NÚMERO 26260/LXI/16 DEL 31 DE DICIEMBRE DE 2016, EN EL CUAL $47´061,687 CORRESPONDEN AL</t>
  </si>
  <si>
    <t>SUBSIDIO ESTATAL PARA PAGO DE GASTOS DEL CAPITULO 1000 Y LAS APORTACIONES COMPLEMENTARIAS EN EL PAGO DE REFRENDOS POR $39´999,519 PARA SUFRAGAR EL PAGO DE GASTOS GENERALES</t>
  </si>
  <si>
    <t>PRESUPUESTADO ACUM. PERIODO</t>
  </si>
  <si>
    <t>RECAUDADO DEL PERIODO</t>
  </si>
  <si>
    <t>RECAUDADO ENERO</t>
  </si>
  <si>
    <t>FEBRERO</t>
  </si>
  <si>
    <t>SEPTIEMBRE</t>
  </si>
  <si>
    <t>OCTUBRE</t>
  </si>
  <si>
    <t>NOVIEMBRE</t>
  </si>
  <si>
    <t>DICIEMBRE</t>
  </si>
  <si>
    <t xml:space="preserve">SE CONSIDERARON LOS RECURSOS FISCALES APROBADOS EN EL PRESUPUESTO DE EGRESOS PUBLICADO EN EL DECRETO NÚMERO 26260/LXI/16 DEL 31 DE DICIEMBRE DE 2016, EN EL CUAL $47´061,687 </t>
  </si>
  <si>
    <t xml:space="preserve">CORRESPONDEN AL SUBSIDIO ESTATAL PARA PAGO DE GASTOS DEL CAPITULO 1000 Y LAS APORTACIONES COMPLEMENTARIAS EN EL PAGO DE REFRENDOS POR $39´999,519 PARA SUFRAGAR EL PAGO DE GASTOS </t>
  </si>
  <si>
    <t>GENERALES,CABE SEÑALAR QUE EN EL 2016 SE APROBÓ UN RECURSO FISCAL EXTRAORDINARIO POR LA CANTIDAD DE $1,506,966.00 PARA CUBRIR EL AUMENTO SALARIAL DE LOS TRABAJADORES DE NIVEL 1 AL 11</t>
  </si>
  <si>
    <t>EN EL MES DE ENERO EN LA DISTRIBUCION PRESUPUESTAL SE "AJUSTO" A LAS CANTIDADES QUE "Casi" REALMENTE SE EJERCIERON POR NO TENER UN PRESUPUESTO DISTRIBUIDO.</t>
  </si>
  <si>
    <t>TOTAL  EJERCIDO  ENERO DE 2017</t>
  </si>
  <si>
    <t>PRESUPUESTADO AUTORIZADO.</t>
  </si>
  <si>
    <t>COMPARATIVO DE  PRESUPUESTO DE EGRESOS AL 28 DE FEBRERO 2017</t>
  </si>
  <si>
    <t>TOTAL DISPONIBLE</t>
  </si>
  <si>
    <t>PARA ADECUACIONES PRESUPUESTALES</t>
  </si>
  <si>
    <t>CONSIDERAR LOS DESTINOS DE LOS  MESES DE ENERO A DICIEMBRE PARA SABER LA CANTIDAD DISPONIBLE PARA LAS RESPECTIVAS ADECUACIONES PRESUPUESTALES</t>
  </si>
  <si>
    <t>CONCILIACION CONTABLE PRESUPUESTAL AL 28 DE FEBRERO DE 2017</t>
  </si>
  <si>
    <t>FIBRAS SINTETICAS, HULES, PLASTICOS Y DERIVADOS</t>
  </si>
  <si>
    <t>PRESUPUESTADO APROBADO</t>
  </si>
  <si>
    <t>TOTAL FEBRERO ACUMULADO EJERCIDO 2017</t>
  </si>
  <si>
    <t>PRESUPUESTO DE INGRESOS FEBRERO 2017</t>
  </si>
  <si>
    <t>RECAUDADO FEBRERO</t>
  </si>
  <si>
    <t>PRESUPUESTADO FEBRERO</t>
  </si>
  <si>
    <t>SERVICIOS DE DISEÑO, ARQUITECTURA, INGENIERIA Y ACT R</t>
  </si>
  <si>
    <t>* SE TOMO DE LA PARTIDA 7991 EL IMPORTE DE $389,631.00 POR CONCEPTO DE CIRCUITO CERRADO DE TV</t>
  </si>
  <si>
    <t>* SE TOMO DE LA PARTIDA 7991 EL IMPORTE POR $50,808.00 POR CONCEPTO DE LA INSTALACION DE PELICULA ANTIESTALLANTE</t>
  </si>
  <si>
    <t>SERVICIOS DE DISEÑO, ARQUITECTURA, INGENIERIA Y ACTIVIDADES RELACIONADAS</t>
  </si>
  <si>
    <t>* SE TOMO DE LA PARTIDA 7991 EL IMPORTE POR $195,869.00 POR CONCEPTO DE DICTAMEN ESTRUCTURAL Y DE MECANICA DE SUELOS</t>
  </si>
  <si>
    <t>PRESUPUESTO</t>
  </si>
  <si>
    <t>MODIFICADO</t>
  </si>
  <si>
    <t xml:space="preserve">SALDO </t>
  </si>
  <si>
    <t>COMPARATIVO DE  PRESUPUESTO DE EGRESOS AL 28 DE FEBRERO DE  2017</t>
  </si>
  <si>
    <t xml:space="preserve">A </t>
  </si>
  <si>
    <t>B</t>
  </si>
  <si>
    <t>D</t>
  </si>
  <si>
    <t xml:space="preserve">F </t>
  </si>
  <si>
    <t xml:space="preserve">G </t>
  </si>
  <si>
    <t xml:space="preserve">H </t>
  </si>
  <si>
    <t xml:space="preserve">I </t>
  </si>
  <si>
    <t xml:space="preserve">J </t>
  </si>
  <si>
    <t>K</t>
  </si>
  <si>
    <t>J=C-F+G-H+I</t>
  </si>
  <si>
    <t>C=A+B</t>
  </si>
  <si>
    <t>E</t>
  </si>
  <si>
    <t>k=J-E</t>
  </si>
  <si>
    <t>L</t>
  </si>
  <si>
    <t>M</t>
  </si>
  <si>
    <t>N</t>
  </si>
  <si>
    <t>O</t>
  </si>
  <si>
    <t>P</t>
  </si>
  <si>
    <t>Q</t>
  </si>
  <si>
    <t>R=C-F+G-H+I</t>
  </si>
  <si>
    <t>S=J-E</t>
  </si>
  <si>
    <t>PRESUPUESTO DE INGRESOS MARZO 2017</t>
  </si>
  <si>
    <t>PRESUPUESTADO MARZO</t>
  </si>
  <si>
    <t>RECAUDADO MARZO</t>
  </si>
  <si>
    <t>CONCILIACION CONTABLE PRESUPUESTAL AL 31 DE MARZO DE 2017</t>
  </si>
  <si>
    <t>TOTAL MARZO ACUMULADO EJERCIDO 2017</t>
  </si>
  <si>
    <t>*TRANSFERENCIA DE 250,000.00 A LA PARTIDA 1211 HONORARIOS ASIMILABLES A SALARIOS PARA CUIDADORAS POR LOS MESES DE  ABRIL A</t>
  </si>
  <si>
    <t xml:space="preserve"> JUNIO DE 2017</t>
  </si>
  <si>
    <t>COMPARATIVO DE  PRESUPUESTO DE EGRESOS AL 31 DE MARZO 2017</t>
  </si>
  <si>
    <t>CONSERVACION Y MANTENIMIENTO MENOR DE INMUEBLES PARA LA PRESTACIÓN DE SERVICIOS PÚBLICOS</t>
  </si>
  <si>
    <t>ARRENDAMIENTO DE MOBILIARIO Y EQUIPO DE ADMON,ED</t>
  </si>
  <si>
    <t>SERVICIOS DE LA INDUSTRIA FILMICA, DEL SONIDO Y DEL VIDEO</t>
  </si>
  <si>
    <t>* SE TOMO DE LA PARTIDA 7991 EL IMPORTE POR $69,999.00 POR CONCEPTO DE LA INSTALACION DE PELICULA ANTIESTALLANTE</t>
  </si>
  <si>
    <t>TOTAL ABRIL ACUMULADO EJERCIDO 2017</t>
  </si>
  <si>
    <t>CONCILIACION CONTABLE PRESUPUESTAL AL 30 DE ABRIL DE 2017</t>
  </si>
  <si>
    <t>AUTORIZACIONES DE LA JUNTA DE GOBIERNO PARA LA REALIZACION DE TRANSFERENCIAS, AMPLIACIONES Y REDUCCIONES</t>
  </si>
  <si>
    <t>PRESUPUESTALES DEL MES DE MARZO SEGÚN RELACION:</t>
  </si>
  <si>
    <t>PRESUPUESTALES DEL MES DE FEBRERO SEGÚN RELACION:</t>
  </si>
  <si>
    <t>ARRENDAMIENTO DE MOBILIARIO Y EQUIPO DE ADMON,EDUCACIONAL Y RECREATIVO</t>
  </si>
  <si>
    <t>Y PRODUCCION DE VIDEO DEL 4TO INFORME DE ACTIVIDADES DEL HOGAR CABAÑAS).</t>
  </si>
  <si>
    <t>(RENTA DE PANTALLA Y EQUIPO DE SONIDO) DEBIDO A LA PRESENTACION DEL 4TO INFORME DE ACTIVIDADES DEL HOGAR CABAÑAS.</t>
  </si>
  <si>
    <t>* SE AUTORIZA LA CREACION DE LA PARTIDA 3651 SERVICIOS DE LA INDUSTRIA FILMICA, DEL SONIDO Y DEL VIDEO (DISEÑO,FILMACION,</t>
  </si>
  <si>
    <t>* SE AUTORIZA LA CREACION DE LA PARTIDA 3231 ARRENDAMIENTO DE MOBILIARIO Y EQUIPO DE ADMINISTRACION, EDUCACIONAL Y RECREATIVO</t>
  </si>
  <si>
    <t>PRESUPUESTALES DEL MES DE ABRIL SEGÚN RELACION:</t>
  </si>
  <si>
    <t>HONORARIOS ASIMILABLES A SALARIOS</t>
  </si>
  <si>
    <t>* SE AUTORIZA LA CREACION DE LA PARTIDA 1211 HONORARIOS ASIMILABLES A SALARIOS, CON EL FIN DE SUFRAGAR LOS PAGOS</t>
  </si>
  <si>
    <t>CORRESPONDIENTES AL PERSONAL CONTRATADO PARA LA IMPLEMENTACION DE LOS PROGRAMAS ESTRATEGICOS DEL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</si>
</sst>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.00;[Red]#,##0.00"/>
    <numFmt numFmtId="166" formatCode="_-&quot;$&quot;* #,##0_-;\-&quot;$&quot;* #,##0_-;_-&quot;$&quot;* &quot;-&quot;??_-;_-@_-"/>
    <numFmt numFmtId="167" formatCode="0000"/>
    <numFmt numFmtId="168" formatCode="&quot;$&quot;#,##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sz val="6"/>
      <name val="Arial"/>
      <family val="2"/>
    </font>
    <font>
      <b/>
      <sz val="10"/>
      <color indexed="9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2"/>
      <color indexed="9"/>
      <name val="Arial"/>
      <family val="2"/>
    </font>
    <font>
      <i/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i/>
      <sz val="12"/>
      <color rgb="FF000000"/>
      <name val="Arial"/>
      <family val="2"/>
    </font>
    <font>
      <sz val="12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318">
    <xf numFmtId="0" fontId="0" fillId="0" borderId="0" xfId="0"/>
    <xf numFmtId="0" fontId="2" fillId="0" borderId="0" xfId="0" applyFont="1"/>
    <xf numFmtId="0" fontId="3" fillId="0" borderId="0" xfId="0" applyFont="1"/>
    <xf numFmtId="43" fontId="5" fillId="0" borderId="0" xfId="1" applyFont="1"/>
    <xf numFmtId="43" fontId="2" fillId="0" borderId="0" xfId="1" applyFont="1"/>
    <xf numFmtId="3" fontId="2" fillId="0" borderId="10" xfId="1" applyNumberFormat="1" applyFont="1" applyBorder="1"/>
    <xf numFmtId="43" fontId="2" fillId="0" borderId="0" xfId="0" applyNumberFormat="1" applyFont="1"/>
    <xf numFmtId="0" fontId="2" fillId="2" borderId="0" xfId="0" applyFont="1" applyFill="1"/>
    <xf numFmtId="0" fontId="3" fillId="3" borderId="10" xfId="0" applyFont="1" applyFill="1" applyBorder="1" applyAlignment="1">
      <alignment horizontal="center"/>
    </xf>
    <xf numFmtId="43" fontId="3" fillId="3" borderId="10" xfId="1" applyFont="1" applyFill="1" applyBorder="1"/>
    <xf numFmtId="0" fontId="7" fillId="0" borderId="10" xfId="0" applyFont="1" applyBorder="1" applyAlignment="1">
      <alignment horizontal="center"/>
    </xf>
    <xf numFmtId="43" fontId="3" fillId="0" borderId="10" xfId="0" applyNumberFormat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0" fontId="3" fillId="0" borderId="0" xfId="0" applyFont="1" applyAlignment="1"/>
    <xf numFmtId="43" fontId="2" fillId="0" borderId="0" xfId="1" applyFont="1" applyAlignment="1">
      <alignment horizontal="center"/>
    </xf>
    <xf numFmtId="2" fontId="2" fillId="0" borderId="0" xfId="0" applyNumberFormat="1" applyFont="1"/>
    <xf numFmtId="0" fontId="3" fillId="0" borderId="0" xfId="0" applyFont="1" applyFill="1"/>
    <xf numFmtId="0" fontId="2" fillId="0" borderId="0" xfId="0" applyFont="1" applyFill="1"/>
    <xf numFmtId="0" fontId="2" fillId="0" borderId="0" xfId="0" applyFont="1" applyBorder="1"/>
    <xf numFmtId="43" fontId="2" fillId="0" borderId="0" xfId="1" applyFont="1" applyBorder="1"/>
    <xf numFmtId="165" fontId="2" fillId="0" borderId="0" xfId="1" applyNumberFormat="1" applyFont="1" applyBorder="1"/>
    <xf numFmtId="0" fontId="3" fillId="0" borderId="0" xfId="0" applyFont="1" applyBorder="1" applyAlignment="1">
      <alignment horizontal="left"/>
    </xf>
    <xf numFmtId="43" fontId="3" fillId="0" borderId="0" xfId="1" applyFont="1" applyBorder="1"/>
    <xf numFmtId="43" fontId="2" fillId="0" borderId="0" xfId="0" applyNumberFormat="1" applyFont="1" applyBorder="1"/>
    <xf numFmtId="43" fontId="3" fillId="0" borderId="0" xfId="1" applyFont="1" applyBorder="1" applyAlignment="1">
      <alignment horizontal="left"/>
    </xf>
    <xf numFmtId="43" fontId="3" fillId="0" borderId="0" xfId="0" applyNumberFormat="1" applyFont="1" applyBorder="1"/>
    <xf numFmtId="0" fontId="10" fillId="5" borderId="9" xfId="0" applyFont="1" applyFill="1" applyBorder="1" applyAlignment="1">
      <alignment horizontal="center"/>
    </xf>
    <xf numFmtId="3" fontId="9" fillId="6" borderId="11" xfId="0" applyNumberFormat="1" applyFont="1" applyFill="1" applyBorder="1" applyAlignment="1">
      <alignment horizontal="right"/>
    </xf>
    <xf numFmtId="3" fontId="9" fillId="7" borderId="11" xfId="0" applyNumberFormat="1" applyFont="1" applyFill="1" applyBorder="1" applyAlignment="1">
      <alignment horizontal="right"/>
    </xf>
    <xf numFmtId="3" fontId="2" fillId="0" borderId="11" xfId="0" applyNumberFormat="1" applyFont="1" applyBorder="1" applyAlignment="1">
      <alignment horizontal="right"/>
    </xf>
    <xf numFmtId="3" fontId="10" fillId="5" borderId="9" xfId="0" applyNumberFormat="1" applyFont="1" applyFill="1" applyBorder="1" applyAlignment="1">
      <alignment horizontal="right"/>
    </xf>
    <xf numFmtId="0" fontId="12" fillId="0" borderId="0" xfId="0" applyFont="1"/>
    <xf numFmtId="164" fontId="12" fillId="0" borderId="0" xfId="1" applyNumberFormat="1" applyFont="1"/>
    <xf numFmtId="164" fontId="0" fillId="0" borderId="0" xfId="1" applyNumberFormat="1" applyFont="1"/>
    <xf numFmtId="0" fontId="13" fillId="8" borderId="10" xfId="0" applyFont="1" applyFill="1" applyBorder="1" applyAlignment="1">
      <alignment horizontal="center"/>
    </xf>
    <xf numFmtId="4" fontId="13" fillId="8" borderId="10" xfId="0" applyNumberFormat="1" applyFont="1" applyFill="1" applyBorder="1" applyAlignment="1">
      <alignment horizontal="center"/>
    </xf>
    <xf numFmtId="164" fontId="13" fillId="8" borderId="10" xfId="1" applyNumberFormat="1" applyFont="1" applyFill="1" applyBorder="1" applyAlignment="1">
      <alignment horizontal="center"/>
    </xf>
    <xf numFmtId="3" fontId="14" fillId="0" borderId="10" xfId="0" applyNumberFormat="1" applyFont="1" applyBorder="1"/>
    <xf numFmtId="0" fontId="4" fillId="0" borderId="10" xfId="0" applyFont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166" fontId="13" fillId="8" borderId="10" xfId="2" applyNumberFormat="1" applyFont="1" applyFill="1" applyBorder="1"/>
    <xf numFmtId="164" fontId="0" fillId="0" borderId="0" xfId="0" applyNumberFormat="1"/>
    <xf numFmtId="0" fontId="0" fillId="0" borderId="10" xfId="0" applyBorder="1"/>
    <xf numFmtId="44" fontId="4" fillId="8" borderId="10" xfId="2" applyFont="1" applyFill="1" applyBorder="1" applyAlignment="1">
      <alignment horizontal="center"/>
    </xf>
    <xf numFmtId="44" fontId="13" fillId="8" borderId="10" xfId="2" applyFont="1" applyFill="1" applyBorder="1" applyAlignment="1">
      <alignment horizontal="center"/>
    </xf>
    <xf numFmtId="166" fontId="12" fillId="8" borderId="10" xfId="2" applyNumberFormat="1" applyFont="1" applyFill="1" applyBorder="1"/>
    <xf numFmtId="166" fontId="0" fillId="0" borderId="0" xfId="0" applyNumberFormat="1"/>
    <xf numFmtId="3" fontId="14" fillId="0" borderId="10" xfId="0" applyNumberFormat="1" applyFont="1" applyFill="1" applyBorder="1" applyAlignment="1">
      <alignment horizontal="right" vertical="center"/>
    </xf>
    <xf numFmtId="166" fontId="13" fillId="8" borderId="10" xfId="2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164" fontId="13" fillId="0" borderId="0" xfId="1" applyNumberFormat="1" applyFont="1" applyBorder="1" applyAlignment="1">
      <alignment horizontal="center"/>
    </xf>
    <xf numFmtId="6" fontId="0" fillId="0" borderId="0" xfId="0" applyNumberFormat="1"/>
    <xf numFmtId="3" fontId="0" fillId="0" borderId="0" xfId="0" applyNumberFormat="1"/>
    <xf numFmtId="166" fontId="0" fillId="0" borderId="0" xfId="2" applyNumberFormat="1" applyFont="1"/>
    <xf numFmtId="164" fontId="9" fillId="6" borderId="10" xfId="1" applyNumberFormat="1" applyFont="1" applyFill="1" applyBorder="1"/>
    <xf numFmtId="164" fontId="9" fillId="9" borderId="10" xfId="1" applyNumberFormat="1" applyFont="1" applyFill="1" applyBorder="1"/>
    <xf numFmtId="164" fontId="9" fillId="7" borderId="10" xfId="1" applyNumberFormat="1" applyFont="1" applyFill="1" applyBorder="1"/>
    <xf numFmtId="0" fontId="0" fillId="0" borderId="0" xfId="0" applyProtection="1">
      <protection locked="0" hidden="1"/>
    </xf>
    <xf numFmtId="164" fontId="4" fillId="0" borderId="10" xfId="1" applyNumberFormat="1" applyFont="1" applyFill="1" applyBorder="1" applyProtection="1">
      <protection locked="0" hidden="1"/>
    </xf>
    <xf numFmtId="0" fontId="4" fillId="0" borderId="10" xfId="0" applyFont="1" applyFill="1" applyBorder="1" applyAlignment="1" applyProtection="1">
      <alignment horizontal="center" vertical="center"/>
      <protection locked="0" hidden="1"/>
    </xf>
    <xf numFmtId="164" fontId="4" fillId="0" borderId="10" xfId="1" applyNumberFormat="1" applyFont="1" applyFill="1" applyBorder="1" applyAlignment="1" applyProtection="1">
      <alignment horizontal="right" vertical="center"/>
      <protection locked="0" hidden="1"/>
    </xf>
    <xf numFmtId="0" fontId="4" fillId="0" borderId="10" xfId="0" applyFont="1" applyFill="1" applyBorder="1" applyAlignment="1" applyProtection="1">
      <alignment horizontal="center"/>
      <protection locked="0" hidden="1"/>
    </xf>
    <xf numFmtId="164" fontId="4" fillId="0" borderId="10" xfId="1" applyNumberFormat="1" applyFont="1" applyFill="1" applyBorder="1" applyAlignment="1" applyProtection="1">
      <alignment horizontal="right"/>
      <protection locked="0" hidden="1"/>
    </xf>
    <xf numFmtId="164" fontId="4" fillId="0" borderId="10" xfId="0" applyNumberFormat="1" applyFont="1" applyFill="1" applyBorder="1" applyProtection="1">
      <protection locked="0" hidden="1"/>
    </xf>
    <xf numFmtId="0" fontId="4" fillId="0" borderId="10" xfId="0" applyFont="1" applyFill="1" applyBorder="1" applyProtection="1">
      <protection locked="0" hidden="1"/>
    </xf>
    <xf numFmtId="164" fontId="4" fillId="0" borderId="10" xfId="3" applyNumberFormat="1" applyFont="1" applyFill="1" applyBorder="1" applyProtection="1">
      <protection locked="0" hidden="1"/>
    </xf>
    <xf numFmtId="164" fontId="4" fillId="0" borderId="10" xfId="3" applyNumberFormat="1" applyFont="1" applyFill="1" applyBorder="1" applyAlignment="1" applyProtection="1">
      <alignment horizontal="center"/>
      <protection locked="0" hidden="1"/>
    </xf>
    <xf numFmtId="164" fontId="4" fillId="0" borderId="10" xfId="1" applyNumberFormat="1" applyFont="1" applyFill="1" applyBorder="1" applyAlignment="1" applyProtection="1">
      <alignment horizontal="center"/>
      <protection locked="0" hidden="1"/>
    </xf>
    <xf numFmtId="167" fontId="4" fillId="0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10" xfId="0" applyFont="1" applyFill="1" applyBorder="1" applyAlignment="1" applyProtection="1">
      <alignment vertical="center" wrapText="1"/>
      <protection locked="0" hidden="1"/>
    </xf>
    <xf numFmtId="164" fontId="4" fillId="0" borderId="10" xfId="0" applyNumberFormat="1" applyFont="1" applyFill="1" applyBorder="1" applyAlignment="1" applyProtection="1">
      <alignment horizontal="right"/>
      <protection locked="0" hidden="1"/>
    </xf>
    <xf numFmtId="167" fontId="4" fillId="0" borderId="10" xfId="0" applyNumberFormat="1" applyFont="1" applyBorder="1" applyAlignment="1" applyProtection="1">
      <alignment horizontal="center" vertical="center" wrapText="1"/>
      <protection locked="0" hidden="1"/>
    </xf>
    <xf numFmtId="0" fontId="4" fillId="0" borderId="10" xfId="0" applyFont="1" applyBorder="1" applyAlignment="1" applyProtection="1">
      <alignment vertical="center" wrapText="1"/>
      <protection locked="0" hidden="1"/>
    </xf>
    <xf numFmtId="164" fontId="4" fillId="0" borderId="10" xfId="0" applyNumberFormat="1" applyFont="1" applyBorder="1" applyAlignment="1" applyProtection="1">
      <alignment horizontal="right"/>
      <protection locked="0" hidden="1"/>
    </xf>
    <xf numFmtId="164" fontId="4" fillId="0" borderId="10" xfId="0" applyNumberFormat="1" applyFont="1" applyBorder="1" applyProtection="1">
      <protection locked="0" hidden="1"/>
    </xf>
    <xf numFmtId="0" fontId="4" fillId="0" borderId="10" xfId="0" applyFont="1" applyFill="1" applyBorder="1" applyAlignment="1" applyProtection="1">
      <alignment horizontal="center" vertical="center" wrapText="1"/>
      <protection locked="0" hidden="1"/>
    </xf>
    <xf numFmtId="164" fontId="17" fillId="0" borderId="10" xfId="1" applyNumberFormat="1" applyFont="1" applyFill="1" applyBorder="1" applyProtection="1">
      <protection locked="0" hidden="1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 applyProtection="1">
      <alignment horizontal="center"/>
      <protection locked="0" hidden="1"/>
    </xf>
    <xf numFmtId="0" fontId="4" fillId="0" borderId="10" xfId="0" applyFont="1" applyBorder="1" applyProtection="1">
      <protection locked="0" hidden="1"/>
    </xf>
    <xf numFmtId="0" fontId="4" fillId="0" borderId="0" xfId="0" applyFont="1" applyAlignment="1" applyProtection="1">
      <alignment horizontal="center"/>
      <protection locked="0" hidden="1"/>
    </xf>
    <xf numFmtId="0" fontId="4" fillId="0" borderId="0" xfId="0" applyFont="1" applyProtection="1">
      <protection locked="0" hidden="1"/>
    </xf>
    <xf numFmtId="0" fontId="8" fillId="5" borderId="12" xfId="0" applyFont="1" applyFill="1" applyBorder="1" applyAlignment="1">
      <alignment horizontal="center" vertical="center" wrapText="1"/>
    </xf>
    <xf numFmtId="3" fontId="15" fillId="5" borderId="10" xfId="0" applyNumberFormat="1" applyFont="1" applyFill="1" applyBorder="1" applyAlignment="1">
      <alignment horizontal="center" vertical="center"/>
    </xf>
    <xf numFmtId="3" fontId="0" fillId="0" borderId="0" xfId="0" applyNumberFormat="1" applyProtection="1">
      <protection locked="0" hidden="1"/>
    </xf>
    <xf numFmtId="3" fontId="15" fillId="5" borderId="12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Alignment="1"/>
    <xf numFmtId="3" fontId="4" fillId="0" borderId="0" xfId="0" applyNumberFormat="1" applyFont="1"/>
    <xf numFmtId="3" fontId="12" fillId="0" borderId="0" xfId="0" applyNumberFormat="1" applyFont="1" applyFill="1" applyAlignment="1"/>
    <xf numFmtId="3" fontId="8" fillId="5" borderId="1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Alignment="1" applyProtection="1">
      <alignment horizontal="right"/>
      <protection locked="0" hidden="1"/>
    </xf>
    <xf numFmtId="3" fontId="4" fillId="0" borderId="0" xfId="1" applyNumberFormat="1" applyFont="1" applyProtection="1">
      <protection locked="0" hidden="1"/>
    </xf>
    <xf numFmtId="3" fontId="4" fillId="0" borderId="0" xfId="0" applyNumberFormat="1" applyFont="1" applyProtection="1">
      <protection locked="0" hidden="1"/>
    </xf>
    <xf numFmtId="3" fontId="0" fillId="0" borderId="0" xfId="1" applyNumberFormat="1" applyFont="1" applyProtection="1">
      <protection locked="0" hidden="1"/>
    </xf>
    <xf numFmtId="3" fontId="8" fillId="5" borderId="12" xfId="0" applyNumberFormat="1" applyFont="1" applyFill="1" applyBorder="1" applyAlignment="1">
      <alignment horizontal="center" vertical="center" wrapText="1"/>
    </xf>
    <xf numFmtId="3" fontId="2" fillId="0" borderId="0" xfId="0" applyNumberFormat="1" applyFont="1"/>
    <xf numFmtId="3" fontId="3" fillId="0" borderId="0" xfId="0" applyNumberFormat="1" applyFont="1"/>
    <xf numFmtId="3" fontId="5" fillId="0" borderId="0" xfId="1" applyNumberFormat="1" applyFont="1"/>
    <xf numFmtId="3" fontId="2" fillId="0" borderId="0" xfId="1" applyNumberFormat="1" applyFont="1"/>
    <xf numFmtId="3" fontId="10" fillId="5" borderId="9" xfId="0" applyNumberFormat="1" applyFont="1" applyFill="1" applyBorder="1" applyAlignment="1">
      <alignment horizontal="center"/>
    </xf>
    <xf numFmtId="3" fontId="2" fillId="0" borderId="0" xfId="1" applyNumberFormat="1" applyFont="1" applyFill="1" applyBorder="1"/>
    <xf numFmtId="3" fontId="2" fillId="2" borderId="0" xfId="0" applyNumberFormat="1" applyFont="1" applyFill="1"/>
    <xf numFmtId="3" fontId="3" fillId="3" borderId="10" xfId="0" applyNumberFormat="1" applyFont="1" applyFill="1" applyBorder="1" applyAlignment="1">
      <alignment horizontal="center"/>
    </xf>
    <xf numFmtId="3" fontId="3" fillId="3" borderId="10" xfId="1" applyNumberFormat="1" applyFont="1" applyFill="1" applyBorder="1"/>
    <xf numFmtId="3" fontId="7" fillId="0" borderId="10" xfId="0" applyNumberFormat="1" applyFont="1" applyBorder="1" applyAlignment="1">
      <alignment horizontal="center"/>
    </xf>
    <xf numFmtId="3" fontId="3" fillId="0" borderId="10" xfId="1" applyNumberFormat="1" applyFont="1" applyBorder="1" applyAlignment="1">
      <alignment horizontal="center" vertical="center" wrapText="1"/>
    </xf>
    <xf numFmtId="3" fontId="3" fillId="0" borderId="0" xfId="0" applyNumberFormat="1" applyFont="1" applyAlignment="1"/>
    <xf numFmtId="3" fontId="2" fillId="0" borderId="0" xfId="1" applyNumberFormat="1" applyFont="1" applyAlignment="1">
      <alignment horizontal="center"/>
    </xf>
    <xf numFmtId="3" fontId="3" fillId="0" borderId="0" xfId="0" applyNumberFormat="1" applyFont="1" applyFill="1"/>
    <xf numFmtId="3" fontId="2" fillId="0" borderId="0" xfId="0" applyNumberFormat="1" applyFont="1" applyFill="1"/>
    <xf numFmtId="3" fontId="2" fillId="0" borderId="0" xfId="1" applyNumberFormat="1" applyFont="1" applyFill="1"/>
    <xf numFmtId="3" fontId="3" fillId="0" borderId="0" xfId="1" applyNumberFormat="1" applyFont="1"/>
    <xf numFmtId="3" fontId="2" fillId="0" borderId="0" xfId="0" applyNumberFormat="1" applyFont="1" applyBorder="1"/>
    <xf numFmtId="3" fontId="2" fillId="0" borderId="0" xfId="1" applyNumberFormat="1" applyFont="1" applyBorder="1"/>
    <xf numFmtId="3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/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left"/>
    </xf>
    <xf numFmtId="3" fontId="3" fillId="0" borderId="0" xfId="1" applyNumberFormat="1" applyFont="1" applyBorder="1"/>
    <xf numFmtId="3" fontId="3" fillId="0" borderId="0" xfId="0" applyNumberFormat="1" applyFont="1" applyBorder="1"/>
    <xf numFmtId="3" fontId="3" fillId="0" borderId="0" xfId="1" applyNumberFormat="1" applyFont="1" applyBorder="1" applyAlignment="1">
      <alignment horizontal="left"/>
    </xf>
    <xf numFmtId="168" fontId="2" fillId="0" borderId="0" xfId="0" applyNumberFormat="1" applyFont="1"/>
    <xf numFmtId="168" fontId="2" fillId="0" borderId="17" xfId="0" applyNumberFormat="1" applyFont="1" applyBorder="1"/>
    <xf numFmtId="4" fontId="3" fillId="0" borderId="10" xfId="0" applyNumberFormat="1" applyFont="1" applyBorder="1" applyAlignment="1">
      <alignment horizontal="center" vertical="center" wrapText="1"/>
    </xf>
    <xf numFmtId="3" fontId="6" fillId="0" borderId="0" xfId="0" applyNumberFormat="1" applyFont="1" applyFill="1"/>
    <xf numFmtId="0" fontId="21" fillId="0" borderId="9" xfId="0" applyFont="1" applyFill="1" applyBorder="1" applyAlignment="1" applyProtection="1">
      <alignment horizontal="center" vertical="center"/>
      <protection locked="0" hidden="1"/>
    </xf>
    <xf numFmtId="0" fontId="21" fillId="0" borderId="14" xfId="0" applyFont="1" applyFill="1" applyBorder="1" applyAlignment="1" applyProtection="1">
      <alignment horizontal="left" vertical="center"/>
      <protection locked="0" hidden="1"/>
    </xf>
    <xf numFmtId="3" fontId="21" fillId="0" borderId="9" xfId="1" applyNumberFormat="1" applyFont="1" applyFill="1" applyBorder="1" applyAlignment="1" applyProtection="1">
      <alignment horizontal="right" vertical="center"/>
      <protection locked="0" hidden="1"/>
    </xf>
    <xf numFmtId="3" fontId="21" fillId="0" borderId="9" xfId="1" applyNumberFormat="1" applyFont="1" applyFill="1" applyBorder="1" applyProtection="1">
      <protection locked="0" hidden="1"/>
    </xf>
    <xf numFmtId="3" fontId="22" fillId="0" borderId="10" xfId="0" applyNumberFormat="1" applyFont="1" applyFill="1" applyBorder="1" applyProtection="1">
      <protection locked="0" hidden="1"/>
    </xf>
    <xf numFmtId="0" fontId="22" fillId="0" borderId="0" xfId="0" applyFont="1" applyFill="1" applyProtection="1">
      <protection locked="0" hidden="1"/>
    </xf>
    <xf numFmtId="0" fontId="21" fillId="0" borderId="10" xfId="0" applyFont="1" applyFill="1" applyBorder="1" applyAlignment="1" applyProtection="1">
      <alignment horizontal="center" vertical="center"/>
      <protection locked="0" hidden="1"/>
    </xf>
    <xf numFmtId="0" fontId="21" fillId="0" borderId="12" xfId="0" applyFont="1" applyFill="1" applyBorder="1" applyAlignment="1" applyProtection="1">
      <alignment horizontal="left" vertical="center" wrapText="1"/>
      <protection locked="0" hidden="1"/>
    </xf>
    <xf numFmtId="3" fontId="21" fillId="0" borderId="10" xfId="1" applyNumberFormat="1" applyFont="1" applyFill="1" applyBorder="1" applyAlignment="1" applyProtection="1">
      <alignment horizontal="right" vertical="center"/>
      <protection locked="0" hidden="1"/>
    </xf>
    <xf numFmtId="3" fontId="21" fillId="0" borderId="10" xfId="1" applyNumberFormat="1" applyFont="1" applyFill="1" applyBorder="1" applyProtection="1">
      <protection locked="0" hidden="1"/>
    </xf>
    <xf numFmtId="0" fontId="21" fillId="0" borderId="12" xfId="0" applyFont="1" applyFill="1" applyBorder="1" applyAlignment="1" applyProtection="1">
      <alignment horizontal="left" vertical="center"/>
      <protection locked="0" hidden="1"/>
    </xf>
    <xf numFmtId="3" fontId="21" fillId="0" borderId="0" xfId="0" applyNumberFormat="1" applyFont="1" applyFill="1" applyProtection="1">
      <protection locked="0" hidden="1"/>
    </xf>
    <xf numFmtId="0" fontId="21" fillId="0" borderId="10" xfId="0" applyFont="1" applyFill="1" applyBorder="1" applyAlignment="1" applyProtection="1">
      <alignment horizontal="center"/>
      <protection locked="0" hidden="1"/>
    </xf>
    <xf numFmtId="0" fontId="21" fillId="0" borderId="12" xfId="0" applyFont="1" applyFill="1" applyBorder="1" applyAlignment="1" applyProtection="1">
      <alignment horizontal="left"/>
      <protection locked="0" hidden="1"/>
    </xf>
    <xf numFmtId="3" fontId="21" fillId="0" borderId="10" xfId="1" applyNumberFormat="1" applyFont="1" applyFill="1" applyBorder="1" applyAlignment="1" applyProtection="1">
      <alignment horizontal="right"/>
      <protection locked="0" hidden="1"/>
    </xf>
    <xf numFmtId="164" fontId="5" fillId="12" borderId="10" xfId="1" applyNumberFormat="1" applyFont="1" applyFill="1" applyBorder="1" applyAlignment="1" applyProtection="1">
      <alignment horizontal="center" vertical="center"/>
      <protection locked="0" hidden="1"/>
    </xf>
    <xf numFmtId="164" fontId="5" fillId="12" borderId="10" xfId="1" applyNumberFormat="1" applyFont="1" applyFill="1" applyBorder="1" applyAlignment="1" applyProtection="1">
      <alignment horizontal="center"/>
      <protection locked="0" hidden="1"/>
    </xf>
    <xf numFmtId="3" fontId="5" fillId="12" borderId="10" xfId="1" applyNumberFormat="1" applyFont="1" applyFill="1" applyBorder="1" applyAlignment="1" applyProtection="1">
      <alignment horizontal="right"/>
      <protection locked="0" hidden="1"/>
    </xf>
    <xf numFmtId="3" fontId="5" fillId="12" borderId="10" xfId="1" applyNumberFormat="1" applyFont="1" applyFill="1" applyBorder="1" applyProtection="1">
      <protection locked="0" hidden="1"/>
    </xf>
    <xf numFmtId="164" fontId="22" fillId="10" borderId="0" xfId="1" applyNumberFormat="1" applyFont="1" applyFill="1" applyProtection="1">
      <protection locked="0" hidden="1"/>
    </xf>
    <xf numFmtId="0" fontId="21" fillId="0" borderId="12" xfId="0" applyFont="1" applyFill="1" applyBorder="1" applyProtection="1">
      <protection locked="0" hidden="1"/>
    </xf>
    <xf numFmtId="0" fontId="21" fillId="0" borderId="12" xfId="0" applyFont="1" applyFill="1" applyBorder="1" applyAlignment="1" applyProtection="1">
      <alignment wrapText="1"/>
      <protection locked="0" hidden="1"/>
    </xf>
    <xf numFmtId="3" fontId="21" fillId="0" borderId="10" xfId="0" applyNumberFormat="1" applyFont="1" applyFill="1" applyBorder="1" applyProtection="1">
      <protection locked="0" hidden="1"/>
    </xf>
    <xf numFmtId="164" fontId="5" fillId="12" borderId="10" xfId="1" applyNumberFormat="1" applyFont="1" applyFill="1" applyBorder="1" applyAlignment="1" applyProtection="1">
      <alignment horizontal="center" vertical="center" wrapText="1"/>
      <protection locked="0" hidden="1"/>
    </xf>
    <xf numFmtId="0" fontId="21" fillId="0" borderId="10" xfId="0" applyFont="1" applyFill="1" applyBorder="1" applyProtection="1">
      <protection locked="0" hidden="1"/>
    </xf>
    <xf numFmtId="3" fontId="21" fillId="0" borderId="10" xfId="3" applyNumberFormat="1" applyFont="1" applyFill="1" applyBorder="1" applyProtection="1">
      <protection locked="0" hidden="1"/>
    </xf>
    <xf numFmtId="3" fontId="21" fillId="0" borderId="10" xfId="3" applyNumberFormat="1" applyFont="1" applyFill="1" applyBorder="1" applyAlignment="1" applyProtection="1">
      <alignment horizontal="center"/>
      <protection locked="0" hidden="1"/>
    </xf>
    <xf numFmtId="3" fontId="21" fillId="0" borderId="10" xfId="1" applyNumberFormat="1" applyFont="1" applyFill="1" applyBorder="1" applyAlignment="1" applyProtection="1">
      <alignment horizontal="center"/>
      <protection locked="0" hidden="1"/>
    </xf>
    <xf numFmtId="164" fontId="5" fillId="3" borderId="10" xfId="1" applyNumberFormat="1" applyFont="1" applyFill="1" applyBorder="1" applyAlignment="1" applyProtection="1">
      <alignment horizontal="center" vertical="center" wrapText="1"/>
      <protection locked="0" hidden="1"/>
    </xf>
    <xf numFmtId="3" fontId="5" fillId="3" borderId="10" xfId="1" applyNumberFormat="1" applyFont="1" applyFill="1" applyBorder="1" applyAlignment="1" applyProtection="1">
      <alignment horizontal="right" vertical="center" wrapText="1"/>
      <protection locked="0" hidden="1"/>
    </xf>
    <xf numFmtId="3" fontId="5" fillId="3" borderId="10" xfId="1" applyNumberFormat="1" applyFont="1" applyFill="1" applyBorder="1" applyAlignment="1" applyProtection="1">
      <alignment horizontal="right"/>
      <protection locked="0" hidden="1"/>
    </xf>
    <xf numFmtId="164" fontId="22" fillId="0" borderId="0" xfId="1" applyNumberFormat="1" applyFont="1" applyProtection="1">
      <protection locked="0" hidden="1"/>
    </xf>
    <xf numFmtId="167" fontId="21" fillId="0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21" fillId="0" borderId="10" xfId="0" applyFont="1" applyFill="1" applyBorder="1" applyAlignment="1" applyProtection="1">
      <alignment vertical="center" wrapText="1"/>
      <protection locked="0" hidden="1"/>
    </xf>
    <xf numFmtId="3" fontId="21" fillId="0" borderId="10" xfId="0" applyNumberFormat="1" applyFont="1" applyFill="1" applyBorder="1" applyAlignment="1" applyProtection="1">
      <alignment horizontal="right"/>
      <protection locked="0" hidden="1"/>
    </xf>
    <xf numFmtId="167" fontId="21" fillId="0" borderId="10" xfId="0" applyNumberFormat="1" applyFont="1" applyBorder="1" applyAlignment="1" applyProtection="1">
      <alignment horizontal="center" vertical="center" wrapText="1"/>
      <protection locked="0" hidden="1"/>
    </xf>
    <xf numFmtId="0" fontId="21" fillId="0" borderId="10" xfId="0" applyFont="1" applyBorder="1" applyAlignment="1" applyProtection="1">
      <alignment vertical="center" wrapText="1"/>
      <protection locked="0" hidden="1"/>
    </xf>
    <xf numFmtId="3" fontId="21" fillId="0" borderId="10" xfId="0" applyNumberFormat="1" applyFont="1" applyBorder="1" applyAlignment="1" applyProtection="1">
      <alignment horizontal="right"/>
      <protection locked="0" hidden="1"/>
    </xf>
    <xf numFmtId="3" fontId="21" fillId="0" borderId="10" xfId="0" applyNumberFormat="1" applyFont="1" applyBorder="1" applyProtection="1">
      <protection locked="0" hidden="1"/>
    </xf>
    <xf numFmtId="3" fontId="22" fillId="0" borderId="10" xfId="0" applyNumberFormat="1" applyFont="1" applyBorder="1" applyProtection="1">
      <protection locked="0" hidden="1"/>
    </xf>
    <xf numFmtId="0" fontId="22" fillId="0" borderId="0" xfId="0" applyFont="1" applyProtection="1">
      <protection locked="0" hidden="1"/>
    </xf>
    <xf numFmtId="167" fontId="5" fillId="3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5" fillId="3" borderId="10" xfId="0" applyFont="1" applyFill="1" applyBorder="1" applyAlignment="1" applyProtection="1">
      <alignment horizontal="center" vertical="center" wrapText="1"/>
      <protection locked="0" hidden="1"/>
    </xf>
    <xf numFmtId="3" fontId="5" fillId="3" borderId="10" xfId="0" applyNumberFormat="1" applyFont="1" applyFill="1" applyBorder="1" applyAlignment="1" applyProtection="1">
      <alignment horizontal="right" vertical="center" wrapText="1"/>
      <protection locked="0" hidden="1"/>
    </xf>
    <xf numFmtId="0" fontId="22" fillId="0" borderId="12" xfId="0" applyFont="1" applyFill="1" applyBorder="1" applyProtection="1">
      <protection locked="0" hidden="1"/>
    </xf>
    <xf numFmtId="0" fontId="21" fillId="0" borderId="10" xfId="0" applyFont="1" applyFill="1" applyBorder="1" applyAlignment="1" applyProtection="1">
      <alignment horizontal="center" vertical="center" wrapText="1"/>
      <protection locked="0" hidden="1"/>
    </xf>
    <xf numFmtId="3" fontId="23" fillId="0" borderId="10" xfId="1" applyNumberFormat="1" applyFont="1" applyFill="1" applyBorder="1" applyProtection="1">
      <protection locked="0" hidden="1"/>
    </xf>
    <xf numFmtId="3" fontId="5" fillId="3" borderId="10" xfId="0" applyNumberFormat="1" applyFont="1" applyFill="1" applyBorder="1" applyAlignment="1" applyProtection="1">
      <alignment horizontal="right"/>
      <protection locked="0" hidden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 applyProtection="1">
      <alignment horizontal="center"/>
      <protection locked="0" hidden="1"/>
    </xf>
    <xf numFmtId="0" fontId="21" fillId="0" borderId="10" xfId="0" applyFont="1" applyBorder="1" applyProtection="1">
      <protection locked="0" hidden="1"/>
    </xf>
    <xf numFmtId="0" fontId="24" fillId="5" borderId="10" xfId="0" applyFont="1" applyFill="1" applyBorder="1" applyAlignment="1">
      <alignment horizontal="center" vertical="center"/>
    </xf>
    <xf numFmtId="3" fontId="24" fillId="5" borderId="10" xfId="0" applyNumberFormat="1" applyFont="1" applyFill="1" applyBorder="1" applyAlignment="1">
      <alignment horizontal="right" vertical="center"/>
    </xf>
    <xf numFmtId="3" fontId="24" fillId="5" borderId="10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/>
    </xf>
    <xf numFmtId="4" fontId="13" fillId="0" borderId="10" xfId="0" applyNumberFormat="1" applyFont="1" applyFill="1" applyBorder="1" applyAlignment="1">
      <alignment horizontal="center"/>
    </xf>
    <xf numFmtId="164" fontId="14" fillId="0" borderId="10" xfId="1" applyNumberFormat="1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/>
    </xf>
    <xf numFmtId="0" fontId="15" fillId="5" borderId="10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 vertical="center" wrapText="1"/>
    </xf>
    <xf numFmtId="164" fontId="25" fillId="13" borderId="10" xfId="1" applyNumberFormat="1" applyFont="1" applyFill="1" applyBorder="1"/>
    <xf numFmtId="164" fontId="12" fillId="12" borderId="10" xfId="1" applyNumberFormat="1" applyFont="1" applyFill="1" applyBorder="1" applyAlignment="1" applyProtection="1">
      <alignment horizontal="center" vertical="center"/>
      <protection locked="0" hidden="1"/>
    </xf>
    <xf numFmtId="164" fontId="12" fillId="12" borderId="10" xfId="1" applyNumberFormat="1" applyFont="1" applyFill="1" applyBorder="1" applyAlignment="1" applyProtection="1">
      <alignment horizontal="center"/>
      <protection locked="0" hidden="1"/>
    </xf>
    <xf numFmtId="164" fontId="12" fillId="12" borderId="10" xfId="1" applyNumberFormat="1" applyFont="1" applyFill="1" applyBorder="1" applyAlignment="1" applyProtection="1">
      <alignment horizontal="right"/>
      <protection locked="0" hidden="1"/>
    </xf>
    <xf numFmtId="164" fontId="12" fillId="12" borderId="10" xfId="1" applyNumberFormat="1" applyFont="1" applyFill="1" applyBorder="1" applyProtection="1">
      <protection locked="0" hidden="1"/>
    </xf>
    <xf numFmtId="164" fontId="12" fillId="12" borderId="10" xfId="1" applyNumberFormat="1" applyFont="1" applyFill="1" applyBorder="1" applyAlignment="1" applyProtection="1">
      <alignment horizontal="center" vertical="center" wrapText="1"/>
      <protection locked="0" hidden="1"/>
    </xf>
    <xf numFmtId="167" fontId="12" fillId="12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12" fillId="12" borderId="10" xfId="0" applyFont="1" applyFill="1" applyBorder="1" applyAlignment="1" applyProtection="1">
      <alignment horizontal="center" vertical="center" wrapText="1"/>
      <protection locked="0" hidden="1"/>
    </xf>
    <xf numFmtId="164" fontId="12" fillId="12" borderId="10" xfId="0" applyNumberFormat="1" applyFont="1" applyFill="1" applyBorder="1" applyAlignment="1" applyProtection="1">
      <alignment horizontal="right"/>
      <protection locked="0" hidden="1"/>
    </xf>
    <xf numFmtId="164" fontId="12" fillId="12" borderId="10" xfId="0" applyNumberFormat="1" applyFont="1" applyFill="1" applyBorder="1" applyProtection="1">
      <protection locked="0" hidden="1"/>
    </xf>
    <xf numFmtId="164" fontId="4" fillId="12" borderId="10" xfId="0" applyNumberFormat="1" applyFont="1" applyFill="1" applyBorder="1" applyProtection="1">
      <protection locked="0" hidden="1"/>
    </xf>
    <xf numFmtId="3" fontId="8" fillId="5" borderId="10" xfId="0" applyNumberFormat="1" applyFont="1" applyFill="1" applyBorder="1" applyAlignment="1">
      <alignment horizontal="right" vertical="center"/>
    </xf>
    <xf numFmtId="0" fontId="15" fillId="5" borderId="10" xfId="0" applyFont="1" applyFill="1" applyBorder="1" applyAlignment="1">
      <alignment horizontal="center" vertical="center" wrapText="1"/>
    </xf>
    <xf numFmtId="3" fontId="8" fillId="5" borderId="17" xfId="0" applyNumberFormat="1" applyFont="1" applyFill="1" applyBorder="1" applyAlignment="1">
      <alignment horizontal="center" vertical="center"/>
    </xf>
    <xf numFmtId="3" fontId="12" fillId="12" borderId="10" xfId="1" applyNumberFormat="1" applyFont="1" applyFill="1" applyBorder="1" applyProtection="1">
      <protection locked="0" hidden="1"/>
    </xf>
    <xf numFmtId="0" fontId="27" fillId="0" borderId="0" xfId="0" applyFont="1" applyProtection="1">
      <protection locked="0" hidden="1"/>
    </xf>
    <xf numFmtId="164" fontId="27" fillId="0" borderId="0" xfId="0" applyNumberFormat="1" applyFont="1" applyProtection="1">
      <protection locked="0" hidden="1"/>
    </xf>
    <xf numFmtId="3" fontId="27" fillId="0" borderId="10" xfId="0" applyNumberFormat="1" applyFont="1" applyFill="1" applyBorder="1" applyProtection="1">
      <protection locked="0" hidden="1"/>
    </xf>
    <xf numFmtId="0" fontId="27" fillId="0" borderId="0" xfId="0" applyFont="1" applyFill="1" applyProtection="1">
      <protection locked="0" hidden="1"/>
    </xf>
    <xf numFmtId="164" fontId="27" fillId="10" borderId="0" xfId="1" applyNumberFormat="1" applyFont="1" applyFill="1" applyProtection="1">
      <protection locked="0" hidden="1"/>
    </xf>
    <xf numFmtId="164" fontId="27" fillId="0" borderId="0" xfId="1" applyNumberFormat="1" applyFont="1" applyProtection="1">
      <protection locked="0" hidden="1"/>
    </xf>
    <xf numFmtId="3" fontId="27" fillId="0" borderId="10" xfId="0" applyNumberFormat="1" applyFont="1" applyBorder="1" applyProtection="1">
      <protection locked="0" hidden="1"/>
    </xf>
    <xf numFmtId="2" fontId="27" fillId="0" borderId="0" xfId="0" applyNumberFormat="1" applyFont="1" applyProtection="1">
      <protection locked="0" hidden="1"/>
    </xf>
    <xf numFmtId="43" fontId="27" fillId="0" borderId="0" xfId="1" applyFont="1" applyProtection="1">
      <protection locked="0" hidden="1"/>
    </xf>
    <xf numFmtId="0" fontId="8" fillId="5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 applyProtection="1">
      <alignment horizontal="left" vertical="center"/>
      <protection locked="0" hidden="1"/>
    </xf>
    <xf numFmtId="0" fontId="4" fillId="0" borderId="10" xfId="0" applyFont="1" applyFill="1" applyBorder="1" applyAlignment="1" applyProtection="1">
      <alignment horizontal="left" vertical="center" wrapText="1"/>
      <protection locked="0" hidden="1"/>
    </xf>
    <xf numFmtId="0" fontId="4" fillId="0" borderId="10" xfId="0" applyFont="1" applyFill="1" applyBorder="1" applyAlignment="1" applyProtection="1">
      <alignment horizontal="left"/>
      <protection locked="0" hidden="1"/>
    </xf>
    <xf numFmtId="0" fontId="27" fillId="0" borderId="10" xfId="0" applyFont="1" applyFill="1" applyBorder="1" applyProtection="1">
      <protection locked="0" hidden="1"/>
    </xf>
    <xf numFmtId="0" fontId="4" fillId="0" borderId="10" xfId="0" applyFont="1" applyFill="1" applyBorder="1" applyAlignment="1" applyProtection="1">
      <alignment wrapText="1"/>
      <protection locked="0" hidden="1"/>
    </xf>
    <xf numFmtId="0" fontId="27" fillId="0" borderId="10" xfId="0" applyFont="1" applyBorder="1" applyProtection="1">
      <protection locked="0" hidden="1"/>
    </xf>
    <xf numFmtId="164" fontId="12" fillId="8" borderId="10" xfId="1" applyNumberFormat="1" applyFont="1" applyFill="1" applyBorder="1" applyProtection="1">
      <protection locked="0" hidden="1"/>
    </xf>
    <xf numFmtId="3" fontId="12" fillId="8" borderId="10" xfId="1" applyNumberFormat="1" applyFont="1" applyFill="1" applyBorder="1" applyProtection="1">
      <protection locked="0" hidden="1"/>
    </xf>
    <xf numFmtId="164" fontId="27" fillId="8" borderId="10" xfId="1" applyNumberFormat="1" applyFont="1" applyFill="1" applyBorder="1" applyProtection="1">
      <protection locked="0" hidden="1"/>
    </xf>
    <xf numFmtId="164" fontId="12" fillId="8" borderId="10" xfId="1" applyNumberFormat="1" applyFont="1" applyFill="1" applyBorder="1" applyAlignment="1" applyProtection="1">
      <alignment horizontal="right"/>
      <protection locked="0" hidden="1"/>
    </xf>
    <xf numFmtId="0" fontId="27" fillId="8" borderId="10" xfId="0" applyFont="1" applyFill="1" applyBorder="1" applyProtection="1">
      <protection locked="0" hidden="1"/>
    </xf>
    <xf numFmtId="3" fontId="8" fillId="5" borderId="10" xfId="0" applyNumberFormat="1" applyFont="1" applyFill="1" applyBorder="1" applyAlignment="1">
      <alignment horizontal="center" vertical="center" wrapText="1"/>
    </xf>
    <xf numFmtId="3" fontId="8" fillId="5" borderId="12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/>
    </xf>
    <xf numFmtId="164" fontId="25" fillId="0" borderId="10" xfId="1" applyNumberFormat="1" applyFont="1" applyFill="1" applyBorder="1"/>
    <xf numFmtId="164" fontId="28" fillId="13" borderId="10" xfId="1" applyNumberFormat="1" applyFont="1" applyFill="1" applyBorder="1"/>
    <xf numFmtId="164" fontId="28" fillId="0" borderId="10" xfId="1" applyNumberFormat="1" applyFont="1" applyFill="1" applyBorder="1"/>
    <xf numFmtId="164" fontId="5" fillId="12" borderId="10" xfId="1" applyNumberFormat="1" applyFont="1" applyFill="1" applyBorder="1" applyAlignment="1" applyProtection="1">
      <protection locked="0" hidden="1"/>
    </xf>
    <xf numFmtId="3" fontId="15" fillId="5" borderId="12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Protection="1">
      <protection locked="0" hidden="1"/>
    </xf>
    <xf numFmtId="3" fontId="29" fillId="0" borderId="10" xfId="0" applyNumberFormat="1" applyFont="1" applyFill="1" applyBorder="1" applyProtection="1">
      <protection locked="0" hidden="1"/>
    </xf>
    <xf numFmtId="3" fontId="29" fillId="0" borderId="10" xfId="0" applyNumberFormat="1" applyFont="1" applyBorder="1" applyProtection="1">
      <protection locked="0" hidden="1"/>
    </xf>
    <xf numFmtId="3" fontId="29" fillId="0" borderId="0" xfId="0" applyNumberFormat="1" applyFont="1" applyProtection="1">
      <protection locked="0" hidden="1"/>
    </xf>
    <xf numFmtId="0" fontId="8" fillId="5" borderId="9" xfId="0" applyFont="1" applyFill="1" applyBorder="1" applyAlignment="1">
      <alignment horizontal="center" vertical="center"/>
    </xf>
    <xf numFmtId="3" fontId="8" fillId="5" borderId="10" xfId="0" applyNumberFormat="1" applyFont="1" applyFill="1" applyBorder="1" applyAlignment="1">
      <alignment horizontal="center" vertical="center" wrapText="1"/>
    </xf>
    <xf numFmtId="3" fontId="8" fillId="5" borderId="12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3" fontId="8" fillId="5" borderId="9" xfId="0" applyNumberFormat="1" applyFont="1" applyFill="1" applyBorder="1" applyAlignment="1">
      <alignment horizontal="center" vertical="center" wrapText="1"/>
    </xf>
    <xf numFmtId="3" fontId="8" fillId="5" borderId="14" xfId="0" applyNumberFormat="1" applyFont="1" applyFill="1" applyBorder="1" applyAlignment="1">
      <alignment horizontal="center" vertical="center" wrapText="1"/>
    </xf>
    <xf numFmtId="3" fontId="8" fillId="5" borderId="14" xfId="0" quotePrefix="1" applyNumberFormat="1" applyFont="1" applyFill="1" applyBorder="1" applyAlignment="1">
      <alignment horizontal="center" vertical="center" wrapText="1"/>
    </xf>
    <xf numFmtId="3" fontId="15" fillId="5" borderId="10" xfId="0" quotePrefix="1" applyNumberFormat="1" applyFont="1" applyFill="1" applyBorder="1" applyAlignment="1">
      <alignment horizontal="center" vertical="center"/>
    </xf>
    <xf numFmtId="3" fontId="15" fillId="5" borderId="14" xfId="0" applyNumberFormat="1" applyFont="1" applyFill="1" applyBorder="1" applyAlignment="1">
      <alignment horizontal="center" vertical="center"/>
    </xf>
    <xf numFmtId="3" fontId="26" fillId="14" borderId="0" xfId="0" applyNumberFormat="1" applyFont="1" applyFill="1" applyBorder="1" applyAlignment="1">
      <alignment horizontal="center" vertical="center" wrapText="1"/>
    </xf>
    <xf numFmtId="3" fontId="11" fillId="14" borderId="0" xfId="0" applyNumberFormat="1" applyFont="1" applyFill="1" applyBorder="1" applyAlignment="1">
      <alignment horizontal="center" vertical="center"/>
    </xf>
    <xf numFmtId="0" fontId="0" fillId="15" borderId="0" xfId="0" applyFill="1" applyProtection="1">
      <protection locked="0" hidden="1"/>
    </xf>
    <xf numFmtId="164" fontId="2" fillId="0" borderId="0" xfId="0" applyNumberFormat="1" applyFont="1" applyFill="1"/>
    <xf numFmtId="0" fontId="0" fillId="15" borderId="0" xfId="0" applyFill="1"/>
    <xf numFmtId="0" fontId="13" fillId="15" borderId="10" xfId="0" applyFont="1" applyFill="1" applyBorder="1" applyAlignment="1">
      <alignment horizontal="center"/>
    </xf>
    <xf numFmtId="0" fontId="21" fillId="15" borderId="10" xfId="0" applyFont="1" applyFill="1" applyBorder="1" applyAlignment="1" applyProtection="1">
      <alignment horizontal="center"/>
      <protection locked="0" hidden="1"/>
    </xf>
    <xf numFmtId="0" fontId="4" fillId="15" borderId="10" xfId="0" applyFont="1" applyFill="1" applyBorder="1" applyAlignment="1" applyProtection="1">
      <alignment horizontal="center"/>
      <protection locked="0" hidden="1"/>
    </xf>
    <xf numFmtId="0" fontId="4" fillId="15" borderId="10" xfId="0" applyFont="1" applyFill="1" applyBorder="1" applyAlignment="1">
      <alignment horizontal="center"/>
    </xf>
    <xf numFmtId="164" fontId="0" fillId="15" borderId="0" xfId="1" applyNumberFormat="1" applyFont="1" applyFill="1"/>
    <xf numFmtId="0" fontId="8" fillId="5" borderId="9" xfId="0" applyFont="1" applyFill="1" applyBorder="1" applyAlignment="1">
      <alignment horizontal="center" vertical="center"/>
    </xf>
    <xf numFmtId="3" fontId="8" fillId="5" borderId="10" xfId="0" applyNumberFormat="1" applyFont="1" applyFill="1" applyBorder="1" applyAlignment="1">
      <alignment horizontal="center" vertical="center" wrapText="1"/>
    </xf>
    <xf numFmtId="3" fontId="8" fillId="5" borderId="12" xfId="0" applyNumberFormat="1" applyFont="1" applyFill="1" applyBorder="1" applyAlignment="1">
      <alignment horizontal="center" vertical="center" wrapText="1"/>
    </xf>
    <xf numFmtId="3" fontId="15" fillId="5" borderId="14" xfId="0" applyNumberFormat="1" applyFont="1" applyFill="1" applyBorder="1" applyAlignment="1">
      <alignment horizontal="center" vertical="center"/>
    </xf>
    <xf numFmtId="3" fontId="8" fillId="5" borderId="9" xfId="0" applyNumberFormat="1" applyFont="1" applyFill="1" applyBorder="1" applyAlignment="1">
      <alignment horizontal="center" vertical="center" wrapText="1"/>
    </xf>
    <xf numFmtId="3" fontId="8" fillId="5" borderId="14" xfId="0" applyNumberFormat="1" applyFont="1" applyFill="1" applyBorder="1" applyAlignment="1">
      <alignment horizontal="center" vertical="center" wrapText="1"/>
    </xf>
    <xf numFmtId="0" fontId="0" fillId="0" borderId="0" xfId="0" applyFill="1" applyProtection="1">
      <protection locked="0" hidden="1"/>
    </xf>
    <xf numFmtId="3" fontId="8" fillId="5" borderId="10" xfId="0" applyNumberFormat="1" applyFont="1" applyFill="1" applyBorder="1" applyAlignment="1">
      <alignment horizontal="center" vertical="center" wrapText="1"/>
    </xf>
    <xf numFmtId="3" fontId="8" fillId="5" borderId="12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/>
    </xf>
    <xf numFmtId="3" fontId="15" fillId="5" borderId="14" xfId="0" applyNumberFormat="1" applyFont="1" applyFill="1" applyBorder="1" applyAlignment="1">
      <alignment horizontal="center" vertical="center"/>
    </xf>
    <xf numFmtId="3" fontId="15" fillId="5" borderId="19" xfId="0" applyNumberFormat="1" applyFont="1" applyFill="1" applyBorder="1" applyAlignment="1">
      <alignment horizontal="center" vertical="center"/>
    </xf>
    <xf numFmtId="3" fontId="15" fillId="5" borderId="9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8" fillId="4" borderId="0" xfId="1" applyNumberFormat="1" applyFont="1" applyFill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2" fillId="0" borderId="3" xfId="1" applyNumberFormat="1" applyFont="1" applyBorder="1" applyAlignment="1">
      <alignment horizontal="center" vertical="center" wrapText="1"/>
    </xf>
    <xf numFmtId="3" fontId="2" fillId="0" borderId="4" xfId="1" applyNumberFormat="1" applyFont="1" applyBorder="1" applyAlignment="1">
      <alignment horizontal="center" vertical="center" wrapText="1"/>
    </xf>
    <xf numFmtId="3" fontId="2" fillId="0" borderId="7" xfId="1" applyNumberFormat="1" applyFont="1" applyBorder="1" applyAlignment="1">
      <alignment horizontal="center" vertical="center" wrapText="1"/>
    </xf>
    <xf numFmtId="3" fontId="2" fillId="0" borderId="8" xfId="1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10" fillId="5" borderId="14" xfId="0" applyNumberFormat="1" applyFont="1" applyFill="1" applyBorder="1" applyAlignment="1">
      <alignment horizontal="center"/>
    </xf>
    <xf numFmtId="3" fontId="10" fillId="5" borderId="15" xfId="0" applyNumberFormat="1" applyFont="1" applyFill="1" applyBorder="1" applyAlignment="1">
      <alignment horizontal="center"/>
    </xf>
    <xf numFmtId="3" fontId="10" fillId="5" borderId="18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0" fontId="26" fillId="11" borderId="13" xfId="0" applyFont="1" applyFill="1" applyBorder="1" applyAlignment="1" applyProtection="1">
      <alignment horizontal="center" vertical="center"/>
      <protection locked="0" hidden="1"/>
    </xf>
    <xf numFmtId="0" fontId="26" fillId="11" borderId="0" xfId="0" applyFont="1" applyFill="1" applyBorder="1" applyAlignment="1" applyProtection="1">
      <alignment horizontal="center" vertical="center"/>
      <protection locked="0" hidden="1"/>
    </xf>
    <xf numFmtId="3" fontId="15" fillId="5" borderId="10" xfId="0" applyNumberFormat="1" applyFont="1" applyFill="1" applyBorder="1" applyAlignment="1">
      <alignment horizontal="center" vertical="center" wrapText="1"/>
    </xf>
    <xf numFmtId="3" fontId="8" fillId="5" borderId="10" xfId="0" applyNumberFormat="1" applyFont="1" applyFill="1" applyBorder="1" applyAlignment="1">
      <alignment horizontal="center" vertical="center" wrapText="1"/>
    </xf>
    <xf numFmtId="3" fontId="8" fillId="5" borderId="12" xfId="0" applyNumberFormat="1" applyFont="1" applyFill="1" applyBorder="1" applyAlignment="1">
      <alignment horizontal="center" vertical="center" wrapText="1"/>
    </xf>
    <xf numFmtId="3" fontId="8" fillId="5" borderId="11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/>
    </xf>
    <xf numFmtId="3" fontId="15" fillId="5" borderId="11" xfId="0" applyNumberFormat="1" applyFont="1" applyFill="1" applyBorder="1" applyAlignment="1">
      <alignment horizontal="center" vertical="center"/>
    </xf>
    <xf numFmtId="3" fontId="15" fillId="5" borderId="16" xfId="0" applyNumberFormat="1" applyFont="1" applyFill="1" applyBorder="1" applyAlignment="1">
      <alignment horizontal="center" vertical="center" wrapText="1"/>
    </xf>
    <xf numFmtId="3" fontId="15" fillId="5" borderId="9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3" fontId="15" fillId="5" borderId="14" xfId="0" applyNumberFormat="1" applyFont="1" applyFill="1" applyBorder="1" applyAlignment="1">
      <alignment horizontal="center" vertical="center"/>
    </xf>
    <xf numFmtId="3" fontId="15" fillId="5" borderId="18" xfId="0" applyNumberFormat="1" applyFont="1" applyFill="1" applyBorder="1" applyAlignment="1">
      <alignment horizontal="center" vertical="center"/>
    </xf>
    <xf numFmtId="3" fontId="8" fillId="5" borderId="9" xfId="0" applyNumberFormat="1" applyFont="1" applyFill="1" applyBorder="1" applyAlignment="1">
      <alignment horizontal="center" vertical="center" wrapText="1"/>
    </xf>
    <xf numFmtId="3" fontId="8" fillId="5" borderId="14" xfId="0" applyNumberFormat="1" applyFont="1" applyFill="1" applyBorder="1" applyAlignment="1">
      <alignment horizontal="center" vertical="center" wrapText="1"/>
    </xf>
    <xf numFmtId="3" fontId="8" fillId="5" borderId="18" xfId="0" applyNumberFormat="1" applyFont="1" applyFill="1" applyBorder="1" applyAlignment="1">
      <alignment horizontal="center" vertical="center" wrapText="1"/>
    </xf>
    <xf numFmtId="3" fontId="15" fillId="5" borderId="16" xfId="0" applyNumberFormat="1" applyFont="1" applyFill="1" applyBorder="1" applyAlignment="1">
      <alignment horizontal="center" vertical="center"/>
    </xf>
    <xf numFmtId="3" fontId="15" fillId="5" borderId="9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85725</xdr:rowOff>
    </xdr:from>
    <xdr:to>
      <xdr:col>4</xdr:col>
      <xdr:colOff>276225</xdr:colOff>
      <xdr:row>3</xdr:row>
      <xdr:rowOff>171450</xdr:rowOff>
    </xdr:to>
    <xdr:pic>
      <xdr:nvPicPr>
        <xdr:cNvPr id="2" name="Picture 1" descr="Logotip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85725"/>
          <a:ext cx="15811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1199029</xdr:colOff>
      <xdr:row>3</xdr:row>
      <xdr:rowOff>66675</xdr:rowOff>
    </xdr:to>
    <xdr:pic>
      <xdr:nvPicPr>
        <xdr:cNvPr id="2" name="Picture 2" descr="Logotip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5279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1503829</xdr:colOff>
      <xdr:row>4</xdr:row>
      <xdr:rowOff>47625</xdr:rowOff>
    </xdr:to>
    <xdr:pic>
      <xdr:nvPicPr>
        <xdr:cNvPr id="2" name="Picture 2" descr="Logotip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0079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1</xdr:col>
      <xdr:colOff>1809750</xdr:colOff>
      <xdr:row>2</xdr:row>
      <xdr:rowOff>95250</xdr:rowOff>
    </xdr:to>
    <xdr:pic>
      <xdr:nvPicPr>
        <xdr:cNvPr id="2" name="Picture 2" descr="Logotip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2028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1199029</xdr:colOff>
      <xdr:row>3</xdr:row>
      <xdr:rowOff>76201</xdr:rowOff>
    </xdr:to>
    <xdr:pic>
      <xdr:nvPicPr>
        <xdr:cNvPr id="2" name="Picture 2" descr="Logotip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675279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85725</xdr:rowOff>
    </xdr:from>
    <xdr:to>
      <xdr:col>4</xdr:col>
      <xdr:colOff>133350</xdr:colOff>
      <xdr:row>3</xdr:row>
      <xdr:rowOff>180975</xdr:rowOff>
    </xdr:to>
    <xdr:pic>
      <xdr:nvPicPr>
        <xdr:cNvPr id="2" name="Picture 1" descr="Logotip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85725"/>
          <a:ext cx="15811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85725</xdr:rowOff>
    </xdr:from>
    <xdr:to>
      <xdr:col>4</xdr:col>
      <xdr:colOff>133350</xdr:colOff>
      <xdr:row>3</xdr:row>
      <xdr:rowOff>190500</xdr:rowOff>
    </xdr:to>
    <xdr:pic>
      <xdr:nvPicPr>
        <xdr:cNvPr id="2" name="Picture 1" descr="Logotip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85725"/>
          <a:ext cx="15811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85725</xdr:rowOff>
    </xdr:from>
    <xdr:to>
      <xdr:col>4</xdr:col>
      <xdr:colOff>133350</xdr:colOff>
      <xdr:row>4</xdr:row>
      <xdr:rowOff>0</xdr:rowOff>
    </xdr:to>
    <xdr:pic>
      <xdr:nvPicPr>
        <xdr:cNvPr id="2" name="Picture 1" descr="Logotip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85725"/>
          <a:ext cx="15811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962025</xdr:colOff>
      <xdr:row>0</xdr:row>
      <xdr:rowOff>0</xdr:rowOff>
    </xdr:from>
    <xdr:to>
      <xdr:col>2</xdr:col>
      <xdr:colOff>2209800</xdr:colOff>
      <xdr:row>3</xdr:row>
      <xdr:rowOff>114300</xdr:rowOff>
    </xdr:to>
    <xdr:pic>
      <xdr:nvPicPr>
        <xdr:cNvPr id="3" name="Picture 2" descr="Logotipo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0"/>
          <a:ext cx="12477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1961029</xdr:colOff>
      <xdr:row>3</xdr:row>
      <xdr:rowOff>200025</xdr:rowOff>
    </xdr:to>
    <xdr:pic>
      <xdr:nvPicPr>
        <xdr:cNvPr id="2" name="Picture 2" descr="Logotip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1201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1503829</xdr:colOff>
      <xdr:row>4</xdr:row>
      <xdr:rowOff>47625</xdr:rowOff>
    </xdr:to>
    <xdr:pic>
      <xdr:nvPicPr>
        <xdr:cNvPr id="2" name="Picture 2" descr="Logotip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7279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1503829</xdr:colOff>
      <xdr:row>4</xdr:row>
      <xdr:rowOff>47625</xdr:rowOff>
    </xdr:to>
    <xdr:pic>
      <xdr:nvPicPr>
        <xdr:cNvPr id="2" name="Picture 2" descr="Logotip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0079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1503829</xdr:colOff>
      <xdr:row>4</xdr:row>
      <xdr:rowOff>47625</xdr:rowOff>
    </xdr:to>
    <xdr:pic>
      <xdr:nvPicPr>
        <xdr:cNvPr id="2" name="Picture 2" descr="Logotip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7279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6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7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9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117"/>
  <sheetViews>
    <sheetView topLeftCell="A13" workbookViewId="0">
      <selection activeCell="D24" sqref="D24:E24"/>
    </sheetView>
  </sheetViews>
  <sheetFormatPr baseColWidth="10" defaultRowHeight="11.25" x14ac:dyDescent="0.2"/>
  <cols>
    <col min="1" max="1" width="6.85546875" style="110" customWidth="1"/>
    <col min="2" max="2" width="2.7109375" style="110" customWidth="1"/>
    <col min="3" max="3" width="9.85546875" style="96" customWidth="1"/>
    <col min="4" max="4" width="12.7109375" style="96" customWidth="1"/>
    <col min="5" max="5" width="14.28515625" style="96" bestFit="1" customWidth="1"/>
    <col min="6" max="6" width="12.5703125" style="99" customWidth="1"/>
    <col min="7" max="7" width="11.7109375" style="96" customWidth="1"/>
    <col min="8" max="8" width="14.5703125" style="96" customWidth="1"/>
    <col min="9" max="9" width="11.7109375" style="96" customWidth="1"/>
    <col min="10" max="10" width="9.5703125" style="96" customWidth="1"/>
    <col min="11" max="11" width="9.42578125" style="96" customWidth="1"/>
    <col min="12" max="12" width="10.140625" style="96" customWidth="1"/>
    <col min="13" max="13" width="9.5703125" style="96" customWidth="1"/>
    <col min="14" max="14" width="9.42578125" style="96" customWidth="1"/>
    <col min="15" max="15" width="11.85546875" style="99" customWidth="1"/>
    <col min="16" max="16" width="10.85546875" style="96" customWidth="1"/>
    <col min="17" max="17" width="18.85546875" style="110" customWidth="1"/>
    <col min="18" max="18" width="13" style="110" bestFit="1" customWidth="1"/>
    <col min="19" max="28" width="11.42578125" style="110"/>
    <col min="29" max="257" width="11.42578125" style="96"/>
    <col min="258" max="258" width="2.7109375" style="96" customWidth="1"/>
    <col min="259" max="259" width="9.85546875" style="96" customWidth="1"/>
    <col min="260" max="260" width="12.5703125" style="96" customWidth="1"/>
    <col min="261" max="261" width="12.85546875" style="96" customWidth="1"/>
    <col min="262" max="262" width="12.5703125" style="96" customWidth="1"/>
    <col min="263" max="263" width="10" style="96" customWidth="1"/>
    <col min="264" max="264" width="10.28515625" style="96" customWidth="1"/>
    <col min="265" max="265" width="10.42578125" style="96" customWidth="1"/>
    <col min="266" max="266" width="10.85546875" style="96" bestFit="1" customWidth="1"/>
    <col min="267" max="268" width="10.140625" style="96" customWidth="1"/>
    <col min="269" max="269" width="9.42578125" style="96" customWidth="1"/>
    <col min="270" max="270" width="12.140625" style="96" customWidth="1"/>
    <col min="271" max="271" width="11.85546875" style="96" customWidth="1"/>
    <col min="272" max="272" width="13" style="96" customWidth="1"/>
    <col min="273" max="273" width="18.85546875" style="96" customWidth="1"/>
    <col min="274" max="274" width="13" style="96" bestFit="1" customWidth="1"/>
    <col min="275" max="513" width="11.42578125" style="96"/>
    <col min="514" max="514" width="2.7109375" style="96" customWidth="1"/>
    <col min="515" max="515" width="9.85546875" style="96" customWidth="1"/>
    <col min="516" max="516" width="12.5703125" style="96" customWidth="1"/>
    <col min="517" max="517" width="12.85546875" style="96" customWidth="1"/>
    <col min="518" max="518" width="12.5703125" style="96" customWidth="1"/>
    <col min="519" max="519" width="10" style="96" customWidth="1"/>
    <col min="520" max="520" width="10.28515625" style="96" customWidth="1"/>
    <col min="521" max="521" width="10.42578125" style="96" customWidth="1"/>
    <col min="522" max="522" width="10.85546875" style="96" bestFit="1" customWidth="1"/>
    <col min="523" max="524" width="10.140625" style="96" customWidth="1"/>
    <col min="525" max="525" width="9.42578125" style="96" customWidth="1"/>
    <col min="526" max="526" width="12.140625" style="96" customWidth="1"/>
    <col min="527" max="527" width="11.85546875" style="96" customWidth="1"/>
    <col min="528" max="528" width="13" style="96" customWidth="1"/>
    <col min="529" max="529" width="18.85546875" style="96" customWidth="1"/>
    <col min="530" max="530" width="13" style="96" bestFit="1" customWidth="1"/>
    <col min="531" max="769" width="11.42578125" style="96"/>
    <col min="770" max="770" width="2.7109375" style="96" customWidth="1"/>
    <col min="771" max="771" width="9.85546875" style="96" customWidth="1"/>
    <col min="772" max="772" width="12.5703125" style="96" customWidth="1"/>
    <col min="773" max="773" width="12.85546875" style="96" customWidth="1"/>
    <col min="774" max="774" width="12.5703125" style="96" customWidth="1"/>
    <col min="775" max="775" width="10" style="96" customWidth="1"/>
    <col min="776" max="776" width="10.28515625" style="96" customWidth="1"/>
    <col min="777" max="777" width="10.42578125" style="96" customWidth="1"/>
    <col min="778" max="778" width="10.85546875" style="96" bestFit="1" customWidth="1"/>
    <col min="779" max="780" width="10.140625" style="96" customWidth="1"/>
    <col min="781" max="781" width="9.42578125" style="96" customWidth="1"/>
    <col min="782" max="782" width="12.140625" style="96" customWidth="1"/>
    <col min="783" max="783" width="11.85546875" style="96" customWidth="1"/>
    <col min="784" max="784" width="13" style="96" customWidth="1"/>
    <col min="785" max="785" width="18.85546875" style="96" customWidth="1"/>
    <col min="786" max="786" width="13" style="96" bestFit="1" customWidth="1"/>
    <col min="787" max="1025" width="11.42578125" style="96"/>
    <col min="1026" max="1026" width="2.7109375" style="96" customWidth="1"/>
    <col min="1027" max="1027" width="9.85546875" style="96" customWidth="1"/>
    <col min="1028" max="1028" width="12.5703125" style="96" customWidth="1"/>
    <col min="1029" max="1029" width="12.85546875" style="96" customWidth="1"/>
    <col min="1030" max="1030" width="12.5703125" style="96" customWidth="1"/>
    <col min="1031" max="1031" width="10" style="96" customWidth="1"/>
    <col min="1032" max="1032" width="10.28515625" style="96" customWidth="1"/>
    <col min="1033" max="1033" width="10.42578125" style="96" customWidth="1"/>
    <col min="1034" max="1034" width="10.85546875" style="96" bestFit="1" customWidth="1"/>
    <col min="1035" max="1036" width="10.140625" style="96" customWidth="1"/>
    <col min="1037" max="1037" width="9.42578125" style="96" customWidth="1"/>
    <col min="1038" max="1038" width="12.140625" style="96" customWidth="1"/>
    <col min="1039" max="1039" width="11.85546875" style="96" customWidth="1"/>
    <col min="1040" max="1040" width="13" style="96" customWidth="1"/>
    <col min="1041" max="1041" width="18.85546875" style="96" customWidth="1"/>
    <col min="1042" max="1042" width="13" style="96" bestFit="1" customWidth="1"/>
    <col min="1043" max="1281" width="11.42578125" style="96"/>
    <col min="1282" max="1282" width="2.7109375" style="96" customWidth="1"/>
    <col min="1283" max="1283" width="9.85546875" style="96" customWidth="1"/>
    <col min="1284" max="1284" width="12.5703125" style="96" customWidth="1"/>
    <col min="1285" max="1285" width="12.85546875" style="96" customWidth="1"/>
    <col min="1286" max="1286" width="12.5703125" style="96" customWidth="1"/>
    <col min="1287" max="1287" width="10" style="96" customWidth="1"/>
    <col min="1288" max="1288" width="10.28515625" style="96" customWidth="1"/>
    <col min="1289" max="1289" width="10.42578125" style="96" customWidth="1"/>
    <col min="1290" max="1290" width="10.85546875" style="96" bestFit="1" customWidth="1"/>
    <col min="1291" max="1292" width="10.140625" style="96" customWidth="1"/>
    <col min="1293" max="1293" width="9.42578125" style="96" customWidth="1"/>
    <col min="1294" max="1294" width="12.140625" style="96" customWidth="1"/>
    <col min="1295" max="1295" width="11.85546875" style="96" customWidth="1"/>
    <col min="1296" max="1296" width="13" style="96" customWidth="1"/>
    <col min="1297" max="1297" width="18.85546875" style="96" customWidth="1"/>
    <col min="1298" max="1298" width="13" style="96" bestFit="1" customWidth="1"/>
    <col min="1299" max="1537" width="11.42578125" style="96"/>
    <col min="1538" max="1538" width="2.7109375" style="96" customWidth="1"/>
    <col min="1539" max="1539" width="9.85546875" style="96" customWidth="1"/>
    <col min="1540" max="1540" width="12.5703125" style="96" customWidth="1"/>
    <col min="1541" max="1541" width="12.85546875" style="96" customWidth="1"/>
    <col min="1542" max="1542" width="12.5703125" style="96" customWidth="1"/>
    <col min="1543" max="1543" width="10" style="96" customWidth="1"/>
    <col min="1544" max="1544" width="10.28515625" style="96" customWidth="1"/>
    <col min="1545" max="1545" width="10.42578125" style="96" customWidth="1"/>
    <col min="1546" max="1546" width="10.85546875" style="96" bestFit="1" customWidth="1"/>
    <col min="1547" max="1548" width="10.140625" style="96" customWidth="1"/>
    <col min="1549" max="1549" width="9.42578125" style="96" customWidth="1"/>
    <col min="1550" max="1550" width="12.140625" style="96" customWidth="1"/>
    <col min="1551" max="1551" width="11.85546875" style="96" customWidth="1"/>
    <col min="1552" max="1552" width="13" style="96" customWidth="1"/>
    <col min="1553" max="1553" width="18.85546875" style="96" customWidth="1"/>
    <col min="1554" max="1554" width="13" style="96" bestFit="1" customWidth="1"/>
    <col min="1555" max="1793" width="11.42578125" style="96"/>
    <col min="1794" max="1794" width="2.7109375" style="96" customWidth="1"/>
    <col min="1795" max="1795" width="9.85546875" style="96" customWidth="1"/>
    <col min="1796" max="1796" width="12.5703125" style="96" customWidth="1"/>
    <col min="1797" max="1797" width="12.85546875" style="96" customWidth="1"/>
    <col min="1798" max="1798" width="12.5703125" style="96" customWidth="1"/>
    <col min="1799" max="1799" width="10" style="96" customWidth="1"/>
    <col min="1800" max="1800" width="10.28515625" style="96" customWidth="1"/>
    <col min="1801" max="1801" width="10.42578125" style="96" customWidth="1"/>
    <col min="1802" max="1802" width="10.85546875" style="96" bestFit="1" customWidth="1"/>
    <col min="1803" max="1804" width="10.140625" style="96" customWidth="1"/>
    <col min="1805" max="1805" width="9.42578125" style="96" customWidth="1"/>
    <col min="1806" max="1806" width="12.140625" style="96" customWidth="1"/>
    <col min="1807" max="1807" width="11.85546875" style="96" customWidth="1"/>
    <col min="1808" max="1808" width="13" style="96" customWidth="1"/>
    <col min="1809" max="1809" width="18.85546875" style="96" customWidth="1"/>
    <col min="1810" max="1810" width="13" style="96" bestFit="1" customWidth="1"/>
    <col min="1811" max="2049" width="11.42578125" style="96"/>
    <col min="2050" max="2050" width="2.7109375" style="96" customWidth="1"/>
    <col min="2051" max="2051" width="9.85546875" style="96" customWidth="1"/>
    <col min="2052" max="2052" width="12.5703125" style="96" customWidth="1"/>
    <col min="2053" max="2053" width="12.85546875" style="96" customWidth="1"/>
    <col min="2054" max="2054" width="12.5703125" style="96" customWidth="1"/>
    <col min="2055" max="2055" width="10" style="96" customWidth="1"/>
    <col min="2056" max="2056" width="10.28515625" style="96" customWidth="1"/>
    <col min="2057" max="2057" width="10.42578125" style="96" customWidth="1"/>
    <col min="2058" max="2058" width="10.85546875" style="96" bestFit="1" customWidth="1"/>
    <col min="2059" max="2060" width="10.140625" style="96" customWidth="1"/>
    <col min="2061" max="2061" width="9.42578125" style="96" customWidth="1"/>
    <col min="2062" max="2062" width="12.140625" style="96" customWidth="1"/>
    <col min="2063" max="2063" width="11.85546875" style="96" customWidth="1"/>
    <col min="2064" max="2064" width="13" style="96" customWidth="1"/>
    <col min="2065" max="2065" width="18.85546875" style="96" customWidth="1"/>
    <col min="2066" max="2066" width="13" style="96" bestFit="1" customWidth="1"/>
    <col min="2067" max="2305" width="11.42578125" style="96"/>
    <col min="2306" max="2306" width="2.7109375" style="96" customWidth="1"/>
    <col min="2307" max="2307" width="9.85546875" style="96" customWidth="1"/>
    <col min="2308" max="2308" width="12.5703125" style="96" customWidth="1"/>
    <col min="2309" max="2309" width="12.85546875" style="96" customWidth="1"/>
    <col min="2310" max="2310" width="12.5703125" style="96" customWidth="1"/>
    <col min="2311" max="2311" width="10" style="96" customWidth="1"/>
    <col min="2312" max="2312" width="10.28515625" style="96" customWidth="1"/>
    <col min="2313" max="2313" width="10.42578125" style="96" customWidth="1"/>
    <col min="2314" max="2314" width="10.85546875" style="96" bestFit="1" customWidth="1"/>
    <col min="2315" max="2316" width="10.140625" style="96" customWidth="1"/>
    <col min="2317" max="2317" width="9.42578125" style="96" customWidth="1"/>
    <col min="2318" max="2318" width="12.140625" style="96" customWidth="1"/>
    <col min="2319" max="2319" width="11.85546875" style="96" customWidth="1"/>
    <col min="2320" max="2320" width="13" style="96" customWidth="1"/>
    <col min="2321" max="2321" width="18.85546875" style="96" customWidth="1"/>
    <col min="2322" max="2322" width="13" style="96" bestFit="1" customWidth="1"/>
    <col min="2323" max="2561" width="11.42578125" style="96"/>
    <col min="2562" max="2562" width="2.7109375" style="96" customWidth="1"/>
    <col min="2563" max="2563" width="9.85546875" style="96" customWidth="1"/>
    <col min="2564" max="2564" width="12.5703125" style="96" customWidth="1"/>
    <col min="2565" max="2565" width="12.85546875" style="96" customWidth="1"/>
    <col min="2566" max="2566" width="12.5703125" style="96" customWidth="1"/>
    <col min="2567" max="2567" width="10" style="96" customWidth="1"/>
    <col min="2568" max="2568" width="10.28515625" style="96" customWidth="1"/>
    <col min="2569" max="2569" width="10.42578125" style="96" customWidth="1"/>
    <col min="2570" max="2570" width="10.85546875" style="96" bestFit="1" customWidth="1"/>
    <col min="2571" max="2572" width="10.140625" style="96" customWidth="1"/>
    <col min="2573" max="2573" width="9.42578125" style="96" customWidth="1"/>
    <col min="2574" max="2574" width="12.140625" style="96" customWidth="1"/>
    <col min="2575" max="2575" width="11.85546875" style="96" customWidth="1"/>
    <col min="2576" max="2576" width="13" style="96" customWidth="1"/>
    <col min="2577" max="2577" width="18.85546875" style="96" customWidth="1"/>
    <col min="2578" max="2578" width="13" style="96" bestFit="1" customWidth="1"/>
    <col min="2579" max="2817" width="11.42578125" style="96"/>
    <col min="2818" max="2818" width="2.7109375" style="96" customWidth="1"/>
    <col min="2819" max="2819" width="9.85546875" style="96" customWidth="1"/>
    <col min="2820" max="2820" width="12.5703125" style="96" customWidth="1"/>
    <col min="2821" max="2821" width="12.85546875" style="96" customWidth="1"/>
    <col min="2822" max="2822" width="12.5703125" style="96" customWidth="1"/>
    <col min="2823" max="2823" width="10" style="96" customWidth="1"/>
    <col min="2824" max="2824" width="10.28515625" style="96" customWidth="1"/>
    <col min="2825" max="2825" width="10.42578125" style="96" customWidth="1"/>
    <col min="2826" max="2826" width="10.85546875" style="96" bestFit="1" customWidth="1"/>
    <col min="2827" max="2828" width="10.140625" style="96" customWidth="1"/>
    <col min="2829" max="2829" width="9.42578125" style="96" customWidth="1"/>
    <col min="2830" max="2830" width="12.140625" style="96" customWidth="1"/>
    <col min="2831" max="2831" width="11.85546875" style="96" customWidth="1"/>
    <col min="2832" max="2832" width="13" style="96" customWidth="1"/>
    <col min="2833" max="2833" width="18.85546875" style="96" customWidth="1"/>
    <col min="2834" max="2834" width="13" style="96" bestFit="1" customWidth="1"/>
    <col min="2835" max="3073" width="11.42578125" style="96"/>
    <col min="3074" max="3074" width="2.7109375" style="96" customWidth="1"/>
    <col min="3075" max="3075" width="9.85546875" style="96" customWidth="1"/>
    <col min="3076" max="3076" width="12.5703125" style="96" customWidth="1"/>
    <col min="3077" max="3077" width="12.85546875" style="96" customWidth="1"/>
    <col min="3078" max="3078" width="12.5703125" style="96" customWidth="1"/>
    <col min="3079" max="3079" width="10" style="96" customWidth="1"/>
    <col min="3080" max="3080" width="10.28515625" style="96" customWidth="1"/>
    <col min="3081" max="3081" width="10.42578125" style="96" customWidth="1"/>
    <col min="3082" max="3082" width="10.85546875" style="96" bestFit="1" customWidth="1"/>
    <col min="3083" max="3084" width="10.140625" style="96" customWidth="1"/>
    <col min="3085" max="3085" width="9.42578125" style="96" customWidth="1"/>
    <col min="3086" max="3086" width="12.140625" style="96" customWidth="1"/>
    <col min="3087" max="3087" width="11.85546875" style="96" customWidth="1"/>
    <col min="3088" max="3088" width="13" style="96" customWidth="1"/>
    <col min="3089" max="3089" width="18.85546875" style="96" customWidth="1"/>
    <col min="3090" max="3090" width="13" style="96" bestFit="1" customWidth="1"/>
    <col min="3091" max="3329" width="11.42578125" style="96"/>
    <col min="3330" max="3330" width="2.7109375" style="96" customWidth="1"/>
    <col min="3331" max="3331" width="9.85546875" style="96" customWidth="1"/>
    <col min="3332" max="3332" width="12.5703125" style="96" customWidth="1"/>
    <col min="3333" max="3333" width="12.85546875" style="96" customWidth="1"/>
    <col min="3334" max="3334" width="12.5703125" style="96" customWidth="1"/>
    <col min="3335" max="3335" width="10" style="96" customWidth="1"/>
    <col min="3336" max="3336" width="10.28515625" style="96" customWidth="1"/>
    <col min="3337" max="3337" width="10.42578125" style="96" customWidth="1"/>
    <col min="3338" max="3338" width="10.85546875" style="96" bestFit="1" customWidth="1"/>
    <col min="3339" max="3340" width="10.140625" style="96" customWidth="1"/>
    <col min="3341" max="3341" width="9.42578125" style="96" customWidth="1"/>
    <col min="3342" max="3342" width="12.140625" style="96" customWidth="1"/>
    <col min="3343" max="3343" width="11.85546875" style="96" customWidth="1"/>
    <col min="3344" max="3344" width="13" style="96" customWidth="1"/>
    <col min="3345" max="3345" width="18.85546875" style="96" customWidth="1"/>
    <col min="3346" max="3346" width="13" style="96" bestFit="1" customWidth="1"/>
    <col min="3347" max="3585" width="11.42578125" style="96"/>
    <col min="3586" max="3586" width="2.7109375" style="96" customWidth="1"/>
    <col min="3587" max="3587" width="9.85546875" style="96" customWidth="1"/>
    <col min="3588" max="3588" width="12.5703125" style="96" customWidth="1"/>
    <col min="3589" max="3589" width="12.85546875" style="96" customWidth="1"/>
    <col min="3590" max="3590" width="12.5703125" style="96" customWidth="1"/>
    <col min="3591" max="3591" width="10" style="96" customWidth="1"/>
    <col min="3592" max="3592" width="10.28515625" style="96" customWidth="1"/>
    <col min="3593" max="3593" width="10.42578125" style="96" customWidth="1"/>
    <col min="3594" max="3594" width="10.85546875" style="96" bestFit="1" customWidth="1"/>
    <col min="3595" max="3596" width="10.140625" style="96" customWidth="1"/>
    <col min="3597" max="3597" width="9.42578125" style="96" customWidth="1"/>
    <col min="3598" max="3598" width="12.140625" style="96" customWidth="1"/>
    <col min="3599" max="3599" width="11.85546875" style="96" customWidth="1"/>
    <col min="3600" max="3600" width="13" style="96" customWidth="1"/>
    <col min="3601" max="3601" width="18.85546875" style="96" customWidth="1"/>
    <col min="3602" max="3602" width="13" style="96" bestFit="1" customWidth="1"/>
    <col min="3603" max="3841" width="11.42578125" style="96"/>
    <col min="3842" max="3842" width="2.7109375" style="96" customWidth="1"/>
    <col min="3843" max="3843" width="9.85546875" style="96" customWidth="1"/>
    <col min="3844" max="3844" width="12.5703125" style="96" customWidth="1"/>
    <col min="3845" max="3845" width="12.85546875" style="96" customWidth="1"/>
    <col min="3846" max="3846" width="12.5703125" style="96" customWidth="1"/>
    <col min="3847" max="3847" width="10" style="96" customWidth="1"/>
    <col min="3848" max="3848" width="10.28515625" style="96" customWidth="1"/>
    <col min="3849" max="3849" width="10.42578125" style="96" customWidth="1"/>
    <col min="3850" max="3850" width="10.85546875" style="96" bestFit="1" customWidth="1"/>
    <col min="3851" max="3852" width="10.140625" style="96" customWidth="1"/>
    <col min="3853" max="3853" width="9.42578125" style="96" customWidth="1"/>
    <col min="3854" max="3854" width="12.140625" style="96" customWidth="1"/>
    <col min="3855" max="3855" width="11.85546875" style="96" customWidth="1"/>
    <col min="3856" max="3856" width="13" style="96" customWidth="1"/>
    <col min="3857" max="3857" width="18.85546875" style="96" customWidth="1"/>
    <col min="3858" max="3858" width="13" style="96" bestFit="1" customWidth="1"/>
    <col min="3859" max="4097" width="11.42578125" style="96"/>
    <col min="4098" max="4098" width="2.7109375" style="96" customWidth="1"/>
    <col min="4099" max="4099" width="9.85546875" style="96" customWidth="1"/>
    <col min="4100" max="4100" width="12.5703125" style="96" customWidth="1"/>
    <col min="4101" max="4101" width="12.85546875" style="96" customWidth="1"/>
    <col min="4102" max="4102" width="12.5703125" style="96" customWidth="1"/>
    <col min="4103" max="4103" width="10" style="96" customWidth="1"/>
    <col min="4104" max="4104" width="10.28515625" style="96" customWidth="1"/>
    <col min="4105" max="4105" width="10.42578125" style="96" customWidth="1"/>
    <col min="4106" max="4106" width="10.85546875" style="96" bestFit="1" customWidth="1"/>
    <col min="4107" max="4108" width="10.140625" style="96" customWidth="1"/>
    <col min="4109" max="4109" width="9.42578125" style="96" customWidth="1"/>
    <col min="4110" max="4110" width="12.140625" style="96" customWidth="1"/>
    <col min="4111" max="4111" width="11.85546875" style="96" customWidth="1"/>
    <col min="4112" max="4112" width="13" style="96" customWidth="1"/>
    <col min="4113" max="4113" width="18.85546875" style="96" customWidth="1"/>
    <col min="4114" max="4114" width="13" style="96" bestFit="1" customWidth="1"/>
    <col min="4115" max="4353" width="11.42578125" style="96"/>
    <col min="4354" max="4354" width="2.7109375" style="96" customWidth="1"/>
    <col min="4355" max="4355" width="9.85546875" style="96" customWidth="1"/>
    <col min="4356" max="4356" width="12.5703125" style="96" customWidth="1"/>
    <col min="4357" max="4357" width="12.85546875" style="96" customWidth="1"/>
    <col min="4358" max="4358" width="12.5703125" style="96" customWidth="1"/>
    <col min="4359" max="4359" width="10" style="96" customWidth="1"/>
    <col min="4360" max="4360" width="10.28515625" style="96" customWidth="1"/>
    <col min="4361" max="4361" width="10.42578125" style="96" customWidth="1"/>
    <col min="4362" max="4362" width="10.85546875" style="96" bestFit="1" customWidth="1"/>
    <col min="4363" max="4364" width="10.140625" style="96" customWidth="1"/>
    <col min="4365" max="4365" width="9.42578125" style="96" customWidth="1"/>
    <col min="4366" max="4366" width="12.140625" style="96" customWidth="1"/>
    <col min="4367" max="4367" width="11.85546875" style="96" customWidth="1"/>
    <col min="4368" max="4368" width="13" style="96" customWidth="1"/>
    <col min="4369" max="4369" width="18.85546875" style="96" customWidth="1"/>
    <col min="4370" max="4370" width="13" style="96" bestFit="1" customWidth="1"/>
    <col min="4371" max="4609" width="11.42578125" style="96"/>
    <col min="4610" max="4610" width="2.7109375" style="96" customWidth="1"/>
    <col min="4611" max="4611" width="9.85546875" style="96" customWidth="1"/>
    <col min="4612" max="4612" width="12.5703125" style="96" customWidth="1"/>
    <col min="4613" max="4613" width="12.85546875" style="96" customWidth="1"/>
    <col min="4614" max="4614" width="12.5703125" style="96" customWidth="1"/>
    <col min="4615" max="4615" width="10" style="96" customWidth="1"/>
    <col min="4616" max="4616" width="10.28515625" style="96" customWidth="1"/>
    <col min="4617" max="4617" width="10.42578125" style="96" customWidth="1"/>
    <col min="4618" max="4618" width="10.85546875" style="96" bestFit="1" customWidth="1"/>
    <col min="4619" max="4620" width="10.140625" style="96" customWidth="1"/>
    <col min="4621" max="4621" width="9.42578125" style="96" customWidth="1"/>
    <col min="4622" max="4622" width="12.140625" style="96" customWidth="1"/>
    <col min="4623" max="4623" width="11.85546875" style="96" customWidth="1"/>
    <col min="4624" max="4624" width="13" style="96" customWidth="1"/>
    <col min="4625" max="4625" width="18.85546875" style="96" customWidth="1"/>
    <col min="4626" max="4626" width="13" style="96" bestFit="1" customWidth="1"/>
    <col min="4627" max="4865" width="11.42578125" style="96"/>
    <col min="4866" max="4866" width="2.7109375" style="96" customWidth="1"/>
    <col min="4867" max="4867" width="9.85546875" style="96" customWidth="1"/>
    <col min="4868" max="4868" width="12.5703125" style="96" customWidth="1"/>
    <col min="4869" max="4869" width="12.85546875" style="96" customWidth="1"/>
    <col min="4870" max="4870" width="12.5703125" style="96" customWidth="1"/>
    <col min="4871" max="4871" width="10" style="96" customWidth="1"/>
    <col min="4872" max="4872" width="10.28515625" style="96" customWidth="1"/>
    <col min="4873" max="4873" width="10.42578125" style="96" customWidth="1"/>
    <col min="4874" max="4874" width="10.85546875" style="96" bestFit="1" customWidth="1"/>
    <col min="4875" max="4876" width="10.140625" style="96" customWidth="1"/>
    <col min="4877" max="4877" width="9.42578125" style="96" customWidth="1"/>
    <col min="4878" max="4878" width="12.140625" style="96" customWidth="1"/>
    <col min="4879" max="4879" width="11.85546875" style="96" customWidth="1"/>
    <col min="4880" max="4880" width="13" style="96" customWidth="1"/>
    <col min="4881" max="4881" width="18.85546875" style="96" customWidth="1"/>
    <col min="4882" max="4882" width="13" style="96" bestFit="1" customWidth="1"/>
    <col min="4883" max="5121" width="11.42578125" style="96"/>
    <col min="5122" max="5122" width="2.7109375" style="96" customWidth="1"/>
    <col min="5123" max="5123" width="9.85546875" style="96" customWidth="1"/>
    <col min="5124" max="5124" width="12.5703125" style="96" customWidth="1"/>
    <col min="5125" max="5125" width="12.85546875" style="96" customWidth="1"/>
    <col min="5126" max="5126" width="12.5703125" style="96" customWidth="1"/>
    <col min="5127" max="5127" width="10" style="96" customWidth="1"/>
    <col min="5128" max="5128" width="10.28515625" style="96" customWidth="1"/>
    <col min="5129" max="5129" width="10.42578125" style="96" customWidth="1"/>
    <col min="5130" max="5130" width="10.85546875" style="96" bestFit="1" customWidth="1"/>
    <col min="5131" max="5132" width="10.140625" style="96" customWidth="1"/>
    <col min="5133" max="5133" width="9.42578125" style="96" customWidth="1"/>
    <col min="5134" max="5134" width="12.140625" style="96" customWidth="1"/>
    <col min="5135" max="5135" width="11.85546875" style="96" customWidth="1"/>
    <col min="5136" max="5136" width="13" style="96" customWidth="1"/>
    <col min="5137" max="5137" width="18.85546875" style="96" customWidth="1"/>
    <col min="5138" max="5138" width="13" style="96" bestFit="1" customWidth="1"/>
    <col min="5139" max="5377" width="11.42578125" style="96"/>
    <col min="5378" max="5378" width="2.7109375" style="96" customWidth="1"/>
    <col min="5379" max="5379" width="9.85546875" style="96" customWidth="1"/>
    <col min="5380" max="5380" width="12.5703125" style="96" customWidth="1"/>
    <col min="5381" max="5381" width="12.85546875" style="96" customWidth="1"/>
    <col min="5382" max="5382" width="12.5703125" style="96" customWidth="1"/>
    <col min="5383" max="5383" width="10" style="96" customWidth="1"/>
    <col min="5384" max="5384" width="10.28515625" style="96" customWidth="1"/>
    <col min="5385" max="5385" width="10.42578125" style="96" customWidth="1"/>
    <col min="5386" max="5386" width="10.85546875" style="96" bestFit="1" customWidth="1"/>
    <col min="5387" max="5388" width="10.140625" style="96" customWidth="1"/>
    <col min="5389" max="5389" width="9.42578125" style="96" customWidth="1"/>
    <col min="5390" max="5390" width="12.140625" style="96" customWidth="1"/>
    <col min="5391" max="5391" width="11.85546875" style="96" customWidth="1"/>
    <col min="5392" max="5392" width="13" style="96" customWidth="1"/>
    <col min="5393" max="5393" width="18.85546875" style="96" customWidth="1"/>
    <col min="5394" max="5394" width="13" style="96" bestFit="1" customWidth="1"/>
    <col min="5395" max="5633" width="11.42578125" style="96"/>
    <col min="5634" max="5634" width="2.7109375" style="96" customWidth="1"/>
    <col min="5635" max="5635" width="9.85546875" style="96" customWidth="1"/>
    <col min="5636" max="5636" width="12.5703125" style="96" customWidth="1"/>
    <col min="5637" max="5637" width="12.85546875" style="96" customWidth="1"/>
    <col min="5638" max="5638" width="12.5703125" style="96" customWidth="1"/>
    <col min="5639" max="5639" width="10" style="96" customWidth="1"/>
    <col min="5640" max="5640" width="10.28515625" style="96" customWidth="1"/>
    <col min="5641" max="5641" width="10.42578125" style="96" customWidth="1"/>
    <col min="5642" max="5642" width="10.85546875" style="96" bestFit="1" customWidth="1"/>
    <col min="5643" max="5644" width="10.140625" style="96" customWidth="1"/>
    <col min="5645" max="5645" width="9.42578125" style="96" customWidth="1"/>
    <col min="5646" max="5646" width="12.140625" style="96" customWidth="1"/>
    <col min="5647" max="5647" width="11.85546875" style="96" customWidth="1"/>
    <col min="5648" max="5648" width="13" style="96" customWidth="1"/>
    <col min="5649" max="5649" width="18.85546875" style="96" customWidth="1"/>
    <col min="5650" max="5650" width="13" style="96" bestFit="1" customWidth="1"/>
    <col min="5651" max="5889" width="11.42578125" style="96"/>
    <col min="5890" max="5890" width="2.7109375" style="96" customWidth="1"/>
    <col min="5891" max="5891" width="9.85546875" style="96" customWidth="1"/>
    <col min="5892" max="5892" width="12.5703125" style="96" customWidth="1"/>
    <col min="5893" max="5893" width="12.85546875" style="96" customWidth="1"/>
    <col min="5894" max="5894" width="12.5703125" style="96" customWidth="1"/>
    <col min="5895" max="5895" width="10" style="96" customWidth="1"/>
    <col min="5896" max="5896" width="10.28515625" style="96" customWidth="1"/>
    <col min="5897" max="5897" width="10.42578125" style="96" customWidth="1"/>
    <col min="5898" max="5898" width="10.85546875" style="96" bestFit="1" customWidth="1"/>
    <col min="5899" max="5900" width="10.140625" style="96" customWidth="1"/>
    <col min="5901" max="5901" width="9.42578125" style="96" customWidth="1"/>
    <col min="5902" max="5902" width="12.140625" style="96" customWidth="1"/>
    <col min="5903" max="5903" width="11.85546875" style="96" customWidth="1"/>
    <col min="5904" max="5904" width="13" style="96" customWidth="1"/>
    <col min="5905" max="5905" width="18.85546875" style="96" customWidth="1"/>
    <col min="5906" max="5906" width="13" style="96" bestFit="1" customWidth="1"/>
    <col min="5907" max="6145" width="11.42578125" style="96"/>
    <col min="6146" max="6146" width="2.7109375" style="96" customWidth="1"/>
    <col min="6147" max="6147" width="9.85546875" style="96" customWidth="1"/>
    <col min="6148" max="6148" width="12.5703125" style="96" customWidth="1"/>
    <col min="6149" max="6149" width="12.85546875" style="96" customWidth="1"/>
    <col min="6150" max="6150" width="12.5703125" style="96" customWidth="1"/>
    <col min="6151" max="6151" width="10" style="96" customWidth="1"/>
    <col min="6152" max="6152" width="10.28515625" style="96" customWidth="1"/>
    <col min="6153" max="6153" width="10.42578125" style="96" customWidth="1"/>
    <col min="6154" max="6154" width="10.85546875" style="96" bestFit="1" customWidth="1"/>
    <col min="6155" max="6156" width="10.140625" style="96" customWidth="1"/>
    <col min="6157" max="6157" width="9.42578125" style="96" customWidth="1"/>
    <col min="6158" max="6158" width="12.140625" style="96" customWidth="1"/>
    <col min="6159" max="6159" width="11.85546875" style="96" customWidth="1"/>
    <col min="6160" max="6160" width="13" style="96" customWidth="1"/>
    <col min="6161" max="6161" width="18.85546875" style="96" customWidth="1"/>
    <col min="6162" max="6162" width="13" style="96" bestFit="1" customWidth="1"/>
    <col min="6163" max="6401" width="11.42578125" style="96"/>
    <col min="6402" max="6402" width="2.7109375" style="96" customWidth="1"/>
    <col min="6403" max="6403" width="9.85546875" style="96" customWidth="1"/>
    <col min="6404" max="6404" width="12.5703125" style="96" customWidth="1"/>
    <col min="6405" max="6405" width="12.85546875" style="96" customWidth="1"/>
    <col min="6406" max="6406" width="12.5703125" style="96" customWidth="1"/>
    <col min="6407" max="6407" width="10" style="96" customWidth="1"/>
    <col min="6408" max="6408" width="10.28515625" style="96" customWidth="1"/>
    <col min="6409" max="6409" width="10.42578125" style="96" customWidth="1"/>
    <col min="6410" max="6410" width="10.85546875" style="96" bestFit="1" customWidth="1"/>
    <col min="6411" max="6412" width="10.140625" style="96" customWidth="1"/>
    <col min="6413" max="6413" width="9.42578125" style="96" customWidth="1"/>
    <col min="6414" max="6414" width="12.140625" style="96" customWidth="1"/>
    <col min="6415" max="6415" width="11.85546875" style="96" customWidth="1"/>
    <col min="6416" max="6416" width="13" style="96" customWidth="1"/>
    <col min="6417" max="6417" width="18.85546875" style="96" customWidth="1"/>
    <col min="6418" max="6418" width="13" style="96" bestFit="1" customWidth="1"/>
    <col min="6419" max="6657" width="11.42578125" style="96"/>
    <col min="6658" max="6658" width="2.7109375" style="96" customWidth="1"/>
    <col min="6659" max="6659" width="9.85546875" style="96" customWidth="1"/>
    <col min="6660" max="6660" width="12.5703125" style="96" customWidth="1"/>
    <col min="6661" max="6661" width="12.85546875" style="96" customWidth="1"/>
    <col min="6662" max="6662" width="12.5703125" style="96" customWidth="1"/>
    <col min="6663" max="6663" width="10" style="96" customWidth="1"/>
    <col min="6664" max="6664" width="10.28515625" style="96" customWidth="1"/>
    <col min="6665" max="6665" width="10.42578125" style="96" customWidth="1"/>
    <col min="6666" max="6666" width="10.85546875" style="96" bestFit="1" customWidth="1"/>
    <col min="6667" max="6668" width="10.140625" style="96" customWidth="1"/>
    <col min="6669" max="6669" width="9.42578125" style="96" customWidth="1"/>
    <col min="6670" max="6670" width="12.140625" style="96" customWidth="1"/>
    <col min="6671" max="6671" width="11.85546875" style="96" customWidth="1"/>
    <col min="6672" max="6672" width="13" style="96" customWidth="1"/>
    <col min="6673" max="6673" width="18.85546875" style="96" customWidth="1"/>
    <col min="6674" max="6674" width="13" style="96" bestFit="1" customWidth="1"/>
    <col min="6675" max="6913" width="11.42578125" style="96"/>
    <col min="6914" max="6914" width="2.7109375" style="96" customWidth="1"/>
    <col min="6915" max="6915" width="9.85546875" style="96" customWidth="1"/>
    <col min="6916" max="6916" width="12.5703125" style="96" customWidth="1"/>
    <col min="6917" max="6917" width="12.85546875" style="96" customWidth="1"/>
    <col min="6918" max="6918" width="12.5703125" style="96" customWidth="1"/>
    <col min="6919" max="6919" width="10" style="96" customWidth="1"/>
    <col min="6920" max="6920" width="10.28515625" style="96" customWidth="1"/>
    <col min="6921" max="6921" width="10.42578125" style="96" customWidth="1"/>
    <col min="6922" max="6922" width="10.85546875" style="96" bestFit="1" customWidth="1"/>
    <col min="6923" max="6924" width="10.140625" style="96" customWidth="1"/>
    <col min="6925" max="6925" width="9.42578125" style="96" customWidth="1"/>
    <col min="6926" max="6926" width="12.140625" style="96" customWidth="1"/>
    <col min="6927" max="6927" width="11.85546875" style="96" customWidth="1"/>
    <col min="6928" max="6928" width="13" style="96" customWidth="1"/>
    <col min="6929" max="6929" width="18.85546875" style="96" customWidth="1"/>
    <col min="6930" max="6930" width="13" style="96" bestFit="1" customWidth="1"/>
    <col min="6931" max="7169" width="11.42578125" style="96"/>
    <col min="7170" max="7170" width="2.7109375" style="96" customWidth="1"/>
    <col min="7171" max="7171" width="9.85546875" style="96" customWidth="1"/>
    <col min="7172" max="7172" width="12.5703125" style="96" customWidth="1"/>
    <col min="7173" max="7173" width="12.85546875" style="96" customWidth="1"/>
    <col min="7174" max="7174" width="12.5703125" style="96" customWidth="1"/>
    <col min="7175" max="7175" width="10" style="96" customWidth="1"/>
    <col min="7176" max="7176" width="10.28515625" style="96" customWidth="1"/>
    <col min="7177" max="7177" width="10.42578125" style="96" customWidth="1"/>
    <col min="7178" max="7178" width="10.85546875" style="96" bestFit="1" customWidth="1"/>
    <col min="7179" max="7180" width="10.140625" style="96" customWidth="1"/>
    <col min="7181" max="7181" width="9.42578125" style="96" customWidth="1"/>
    <col min="7182" max="7182" width="12.140625" style="96" customWidth="1"/>
    <col min="7183" max="7183" width="11.85546875" style="96" customWidth="1"/>
    <col min="7184" max="7184" width="13" style="96" customWidth="1"/>
    <col min="7185" max="7185" width="18.85546875" style="96" customWidth="1"/>
    <col min="7186" max="7186" width="13" style="96" bestFit="1" customWidth="1"/>
    <col min="7187" max="7425" width="11.42578125" style="96"/>
    <col min="7426" max="7426" width="2.7109375" style="96" customWidth="1"/>
    <col min="7427" max="7427" width="9.85546875" style="96" customWidth="1"/>
    <col min="7428" max="7428" width="12.5703125" style="96" customWidth="1"/>
    <col min="7429" max="7429" width="12.85546875" style="96" customWidth="1"/>
    <col min="7430" max="7430" width="12.5703125" style="96" customWidth="1"/>
    <col min="7431" max="7431" width="10" style="96" customWidth="1"/>
    <col min="7432" max="7432" width="10.28515625" style="96" customWidth="1"/>
    <col min="7433" max="7433" width="10.42578125" style="96" customWidth="1"/>
    <col min="7434" max="7434" width="10.85546875" style="96" bestFit="1" customWidth="1"/>
    <col min="7435" max="7436" width="10.140625" style="96" customWidth="1"/>
    <col min="7437" max="7437" width="9.42578125" style="96" customWidth="1"/>
    <col min="7438" max="7438" width="12.140625" style="96" customWidth="1"/>
    <col min="7439" max="7439" width="11.85546875" style="96" customWidth="1"/>
    <col min="7440" max="7440" width="13" style="96" customWidth="1"/>
    <col min="7441" max="7441" width="18.85546875" style="96" customWidth="1"/>
    <col min="7442" max="7442" width="13" style="96" bestFit="1" customWidth="1"/>
    <col min="7443" max="7681" width="11.42578125" style="96"/>
    <col min="7682" max="7682" width="2.7109375" style="96" customWidth="1"/>
    <col min="7683" max="7683" width="9.85546875" style="96" customWidth="1"/>
    <col min="7684" max="7684" width="12.5703125" style="96" customWidth="1"/>
    <col min="7685" max="7685" width="12.85546875" style="96" customWidth="1"/>
    <col min="7686" max="7686" width="12.5703125" style="96" customWidth="1"/>
    <col min="7687" max="7687" width="10" style="96" customWidth="1"/>
    <col min="7688" max="7688" width="10.28515625" style="96" customWidth="1"/>
    <col min="7689" max="7689" width="10.42578125" style="96" customWidth="1"/>
    <col min="7690" max="7690" width="10.85546875" style="96" bestFit="1" customWidth="1"/>
    <col min="7691" max="7692" width="10.140625" style="96" customWidth="1"/>
    <col min="7693" max="7693" width="9.42578125" style="96" customWidth="1"/>
    <col min="7694" max="7694" width="12.140625" style="96" customWidth="1"/>
    <col min="7695" max="7695" width="11.85546875" style="96" customWidth="1"/>
    <col min="7696" max="7696" width="13" style="96" customWidth="1"/>
    <col min="7697" max="7697" width="18.85546875" style="96" customWidth="1"/>
    <col min="7698" max="7698" width="13" style="96" bestFit="1" customWidth="1"/>
    <col min="7699" max="7937" width="11.42578125" style="96"/>
    <col min="7938" max="7938" width="2.7109375" style="96" customWidth="1"/>
    <col min="7939" max="7939" width="9.85546875" style="96" customWidth="1"/>
    <col min="7940" max="7940" width="12.5703125" style="96" customWidth="1"/>
    <col min="7941" max="7941" width="12.85546875" style="96" customWidth="1"/>
    <col min="7942" max="7942" width="12.5703125" style="96" customWidth="1"/>
    <col min="7943" max="7943" width="10" style="96" customWidth="1"/>
    <col min="7944" max="7944" width="10.28515625" style="96" customWidth="1"/>
    <col min="7945" max="7945" width="10.42578125" style="96" customWidth="1"/>
    <col min="7946" max="7946" width="10.85546875" style="96" bestFit="1" customWidth="1"/>
    <col min="7947" max="7948" width="10.140625" style="96" customWidth="1"/>
    <col min="7949" max="7949" width="9.42578125" style="96" customWidth="1"/>
    <col min="7950" max="7950" width="12.140625" style="96" customWidth="1"/>
    <col min="7951" max="7951" width="11.85546875" style="96" customWidth="1"/>
    <col min="7952" max="7952" width="13" style="96" customWidth="1"/>
    <col min="7953" max="7953" width="18.85546875" style="96" customWidth="1"/>
    <col min="7954" max="7954" width="13" style="96" bestFit="1" customWidth="1"/>
    <col min="7955" max="8193" width="11.42578125" style="96"/>
    <col min="8194" max="8194" width="2.7109375" style="96" customWidth="1"/>
    <col min="8195" max="8195" width="9.85546875" style="96" customWidth="1"/>
    <col min="8196" max="8196" width="12.5703125" style="96" customWidth="1"/>
    <col min="8197" max="8197" width="12.85546875" style="96" customWidth="1"/>
    <col min="8198" max="8198" width="12.5703125" style="96" customWidth="1"/>
    <col min="8199" max="8199" width="10" style="96" customWidth="1"/>
    <col min="8200" max="8200" width="10.28515625" style="96" customWidth="1"/>
    <col min="8201" max="8201" width="10.42578125" style="96" customWidth="1"/>
    <col min="8202" max="8202" width="10.85546875" style="96" bestFit="1" customWidth="1"/>
    <col min="8203" max="8204" width="10.140625" style="96" customWidth="1"/>
    <col min="8205" max="8205" width="9.42578125" style="96" customWidth="1"/>
    <col min="8206" max="8206" width="12.140625" style="96" customWidth="1"/>
    <col min="8207" max="8207" width="11.85546875" style="96" customWidth="1"/>
    <col min="8208" max="8208" width="13" style="96" customWidth="1"/>
    <col min="8209" max="8209" width="18.85546875" style="96" customWidth="1"/>
    <col min="8210" max="8210" width="13" style="96" bestFit="1" customWidth="1"/>
    <col min="8211" max="8449" width="11.42578125" style="96"/>
    <col min="8450" max="8450" width="2.7109375" style="96" customWidth="1"/>
    <col min="8451" max="8451" width="9.85546875" style="96" customWidth="1"/>
    <col min="8452" max="8452" width="12.5703125" style="96" customWidth="1"/>
    <col min="8453" max="8453" width="12.85546875" style="96" customWidth="1"/>
    <col min="8454" max="8454" width="12.5703125" style="96" customWidth="1"/>
    <col min="8455" max="8455" width="10" style="96" customWidth="1"/>
    <col min="8456" max="8456" width="10.28515625" style="96" customWidth="1"/>
    <col min="8457" max="8457" width="10.42578125" style="96" customWidth="1"/>
    <col min="8458" max="8458" width="10.85546875" style="96" bestFit="1" customWidth="1"/>
    <col min="8459" max="8460" width="10.140625" style="96" customWidth="1"/>
    <col min="8461" max="8461" width="9.42578125" style="96" customWidth="1"/>
    <col min="8462" max="8462" width="12.140625" style="96" customWidth="1"/>
    <col min="8463" max="8463" width="11.85546875" style="96" customWidth="1"/>
    <col min="8464" max="8464" width="13" style="96" customWidth="1"/>
    <col min="8465" max="8465" width="18.85546875" style="96" customWidth="1"/>
    <col min="8466" max="8466" width="13" style="96" bestFit="1" customWidth="1"/>
    <col min="8467" max="8705" width="11.42578125" style="96"/>
    <col min="8706" max="8706" width="2.7109375" style="96" customWidth="1"/>
    <col min="8707" max="8707" width="9.85546875" style="96" customWidth="1"/>
    <col min="8708" max="8708" width="12.5703125" style="96" customWidth="1"/>
    <col min="8709" max="8709" width="12.85546875" style="96" customWidth="1"/>
    <col min="8710" max="8710" width="12.5703125" style="96" customWidth="1"/>
    <col min="8711" max="8711" width="10" style="96" customWidth="1"/>
    <col min="8712" max="8712" width="10.28515625" style="96" customWidth="1"/>
    <col min="8713" max="8713" width="10.42578125" style="96" customWidth="1"/>
    <col min="8714" max="8714" width="10.85546875" style="96" bestFit="1" customWidth="1"/>
    <col min="8715" max="8716" width="10.140625" style="96" customWidth="1"/>
    <col min="8717" max="8717" width="9.42578125" style="96" customWidth="1"/>
    <col min="8718" max="8718" width="12.140625" style="96" customWidth="1"/>
    <col min="8719" max="8719" width="11.85546875" style="96" customWidth="1"/>
    <col min="8720" max="8720" width="13" style="96" customWidth="1"/>
    <col min="8721" max="8721" width="18.85546875" style="96" customWidth="1"/>
    <col min="8722" max="8722" width="13" style="96" bestFit="1" customWidth="1"/>
    <col min="8723" max="8961" width="11.42578125" style="96"/>
    <col min="8962" max="8962" width="2.7109375" style="96" customWidth="1"/>
    <col min="8963" max="8963" width="9.85546875" style="96" customWidth="1"/>
    <col min="8964" max="8964" width="12.5703125" style="96" customWidth="1"/>
    <col min="8965" max="8965" width="12.85546875" style="96" customWidth="1"/>
    <col min="8966" max="8966" width="12.5703125" style="96" customWidth="1"/>
    <col min="8967" max="8967" width="10" style="96" customWidth="1"/>
    <col min="8968" max="8968" width="10.28515625" style="96" customWidth="1"/>
    <col min="8969" max="8969" width="10.42578125" style="96" customWidth="1"/>
    <col min="8970" max="8970" width="10.85546875" style="96" bestFit="1" customWidth="1"/>
    <col min="8971" max="8972" width="10.140625" style="96" customWidth="1"/>
    <col min="8973" max="8973" width="9.42578125" style="96" customWidth="1"/>
    <col min="8974" max="8974" width="12.140625" style="96" customWidth="1"/>
    <col min="8975" max="8975" width="11.85546875" style="96" customWidth="1"/>
    <col min="8976" max="8976" width="13" style="96" customWidth="1"/>
    <col min="8977" max="8977" width="18.85546875" style="96" customWidth="1"/>
    <col min="8978" max="8978" width="13" style="96" bestFit="1" customWidth="1"/>
    <col min="8979" max="9217" width="11.42578125" style="96"/>
    <col min="9218" max="9218" width="2.7109375" style="96" customWidth="1"/>
    <col min="9219" max="9219" width="9.85546875" style="96" customWidth="1"/>
    <col min="9220" max="9220" width="12.5703125" style="96" customWidth="1"/>
    <col min="9221" max="9221" width="12.85546875" style="96" customWidth="1"/>
    <col min="9222" max="9222" width="12.5703125" style="96" customWidth="1"/>
    <col min="9223" max="9223" width="10" style="96" customWidth="1"/>
    <col min="9224" max="9224" width="10.28515625" style="96" customWidth="1"/>
    <col min="9225" max="9225" width="10.42578125" style="96" customWidth="1"/>
    <col min="9226" max="9226" width="10.85546875" style="96" bestFit="1" customWidth="1"/>
    <col min="9227" max="9228" width="10.140625" style="96" customWidth="1"/>
    <col min="9229" max="9229" width="9.42578125" style="96" customWidth="1"/>
    <col min="9230" max="9230" width="12.140625" style="96" customWidth="1"/>
    <col min="9231" max="9231" width="11.85546875" style="96" customWidth="1"/>
    <col min="9232" max="9232" width="13" style="96" customWidth="1"/>
    <col min="9233" max="9233" width="18.85546875" style="96" customWidth="1"/>
    <col min="9234" max="9234" width="13" style="96" bestFit="1" customWidth="1"/>
    <col min="9235" max="9473" width="11.42578125" style="96"/>
    <col min="9474" max="9474" width="2.7109375" style="96" customWidth="1"/>
    <col min="9475" max="9475" width="9.85546875" style="96" customWidth="1"/>
    <col min="9476" max="9476" width="12.5703125" style="96" customWidth="1"/>
    <col min="9477" max="9477" width="12.85546875" style="96" customWidth="1"/>
    <col min="9478" max="9478" width="12.5703125" style="96" customWidth="1"/>
    <col min="9479" max="9479" width="10" style="96" customWidth="1"/>
    <col min="9480" max="9480" width="10.28515625" style="96" customWidth="1"/>
    <col min="9481" max="9481" width="10.42578125" style="96" customWidth="1"/>
    <col min="9482" max="9482" width="10.85546875" style="96" bestFit="1" customWidth="1"/>
    <col min="9483" max="9484" width="10.140625" style="96" customWidth="1"/>
    <col min="9485" max="9485" width="9.42578125" style="96" customWidth="1"/>
    <col min="9486" max="9486" width="12.140625" style="96" customWidth="1"/>
    <col min="9487" max="9487" width="11.85546875" style="96" customWidth="1"/>
    <col min="9488" max="9488" width="13" style="96" customWidth="1"/>
    <col min="9489" max="9489" width="18.85546875" style="96" customWidth="1"/>
    <col min="9490" max="9490" width="13" style="96" bestFit="1" customWidth="1"/>
    <col min="9491" max="9729" width="11.42578125" style="96"/>
    <col min="9730" max="9730" width="2.7109375" style="96" customWidth="1"/>
    <col min="9731" max="9731" width="9.85546875" style="96" customWidth="1"/>
    <col min="9732" max="9732" width="12.5703125" style="96" customWidth="1"/>
    <col min="9733" max="9733" width="12.85546875" style="96" customWidth="1"/>
    <col min="9734" max="9734" width="12.5703125" style="96" customWidth="1"/>
    <col min="9735" max="9735" width="10" style="96" customWidth="1"/>
    <col min="9736" max="9736" width="10.28515625" style="96" customWidth="1"/>
    <col min="9737" max="9737" width="10.42578125" style="96" customWidth="1"/>
    <col min="9738" max="9738" width="10.85546875" style="96" bestFit="1" customWidth="1"/>
    <col min="9739" max="9740" width="10.140625" style="96" customWidth="1"/>
    <col min="9741" max="9741" width="9.42578125" style="96" customWidth="1"/>
    <col min="9742" max="9742" width="12.140625" style="96" customWidth="1"/>
    <col min="9743" max="9743" width="11.85546875" style="96" customWidth="1"/>
    <col min="9744" max="9744" width="13" style="96" customWidth="1"/>
    <col min="9745" max="9745" width="18.85546875" style="96" customWidth="1"/>
    <col min="9746" max="9746" width="13" style="96" bestFit="1" customWidth="1"/>
    <col min="9747" max="9985" width="11.42578125" style="96"/>
    <col min="9986" max="9986" width="2.7109375" style="96" customWidth="1"/>
    <col min="9987" max="9987" width="9.85546875" style="96" customWidth="1"/>
    <col min="9988" max="9988" width="12.5703125" style="96" customWidth="1"/>
    <col min="9989" max="9989" width="12.85546875" style="96" customWidth="1"/>
    <col min="9990" max="9990" width="12.5703125" style="96" customWidth="1"/>
    <col min="9991" max="9991" width="10" style="96" customWidth="1"/>
    <col min="9992" max="9992" width="10.28515625" style="96" customWidth="1"/>
    <col min="9993" max="9993" width="10.42578125" style="96" customWidth="1"/>
    <col min="9994" max="9994" width="10.85546875" style="96" bestFit="1" customWidth="1"/>
    <col min="9995" max="9996" width="10.140625" style="96" customWidth="1"/>
    <col min="9997" max="9997" width="9.42578125" style="96" customWidth="1"/>
    <col min="9998" max="9998" width="12.140625" style="96" customWidth="1"/>
    <col min="9999" max="9999" width="11.85546875" style="96" customWidth="1"/>
    <col min="10000" max="10000" width="13" style="96" customWidth="1"/>
    <col min="10001" max="10001" width="18.85546875" style="96" customWidth="1"/>
    <col min="10002" max="10002" width="13" style="96" bestFit="1" customWidth="1"/>
    <col min="10003" max="10241" width="11.42578125" style="96"/>
    <col min="10242" max="10242" width="2.7109375" style="96" customWidth="1"/>
    <col min="10243" max="10243" width="9.85546875" style="96" customWidth="1"/>
    <col min="10244" max="10244" width="12.5703125" style="96" customWidth="1"/>
    <col min="10245" max="10245" width="12.85546875" style="96" customWidth="1"/>
    <col min="10246" max="10246" width="12.5703125" style="96" customWidth="1"/>
    <col min="10247" max="10247" width="10" style="96" customWidth="1"/>
    <col min="10248" max="10248" width="10.28515625" style="96" customWidth="1"/>
    <col min="10249" max="10249" width="10.42578125" style="96" customWidth="1"/>
    <col min="10250" max="10250" width="10.85546875" style="96" bestFit="1" customWidth="1"/>
    <col min="10251" max="10252" width="10.140625" style="96" customWidth="1"/>
    <col min="10253" max="10253" width="9.42578125" style="96" customWidth="1"/>
    <col min="10254" max="10254" width="12.140625" style="96" customWidth="1"/>
    <col min="10255" max="10255" width="11.85546875" style="96" customWidth="1"/>
    <col min="10256" max="10256" width="13" style="96" customWidth="1"/>
    <col min="10257" max="10257" width="18.85546875" style="96" customWidth="1"/>
    <col min="10258" max="10258" width="13" style="96" bestFit="1" customWidth="1"/>
    <col min="10259" max="10497" width="11.42578125" style="96"/>
    <col min="10498" max="10498" width="2.7109375" style="96" customWidth="1"/>
    <col min="10499" max="10499" width="9.85546875" style="96" customWidth="1"/>
    <col min="10500" max="10500" width="12.5703125" style="96" customWidth="1"/>
    <col min="10501" max="10501" width="12.85546875" style="96" customWidth="1"/>
    <col min="10502" max="10502" width="12.5703125" style="96" customWidth="1"/>
    <col min="10503" max="10503" width="10" style="96" customWidth="1"/>
    <col min="10504" max="10504" width="10.28515625" style="96" customWidth="1"/>
    <col min="10505" max="10505" width="10.42578125" style="96" customWidth="1"/>
    <col min="10506" max="10506" width="10.85546875" style="96" bestFit="1" customWidth="1"/>
    <col min="10507" max="10508" width="10.140625" style="96" customWidth="1"/>
    <col min="10509" max="10509" width="9.42578125" style="96" customWidth="1"/>
    <col min="10510" max="10510" width="12.140625" style="96" customWidth="1"/>
    <col min="10511" max="10511" width="11.85546875" style="96" customWidth="1"/>
    <col min="10512" max="10512" width="13" style="96" customWidth="1"/>
    <col min="10513" max="10513" width="18.85546875" style="96" customWidth="1"/>
    <col min="10514" max="10514" width="13" style="96" bestFit="1" customWidth="1"/>
    <col min="10515" max="10753" width="11.42578125" style="96"/>
    <col min="10754" max="10754" width="2.7109375" style="96" customWidth="1"/>
    <col min="10755" max="10755" width="9.85546875" style="96" customWidth="1"/>
    <col min="10756" max="10756" width="12.5703125" style="96" customWidth="1"/>
    <col min="10757" max="10757" width="12.85546875" style="96" customWidth="1"/>
    <col min="10758" max="10758" width="12.5703125" style="96" customWidth="1"/>
    <col min="10759" max="10759" width="10" style="96" customWidth="1"/>
    <col min="10760" max="10760" width="10.28515625" style="96" customWidth="1"/>
    <col min="10761" max="10761" width="10.42578125" style="96" customWidth="1"/>
    <col min="10762" max="10762" width="10.85546875" style="96" bestFit="1" customWidth="1"/>
    <col min="10763" max="10764" width="10.140625" style="96" customWidth="1"/>
    <col min="10765" max="10765" width="9.42578125" style="96" customWidth="1"/>
    <col min="10766" max="10766" width="12.140625" style="96" customWidth="1"/>
    <col min="10767" max="10767" width="11.85546875" style="96" customWidth="1"/>
    <col min="10768" max="10768" width="13" style="96" customWidth="1"/>
    <col min="10769" max="10769" width="18.85546875" style="96" customWidth="1"/>
    <col min="10770" max="10770" width="13" style="96" bestFit="1" customWidth="1"/>
    <col min="10771" max="11009" width="11.42578125" style="96"/>
    <col min="11010" max="11010" width="2.7109375" style="96" customWidth="1"/>
    <col min="11011" max="11011" width="9.85546875" style="96" customWidth="1"/>
    <col min="11012" max="11012" width="12.5703125" style="96" customWidth="1"/>
    <col min="11013" max="11013" width="12.85546875" style="96" customWidth="1"/>
    <col min="11014" max="11014" width="12.5703125" style="96" customWidth="1"/>
    <col min="11015" max="11015" width="10" style="96" customWidth="1"/>
    <col min="11016" max="11016" width="10.28515625" style="96" customWidth="1"/>
    <col min="11017" max="11017" width="10.42578125" style="96" customWidth="1"/>
    <col min="11018" max="11018" width="10.85546875" style="96" bestFit="1" customWidth="1"/>
    <col min="11019" max="11020" width="10.140625" style="96" customWidth="1"/>
    <col min="11021" max="11021" width="9.42578125" style="96" customWidth="1"/>
    <col min="11022" max="11022" width="12.140625" style="96" customWidth="1"/>
    <col min="11023" max="11023" width="11.85546875" style="96" customWidth="1"/>
    <col min="11024" max="11024" width="13" style="96" customWidth="1"/>
    <col min="11025" max="11025" width="18.85546875" style="96" customWidth="1"/>
    <col min="11026" max="11026" width="13" style="96" bestFit="1" customWidth="1"/>
    <col min="11027" max="11265" width="11.42578125" style="96"/>
    <col min="11266" max="11266" width="2.7109375" style="96" customWidth="1"/>
    <col min="11267" max="11267" width="9.85546875" style="96" customWidth="1"/>
    <col min="11268" max="11268" width="12.5703125" style="96" customWidth="1"/>
    <col min="11269" max="11269" width="12.85546875" style="96" customWidth="1"/>
    <col min="11270" max="11270" width="12.5703125" style="96" customWidth="1"/>
    <col min="11271" max="11271" width="10" style="96" customWidth="1"/>
    <col min="11272" max="11272" width="10.28515625" style="96" customWidth="1"/>
    <col min="11273" max="11273" width="10.42578125" style="96" customWidth="1"/>
    <col min="11274" max="11274" width="10.85546875" style="96" bestFit="1" customWidth="1"/>
    <col min="11275" max="11276" width="10.140625" style="96" customWidth="1"/>
    <col min="11277" max="11277" width="9.42578125" style="96" customWidth="1"/>
    <col min="11278" max="11278" width="12.140625" style="96" customWidth="1"/>
    <col min="11279" max="11279" width="11.85546875" style="96" customWidth="1"/>
    <col min="11280" max="11280" width="13" style="96" customWidth="1"/>
    <col min="11281" max="11281" width="18.85546875" style="96" customWidth="1"/>
    <col min="11282" max="11282" width="13" style="96" bestFit="1" customWidth="1"/>
    <col min="11283" max="11521" width="11.42578125" style="96"/>
    <col min="11522" max="11522" width="2.7109375" style="96" customWidth="1"/>
    <col min="11523" max="11523" width="9.85546875" style="96" customWidth="1"/>
    <col min="11524" max="11524" width="12.5703125" style="96" customWidth="1"/>
    <col min="11525" max="11525" width="12.85546875" style="96" customWidth="1"/>
    <col min="11526" max="11526" width="12.5703125" style="96" customWidth="1"/>
    <col min="11527" max="11527" width="10" style="96" customWidth="1"/>
    <col min="11528" max="11528" width="10.28515625" style="96" customWidth="1"/>
    <col min="11529" max="11529" width="10.42578125" style="96" customWidth="1"/>
    <col min="11530" max="11530" width="10.85546875" style="96" bestFit="1" customWidth="1"/>
    <col min="11531" max="11532" width="10.140625" style="96" customWidth="1"/>
    <col min="11533" max="11533" width="9.42578125" style="96" customWidth="1"/>
    <col min="11534" max="11534" width="12.140625" style="96" customWidth="1"/>
    <col min="11535" max="11535" width="11.85546875" style="96" customWidth="1"/>
    <col min="11536" max="11536" width="13" style="96" customWidth="1"/>
    <col min="11537" max="11537" width="18.85546875" style="96" customWidth="1"/>
    <col min="11538" max="11538" width="13" style="96" bestFit="1" customWidth="1"/>
    <col min="11539" max="11777" width="11.42578125" style="96"/>
    <col min="11778" max="11778" width="2.7109375" style="96" customWidth="1"/>
    <col min="11779" max="11779" width="9.85546875" style="96" customWidth="1"/>
    <col min="11780" max="11780" width="12.5703125" style="96" customWidth="1"/>
    <col min="11781" max="11781" width="12.85546875" style="96" customWidth="1"/>
    <col min="11782" max="11782" width="12.5703125" style="96" customWidth="1"/>
    <col min="11783" max="11783" width="10" style="96" customWidth="1"/>
    <col min="11784" max="11784" width="10.28515625" style="96" customWidth="1"/>
    <col min="11785" max="11785" width="10.42578125" style="96" customWidth="1"/>
    <col min="11786" max="11786" width="10.85546875" style="96" bestFit="1" customWidth="1"/>
    <col min="11787" max="11788" width="10.140625" style="96" customWidth="1"/>
    <col min="11789" max="11789" width="9.42578125" style="96" customWidth="1"/>
    <col min="11790" max="11790" width="12.140625" style="96" customWidth="1"/>
    <col min="11791" max="11791" width="11.85546875" style="96" customWidth="1"/>
    <col min="11792" max="11792" width="13" style="96" customWidth="1"/>
    <col min="11793" max="11793" width="18.85546875" style="96" customWidth="1"/>
    <col min="11794" max="11794" width="13" style="96" bestFit="1" customWidth="1"/>
    <col min="11795" max="12033" width="11.42578125" style="96"/>
    <col min="12034" max="12034" width="2.7109375" style="96" customWidth="1"/>
    <col min="12035" max="12035" width="9.85546875" style="96" customWidth="1"/>
    <col min="12036" max="12036" width="12.5703125" style="96" customWidth="1"/>
    <col min="12037" max="12037" width="12.85546875" style="96" customWidth="1"/>
    <col min="12038" max="12038" width="12.5703125" style="96" customWidth="1"/>
    <col min="12039" max="12039" width="10" style="96" customWidth="1"/>
    <col min="12040" max="12040" width="10.28515625" style="96" customWidth="1"/>
    <col min="12041" max="12041" width="10.42578125" style="96" customWidth="1"/>
    <col min="12042" max="12042" width="10.85546875" style="96" bestFit="1" customWidth="1"/>
    <col min="12043" max="12044" width="10.140625" style="96" customWidth="1"/>
    <col min="12045" max="12045" width="9.42578125" style="96" customWidth="1"/>
    <col min="12046" max="12046" width="12.140625" style="96" customWidth="1"/>
    <col min="12047" max="12047" width="11.85546875" style="96" customWidth="1"/>
    <col min="12048" max="12048" width="13" style="96" customWidth="1"/>
    <col min="12049" max="12049" width="18.85546875" style="96" customWidth="1"/>
    <col min="12050" max="12050" width="13" style="96" bestFit="1" customWidth="1"/>
    <col min="12051" max="12289" width="11.42578125" style="96"/>
    <col min="12290" max="12290" width="2.7109375" style="96" customWidth="1"/>
    <col min="12291" max="12291" width="9.85546875" style="96" customWidth="1"/>
    <col min="12292" max="12292" width="12.5703125" style="96" customWidth="1"/>
    <col min="12293" max="12293" width="12.85546875" style="96" customWidth="1"/>
    <col min="12294" max="12294" width="12.5703125" style="96" customWidth="1"/>
    <col min="12295" max="12295" width="10" style="96" customWidth="1"/>
    <col min="12296" max="12296" width="10.28515625" style="96" customWidth="1"/>
    <col min="12297" max="12297" width="10.42578125" style="96" customWidth="1"/>
    <col min="12298" max="12298" width="10.85546875" style="96" bestFit="1" customWidth="1"/>
    <col min="12299" max="12300" width="10.140625" style="96" customWidth="1"/>
    <col min="12301" max="12301" width="9.42578125" style="96" customWidth="1"/>
    <col min="12302" max="12302" width="12.140625" style="96" customWidth="1"/>
    <col min="12303" max="12303" width="11.85546875" style="96" customWidth="1"/>
    <col min="12304" max="12304" width="13" style="96" customWidth="1"/>
    <col min="12305" max="12305" width="18.85546875" style="96" customWidth="1"/>
    <col min="12306" max="12306" width="13" style="96" bestFit="1" customWidth="1"/>
    <col min="12307" max="12545" width="11.42578125" style="96"/>
    <col min="12546" max="12546" width="2.7109375" style="96" customWidth="1"/>
    <col min="12547" max="12547" width="9.85546875" style="96" customWidth="1"/>
    <col min="12548" max="12548" width="12.5703125" style="96" customWidth="1"/>
    <col min="12549" max="12549" width="12.85546875" style="96" customWidth="1"/>
    <col min="12550" max="12550" width="12.5703125" style="96" customWidth="1"/>
    <col min="12551" max="12551" width="10" style="96" customWidth="1"/>
    <col min="12552" max="12552" width="10.28515625" style="96" customWidth="1"/>
    <col min="12553" max="12553" width="10.42578125" style="96" customWidth="1"/>
    <col min="12554" max="12554" width="10.85546875" style="96" bestFit="1" customWidth="1"/>
    <col min="12555" max="12556" width="10.140625" style="96" customWidth="1"/>
    <col min="12557" max="12557" width="9.42578125" style="96" customWidth="1"/>
    <col min="12558" max="12558" width="12.140625" style="96" customWidth="1"/>
    <col min="12559" max="12559" width="11.85546875" style="96" customWidth="1"/>
    <col min="12560" max="12560" width="13" style="96" customWidth="1"/>
    <col min="12561" max="12561" width="18.85546875" style="96" customWidth="1"/>
    <col min="12562" max="12562" width="13" style="96" bestFit="1" customWidth="1"/>
    <col min="12563" max="12801" width="11.42578125" style="96"/>
    <col min="12802" max="12802" width="2.7109375" style="96" customWidth="1"/>
    <col min="12803" max="12803" width="9.85546875" style="96" customWidth="1"/>
    <col min="12804" max="12804" width="12.5703125" style="96" customWidth="1"/>
    <col min="12805" max="12805" width="12.85546875" style="96" customWidth="1"/>
    <col min="12806" max="12806" width="12.5703125" style="96" customWidth="1"/>
    <col min="12807" max="12807" width="10" style="96" customWidth="1"/>
    <col min="12808" max="12808" width="10.28515625" style="96" customWidth="1"/>
    <col min="12809" max="12809" width="10.42578125" style="96" customWidth="1"/>
    <col min="12810" max="12810" width="10.85546875" style="96" bestFit="1" customWidth="1"/>
    <col min="12811" max="12812" width="10.140625" style="96" customWidth="1"/>
    <col min="12813" max="12813" width="9.42578125" style="96" customWidth="1"/>
    <col min="12814" max="12814" width="12.140625" style="96" customWidth="1"/>
    <col min="12815" max="12815" width="11.85546875" style="96" customWidth="1"/>
    <col min="12816" max="12816" width="13" style="96" customWidth="1"/>
    <col min="12817" max="12817" width="18.85546875" style="96" customWidth="1"/>
    <col min="12818" max="12818" width="13" style="96" bestFit="1" customWidth="1"/>
    <col min="12819" max="13057" width="11.42578125" style="96"/>
    <col min="13058" max="13058" width="2.7109375" style="96" customWidth="1"/>
    <col min="13059" max="13059" width="9.85546875" style="96" customWidth="1"/>
    <col min="13060" max="13060" width="12.5703125" style="96" customWidth="1"/>
    <col min="13061" max="13061" width="12.85546875" style="96" customWidth="1"/>
    <col min="13062" max="13062" width="12.5703125" style="96" customWidth="1"/>
    <col min="13063" max="13063" width="10" style="96" customWidth="1"/>
    <col min="13064" max="13064" width="10.28515625" style="96" customWidth="1"/>
    <col min="13065" max="13065" width="10.42578125" style="96" customWidth="1"/>
    <col min="13066" max="13066" width="10.85546875" style="96" bestFit="1" customWidth="1"/>
    <col min="13067" max="13068" width="10.140625" style="96" customWidth="1"/>
    <col min="13069" max="13069" width="9.42578125" style="96" customWidth="1"/>
    <col min="13070" max="13070" width="12.140625" style="96" customWidth="1"/>
    <col min="13071" max="13071" width="11.85546875" style="96" customWidth="1"/>
    <col min="13072" max="13072" width="13" style="96" customWidth="1"/>
    <col min="13073" max="13073" width="18.85546875" style="96" customWidth="1"/>
    <col min="13074" max="13074" width="13" style="96" bestFit="1" customWidth="1"/>
    <col min="13075" max="13313" width="11.42578125" style="96"/>
    <col min="13314" max="13314" width="2.7109375" style="96" customWidth="1"/>
    <col min="13315" max="13315" width="9.85546875" style="96" customWidth="1"/>
    <col min="13316" max="13316" width="12.5703125" style="96" customWidth="1"/>
    <col min="13317" max="13317" width="12.85546875" style="96" customWidth="1"/>
    <col min="13318" max="13318" width="12.5703125" style="96" customWidth="1"/>
    <col min="13319" max="13319" width="10" style="96" customWidth="1"/>
    <col min="13320" max="13320" width="10.28515625" style="96" customWidth="1"/>
    <col min="13321" max="13321" width="10.42578125" style="96" customWidth="1"/>
    <col min="13322" max="13322" width="10.85546875" style="96" bestFit="1" customWidth="1"/>
    <col min="13323" max="13324" width="10.140625" style="96" customWidth="1"/>
    <col min="13325" max="13325" width="9.42578125" style="96" customWidth="1"/>
    <col min="13326" max="13326" width="12.140625" style="96" customWidth="1"/>
    <col min="13327" max="13327" width="11.85546875" style="96" customWidth="1"/>
    <col min="13328" max="13328" width="13" style="96" customWidth="1"/>
    <col min="13329" max="13329" width="18.85546875" style="96" customWidth="1"/>
    <col min="13330" max="13330" width="13" style="96" bestFit="1" customWidth="1"/>
    <col min="13331" max="13569" width="11.42578125" style="96"/>
    <col min="13570" max="13570" width="2.7109375" style="96" customWidth="1"/>
    <col min="13571" max="13571" width="9.85546875" style="96" customWidth="1"/>
    <col min="13572" max="13572" width="12.5703125" style="96" customWidth="1"/>
    <col min="13573" max="13573" width="12.85546875" style="96" customWidth="1"/>
    <col min="13574" max="13574" width="12.5703125" style="96" customWidth="1"/>
    <col min="13575" max="13575" width="10" style="96" customWidth="1"/>
    <col min="13576" max="13576" width="10.28515625" style="96" customWidth="1"/>
    <col min="13577" max="13577" width="10.42578125" style="96" customWidth="1"/>
    <col min="13578" max="13578" width="10.85546875" style="96" bestFit="1" customWidth="1"/>
    <col min="13579" max="13580" width="10.140625" style="96" customWidth="1"/>
    <col min="13581" max="13581" width="9.42578125" style="96" customWidth="1"/>
    <col min="13582" max="13582" width="12.140625" style="96" customWidth="1"/>
    <col min="13583" max="13583" width="11.85546875" style="96" customWidth="1"/>
    <col min="13584" max="13584" width="13" style="96" customWidth="1"/>
    <col min="13585" max="13585" width="18.85546875" style="96" customWidth="1"/>
    <col min="13586" max="13586" width="13" style="96" bestFit="1" customWidth="1"/>
    <col min="13587" max="13825" width="11.42578125" style="96"/>
    <col min="13826" max="13826" width="2.7109375" style="96" customWidth="1"/>
    <col min="13827" max="13827" width="9.85546875" style="96" customWidth="1"/>
    <col min="13828" max="13828" width="12.5703125" style="96" customWidth="1"/>
    <col min="13829" max="13829" width="12.85546875" style="96" customWidth="1"/>
    <col min="13830" max="13830" width="12.5703125" style="96" customWidth="1"/>
    <col min="13831" max="13831" width="10" style="96" customWidth="1"/>
    <col min="13832" max="13832" width="10.28515625" style="96" customWidth="1"/>
    <col min="13833" max="13833" width="10.42578125" style="96" customWidth="1"/>
    <col min="13834" max="13834" width="10.85546875" style="96" bestFit="1" customWidth="1"/>
    <col min="13835" max="13836" width="10.140625" style="96" customWidth="1"/>
    <col min="13837" max="13837" width="9.42578125" style="96" customWidth="1"/>
    <col min="13838" max="13838" width="12.140625" style="96" customWidth="1"/>
    <col min="13839" max="13839" width="11.85546875" style="96" customWidth="1"/>
    <col min="13840" max="13840" width="13" style="96" customWidth="1"/>
    <col min="13841" max="13841" width="18.85546875" style="96" customWidth="1"/>
    <col min="13842" max="13842" width="13" style="96" bestFit="1" customWidth="1"/>
    <col min="13843" max="14081" width="11.42578125" style="96"/>
    <col min="14082" max="14082" width="2.7109375" style="96" customWidth="1"/>
    <col min="14083" max="14083" width="9.85546875" style="96" customWidth="1"/>
    <col min="14084" max="14084" width="12.5703125" style="96" customWidth="1"/>
    <col min="14085" max="14085" width="12.85546875" style="96" customWidth="1"/>
    <col min="14086" max="14086" width="12.5703125" style="96" customWidth="1"/>
    <col min="14087" max="14087" width="10" style="96" customWidth="1"/>
    <col min="14088" max="14088" width="10.28515625" style="96" customWidth="1"/>
    <col min="14089" max="14089" width="10.42578125" style="96" customWidth="1"/>
    <col min="14090" max="14090" width="10.85546875" style="96" bestFit="1" customWidth="1"/>
    <col min="14091" max="14092" width="10.140625" style="96" customWidth="1"/>
    <col min="14093" max="14093" width="9.42578125" style="96" customWidth="1"/>
    <col min="14094" max="14094" width="12.140625" style="96" customWidth="1"/>
    <col min="14095" max="14095" width="11.85546875" style="96" customWidth="1"/>
    <col min="14096" max="14096" width="13" style="96" customWidth="1"/>
    <col min="14097" max="14097" width="18.85546875" style="96" customWidth="1"/>
    <col min="14098" max="14098" width="13" style="96" bestFit="1" customWidth="1"/>
    <col min="14099" max="14337" width="11.42578125" style="96"/>
    <col min="14338" max="14338" width="2.7109375" style="96" customWidth="1"/>
    <col min="14339" max="14339" width="9.85546875" style="96" customWidth="1"/>
    <col min="14340" max="14340" width="12.5703125" style="96" customWidth="1"/>
    <col min="14341" max="14341" width="12.85546875" style="96" customWidth="1"/>
    <col min="14342" max="14342" width="12.5703125" style="96" customWidth="1"/>
    <col min="14343" max="14343" width="10" style="96" customWidth="1"/>
    <col min="14344" max="14344" width="10.28515625" style="96" customWidth="1"/>
    <col min="14345" max="14345" width="10.42578125" style="96" customWidth="1"/>
    <col min="14346" max="14346" width="10.85546875" style="96" bestFit="1" customWidth="1"/>
    <col min="14347" max="14348" width="10.140625" style="96" customWidth="1"/>
    <col min="14349" max="14349" width="9.42578125" style="96" customWidth="1"/>
    <col min="14350" max="14350" width="12.140625" style="96" customWidth="1"/>
    <col min="14351" max="14351" width="11.85546875" style="96" customWidth="1"/>
    <col min="14352" max="14352" width="13" style="96" customWidth="1"/>
    <col min="14353" max="14353" width="18.85546875" style="96" customWidth="1"/>
    <col min="14354" max="14354" width="13" style="96" bestFit="1" customWidth="1"/>
    <col min="14355" max="14593" width="11.42578125" style="96"/>
    <col min="14594" max="14594" width="2.7109375" style="96" customWidth="1"/>
    <col min="14595" max="14595" width="9.85546875" style="96" customWidth="1"/>
    <col min="14596" max="14596" width="12.5703125" style="96" customWidth="1"/>
    <col min="14597" max="14597" width="12.85546875" style="96" customWidth="1"/>
    <col min="14598" max="14598" width="12.5703125" style="96" customWidth="1"/>
    <col min="14599" max="14599" width="10" style="96" customWidth="1"/>
    <col min="14600" max="14600" width="10.28515625" style="96" customWidth="1"/>
    <col min="14601" max="14601" width="10.42578125" style="96" customWidth="1"/>
    <col min="14602" max="14602" width="10.85546875" style="96" bestFit="1" customWidth="1"/>
    <col min="14603" max="14604" width="10.140625" style="96" customWidth="1"/>
    <col min="14605" max="14605" width="9.42578125" style="96" customWidth="1"/>
    <col min="14606" max="14606" width="12.140625" style="96" customWidth="1"/>
    <col min="14607" max="14607" width="11.85546875" style="96" customWidth="1"/>
    <col min="14608" max="14608" width="13" style="96" customWidth="1"/>
    <col min="14609" max="14609" width="18.85546875" style="96" customWidth="1"/>
    <col min="14610" max="14610" width="13" style="96" bestFit="1" customWidth="1"/>
    <col min="14611" max="14849" width="11.42578125" style="96"/>
    <col min="14850" max="14850" width="2.7109375" style="96" customWidth="1"/>
    <col min="14851" max="14851" width="9.85546875" style="96" customWidth="1"/>
    <col min="14852" max="14852" width="12.5703125" style="96" customWidth="1"/>
    <col min="14853" max="14853" width="12.85546875" style="96" customWidth="1"/>
    <col min="14854" max="14854" width="12.5703125" style="96" customWidth="1"/>
    <col min="14855" max="14855" width="10" style="96" customWidth="1"/>
    <col min="14856" max="14856" width="10.28515625" style="96" customWidth="1"/>
    <col min="14857" max="14857" width="10.42578125" style="96" customWidth="1"/>
    <col min="14858" max="14858" width="10.85546875" style="96" bestFit="1" customWidth="1"/>
    <col min="14859" max="14860" width="10.140625" style="96" customWidth="1"/>
    <col min="14861" max="14861" width="9.42578125" style="96" customWidth="1"/>
    <col min="14862" max="14862" width="12.140625" style="96" customWidth="1"/>
    <col min="14863" max="14863" width="11.85546875" style="96" customWidth="1"/>
    <col min="14864" max="14864" width="13" style="96" customWidth="1"/>
    <col min="14865" max="14865" width="18.85546875" style="96" customWidth="1"/>
    <col min="14866" max="14866" width="13" style="96" bestFit="1" customWidth="1"/>
    <col min="14867" max="15105" width="11.42578125" style="96"/>
    <col min="15106" max="15106" width="2.7109375" style="96" customWidth="1"/>
    <col min="15107" max="15107" width="9.85546875" style="96" customWidth="1"/>
    <col min="15108" max="15108" width="12.5703125" style="96" customWidth="1"/>
    <col min="15109" max="15109" width="12.85546875" style="96" customWidth="1"/>
    <col min="15110" max="15110" width="12.5703125" style="96" customWidth="1"/>
    <col min="15111" max="15111" width="10" style="96" customWidth="1"/>
    <col min="15112" max="15112" width="10.28515625" style="96" customWidth="1"/>
    <col min="15113" max="15113" width="10.42578125" style="96" customWidth="1"/>
    <col min="15114" max="15114" width="10.85546875" style="96" bestFit="1" customWidth="1"/>
    <col min="15115" max="15116" width="10.140625" style="96" customWidth="1"/>
    <col min="15117" max="15117" width="9.42578125" style="96" customWidth="1"/>
    <col min="15118" max="15118" width="12.140625" style="96" customWidth="1"/>
    <col min="15119" max="15119" width="11.85546875" style="96" customWidth="1"/>
    <col min="15120" max="15120" width="13" style="96" customWidth="1"/>
    <col min="15121" max="15121" width="18.85546875" style="96" customWidth="1"/>
    <col min="15122" max="15122" width="13" style="96" bestFit="1" customWidth="1"/>
    <col min="15123" max="15361" width="11.42578125" style="96"/>
    <col min="15362" max="15362" width="2.7109375" style="96" customWidth="1"/>
    <col min="15363" max="15363" width="9.85546875" style="96" customWidth="1"/>
    <col min="15364" max="15364" width="12.5703125" style="96" customWidth="1"/>
    <col min="15365" max="15365" width="12.85546875" style="96" customWidth="1"/>
    <col min="15366" max="15366" width="12.5703125" style="96" customWidth="1"/>
    <col min="15367" max="15367" width="10" style="96" customWidth="1"/>
    <col min="15368" max="15368" width="10.28515625" style="96" customWidth="1"/>
    <col min="15369" max="15369" width="10.42578125" style="96" customWidth="1"/>
    <col min="15370" max="15370" width="10.85546875" style="96" bestFit="1" customWidth="1"/>
    <col min="15371" max="15372" width="10.140625" style="96" customWidth="1"/>
    <col min="15373" max="15373" width="9.42578125" style="96" customWidth="1"/>
    <col min="15374" max="15374" width="12.140625" style="96" customWidth="1"/>
    <col min="15375" max="15375" width="11.85546875" style="96" customWidth="1"/>
    <col min="15376" max="15376" width="13" style="96" customWidth="1"/>
    <col min="15377" max="15377" width="18.85546875" style="96" customWidth="1"/>
    <col min="15378" max="15378" width="13" style="96" bestFit="1" customWidth="1"/>
    <col min="15379" max="15617" width="11.42578125" style="96"/>
    <col min="15618" max="15618" width="2.7109375" style="96" customWidth="1"/>
    <col min="15619" max="15619" width="9.85546875" style="96" customWidth="1"/>
    <col min="15620" max="15620" width="12.5703125" style="96" customWidth="1"/>
    <col min="15621" max="15621" width="12.85546875" style="96" customWidth="1"/>
    <col min="15622" max="15622" width="12.5703125" style="96" customWidth="1"/>
    <col min="15623" max="15623" width="10" style="96" customWidth="1"/>
    <col min="15624" max="15624" width="10.28515625" style="96" customWidth="1"/>
    <col min="15625" max="15625" width="10.42578125" style="96" customWidth="1"/>
    <col min="15626" max="15626" width="10.85546875" style="96" bestFit="1" customWidth="1"/>
    <col min="15627" max="15628" width="10.140625" style="96" customWidth="1"/>
    <col min="15629" max="15629" width="9.42578125" style="96" customWidth="1"/>
    <col min="15630" max="15630" width="12.140625" style="96" customWidth="1"/>
    <col min="15631" max="15631" width="11.85546875" style="96" customWidth="1"/>
    <col min="15632" max="15632" width="13" style="96" customWidth="1"/>
    <col min="15633" max="15633" width="18.85546875" style="96" customWidth="1"/>
    <col min="15634" max="15634" width="13" style="96" bestFit="1" customWidth="1"/>
    <col min="15635" max="15873" width="11.42578125" style="96"/>
    <col min="15874" max="15874" width="2.7109375" style="96" customWidth="1"/>
    <col min="15875" max="15875" width="9.85546875" style="96" customWidth="1"/>
    <col min="15876" max="15876" width="12.5703125" style="96" customWidth="1"/>
    <col min="15877" max="15877" width="12.85546875" style="96" customWidth="1"/>
    <col min="15878" max="15878" width="12.5703125" style="96" customWidth="1"/>
    <col min="15879" max="15879" width="10" style="96" customWidth="1"/>
    <col min="15880" max="15880" width="10.28515625" style="96" customWidth="1"/>
    <col min="15881" max="15881" width="10.42578125" style="96" customWidth="1"/>
    <col min="15882" max="15882" width="10.85546875" style="96" bestFit="1" customWidth="1"/>
    <col min="15883" max="15884" width="10.140625" style="96" customWidth="1"/>
    <col min="15885" max="15885" width="9.42578125" style="96" customWidth="1"/>
    <col min="15886" max="15886" width="12.140625" style="96" customWidth="1"/>
    <col min="15887" max="15887" width="11.85546875" style="96" customWidth="1"/>
    <col min="15888" max="15888" width="13" style="96" customWidth="1"/>
    <col min="15889" max="15889" width="18.85546875" style="96" customWidth="1"/>
    <col min="15890" max="15890" width="13" style="96" bestFit="1" customWidth="1"/>
    <col min="15891" max="16129" width="11.42578125" style="96"/>
    <col min="16130" max="16130" width="2.7109375" style="96" customWidth="1"/>
    <col min="16131" max="16131" width="9.85546875" style="96" customWidth="1"/>
    <col min="16132" max="16132" width="12.5703125" style="96" customWidth="1"/>
    <col min="16133" max="16133" width="12.85546875" style="96" customWidth="1"/>
    <col min="16134" max="16134" width="12.5703125" style="96" customWidth="1"/>
    <col min="16135" max="16135" width="10" style="96" customWidth="1"/>
    <col min="16136" max="16136" width="10.28515625" style="96" customWidth="1"/>
    <col min="16137" max="16137" width="10.42578125" style="96" customWidth="1"/>
    <col min="16138" max="16138" width="10.85546875" style="96" bestFit="1" customWidth="1"/>
    <col min="16139" max="16140" width="10.140625" style="96" customWidth="1"/>
    <col min="16141" max="16141" width="9.42578125" style="96" customWidth="1"/>
    <col min="16142" max="16142" width="12.140625" style="96" customWidth="1"/>
    <col min="16143" max="16143" width="11.85546875" style="96" customWidth="1"/>
    <col min="16144" max="16144" width="13" style="96" customWidth="1"/>
    <col min="16145" max="16145" width="18.85546875" style="96" customWidth="1"/>
    <col min="16146" max="16146" width="13" style="96" bestFit="1" customWidth="1"/>
    <col min="16147" max="16384" width="11.42578125" style="96"/>
  </cols>
  <sheetData>
    <row r="3" spans="3:17" ht="15.75" x14ac:dyDescent="0.25">
      <c r="E3" s="97"/>
      <c r="F3" s="98" t="s">
        <v>58</v>
      </c>
    </row>
    <row r="4" spans="3:17" ht="15.75" x14ac:dyDescent="0.25">
      <c r="E4" s="97"/>
      <c r="F4" s="98"/>
    </row>
    <row r="5" spans="3:17" ht="12" thickBot="1" x14ac:dyDescent="0.25">
      <c r="E5" s="97"/>
    </row>
    <row r="6" spans="3:17" ht="11.25" customHeight="1" x14ac:dyDescent="0.2">
      <c r="C6" s="267" t="s">
        <v>0</v>
      </c>
      <c r="D6" s="275" t="s">
        <v>1</v>
      </c>
      <c r="E6" s="277"/>
      <c r="F6" s="271" t="s">
        <v>2</v>
      </c>
      <c r="G6" s="271"/>
      <c r="H6" s="272"/>
      <c r="I6" s="267" t="s">
        <v>3</v>
      </c>
      <c r="J6" s="275" t="s">
        <v>4</v>
      </c>
      <c r="K6" s="276"/>
      <c r="L6" s="276"/>
      <c r="M6" s="276"/>
      <c r="N6" s="276"/>
      <c r="O6" s="277"/>
      <c r="P6" s="267" t="s">
        <v>5</v>
      </c>
    </row>
    <row r="7" spans="3:17" ht="25.5" customHeight="1" thickBot="1" x14ac:dyDescent="0.25">
      <c r="C7" s="268"/>
      <c r="D7" s="278"/>
      <c r="E7" s="280"/>
      <c r="F7" s="273"/>
      <c r="G7" s="273"/>
      <c r="H7" s="274"/>
      <c r="I7" s="268"/>
      <c r="J7" s="278"/>
      <c r="K7" s="279"/>
      <c r="L7" s="279"/>
      <c r="M7" s="279"/>
      <c r="N7" s="279"/>
      <c r="O7" s="280"/>
      <c r="P7" s="268"/>
    </row>
    <row r="8" spans="3:17" ht="12.75" customHeight="1" x14ac:dyDescent="0.2">
      <c r="C8" s="100"/>
      <c r="D8" s="100"/>
      <c r="E8" s="100" t="s">
        <v>239</v>
      </c>
      <c r="F8" s="100" t="s">
        <v>6</v>
      </c>
      <c r="G8" s="100" t="s">
        <v>6</v>
      </c>
      <c r="H8" s="100" t="s">
        <v>237</v>
      </c>
      <c r="I8" s="100"/>
      <c r="J8" s="100"/>
      <c r="K8" s="100" t="s">
        <v>7</v>
      </c>
      <c r="L8" s="100" t="s">
        <v>8</v>
      </c>
      <c r="M8" s="100" t="s">
        <v>9</v>
      </c>
      <c r="N8" s="100" t="s">
        <v>10</v>
      </c>
      <c r="O8" s="100" t="s">
        <v>11</v>
      </c>
      <c r="P8" s="100"/>
    </row>
    <row r="9" spans="3:17" x14ac:dyDescent="0.2">
      <c r="C9" s="100" t="s">
        <v>12</v>
      </c>
      <c r="D9" s="100" t="s">
        <v>13</v>
      </c>
      <c r="E9" s="100" t="s">
        <v>240</v>
      </c>
      <c r="F9" s="100" t="s">
        <v>14</v>
      </c>
      <c r="G9" s="100" t="s">
        <v>14</v>
      </c>
      <c r="H9" s="100" t="s">
        <v>238</v>
      </c>
      <c r="I9" s="100" t="s">
        <v>15</v>
      </c>
      <c r="J9" s="100" t="s">
        <v>16</v>
      </c>
      <c r="K9" s="100" t="s">
        <v>17</v>
      </c>
      <c r="L9" s="100" t="s">
        <v>18</v>
      </c>
      <c r="M9" s="100" t="s">
        <v>18</v>
      </c>
      <c r="N9" s="100" t="s">
        <v>19</v>
      </c>
      <c r="O9" s="100" t="s">
        <v>20</v>
      </c>
      <c r="P9" s="100" t="s">
        <v>59</v>
      </c>
    </row>
    <row r="10" spans="3:17" x14ac:dyDescent="0.2">
      <c r="C10" s="100" t="s">
        <v>21</v>
      </c>
      <c r="D10" s="100" t="s">
        <v>22</v>
      </c>
      <c r="E10" s="100" t="s">
        <v>241</v>
      </c>
      <c r="F10" s="100" t="s">
        <v>23</v>
      </c>
      <c r="G10" s="100" t="s">
        <v>24</v>
      </c>
      <c r="H10" s="100" t="s">
        <v>236</v>
      </c>
      <c r="I10" s="100" t="s">
        <v>25</v>
      </c>
      <c r="J10" s="100" t="s">
        <v>26</v>
      </c>
      <c r="K10" s="100" t="s">
        <v>27</v>
      </c>
      <c r="L10" s="100" t="s">
        <v>28</v>
      </c>
      <c r="M10" s="100" t="s">
        <v>29</v>
      </c>
      <c r="N10" s="100" t="s">
        <v>30</v>
      </c>
      <c r="O10" s="100" t="s">
        <v>31</v>
      </c>
      <c r="P10" s="100" t="s">
        <v>32</v>
      </c>
    </row>
    <row r="11" spans="3:17" x14ac:dyDescent="0.2">
      <c r="C11" s="100" t="s">
        <v>33</v>
      </c>
      <c r="D11" s="29">
        <f>7255100.58-3333333.33</f>
        <v>3921767.25</v>
      </c>
      <c r="E11" s="29">
        <v>3333333.33</v>
      </c>
      <c r="F11" s="5">
        <v>143741.75</v>
      </c>
      <c r="G11" s="5">
        <v>178843</v>
      </c>
      <c r="H11" s="5">
        <v>12632625.140000001</v>
      </c>
      <c r="I11" s="5">
        <v>51000</v>
      </c>
      <c r="J11" s="5">
        <v>180</v>
      </c>
      <c r="K11" s="5"/>
      <c r="L11" s="5">
        <v>7200</v>
      </c>
      <c r="M11" s="5">
        <v>185</v>
      </c>
      <c r="N11" s="5">
        <v>2000</v>
      </c>
      <c r="O11" s="5">
        <v>100000</v>
      </c>
      <c r="P11" s="5">
        <f>SUM(D11:O11)</f>
        <v>20370875.469999999</v>
      </c>
      <c r="Q11" s="101"/>
    </row>
    <row r="12" spans="3:17" x14ac:dyDescent="0.2">
      <c r="C12" s="100" t="s">
        <v>34</v>
      </c>
      <c r="D12" s="29">
        <f t="shared" ref="D12:D22" si="0">7255100.58-3333333.33</f>
        <v>3921767.25</v>
      </c>
      <c r="E12" s="29">
        <v>3333333.33</v>
      </c>
      <c r="F12" s="5">
        <v>198742</v>
      </c>
      <c r="G12" s="5">
        <v>178843</v>
      </c>
      <c r="H12" s="5"/>
      <c r="I12" s="5">
        <v>51000</v>
      </c>
      <c r="J12" s="5">
        <v>180</v>
      </c>
      <c r="K12" s="5"/>
      <c r="L12" s="5">
        <v>7200</v>
      </c>
      <c r="M12" s="5">
        <v>176</v>
      </c>
      <c r="N12" s="5">
        <v>2000</v>
      </c>
      <c r="O12" s="5">
        <v>100000</v>
      </c>
      <c r="P12" s="5">
        <f t="shared" ref="P12:P22" si="1">SUM(D12:O12)</f>
        <v>7793241.5800000001</v>
      </c>
    </row>
    <row r="13" spans="3:17" x14ac:dyDescent="0.2">
      <c r="C13" s="100" t="s">
        <v>35</v>
      </c>
      <c r="D13" s="29">
        <f t="shared" si="0"/>
        <v>3921767.25</v>
      </c>
      <c r="E13" s="29">
        <v>3333333.33</v>
      </c>
      <c r="F13" s="5">
        <v>231142</v>
      </c>
      <c r="G13" s="5">
        <v>178843</v>
      </c>
      <c r="H13" s="5"/>
      <c r="I13" s="5">
        <v>51000</v>
      </c>
      <c r="J13" s="5">
        <v>180</v>
      </c>
      <c r="K13" s="5"/>
      <c r="L13" s="5">
        <v>7200</v>
      </c>
      <c r="M13" s="5">
        <v>175</v>
      </c>
      <c r="N13" s="5">
        <v>2000</v>
      </c>
      <c r="O13" s="5">
        <v>100000</v>
      </c>
      <c r="P13" s="5">
        <f t="shared" si="1"/>
        <v>7825640.5800000001</v>
      </c>
    </row>
    <row r="14" spans="3:17" x14ac:dyDescent="0.2">
      <c r="C14" s="100" t="s">
        <v>36</v>
      </c>
      <c r="D14" s="29">
        <f t="shared" si="0"/>
        <v>3921767.25</v>
      </c>
      <c r="E14" s="29">
        <v>3333333.33</v>
      </c>
      <c r="F14" s="5">
        <v>258742</v>
      </c>
      <c r="G14" s="5">
        <v>178843</v>
      </c>
      <c r="H14" s="5"/>
      <c r="I14" s="5">
        <v>51000</v>
      </c>
      <c r="J14" s="5">
        <v>180</v>
      </c>
      <c r="K14" s="5"/>
      <c r="L14" s="5">
        <v>7200</v>
      </c>
      <c r="M14" s="5">
        <v>195</v>
      </c>
      <c r="N14" s="5">
        <v>2000</v>
      </c>
      <c r="O14" s="5">
        <v>100000</v>
      </c>
      <c r="P14" s="5">
        <f t="shared" si="1"/>
        <v>7853260.5800000001</v>
      </c>
    </row>
    <row r="15" spans="3:17" x14ac:dyDescent="0.2">
      <c r="C15" s="100" t="s">
        <v>37</v>
      </c>
      <c r="D15" s="29">
        <f t="shared" si="0"/>
        <v>3921767.25</v>
      </c>
      <c r="E15" s="29">
        <v>3333333.33</v>
      </c>
      <c r="F15" s="5">
        <v>223742</v>
      </c>
      <c r="G15" s="5">
        <v>178843</v>
      </c>
      <c r="H15" s="5"/>
      <c r="I15" s="5">
        <v>51000</v>
      </c>
      <c r="J15" s="5">
        <v>180</v>
      </c>
      <c r="K15" s="5"/>
      <c r="L15" s="5">
        <v>7200</v>
      </c>
      <c r="M15" s="5">
        <v>184</v>
      </c>
      <c r="N15" s="5">
        <v>2000</v>
      </c>
      <c r="O15" s="5">
        <v>100000</v>
      </c>
      <c r="P15" s="5">
        <f t="shared" si="1"/>
        <v>7818249.5800000001</v>
      </c>
    </row>
    <row r="16" spans="3:17" x14ac:dyDescent="0.2">
      <c r="C16" s="100" t="s">
        <v>38</v>
      </c>
      <c r="D16" s="29">
        <f t="shared" si="0"/>
        <v>3921767.25</v>
      </c>
      <c r="E16" s="29">
        <v>3333333.33</v>
      </c>
      <c r="F16" s="5">
        <v>223741.75</v>
      </c>
      <c r="G16" s="5">
        <v>178843</v>
      </c>
      <c r="H16" s="5"/>
      <c r="I16" s="5">
        <v>51000</v>
      </c>
      <c r="J16" s="5">
        <v>180</v>
      </c>
      <c r="K16" s="5"/>
      <c r="L16" s="5">
        <v>7200</v>
      </c>
      <c r="M16" s="5">
        <v>182</v>
      </c>
      <c r="N16" s="5">
        <v>2000</v>
      </c>
      <c r="O16" s="5">
        <v>100000</v>
      </c>
      <c r="P16" s="5">
        <f t="shared" si="1"/>
        <v>7818247.3300000001</v>
      </c>
    </row>
    <row r="17" spans="1:28" x14ac:dyDescent="0.2">
      <c r="C17" s="100" t="s">
        <v>39</v>
      </c>
      <c r="D17" s="29">
        <f t="shared" si="0"/>
        <v>3921767.25</v>
      </c>
      <c r="E17" s="29">
        <v>3333333.33</v>
      </c>
      <c r="F17" s="5">
        <v>223741.75</v>
      </c>
      <c r="G17" s="5">
        <v>178843</v>
      </c>
      <c r="H17" s="5"/>
      <c r="I17" s="5">
        <v>51000</v>
      </c>
      <c r="J17" s="5">
        <v>180</v>
      </c>
      <c r="K17" s="5"/>
      <c r="L17" s="5">
        <v>10800</v>
      </c>
      <c r="M17" s="5">
        <v>235</v>
      </c>
      <c r="N17" s="5">
        <v>2000</v>
      </c>
      <c r="O17" s="5">
        <v>100000</v>
      </c>
      <c r="P17" s="5">
        <f t="shared" si="1"/>
        <v>7821900.3300000001</v>
      </c>
    </row>
    <row r="18" spans="1:28" x14ac:dyDescent="0.2">
      <c r="C18" s="100" t="s">
        <v>40</v>
      </c>
      <c r="D18" s="29">
        <f t="shared" si="0"/>
        <v>3921767.25</v>
      </c>
      <c r="E18" s="29">
        <v>3333333.33</v>
      </c>
      <c r="F18" s="5">
        <f>223741.75+25000</f>
        <v>248741.75</v>
      </c>
      <c r="G18" s="5">
        <v>178843</v>
      </c>
      <c r="H18" s="5"/>
      <c r="I18" s="5">
        <v>51000</v>
      </c>
      <c r="J18" s="5">
        <v>180</v>
      </c>
      <c r="K18" s="5"/>
      <c r="L18" s="5">
        <v>10800</v>
      </c>
      <c r="M18" s="5">
        <v>290</v>
      </c>
      <c r="N18" s="5">
        <v>2000</v>
      </c>
      <c r="O18" s="5">
        <v>100000</v>
      </c>
      <c r="P18" s="5">
        <f t="shared" si="1"/>
        <v>7846955.3300000001</v>
      </c>
    </row>
    <row r="19" spans="1:28" x14ac:dyDescent="0.2">
      <c r="C19" s="100" t="s">
        <v>41</v>
      </c>
      <c r="D19" s="29">
        <f t="shared" si="0"/>
        <v>3921767.25</v>
      </c>
      <c r="E19" s="29">
        <v>3333333.33</v>
      </c>
      <c r="F19" s="5">
        <v>223741.75</v>
      </c>
      <c r="G19" s="5">
        <v>178843</v>
      </c>
      <c r="H19" s="5"/>
      <c r="I19" s="5">
        <v>51000</v>
      </c>
      <c r="J19" s="5">
        <v>180</v>
      </c>
      <c r="K19" s="5"/>
      <c r="L19" s="5">
        <v>10800</v>
      </c>
      <c r="M19" s="5">
        <v>293</v>
      </c>
      <c r="N19" s="5">
        <v>2000</v>
      </c>
      <c r="O19" s="5">
        <v>100000</v>
      </c>
      <c r="P19" s="5">
        <f t="shared" si="1"/>
        <v>7821958.3300000001</v>
      </c>
    </row>
    <row r="20" spans="1:28" x14ac:dyDescent="0.2">
      <c r="C20" s="100" t="s">
        <v>42</v>
      </c>
      <c r="D20" s="29">
        <f t="shared" si="0"/>
        <v>3921767.25</v>
      </c>
      <c r="E20" s="29">
        <v>3333333.33</v>
      </c>
      <c r="F20" s="5">
        <v>223741.75</v>
      </c>
      <c r="G20" s="5">
        <v>178843</v>
      </c>
      <c r="H20" s="5"/>
      <c r="I20" s="5">
        <v>51000</v>
      </c>
      <c r="J20" s="5">
        <v>180</v>
      </c>
      <c r="K20" s="5"/>
      <c r="L20" s="5">
        <v>10800</v>
      </c>
      <c r="M20" s="5">
        <v>205</v>
      </c>
      <c r="N20" s="5">
        <v>2000</v>
      </c>
      <c r="O20" s="5">
        <v>100000</v>
      </c>
      <c r="P20" s="5">
        <f t="shared" si="1"/>
        <v>7821870.3300000001</v>
      </c>
    </row>
    <row r="21" spans="1:28" x14ac:dyDescent="0.2">
      <c r="C21" s="100" t="s">
        <v>43</v>
      </c>
      <c r="D21" s="29">
        <f t="shared" si="0"/>
        <v>3921767.25</v>
      </c>
      <c r="E21" s="29">
        <v>3333333.33</v>
      </c>
      <c r="F21" s="5">
        <v>223741.75</v>
      </c>
      <c r="G21" s="5">
        <v>178843</v>
      </c>
      <c r="H21" s="5"/>
      <c r="I21" s="5">
        <v>51000</v>
      </c>
      <c r="J21" s="5">
        <v>180</v>
      </c>
      <c r="K21" s="5"/>
      <c r="L21" s="5">
        <v>10800</v>
      </c>
      <c r="M21" s="5">
        <v>210</v>
      </c>
      <c r="N21" s="5">
        <v>2000</v>
      </c>
      <c r="O21" s="5">
        <v>100000</v>
      </c>
      <c r="P21" s="5">
        <f t="shared" si="1"/>
        <v>7821875.3300000001</v>
      </c>
    </row>
    <row r="22" spans="1:28" x14ac:dyDescent="0.2">
      <c r="C22" s="100" t="s">
        <v>44</v>
      </c>
      <c r="D22" s="29">
        <f t="shared" si="0"/>
        <v>3921767.25</v>
      </c>
      <c r="E22" s="29">
        <v>3333333.33</v>
      </c>
      <c r="F22" s="5">
        <f>223741.75+80000</f>
        <v>303741.75</v>
      </c>
      <c r="G22" s="5">
        <v>400000</v>
      </c>
      <c r="H22" s="5"/>
      <c r="I22" s="5">
        <v>51000</v>
      </c>
      <c r="J22" s="5">
        <v>180</v>
      </c>
      <c r="K22" s="5"/>
      <c r="L22" s="5">
        <v>10800</v>
      </c>
      <c r="M22" s="5">
        <v>250</v>
      </c>
      <c r="N22" s="5">
        <v>2615.83</v>
      </c>
      <c r="O22" s="5">
        <v>500000</v>
      </c>
      <c r="P22" s="5">
        <f t="shared" si="1"/>
        <v>8523688.1600000001</v>
      </c>
    </row>
    <row r="23" spans="1:28" s="102" customFormat="1" x14ac:dyDescent="0.2">
      <c r="A23" s="110"/>
      <c r="B23" s="110"/>
      <c r="C23" s="100" t="s">
        <v>45</v>
      </c>
      <c r="D23" s="30">
        <f>SUM(D11:D22)</f>
        <v>47061207</v>
      </c>
      <c r="E23" s="30">
        <f>SUM(E11:E22)</f>
        <v>39999999.959999993</v>
      </c>
      <c r="F23" s="30">
        <f>SUM(F11:F22)</f>
        <v>2727302</v>
      </c>
      <c r="G23" s="30">
        <f>SUM(G11:G22)</f>
        <v>2367273</v>
      </c>
      <c r="H23" s="30">
        <f>SUM(H11:H22)</f>
        <v>12632625.140000001</v>
      </c>
      <c r="I23" s="30">
        <f t="shared" ref="I23:O23" si="2">SUM(I11:I22)</f>
        <v>612000</v>
      </c>
      <c r="J23" s="30">
        <f t="shared" si="2"/>
        <v>2160</v>
      </c>
      <c r="K23" s="30">
        <f t="shared" si="2"/>
        <v>0</v>
      </c>
      <c r="L23" s="30">
        <f t="shared" si="2"/>
        <v>108000</v>
      </c>
      <c r="M23" s="30">
        <f t="shared" si="2"/>
        <v>2580</v>
      </c>
      <c r="N23" s="30">
        <f t="shared" si="2"/>
        <v>24615.83</v>
      </c>
      <c r="O23" s="30">
        <f t="shared" si="2"/>
        <v>1600000</v>
      </c>
      <c r="P23" s="30">
        <f>SUM(P11:P22)</f>
        <v>107137762.92999998</v>
      </c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</row>
    <row r="24" spans="1:28" s="97" customFormat="1" ht="13.5" x14ac:dyDescent="0.35">
      <c r="A24" s="109"/>
      <c r="B24" s="109"/>
      <c r="C24" s="103" t="s">
        <v>46</v>
      </c>
      <c r="D24" s="103">
        <v>1</v>
      </c>
      <c r="E24" s="103">
        <v>1</v>
      </c>
      <c r="F24" s="103">
        <v>2</v>
      </c>
      <c r="G24" s="103">
        <v>3</v>
      </c>
      <c r="H24" s="103"/>
      <c r="I24" s="103">
        <v>4</v>
      </c>
      <c r="J24" s="103">
        <v>5</v>
      </c>
      <c r="K24" s="103">
        <v>6</v>
      </c>
      <c r="L24" s="103">
        <v>7</v>
      </c>
      <c r="M24" s="103">
        <v>8</v>
      </c>
      <c r="N24" s="103">
        <v>9</v>
      </c>
      <c r="O24" s="103">
        <v>10</v>
      </c>
      <c r="P24" s="104" t="s">
        <v>47</v>
      </c>
      <c r="Q24" s="109"/>
      <c r="R24" s="125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</row>
    <row r="25" spans="1:28" s="97" customFormat="1" ht="13.5" x14ac:dyDescent="0.35">
      <c r="A25" s="109"/>
      <c r="B25" s="109"/>
      <c r="C25" s="105" t="s">
        <v>48</v>
      </c>
      <c r="D25" s="124">
        <f>+D23*100/P23</f>
        <v>43.925881699385613</v>
      </c>
      <c r="E25" s="124">
        <f>+E23*100/P23</f>
        <v>37.335108430567644</v>
      </c>
      <c r="F25" s="124">
        <f>+F23*100/P23</f>
        <v>2.5456028998682028</v>
      </c>
      <c r="G25" s="124">
        <f>+G23*100/P23</f>
        <v>2.2095598557034388</v>
      </c>
      <c r="H25" s="124">
        <f>+H23*100/P23</f>
        <v>11.79101074590638</v>
      </c>
      <c r="I25" s="124">
        <f>+I23*100/P23</f>
        <v>0.57122715955891212</v>
      </c>
      <c r="J25" s="124">
        <f>+J23*100/P23</f>
        <v>2.0160958572667488E-3</v>
      </c>
      <c r="K25" s="124">
        <f>+K23*100/P23</f>
        <v>0</v>
      </c>
      <c r="L25" s="124">
        <f>+L23*100/P23</f>
        <v>0.10080479286333743</v>
      </c>
      <c r="M25" s="124">
        <f>+M23*100/P23</f>
        <v>2.4081144961797278E-3</v>
      </c>
      <c r="N25" s="124">
        <f>+N23*100/P23</f>
        <v>2.2975867076936368E-2</v>
      </c>
      <c r="O25" s="124">
        <f>+O23*100/P23</f>
        <v>1.4934043387161102</v>
      </c>
      <c r="P25" s="106">
        <f>SUM(D25:O25)</f>
        <v>100.00000000000001</v>
      </c>
      <c r="Q25" s="109"/>
      <c r="R25" s="125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</row>
    <row r="26" spans="1:28" x14ac:dyDescent="0.2">
      <c r="C26" s="107"/>
      <c r="D26" s="107"/>
      <c r="E26" s="107"/>
      <c r="F26" s="108"/>
    </row>
    <row r="27" spans="1:28" x14ac:dyDescent="0.2">
      <c r="C27" s="107"/>
      <c r="D27" s="107"/>
      <c r="E27" s="107"/>
      <c r="F27" s="108"/>
    </row>
    <row r="28" spans="1:28" x14ac:dyDescent="0.2">
      <c r="C28" s="107"/>
      <c r="D28" s="107"/>
      <c r="E28" s="107"/>
      <c r="F28" s="108"/>
      <c r="H28" s="281" t="s">
        <v>229</v>
      </c>
      <c r="I28" s="282"/>
      <c r="J28" s="282"/>
      <c r="K28" s="282"/>
      <c r="L28" s="283"/>
    </row>
    <row r="29" spans="1:28" x14ac:dyDescent="0.2">
      <c r="C29" s="107"/>
      <c r="D29" s="107"/>
      <c r="E29" s="107"/>
      <c r="F29" s="108"/>
      <c r="H29" s="96" t="s">
        <v>230</v>
      </c>
      <c r="L29" s="122">
        <v>87061206.959999993</v>
      </c>
    </row>
    <row r="30" spans="1:28" x14ac:dyDescent="0.2">
      <c r="C30" s="107"/>
      <c r="D30" s="107"/>
      <c r="E30" s="107"/>
      <c r="F30" s="108"/>
      <c r="G30" s="96" t="s">
        <v>83</v>
      </c>
      <c r="H30" s="96" t="s">
        <v>231</v>
      </c>
      <c r="L30" s="96">
        <v>20076555</v>
      </c>
    </row>
    <row r="31" spans="1:28" x14ac:dyDescent="0.2">
      <c r="C31" s="107"/>
      <c r="D31" s="107"/>
      <c r="E31" s="107"/>
      <c r="F31" s="108"/>
      <c r="H31" s="96" t="s">
        <v>232</v>
      </c>
      <c r="K31" s="122">
        <v>12632625</v>
      </c>
    </row>
    <row r="32" spans="1:28" x14ac:dyDescent="0.2">
      <c r="C32" s="107"/>
      <c r="D32" s="107"/>
      <c r="E32" s="107"/>
      <c r="F32" s="108"/>
      <c r="H32" s="96" t="s">
        <v>233</v>
      </c>
      <c r="K32" s="96">
        <v>7443930</v>
      </c>
    </row>
    <row r="33" spans="2:16" x14ac:dyDescent="0.2">
      <c r="C33" s="107"/>
      <c r="D33" s="107"/>
      <c r="E33" s="107"/>
      <c r="F33" s="108"/>
      <c r="G33" s="96" t="s">
        <v>95</v>
      </c>
      <c r="H33" s="96" t="s">
        <v>234</v>
      </c>
      <c r="L33" s="123">
        <f>SUM(L29:L32)</f>
        <v>107137761.95999999</v>
      </c>
    </row>
    <row r="34" spans="2:16" x14ac:dyDescent="0.2">
      <c r="C34" s="107"/>
      <c r="D34" s="107"/>
      <c r="E34" s="107"/>
      <c r="F34" s="108"/>
    </row>
    <row r="35" spans="2:16" x14ac:dyDescent="0.2">
      <c r="C35" s="107"/>
      <c r="D35" s="107"/>
      <c r="E35" s="107"/>
      <c r="F35" s="108"/>
    </row>
    <row r="36" spans="2:16" ht="12.75" x14ac:dyDescent="0.2">
      <c r="C36" s="269" t="s">
        <v>49</v>
      </c>
      <c r="D36" s="269"/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</row>
    <row r="37" spans="2:16" s="110" customFormat="1" x14ac:dyDescent="0.2">
      <c r="B37" s="109">
        <v>1</v>
      </c>
      <c r="C37" s="110" t="s">
        <v>252</v>
      </c>
      <c r="F37" s="111"/>
      <c r="O37" s="111"/>
    </row>
    <row r="38" spans="2:16" s="110" customFormat="1" x14ac:dyDescent="0.2">
      <c r="B38" s="109"/>
      <c r="C38" s="110" t="s">
        <v>253</v>
      </c>
      <c r="F38" s="111"/>
      <c r="O38" s="111"/>
    </row>
    <row r="39" spans="2:16" s="110" customFormat="1" x14ac:dyDescent="0.2">
      <c r="B39" s="109"/>
      <c r="C39" s="110" t="s">
        <v>254</v>
      </c>
      <c r="F39" s="111"/>
      <c r="O39" s="111"/>
    </row>
    <row r="40" spans="2:16" x14ac:dyDescent="0.2">
      <c r="B40" s="109">
        <v>2</v>
      </c>
      <c r="C40" s="110" t="s">
        <v>51</v>
      </c>
      <c r="D40" s="110"/>
      <c r="O40" s="112"/>
    </row>
    <row r="41" spans="2:16" x14ac:dyDescent="0.2">
      <c r="B41" s="109">
        <v>3</v>
      </c>
      <c r="C41" s="110" t="s">
        <v>52</v>
      </c>
      <c r="D41" s="110"/>
    </row>
    <row r="42" spans="2:16" x14ac:dyDescent="0.2">
      <c r="B42" s="109">
        <v>4</v>
      </c>
      <c r="C42" s="110" t="s">
        <v>53</v>
      </c>
      <c r="D42" s="110"/>
    </row>
    <row r="43" spans="2:16" x14ac:dyDescent="0.2">
      <c r="B43" s="109">
        <v>5</v>
      </c>
      <c r="C43" s="110" t="s">
        <v>54</v>
      </c>
      <c r="D43" s="110"/>
    </row>
    <row r="44" spans="2:16" x14ac:dyDescent="0.2">
      <c r="B44" s="109">
        <v>6</v>
      </c>
      <c r="C44" s="110" t="s">
        <v>228</v>
      </c>
      <c r="D44" s="110"/>
    </row>
    <row r="45" spans="2:16" x14ac:dyDescent="0.2">
      <c r="B45" s="109">
        <v>7</v>
      </c>
      <c r="C45" s="110" t="s">
        <v>235</v>
      </c>
      <c r="D45" s="110"/>
    </row>
    <row r="46" spans="2:16" x14ac:dyDescent="0.2">
      <c r="B46" s="109">
        <v>8</v>
      </c>
      <c r="C46" s="110" t="s">
        <v>55</v>
      </c>
      <c r="D46" s="110"/>
    </row>
    <row r="47" spans="2:16" x14ac:dyDescent="0.2">
      <c r="B47" s="109">
        <v>9</v>
      </c>
      <c r="C47" s="110" t="s">
        <v>56</v>
      </c>
      <c r="D47" s="110"/>
      <c r="G47" s="113"/>
      <c r="H47" s="113"/>
      <c r="I47" s="113"/>
      <c r="J47" s="113"/>
      <c r="K47" s="113"/>
      <c r="L47" s="113"/>
      <c r="M47" s="113"/>
      <c r="N47" s="113"/>
      <c r="O47" s="114"/>
      <c r="P47" s="113"/>
    </row>
    <row r="48" spans="2:16" x14ac:dyDescent="0.2">
      <c r="B48" s="109">
        <v>10</v>
      </c>
      <c r="C48" s="110" t="s">
        <v>57</v>
      </c>
      <c r="D48" s="110"/>
      <c r="G48" s="113"/>
      <c r="H48" s="113"/>
      <c r="I48" s="113"/>
      <c r="J48" s="113"/>
      <c r="K48" s="113"/>
      <c r="L48" s="113"/>
      <c r="M48" s="113"/>
      <c r="N48" s="113"/>
      <c r="O48" s="114"/>
      <c r="P48" s="113"/>
    </row>
    <row r="49" spans="2:16" s="110" customFormat="1" x14ac:dyDescent="0.2">
      <c r="B49" s="109"/>
      <c r="F49" s="111"/>
      <c r="J49" s="115"/>
      <c r="K49" s="115"/>
      <c r="L49" s="115"/>
      <c r="M49" s="115"/>
      <c r="N49" s="115"/>
      <c r="O49" s="101"/>
      <c r="P49" s="116"/>
    </row>
    <row r="50" spans="2:16" x14ac:dyDescent="0.2">
      <c r="C50" s="110"/>
      <c r="D50" s="110"/>
      <c r="E50" s="113"/>
      <c r="F50" s="114"/>
      <c r="G50" s="117"/>
      <c r="H50" s="117"/>
      <c r="I50" s="117"/>
      <c r="J50" s="114"/>
      <c r="K50" s="114"/>
      <c r="L50" s="114"/>
      <c r="M50" s="114"/>
      <c r="N50" s="114"/>
      <c r="O50" s="114"/>
      <c r="P50" s="113"/>
    </row>
    <row r="51" spans="2:16" x14ac:dyDescent="0.2">
      <c r="C51" s="110"/>
      <c r="D51" s="110"/>
      <c r="E51" s="113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3"/>
    </row>
    <row r="52" spans="2:16" x14ac:dyDescent="0.2">
      <c r="C52" s="113"/>
      <c r="D52" s="113"/>
      <c r="E52" s="110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3"/>
    </row>
    <row r="53" spans="2:16" x14ac:dyDescent="0.2">
      <c r="E53" s="110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3"/>
    </row>
    <row r="54" spans="2:16" x14ac:dyDescent="0.2">
      <c r="C54" s="113"/>
      <c r="D54" s="113"/>
      <c r="E54" s="113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3"/>
    </row>
    <row r="55" spans="2:16" x14ac:dyDescent="0.2">
      <c r="C55" s="113"/>
      <c r="D55" s="113"/>
      <c r="E55" s="113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3"/>
    </row>
    <row r="56" spans="2:16" x14ac:dyDescent="0.2">
      <c r="C56" s="113"/>
      <c r="D56" s="113"/>
      <c r="E56" s="113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3"/>
    </row>
    <row r="57" spans="2:16" x14ac:dyDescent="0.2">
      <c r="C57" s="113"/>
      <c r="D57" s="113"/>
      <c r="E57" s="113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3"/>
    </row>
    <row r="58" spans="2:16" x14ac:dyDescent="0.2">
      <c r="C58" s="113"/>
      <c r="D58" s="113"/>
      <c r="E58" s="113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3"/>
    </row>
    <row r="59" spans="2:16" x14ac:dyDescent="0.2">
      <c r="C59" s="113"/>
      <c r="D59" s="113"/>
      <c r="E59" s="113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3"/>
    </row>
    <row r="60" spans="2:16" x14ac:dyDescent="0.2">
      <c r="C60" s="113"/>
      <c r="D60" s="113"/>
      <c r="E60" s="118"/>
      <c r="F60" s="119"/>
      <c r="G60" s="119"/>
      <c r="H60" s="119"/>
      <c r="I60" s="119"/>
      <c r="J60" s="119"/>
      <c r="K60" s="119"/>
      <c r="L60" s="119"/>
      <c r="M60" s="119"/>
      <c r="N60" s="119"/>
      <c r="O60" s="114"/>
      <c r="P60" s="113"/>
    </row>
    <row r="61" spans="2:16" x14ac:dyDescent="0.2">
      <c r="C61" s="113"/>
      <c r="D61" s="113"/>
      <c r="E61" s="113"/>
      <c r="F61" s="114"/>
      <c r="G61" s="113"/>
      <c r="H61" s="113"/>
      <c r="I61" s="113"/>
      <c r="J61" s="113"/>
      <c r="K61" s="113"/>
      <c r="L61" s="113"/>
      <c r="M61" s="113"/>
      <c r="N61" s="113"/>
      <c r="O61" s="114"/>
      <c r="P61" s="113"/>
    </row>
    <row r="62" spans="2:16" x14ac:dyDescent="0.2">
      <c r="C62" s="113"/>
      <c r="D62" s="113"/>
      <c r="E62" s="113"/>
      <c r="F62" s="114"/>
      <c r="G62" s="113"/>
      <c r="H62" s="113"/>
      <c r="I62" s="113"/>
      <c r="J62" s="113"/>
      <c r="K62" s="113"/>
      <c r="L62" s="113"/>
      <c r="M62" s="113"/>
      <c r="N62" s="113"/>
      <c r="O62" s="114"/>
      <c r="P62" s="113"/>
    </row>
    <row r="63" spans="2:16" x14ac:dyDescent="0.2">
      <c r="C63" s="113"/>
      <c r="D63" s="113"/>
      <c r="E63" s="113"/>
      <c r="F63" s="114"/>
      <c r="G63" s="113"/>
      <c r="H63" s="113"/>
      <c r="I63" s="113"/>
      <c r="J63" s="113"/>
      <c r="K63" s="113"/>
      <c r="L63" s="113"/>
      <c r="M63" s="113"/>
      <c r="N63" s="113"/>
      <c r="O63" s="114"/>
      <c r="P63" s="113"/>
    </row>
    <row r="68" spans="3:14" x14ac:dyDescent="0.2">
      <c r="C68" s="120"/>
      <c r="D68" s="120"/>
      <c r="E68" s="120"/>
      <c r="F68" s="119"/>
      <c r="G68" s="113"/>
      <c r="H68" s="113"/>
      <c r="I68" s="113"/>
      <c r="J68" s="120"/>
      <c r="K68" s="113"/>
      <c r="L68" s="113"/>
      <c r="M68" s="113"/>
      <c r="N68" s="113"/>
    </row>
    <row r="69" spans="3:14" x14ac:dyDescent="0.2">
      <c r="C69" s="113"/>
      <c r="D69" s="113"/>
      <c r="E69" s="120"/>
      <c r="F69" s="119"/>
      <c r="G69" s="113"/>
      <c r="H69" s="113"/>
      <c r="I69" s="113"/>
      <c r="J69" s="120"/>
      <c r="K69" s="113"/>
      <c r="L69" s="113"/>
      <c r="M69" s="113"/>
      <c r="N69" s="113"/>
    </row>
    <row r="70" spans="3:14" x14ac:dyDescent="0.2">
      <c r="C70" s="113"/>
      <c r="D70" s="113"/>
      <c r="E70" s="113"/>
      <c r="F70" s="114"/>
      <c r="G70" s="113"/>
      <c r="H70" s="113"/>
      <c r="I70" s="113"/>
      <c r="J70" s="113"/>
      <c r="K70" s="113"/>
      <c r="L70" s="113"/>
      <c r="M70" s="113"/>
      <c r="N70" s="113"/>
    </row>
    <row r="71" spans="3:14" ht="13.5" customHeight="1" x14ac:dyDescent="0.2">
      <c r="C71" s="270"/>
      <c r="D71" s="270"/>
      <c r="E71" s="270"/>
      <c r="F71" s="270"/>
      <c r="G71" s="270"/>
      <c r="H71" s="117"/>
      <c r="I71" s="117"/>
      <c r="J71" s="117"/>
      <c r="K71" s="117"/>
      <c r="L71" s="113"/>
      <c r="M71" s="113"/>
      <c r="N71" s="113"/>
    </row>
    <row r="72" spans="3:14" x14ac:dyDescent="0.2">
      <c r="C72" s="113"/>
      <c r="D72" s="113"/>
      <c r="E72" s="113"/>
      <c r="F72" s="114"/>
      <c r="G72" s="113"/>
      <c r="H72" s="113"/>
      <c r="I72" s="113"/>
      <c r="J72" s="114"/>
      <c r="K72" s="114"/>
      <c r="L72" s="113"/>
      <c r="M72" s="113"/>
      <c r="N72" s="113"/>
    </row>
    <row r="73" spans="3:14" x14ac:dyDescent="0.2">
      <c r="C73" s="113"/>
      <c r="D73" s="113"/>
      <c r="E73" s="113"/>
      <c r="F73" s="114"/>
      <c r="G73" s="113"/>
      <c r="H73" s="113"/>
      <c r="I73" s="113"/>
      <c r="J73" s="114"/>
      <c r="K73" s="114"/>
      <c r="L73" s="113"/>
      <c r="M73" s="113"/>
      <c r="N73" s="113"/>
    </row>
    <row r="74" spans="3:14" x14ac:dyDescent="0.2">
      <c r="C74" s="113"/>
      <c r="D74" s="113"/>
      <c r="E74" s="113"/>
      <c r="F74" s="114"/>
      <c r="G74" s="113"/>
      <c r="H74" s="113"/>
      <c r="I74" s="113"/>
      <c r="J74" s="114"/>
      <c r="K74" s="114"/>
      <c r="L74" s="113"/>
      <c r="M74" s="113"/>
      <c r="N74" s="113"/>
    </row>
    <row r="75" spans="3:14" x14ac:dyDescent="0.2">
      <c r="C75" s="113"/>
      <c r="D75" s="113"/>
      <c r="E75" s="113"/>
      <c r="F75" s="114"/>
      <c r="G75" s="113"/>
      <c r="H75" s="113"/>
      <c r="I75" s="113"/>
      <c r="J75" s="114"/>
      <c r="K75" s="114"/>
      <c r="L75" s="113"/>
      <c r="M75" s="113"/>
      <c r="N75" s="113"/>
    </row>
    <row r="76" spans="3:14" x14ac:dyDescent="0.2">
      <c r="C76" s="113"/>
      <c r="D76" s="113"/>
      <c r="E76" s="113"/>
      <c r="F76" s="114"/>
      <c r="G76" s="113"/>
      <c r="H76" s="113"/>
      <c r="I76" s="113"/>
      <c r="J76" s="114"/>
      <c r="K76" s="114"/>
      <c r="L76" s="113"/>
      <c r="M76" s="113"/>
      <c r="N76" s="113"/>
    </row>
    <row r="77" spans="3:14" x14ac:dyDescent="0.2">
      <c r="C77" s="113"/>
      <c r="D77" s="113"/>
      <c r="E77" s="113"/>
      <c r="F77" s="114"/>
      <c r="G77" s="113"/>
      <c r="H77" s="113"/>
      <c r="I77" s="113"/>
      <c r="J77" s="114"/>
      <c r="K77" s="114"/>
      <c r="L77" s="113"/>
      <c r="M77" s="113"/>
      <c r="N77" s="113"/>
    </row>
    <row r="78" spans="3:14" x14ac:dyDescent="0.2">
      <c r="C78" s="113"/>
      <c r="D78" s="113"/>
      <c r="E78" s="113"/>
      <c r="F78" s="114"/>
      <c r="G78" s="113"/>
      <c r="H78" s="113"/>
      <c r="I78" s="113"/>
      <c r="J78" s="114"/>
      <c r="K78" s="114"/>
      <c r="L78" s="113"/>
      <c r="M78" s="113"/>
      <c r="N78" s="113"/>
    </row>
    <row r="79" spans="3:14" x14ac:dyDescent="0.2">
      <c r="C79" s="113"/>
      <c r="D79" s="113"/>
      <c r="E79" s="113"/>
      <c r="F79" s="114"/>
      <c r="G79" s="113"/>
      <c r="H79" s="113"/>
      <c r="I79" s="113"/>
      <c r="J79" s="114"/>
      <c r="K79" s="114"/>
      <c r="L79" s="113"/>
      <c r="M79" s="113"/>
      <c r="N79" s="113"/>
    </row>
    <row r="80" spans="3:14" x14ac:dyDescent="0.2">
      <c r="C80" s="113"/>
      <c r="D80" s="113"/>
      <c r="E80" s="113"/>
      <c r="F80" s="114"/>
      <c r="G80" s="113"/>
      <c r="H80" s="113"/>
      <c r="I80" s="113"/>
      <c r="J80" s="114"/>
      <c r="K80" s="114"/>
      <c r="L80" s="113"/>
      <c r="M80" s="113"/>
      <c r="N80" s="113"/>
    </row>
    <row r="81" spans="3:14" x14ac:dyDescent="0.2">
      <c r="C81" s="113"/>
      <c r="D81" s="113"/>
      <c r="E81" s="113"/>
      <c r="F81" s="114"/>
      <c r="G81" s="113"/>
      <c r="H81" s="113"/>
      <c r="I81" s="113"/>
      <c r="J81" s="114"/>
      <c r="K81" s="114"/>
      <c r="L81" s="113"/>
      <c r="M81" s="113"/>
      <c r="N81" s="113"/>
    </row>
    <row r="82" spans="3:14" x14ac:dyDescent="0.2">
      <c r="C82" s="113"/>
      <c r="D82" s="113"/>
      <c r="E82" s="113"/>
      <c r="F82" s="114"/>
      <c r="G82" s="113"/>
      <c r="H82" s="113"/>
      <c r="I82" s="113"/>
      <c r="J82" s="114"/>
      <c r="K82" s="114"/>
      <c r="L82" s="113"/>
      <c r="M82" s="113"/>
      <c r="N82" s="113"/>
    </row>
    <row r="83" spans="3:14" x14ac:dyDescent="0.2">
      <c r="C83" s="113"/>
      <c r="D83" s="113"/>
      <c r="E83" s="113"/>
      <c r="F83" s="114"/>
      <c r="G83" s="113"/>
      <c r="H83" s="113"/>
      <c r="I83" s="113"/>
      <c r="J83" s="114"/>
      <c r="K83" s="114"/>
      <c r="L83" s="113"/>
      <c r="M83" s="113"/>
      <c r="N83" s="113"/>
    </row>
    <row r="84" spans="3:14" x14ac:dyDescent="0.2">
      <c r="C84" s="118"/>
      <c r="D84" s="118"/>
      <c r="E84" s="118"/>
      <c r="F84" s="121"/>
      <c r="G84" s="113"/>
      <c r="H84" s="113"/>
      <c r="I84" s="113"/>
      <c r="J84" s="119"/>
      <c r="K84" s="119"/>
      <c r="L84" s="120"/>
      <c r="M84" s="113"/>
      <c r="N84" s="113"/>
    </row>
    <row r="85" spans="3:14" x14ac:dyDescent="0.2">
      <c r="C85" s="113"/>
      <c r="D85" s="113"/>
      <c r="E85" s="113"/>
      <c r="F85" s="114"/>
      <c r="G85" s="113"/>
      <c r="H85" s="113"/>
      <c r="I85" s="113"/>
      <c r="J85" s="113"/>
      <c r="K85" s="113"/>
      <c r="L85" s="113"/>
      <c r="M85" s="113"/>
      <c r="N85" s="113"/>
    </row>
    <row r="86" spans="3:14" x14ac:dyDescent="0.2">
      <c r="C86" s="113"/>
      <c r="D86" s="113"/>
      <c r="E86" s="113"/>
      <c r="F86" s="114"/>
      <c r="G86" s="113"/>
      <c r="H86" s="113"/>
      <c r="I86" s="113"/>
      <c r="J86" s="113"/>
      <c r="K86" s="113"/>
      <c r="L86" s="113"/>
      <c r="M86" s="113"/>
      <c r="N86" s="113"/>
    </row>
    <row r="87" spans="3:14" x14ac:dyDescent="0.2">
      <c r="C87" s="113"/>
      <c r="D87" s="113"/>
      <c r="E87" s="113"/>
      <c r="F87" s="114"/>
      <c r="G87" s="113"/>
      <c r="H87" s="113"/>
      <c r="I87" s="113"/>
      <c r="J87" s="113"/>
      <c r="K87" s="113"/>
      <c r="L87" s="113"/>
      <c r="M87" s="113"/>
      <c r="N87" s="113"/>
    </row>
    <row r="88" spans="3:14" x14ac:dyDescent="0.2">
      <c r="C88" s="113"/>
      <c r="D88" s="113"/>
      <c r="E88" s="113"/>
      <c r="F88" s="114"/>
      <c r="G88" s="113"/>
      <c r="H88" s="113"/>
      <c r="I88" s="113"/>
      <c r="J88" s="113"/>
      <c r="K88" s="113"/>
      <c r="L88" s="113"/>
      <c r="M88" s="113"/>
      <c r="N88" s="113"/>
    </row>
    <row r="89" spans="3:14" x14ac:dyDescent="0.2">
      <c r="C89" s="113"/>
      <c r="D89" s="113"/>
      <c r="E89" s="113"/>
      <c r="F89" s="114"/>
      <c r="G89" s="113"/>
      <c r="H89" s="113"/>
      <c r="I89" s="113"/>
      <c r="J89" s="113"/>
      <c r="K89" s="113"/>
      <c r="L89" s="113"/>
      <c r="M89" s="113"/>
      <c r="N89" s="113"/>
    </row>
    <row r="90" spans="3:14" x14ac:dyDescent="0.2">
      <c r="C90" s="113"/>
      <c r="D90" s="113"/>
      <c r="E90" s="113"/>
      <c r="F90" s="114"/>
      <c r="G90" s="113"/>
      <c r="H90" s="113"/>
      <c r="I90" s="113"/>
      <c r="J90" s="113"/>
      <c r="K90" s="113"/>
      <c r="L90" s="113"/>
      <c r="M90" s="113"/>
      <c r="N90" s="113"/>
    </row>
    <row r="91" spans="3:14" x14ac:dyDescent="0.2">
      <c r="C91" s="113"/>
      <c r="D91" s="113"/>
      <c r="E91" s="113"/>
      <c r="F91" s="114"/>
      <c r="G91" s="113"/>
      <c r="H91" s="113"/>
      <c r="I91" s="113"/>
      <c r="J91" s="113"/>
      <c r="K91" s="113"/>
      <c r="L91" s="113"/>
      <c r="M91" s="113"/>
      <c r="N91" s="113"/>
    </row>
    <row r="92" spans="3:14" x14ac:dyDescent="0.2">
      <c r="C92" s="113"/>
      <c r="D92" s="113"/>
      <c r="E92" s="113"/>
      <c r="F92" s="114"/>
      <c r="G92" s="113"/>
      <c r="H92" s="113"/>
      <c r="I92" s="113"/>
      <c r="J92" s="113"/>
      <c r="K92" s="113"/>
      <c r="L92" s="113"/>
      <c r="M92" s="113"/>
      <c r="N92" s="113"/>
    </row>
    <row r="93" spans="3:14" x14ac:dyDescent="0.2">
      <c r="C93" s="113"/>
      <c r="D93" s="113"/>
      <c r="E93" s="113"/>
      <c r="F93" s="114"/>
      <c r="G93" s="113"/>
      <c r="H93" s="113"/>
      <c r="I93" s="113"/>
      <c r="J93" s="113"/>
      <c r="K93" s="113"/>
      <c r="L93" s="113"/>
      <c r="M93" s="113"/>
      <c r="N93" s="113"/>
    </row>
    <row r="94" spans="3:14" x14ac:dyDescent="0.2">
      <c r="C94" s="113"/>
      <c r="D94" s="113"/>
      <c r="E94" s="113"/>
      <c r="F94" s="114"/>
      <c r="G94" s="113"/>
      <c r="H94" s="113"/>
      <c r="I94" s="113"/>
      <c r="J94" s="113"/>
      <c r="K94" s="113"/>
      <c r="L94" s="113"/>
      <c r="M94" s="113"/>
      <c r="N94" s="113"/>
    </row>
    <row r="95" spans="3:14" x14ac:dyDescent="0.2">
      <c r="C95" s="113"/>
      <c r="D95" s="113"/>
      <c r="E95" s="113"/>
      <c r="F95" s="114"/>
      <c r="G95" s="113"/>
      <c r="H95" s="113"/>
      <c r="I95" s="113"/>
      <c r="J95" s="113"/>
      <c r="K95" s="113"/>
      <c r="L95" s="113"/>
      <c r="M95" s="113"/>
      <c r="N95" s="113"/>
    </row>
    <row r="96" spans="3:14" x14ac:dyDescent="0.2">
      <c r="C96" s="113"/>
      <c r="D96" s="113"/>
      <c r="E96" s="113"/>
      <c r="F96" s="114"/>
      <c r="G96" s="113"/>
      <c r="H96" s="113"/>
      <c r="I96" s="113"/>
      <c r="J96" s="113"/>
      <c r="K96" s="113"/>
      <c r="L96" s="113"/>
      <c r="M96" s="113"/>
      <c r="N96" s="113"/>
    </row>
    <row r="97" spans="3:14" x14ac:dyDescent="0.2">
      <c r="C97" s="113"/>
      <c r="D97" s="113"/>
      <c r="E97" s="113"/>
      <c r="F97" s="114"/>
      <c r="G97" s="113"/>
      <c r="H97" s="113"/>
      <c r="I97" s="113"/>
      <c r="J97" s="113"/>
      <c r="K97" s="113"/>
      <c r="L97" s="113"/>
      <c r="M97" s="113"/>
      <c r="N97" s="113"/>
    </row>
    <row r="98" spans="3:14" x14ac:dyDescent="0.2">
      <c r="C98" s="113"/>
      <c r="D98" s="113"/>
      <c r="E98" s="113"/>
      <c r="F98" s="114"/>
      <c r="G98" s="113"/>
      <c r="H98" s="113"/>
      <c r="I98" s="113"/>
      <c r="J98" s="113"/>
      <c r="K98" s="113"/>
      <c r="L98" s="113"/>
      <c r="M98" s="113"/>
      <c r="N98" s="113"/>
    </row>
    <row r="99" spans="3:14" x14ac:dyDescent="0.2">
      <c r="C99" s="113"/>
      <c r="D99" s="113"/>
      <c r="E99" s="113"/>
      <c r="F99" s="114"/>
      <c r="G99" s="113"/>
      <c r="H99" s="113"/>
      <c r="I99" s="113"/>
      <c r="J99" s="113"/>
      <c r="K99" s="113"/>
      <c r="L99" s="113"/>
      <c r="M99" s="113"/>
      <c r="N99" s="113"/>
    </row>
    <row r="100" spans="3:14" x14ac:dyDescent="0.2">
      <c r="C100" s="113"/>
      <c r="D100" s="113"/>
      <c r="E100" s="113"/>
      <c r="F100" s="114"/>
      <c r="G100" s="113"/>
      <c r="H100" s="113"/>
      <c r="I100" s="113"/>
      <c r="J100" s="113"/>
      <c r="K100" s="113"/>
      <c r="L100" s="113"/>
      <c r="M100" s="113"/>
      <c r="N100" s="113"/>
    </row>
    <row r="101" spans="3:14" x14ac:dyDescent="0.2">
      <c r="C101" s="113"/>
      <c r="D101" s="113"/>
      <c r="E101" s="113"/>
      <c r="F101" s="114"/>
      <c r="G101" s="113"/>
      <c r="H101" s="113"/>
      <c r="I101" s="113"/>
      <c r="J101" s="113"/>
      <c r="K101" s="113"/>
      <c r="L101" s="113"/>
      <c r="M101" s="113"/>
      <c r="N101" s="113"/>
    </row>
    <row r="102" spans="3:14" x14ac:dyDescent="0.2">
      <c r="C102" s="113"/>
      <c r="D102" s="113"/>
      <c r="E102" s="113"/>
      <c r="F102" s="114"/>
      <c r="G102" s="113"/>
      <c r="H102" s="113"/>
      <c r="I102" s="113"/>
      <c r="J102" s="113"/>
      <c r="K102" s="113"/>
      <c r="L102" s="113"/>
      <c r="M102" s="113"/>
      <c r="N102" s="113"/>
    </row>
    <row r="103" spans="3:14" x14ac:dyDescent="0.2">
      <c r="C103" s="113"/>
      <c r="D103" s="113"/>
      <c r="E103" s="113"/>
      <c r="F103" s="114"/>
      <c r="G103" s="113"/>
      <c r="H103" s="113"/>
      <c r="I103" s="113"/>
      <c r="J103" s="113"/>
      <c r="K103" s="113"/>
      <c r="L103" s="113"/>
      <c r="M103" s="113"/>
      <c r="N103" s="113"/>
    </row>
    <row r="104" spans="3:14" x14ac:dyDescent="0.2">
      <c r="C104" s="113"/>
      <c r="D104" s="113"/>
      <c r="E104" s="113"/>
      <c r="F104" s="114"/>
      <c r="G104" s="113"/>
      <c r="H104" s="113"/>
      <c r="I104" s="113"/>
      <c r="J104" s="113"/>
      <c r="K104" s="113"/>
      <c r="L104" s="113"/>
      <c r="M104" s="113"/>
      <c r="N104" s="113"/>
    </row>
    <row r="105" spans="3:14" x14ac:dyDescent="0.2">
      <c r="C105" s="113"/>
      <c r="D105" s="113"/>
      <c r="E105" s="113"/>
      <c r="F105" s="114"/>
      <c r="G105" s="113"/>
      <c r="H105" s="113"/>
      <c r="I105" s="113"/>
      <c r="J105" s="113"/>
      <c r="K105" s="113"/>
      <c r="L105" s="113"/>
      <c r="M105" s="113"/>
      <c r="N105" s="113"/>
    </row>
    <row r="106" spans="3:14" x14ac:dyDescent="0.2">
      <c r="C106" s="113"/>
      <c r="D106" s="113"/>
      <c r="E106" s="113"/>
      <c r="F106" s="114"/>
      <c r="G106" s="113"/>
      <c r="H106" s="113"/>
      <c r="I106" s="113"/>
      <c r="J106" s="113"/>
      <c r="K106" s="113"/>
      <c r="L106" s="113"/>
      <c r="M106" s="113"/>
      <c r="N106" s="113"/>
    </row>
    <row r="107" spans="3:14" x14ac:dyDescent="0.2">
      <c r="C107" s="113"/>
      <c r="D107" s="113"/>
      <c r="E107" s="113"/>
      <c r="F107" s="114"/>
      <c r="G107" s="113"/>
      <c r="H107" s="113"/>
      <c r="I107" s="113"/>
      <c r="J107" s="113"/>
      <c r="K107" s="113"/>
      <c r="L107" s="113"/>
      <c r="M107" s="113"/>
      <c r="N107" s="113"/>
    </row>
    <row r="108" spans="3:14" x14ac:dyDescent="0.2">
      <c r="C108" s="113"/>
      <c r="D108" s="113"/>
      <c r="E108" s="113"/>
      <c r="F108" s="114"/>
      <c r="G108" s="113"/>
      <c r="H108" s="113"/>
      <c r="I108" s="113"/>
      <c r="J108" s="113"/>
      <c r="K108" s="113"/>
      <c r="L108" s="113"/>
      <c r="M108" s="113"/>
      <c r="N108" s="113"/>
    </row>
    <row r="109" spans="3:14" x14ac:dyDescent="0.2">
      <c r="C109" s="113"/>
      <c r="D109" s="113"/>
      <c r="E109" s="113"/>
      <c r="F109" s="114"/>
      <c r="G109" s="113"/>
      <c r="H109" s="113"/>
      <c r="I109" s="113"/>
      <c r="J109" s="113"/>
      <c r="K109" s="113"/>
      <c r="L109" s="113"/>
      <c r="M109" s="113"/>
      <c r="N109" s="113"/>
    </row>
    <row r="110" spans="3:14" x14ac:dyDescent="0.2">
      <c r="C110" s="113"/>
      <c r="D110" s="113"/>
      <c r="E110" s="113"/>
      <c r="F110" s="114"/>
      <c r="G110" s="113"/>
      <c r="H110" s="113"/>
      <c r="I110" s="113"/>
      <c r="J110" s="113"/>
      <c r="K110" s="113"/>
      <c r="L110" s="113"/>
      <c r="M110" s="113"/>
      <c r="N110" s="113"/>
    </row>
    <row r="111" spans="3:14" x14ac:dyDescent="0.2">
      <c r="C111" s="113"/>
      <c r="D111" s="113"/>
      <c r="E111" s="113"/>
      <c r="F111" s="114"/>
      <c r="G111" s="113"/>
      <c r="H111" s="113"/>
      <c r="I111" s="113"/>
      <c r="J111" s="113"/>
      <c r="K111" s="113"/>
      <c r="L111" s="113"/>
      <c r="M111" s="113"/>
      <c r="N111" s="113"/>
    </row>
    <row r="112" spans="3:14" x14ac:dyDescent="0.2">
      <c r="C112" s="113"/>
      <c r="D112" s="113"/>
      <c r="E112" s="113"/>
      <c r="F112" s="114"/>
      <c r="G112" s="113"/>
      <c r="H112" s="113"/>
      <c r="I112" s="113"/>
      <c r="J112" s="113"/>
      <c r="K112" s="113"/>
      <c r="L112" s="113"/>
      <c r="M112" s="113"/>
      <c r="N112" s="113"/>
    </row>
    <row r="113" spans="3:14" x14ac:dyDescent="0.2">
      <c r="C113" s="113"/>
      <c r="D113" s="113"/>
      <c r="E113" s="113"/>
      <c r="F113" s="114"/>
      <c r="G113" s="113"/>
      <c r="H113" s="113"/>
      <c r="I113" s="113"/>
      <c r="J113" s="113"/>
      <c r="K113" s="113"/>
      <c r="L113" s="113"/>
      <c r="M113" s="113"/>
      <c r="N113" s="113"/>
    </row>
    <row r="114" spans="3:14" x14ac:dyDescent="0.2">
      <c r="C114" s="113"/>
      <c r="D114" s="113"/>
      <c r="E114" s="113"/>
      <c r="F114" s="114"/>
      <c r="G114" s="113"/>
      <c r="H114" s="113"/>
      <c r="I114" s="113"/>
      <c r="J114" s="113"/>
      <c r="K114" s="113"/>
      <c r="L114" s="113"/>
      <c r="M114" s="113"/>
      <c r="N114" s="113"/>
    </row>
    <row r="115" spans="3:14" x14ac:dyDescent="0.2">
      <c r="C115" s="113"/>
      <c r="D115" s="113"/>
      <c r="E115" s="113"/>
      <c r="F115" s="114"/>
      <c r="G115" s="113"/>
      <c r="H115" s="113"/>
      <c r="I115" s="113"/>
      <c r="J115" s="113"/>
      <c r="K115" s="113"/>
      <c r="L115" s="113"/>
      <c r="M115" s="113"/>
      <c r="N115" s="113"/>
    </row>
    <row r="116" spans="3:14" x14ac:dyDescent="0.2">
      <c r="C116" s="113"/>
      <c r="D116" s="113"/>
      <c r="E116" s="113"/>
      <c r="F116" s="114"/>
      <c r="G116" s="113"/>
      <c r="H116" s="113"/>
      <c r="I116" s="113"/>
      <c r="J116" s="113"/>
      <c r="K116" s="113"/>
      <c r="L116" s="113"/>
      <c r="M116" s="113"/>
      <c r="N116" s="113"/>
    </row>
    <row r="117" spans="3:14" x14ac:dyDescent="0.2">
      <c r="C117" s="113"/>
      <c r="D117" s="113"/>
      <c r="E117" s="113"/>
      <c r="F117" s="114"/>
      <c r="G117" s="113"/>
      <c r="H117" s="113"/>
      <c r="I117" s="113"/>
      <c r="J117" s="113"/>
      <c r="K117" s="113"/>
      <c r="L117" s="113"/>
      <c r="M117" s="113"/>
      <c r="N117" s="113"/>
    </row>
  </sheetData>
  <mergeCells count="9">
    <mergeCell ref="P6:P7"/>
    <mergeCell ref="C36:P36"/>
    <mergeCell ref="C71:G71"/>
    <mergeCell ref="C6:C7"/>
    <mergeCell ref="F6:H7"/>
    <mergeCell ref="I6:I7"/>
    <mergeCell ref="J6:O7"/>
    <mergeCell ref="H28:L28"/>
    <mergeCell ref="D6:E7"/>
  </mergeCells>
  <pageMargins left="0.7" right="0.7" top="0.75" bottom="0.7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opLeftCell="A10" workbookViewId="0">
      <selection activeCell="B4" sqref="B4"/>
    </sheetView>
  </sheetViews>
  <sheetFormatPr baseColWidth="10" defaultRowHeight="15" x14ac:dyDescent="0.25"/>
  <cols>
    <col min="5" max="5" width="35" customWidth="1"/>
    <col min="7" max="7" width="15.140625" bestFit="1" customWidth="1"/>
    <col min="261" max="261" width="35" customWidth="1"/>
    <col min="263" max="263" width="15.140625" bestFit="1" customWidth="1"/>
    <col min="517" max="517" width="35" customWidth="1"/>
    <col min="519" max="519" width="15.140625" bestFit="1" customWidth="1"/>
    <col min="773" max="773" width="35" customWidth="1"/>
    <col min="775" max="775" width="15.140625" bestFit="1" customWidth="1"/>
    <col min="1029" max="1029" width="35" customWidth="1"/>
    <col min="1031" max="1031" width="15.140625" bestFit="1" customWidth="1"/>
    <col min="1285" max="1285" width="35" customWidth="1"/>
    <col min="1287" max="1287" width="15.140625" bestFit="1" customWidth="1"/>
    <col min="1541" max="1541" width="35" customWidth="1"/>
    <col min="1543" max="1543" width="15.140625" bestFit="1" customWidth="1"/>
    <col min="1797" max="1797" width="35" customWidth="1"/>
    <col min="1799" max="1799" width="15.140625" bestFit="1" customWidth="1"/>
    <col min="2053" max="2053" width="35" customWidth="1"/>
    <col min="2055" max="2055" width="15.140625" bestFit="1" customWidth="1"/>
    <col min="2309" max="2309" width="35" customWidth="1"/>
    <col min="2311" max="2311" width="15.140625" bestFit="1" customWidth="1"/>
    <col min="2565" max="2565" width="35" customWidth="1"/>
    <col min="2567" max="2567" width="15.140625" bestFit="1" customWidth="1"/>
    <col min="2821" max="2821" width="35" customWidth="1"/>
    <col min="2823" max="2823" width="15.140625" bestFit="1" customWidth="1"/>
    <col min="3077" max="3077" width="35" customWidth="1"/>
    <col min="3079" max="3079" width="15.140625" bestFit="1" customWidth="1"/>
    <col min="3333" max="3333" width="35" customWidth="1"/>
    <col min="3335" max="3335" width="15.140625" bestFit="1" customWidth="1"/>
    <col min="3589" max="3589" width="35" customWidth="1"/>
    <col min="3591" max="3591" width="15.140625" bestFit="1" customWidth="1"/>
    <col min="3845" max="3845" width="35" customWidth="1"/>
    <col min="3847" max="3847" width="15.140625" bestFit="1" customWidth="1"/>
    <col min="4101" max="4101" width="35" customWidth="1"/>
    <col min="4103" max="4103" width="15.140625" bestFit="1" customWidth="1"/>
    <col min="4357" max="4357" width="35" customWidth="1"/>
    <col min="4359" max="4359" width="15.140625" bestFit="1" customWidth="1"/>
    <col min="4613" max="4613" width="35" customWidth="1"/>
    <col min="4615" max="4615" width="15.140625" bestFit="1" customWidth="1"/>
    <col min="4869" max="4869" width="35" customWidth="1"/>
    <col min="4871" max="4871" width="15.140625" bestFit="1" customWidth="1"/>
    <col min="5125" max="5125" width="35" customWidth="1"/>
    <col min="5127" max="5127" width="15.140625" bestFit="1" customWidth="1"/>
    <col min="5381" max="5381" width="35" customWidth="1"/>
    <col min="5383" max="5383" width="15.140625" bestFit="1" customWidth="1"/>
    <col min="5637" max="5637" width="35" customWidth="1"/>
    <col min="5639" max="5639" width="15.140625" bestFit="1" customWidth="1"/>
    <col min="5893" max="5893" width="35" customWidth="1"/>
    <col min="5895" max="5895" width="15.140625" bestFit="1" customWidth="1"/>
    <col min="6149" max="6149" width="35" customWidth="1"/>
    <col min="6151" max="6151" width="15.140625" bestFit="1" customWidth="1"/>
    <col min="6405" max="6405" width="35" customWidth="1"/>
    <col min="6407" max="6407" width="15.140625" bestFit="1" customWidth="1"/>
    <col min="6661" max="6661" width="35" customWidth="1"/>
    <col min="6663" max="6663" width="15.140625" bestFit="1" customWidth="1"/>
    <col min="6917" max="6917" width="35" customWidth="1"/>
    <col min="6919" max="6919" width="15.140625" bestFit="1" customWidth="1"/>
    <col min="7173" max="7173" width="35" customWidth="1"/>
    <col min="7175" max="7175" width="15.140625" bestFit="1" customWidth="1"/>
    <col min="7429" max="7429" width="35" customWidth="1"/>
    <col min="7431" max="7431" width="15.140625" bestFit="1" customWidth="1"/>
    <col min="7685" max="7685" width="35" customWidth="1"/>
    <col min="7687" max="7687" width="15.140625" bestFit="1" customWidth="1"/>
    <col min="7941" max="7941" width="35" customWidth="1"/>
    <col min="7943" max="7943" width="15.140625" bestFit="1" customWidth="1"/>
    <col min="8197" max="8197" width="35" customWidth="1"/>
    <col min="8199" max="8199" width="15.140625" bestFit="1" customWidth="1"/>
    <col min="8453" max="8453" width="35" customWidth="1"/>
    <col min="8455" max="8455" width="15.140625" bestFit="1" customWidth="1"/>
    <col min="8709" max="8709" width="35" customWidth="1"/>
    <col min="8711" max="8711" width="15.140625" bestFit="1" customWidth="1"/>
    <col min="8965" max="8965" width="35" customWidth="1"/>
    <col min="8967" max="8967" width="15.140625" bestFit="1" customWidth="1"/>
    <col min="9221" max="9221" width="35" customWidth="1"/>
    <col min="9223" max="9223" width="15.140625" bestFit="1" customWidth="1"/>
    <col min="9477" max="9477" width="35" customWidth="1"/>
    <col min="9479" max="9479" width="15.140625" bestFit="1" customWidth="1"/>
    <col min="9733" max="9733" width="35" customWidth="1"/>
    <col min="9735" max="9735" width="15.140625" bestFit="1" customWidth="1"/>
    <col min="9989" max="9989" width="35" customWidth="1"/>
    <col min="9991" max="9991" width="15.140625" bestFit="1" customWidth="1"/>
    <col min="10245" max="10245" width="35" customWidth="1"/>
    <col min="10247" max="10247" width="15.140625" bestFit="1" customWidth="1"/>
    <col min="10501" max="10501" width="35" customWidth="1"/>
    <col min="10503" max="10503" width="15.140625" bestFit="1" customWidth="1"/>
    <col min="10757" max="10757" width="35" customWidth="1"/>
    <col min="10759" max="10759" width="15.140625" bestFit="1" customWidth="1"/>
    <col min="11013" max="11013" width="35" customWidth="1"/>
    <col min="11015" max="11015" width="15.140625" bestFit="1" customWidth="1"/>
    <col min="11269" max="11269" width="35" customWidth="1"/>
    <col min="11271" max="11271" width="15.140625" bestFit="1" customWidth="1"/>
    <col min="11525" max="11525" width="35" customWidth="1"/>
    <col min="11527" max="11527" width="15.140625" bestFit="1" customWidth="1"/>
    <col min="11781" max="11781" width="35" customWidth="1"/>
    <col min="11783" max="11783" width="15.140625" bestFit="1" customWidth="1"/>
    <col min="12037" max="12037" width="35" customWidth="1"/>
    <col min="12039" max="12039" width="15.140625" bestFit="1" customWidth="1"/>
    <col min="12293" max="12293" width="35" customWidth="1"/>
    <col min="12295" max="12295" width="15.140625" bestFit="1" customWidth="1"/>
    <col min="12549" max="12549" width="35" customWidth="1"/>
    <col min="12551" max="12551" width="15.140625" bestFit="1" customWidth="1"/>
    <col min="12805" max="12805" width="35" customWidth="1"/>
    <col min="12807" max="12807" width="15.140625" bestFit="1" customWidth="1"/>
    <col min="13061" max="13061" width="35" customWidth="1"/>
    <col min="13063" max="13063" width="15.140625" bestFit="1" customWidth="1"/>
    <col min="13317" max="13317" width="35" customWidth="1"/>
    <col min="13319" max="13319" width="15.140625" bestFit="1" customWidth="1"/>
    <col min="13573" max="13573" width="35" customWidth="1"/>
    <col min="13575" max="13575" width="15.140625" bestFit="1" customWidth="1"/>
    <col min="13829" max="13829" width="35" customWidth="1"/>
    <col min="13831" max="13831" width="15.140625" bestFit="1" customWidth="1"/>
    <col min="14085" max="14085" width="35" customWidth="1"/>
    <col min="14087" max="14087" width="15.140625" bestFit="1" customWidth="1"/>
    <col min="14341" max="14341" width="35" customWidth="1"/>
    <col min="14343" max="14343" width="15.140625" bestFit="1" customWidth="1"/>
    <col min="14597" max="14597" width="35" customWidth="1"/>
    <col min="14599" max="14599" width="15.140625" bestFit="1" customWidth="1"/>
    <col min="14853" max="14853" width="35" customWidth="1"/>
    <col min="14855" max="14855" width="15.140625" bestFit="1" customWidth="1"/>
    <col min="15109" max="15109" width="35" customWidth="1"/>
    <col min="15111" max="15111" width="15.140625" bestFit="1" customWidth="1"/>
    <col min="15365" max="15365" width="35" customWidth="1"/>
    <col min="15367" max="15367" width="15.140625" bestFit="1" customWidth="1"/>
    <col min="15621" max="15621" width="35" customWidth="1"/>
    <col min="15623" max="15623" width="15.140625" bestFit="1" customWidth="1"/>
    <col min="15877" max="15877" width="35" customWidth="1"/>
    <col min="15879" max="15879" width="15.140625" bestFit="1" customWidth="1"/>
    <col min="16133" max="16133" width="35" customWidth="1"/>
    <col min="16135" max="16135" width="15.140625" bestFit="1" customWidth="1"/>
  </cols>
  <sheetData>
    <row r="1" spans="1:7" x14ac:dyDescent="0.25">
      <c r="A1" t="s">
        <v>75</v>
      </c>
    </row>
    <row r="2" spans="1:7" x14ac:dyDescent="0.25">
      <c r="A2" t="s">
        <v>96</v>
      </c>
    </row>
    <row r="5" spans="1:7" x14ac:dyDescent="0.25">
      <c r="B5" t="s">
        <v>76</v>
      </c>
      <c r="G5" s="52">
        <v>4528386.4000000004</v>
      </c>
    </row>
    <row r="7" spans="1:7" x14ac:dyDescent="0.25">
      <c r="A7" t="s">
        <v>77</v>
      </c>
      <c r="B7" t="s">
        <v>78</v>
      </c>
      <c r="F7" s="53">
        <v>39490.74</v>
      </c>
      <c r="G7" s="54">
        <f>SUM(F7:F9)</f>
        <v>52905.25</v>
      </c>
    </row>
    <row r="8" spans="1:7" x14ac:dyDescent="0.25">
      <c r="B8" t="s">
        <v>79</v>
      </c>
      <c r="F8" s="53">
        <v>6341.33</v>
      </c>
    </row>
    <row r="9" spans="1:7" x14ac:dyDescent="0.25">
      <c r="B9" t="s">
        <v>80</v>
      </c>
      <c r="F9" s="53">
        <v>7073.18</v>
      </c>
    </row>
    <row r="10" spans="1:7" x14ac:dyDescent="0.25">
      <c r="B10" t="s">
        <v>81</v>
      </c>
      <c r="F10" s="53">
        <v>0</v>
      </c>
    </row>
    <row r="11" spans="1:7" x14ac:dyDescent="0.25">
      <c r="B11" t="s">
        <v>82</v>
      </c>
      <c r="F11" s="53">
        <v>0</v>
      </c>
    </row>
    <row r="13" spans="1:7" x14ac:dyDescent="0.25">
      <c r="A13" t="s">
        <v>83</v>
      </c>
      <c r="B13" t="s">
        <v>84</v>
      </c>
      <c r="F13" s="53">
        <v>0</v>
      </c>
      <c r="G13" s="54">
        <f>SUM(F13:F21)</f>
        <v>6134</v>
      </c>
    </row>
    <row r="14" spans="1:7" x14ac:dyDescent="0.25">
      <c r="B14" t="s">
        <v>85</v>
      </c>
      <c r="F14" s="53">
        <v>6134</v>
      </c>
    </row>
    <row r="15" spans="1:7" x14ac:dyDescent="0.25">
      <c r="B15" t="s">
        <v>86</v>
      </c>
      <c r="F15" s="53">
        <v>0</v>
      </c>
    </row>
    <row r="16" spans="1:7" x14ac:dyDescent="0.25">
      <c r="B16" t="s">
        <v>87</v>
      </c>
      <c r="F16" s="53">
        <v>0</v>
      </c>
    </row>
    <row r="17" spans="1:7" x14ac:dyDescent="0.25">
      <c r="B17" t="s">
        <v>88</v>
      </c>
      <c r="F17" s="53">
        <v>0</v>
      </c>
    </row>
    <row r="18" spans="1:7" x14ac:dyDescent="0.25">
      <c r="B18" t="s">
        <v>89</v>
      </c>
      <c r="F18" s="53">
        <v>0</v>
      </c>
    </row>
    <row r="19" spans="1:7" x14ac:dyDescent="0.25">
      <c r="B19" t="s">
        <v>90</v>
      </c>
      <c r="F19" s="53">
        <v>0</v>
      </c>
    </row>
    <row r="20" spans="1:7" x14ac:dyDescent="0.25">
      <c r="B20" t="s">
        <v>91</v>
      </c>
      <c r="F20" s="53">
        <v>0</v>
      </c>
    </row>
    <row r="21" spans="1:7" x14ac:dyDescent="0.25">
      <c r="B21" t="s">
        <v>92</v>
      </c>
      <c r="F21" s="53">
        <v>0</v>
      </c>
    </row>
    <row r="22" spans="1:7" x14ac:dyDescent="0.25">
      <c r="B22" t="s">
        <v>93</v>
      </c>
      <c r="F22" s="53">
        <v>0</v>
      </c>
    </row>
    <row r="24" spans="1:7" x14ac:dyDescent="0.25">
      <c r="A24" t="s">
        <v>83</v>
      </c>
      <c r="B24" t="s">
        <v>94</v>
      </c>
      <c r="F24" s="53">
        <v>0</v>
      </c>
      <c r="G24" s="53">
        <v>0</v>
      </c>
    </row>
    <row r="26" spans="1:7" x14ac:dyDescent="0.25">
      <c r="A26" t="s">
        <v>95</v>
      </c>
      <c r="B26" t="s">
        <v>256</v>
      </c>
      <c r="G26" s="54">
        <f>+G5-G7+G13</f>
        <v>4481615.1500000004</v>
      </c>
    </row>
  </sheetData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B130"/>
  <sheetViews>
    <sheetView topLeftCell="A32" workbookViewId="0">
      <selection activeCell="B31" sqref="B31"/>
    </sheetView>
  </sheetViews>
  <sheetFormatPr baseColWidth="10" defaultColWidth="9.140625" defaultRowHeight="15" x14ac:dyDescent="0.25"/>
  <cols>
    <col min="1" max="1" width="7.140625" style="58" customWidth="1"/>
    <col min="2" max="2" width="73.140625" style="58" customWidth="1"/>
    <col min="3" max="3" width="13" style="85" customWidth="1"/>
    <col min="4" max="4" width="13.5703125" style="85" customWidth="1"/>
    <col min="5" max="6" width="17.7109375" style="85" customWidth="1"/>
    <col min="7" max="7" width="18" style="85" customWidth="1"/>
    <col min="8" max="8" width="12.5703125" style="85" customWidth="1"/>
    <col min="9" max="9" width="14.28515625" style="85" customWidth="1"/>
    <col min="10" max="11" width="11.42578125" style="85" customWidth="1"/>
    <col min="12" max="12" width="15.5703125" style="85" customWidth="1"/>
    <col min="13" max="20" width="14.7109375" style="85" customWidth="1"/>
    <col min="21" max="21" width="16.85546875" style="85" customWidth="1"/>
    <col min="22" max="22" width="18.42578125" style="85" customWidth="1"/>
    <col min="23" max="23" width="15" style="85" customWidth="1"/>
    <col min="24" max="26" width="11.42578125" style="58" customWidth="1"/>
    <col min="27" max="27" width="15.5703125" style="58" bestFit="1" customWidth="1"/>
    <col min="28" max="221" width="11.42578125" style="58" customWidth="1"/>
    <col min="222" max="16384" width="9.140625" style="58"/>
  </cols>
  <sheetData>
    <row r="2" spans="1:28" ht="18" x14ac:dyDescent="0.25">
      <c r="C2" s="87" t="s">
        <v>258</v>
      </c>
      <c r="D2" s="88"/>
    </row>
    <row r="3" spans="1:28" x14ac:dyDescent="0.25">
      <c r="C3" s="89" t="s">
        <v>224</v>
      </c>
      <c r="D3" s="89"/>
    </row>
    <row r="4" spans="1:28" ht="24.75" customHeight="1" x14ac:dyDescent="0.25"/>
    <row r="5" spans="1:28" ht="15" customHeight="1" x14ac:dyDescent="0.25">
      <c r="A5" s="296" t="s">
        <v>99</v>
      </c>
      <c r="B5" s="298" t="s">
        <v>100</v>
      </c>
      <c r="C5" s="303" t="s">
        <v>210</v>
      </c>
      <c r="D5" s="223" t="s">
        <v>19</v>
      </c>
      <c r="E5" s="223" t="s">
        <v>101</v>
      </c>
      <c r="F5" s="229" t="s">
        <v>259</v>
      </c>
      <c r="G5" s="224" t="s">
        <v>211</v>
      </c>
      <c r="H5" s="224" t="s">
        <v>212</v>
      </c>
      <c r="I5" s="224"/>
      <c r="J5" s="306" t="s">
        <v>213</v>
      </c>
      <c r="K5" s="307"/>
      <c r="L5" s="224"/>
      <c r="M5" s="224"/>
      <c r="N5" s="224" t="s">
        <v>211</v>
      </c>
      <c r="O5" s="224" t="s">
        <v>212</v>
      </c>
      <c r="P5" s="224"/>
      <c r="Q5" s="306" t="s">
        <v>213</v>
      </c>
      <c r="R5" s="307"/>
      <c r="S5" s="224"/>
      <c r="T5" s="224"/>
      <c r="U5" s="308" t="s">
        <v>214</v>
      </c>
      <c r="V5" s="302" t="s">
        <v>215</v>
      </c>
      <c r="W5" s="302" t="s">
        <v>216</v>
      </c>
      <c r="AA5" s="229" t="s">
        <v>259</v>
      </c>
    </row>
    <row r="6" spans="1:28" ht="33.75" x14ac:dyDescent="0.25">
      <c r="A6" s="297"/>
      <c r="B6" s="298"/>
      <c r="C6" s="303"/>
      <c r="D6" s="222" t="s">
        <v>222</v>
      </c>
      <c r="E6" s="223" t="s">
        <v>223</v>
      </c>
      <c r="F6" s="229" t="s">
        <v>260</v>
      </c>
      <c r="G6" s="84" t="s">
        <v>33</v>
      </c>
      <c r="H6" s="84" t="s">
        <v>33</v>
      </c>
      <c r="I6" s="84" t="s">
        <v>217</v>
      </c>
      <c r="J6" s="84" t="s">
        <v>218</v>
      </c>
      <c r="K6" s="84" t="s">
        <v>219</v>
      </c>
      <c r="L6" s="84" t="s">
        <v>220</v>
      </c>
      <c r="M6" s="84" t="s">
        <v>221</v>
      </c>
      <c r="N6" s="84" t="s">
        <v>247</v>
      </c>
      <c r="O6" s="84" t="s">
        <v>247</v>
      </c>
      <c r="P6" s="84" t="s">
        <v>217</v>
      </c>
      <c r="Q6" s="84" t="s">
        <v>218</v>
      </c>
      <c r="R6" s="84" t="s">
        <v>219</v>
      </c>
      <c r="S6" s="84" t="s">
        <v>220</v>
      </c>
      <c r="T6" s="84" t="s">
        <v>221</v>
      </c>
      <c r="U6" s="309"/>
      <c r="V6" s="302"/>
      <c r="W6" s="302"/>
      <c r="AA6" s="229" t="s">
        <v>260</v>
      </c>
      <c r="AB6" s="58" t="s">
        <v>261</v>
      </c>
    </row>
    <row r="7" spans="1:28" s="131" customFormat="1" ht="15" customHeight="1" x14ac:dyDescent="0.25">
      <c r="A7" s="126">
        <v>1131</v>
      </c>
      <c r="B7" s="127" t="s">
        <v>102</v>
      </c>
      <c r="C7" s="128">
        <f>29378510.336+2561872.56+53797.14</f>
        <v>31994180.035999998</v>
      </c>
      <c r="D7" s="129"/>
      <c r="E7" s="129">
        <f>C7+D7</f>
        <v>31994180.035999998</v>
      </c>
      <c r="F7" s="129">
        <f>E7*0.1</f>
        <v>3199418.0035999999</v>
      </c>
      <c r="G7" s="130">
        <v>2675467</v>
      </c>
      <c r="H7" s="130">
        <v>2401012.83</v>
      </c>
      <c r="I7" s="130">
        <f>G7-H7</f>
        <v>274454.16999999993</v>
      </c>
      <c r="J7" s="130"/>
      <c r="K7" s="130"/>
      <c r="L7" s="130"/>
      <c r="M7" s="130"/>
      <c r="N7" s="226">
        <f>I7+2416550.92</f>
        <v>2691005.09</v>
      </c>
      <c r="O7" s="231">
        <v>2168504.21</v>
      </c>
      <c r="P7" s="130">
        <f>N7-O7</f>
        <v>522500.87999999989</v>
      </c>
      <c r="Q7" s="130"/>
      <c r="R7" s="130"/>
      <c r="S7" s="130"/>
      <c r="T7" s="130"/>
      <c r="U7" s="130">
        <f t="shared" ref="U7:U24" si="0">C7+D7</f>
        <v>31994180.035999998</v>
      </c>
      <c r="V7" s="130">
        <f>H7+O7</f>
        <v>4569517.04</v>
      </c>
      <c r="W7" s="130">
        <f>U7-V7</f>
        <v>27424662.995999999</v>
      </c>
      <c r="AA7" s="230">
        <f>F7</f>
        <v>3199418.0035999999</v>
      </c>
    </row>
    <row r="8" spans="1:28" s="131" customFormat="1" ht="30" x14ac:dyDescent="0.25">
      <c r="A8" s="132">
        <v>1311</v>
      </c>
      <c r="B8" s="133" t="s">
        <v>103</v>
      </c>
      <c r="C8" s="134">
        <v>432901.92</v>
      </c>
      <c r="D8" s="135"/>
      <c r="E8" s="135">
        <f t="shared" ref="E8:E23" si="1">C8+D8</f>
        <v>432901.92</v>
      </c>
      <c r="F8" s="129">
        <f t="shared" ref="F8:F24" si="2">E8*0.1</f>
        <v>43290.192000000003</v>
      </c>
      <c r="G8" s="130">
        <v>35681</v>
      </c>
      <c r="H8" s="130">
        <v>30266.55</v>
      </c>
      <c r="I8" s="130">
        <f t="shared" ref="I8:I71" si="3">G8-H8</f>
        <v>5414.4500000000007</v>
      </c>
      <c r="J8" s="130"/>
      <c r="K8" s="130"/>
      <c r="L8" s="130"/>
      <c r="M8" s="130"/>
      <c r="N8" s="226">
        <f>I8+35845.15988</f>
        <v>41259.609880000004</v>
      </c>
      <c r="O8" s="231">
        <v>36340.06</v>
      </c>
      <c r="P8" s="130">
        <f t="shared" ref="P8:P71" si="4">N8-O8</f>
        <v>4919.5498800000059</v>
      </c>
      <c r="Q8" s="130"/>
      <c r="R8" s="130"/>
      <c r="S8" s="130"/>
      <c r="T8" s="130"/>
      <c r="U8" s="130">
        <f t="shared" si="0"/>
        <v>432901.92</v>
      </c>
      <c r="V8" s="130">
        <f t="shared" ref="V8:V71" si="5">H8+O8</f>
        <v>66606.61</v>
      </c>
      <c r="W8" s="130">
        <f t="shared" ref="W8:W71" si="6">U8-V8</f>
        <v>366295.31</v>
      </c>
      <c r="AA8" s="230">
        <f t="shared" ref="AA8:AA24" si="7">F8</f>
        <v>43290.192000000003</v>
      </c>
    </row>
    <row r="9" spans="1:28" s="131" customFormat="1" ht="15" customHeight="1" x14ac:dyDescent="0.25">
      <c r="A9" s="132">
        <v>1321</v>
      </c>
      <c r="B9" s="136" t="s">
        <v>104</v>
      </c>
      <c r="C9" s="134">
        <f>402160.408000001+35581.56</f>
        <v>437741.96800000098</v>
      </c>
      <c r="D9" s="135"/>
      <c r="E9" s="135">
        <f t="shared" si="1"/>
        <v>437741.96800000098</v>
      </c>
      <c r="F9" s="129">
        <f t="shared" si="2"/>
        <v>43774.1968000001</v>
      </c>
      <c r="G9" s="130">
        <v>4377</v>
      </c>
      <c r="H9" s="130">
        <v>252.09</v>
      </c>
      <c r="I9" s="130">
        <f t="shared" si="3"/>
        <v>4124.91</v>
      </c>
      <c r="J9" s="130"/>
      <c r="K9" s="130"/>
      <c r="L9" s="130"/>
      <c r="M9" s="130"/>
      <c r="N9" s="226">
        <f>I9+4377.42</f>
        <v>8502.33</v>
      </c>
      <c r="O9" s="231">
        <v>1660.72</v>
      </c>
      <c r="P9" s="130">
        <f t="shared" si="4"/>
        <v>6841.61</v>
      </c>
      <c r="Q9" s="130"/>
      <c r="R9" s="130"/>
      <c r="S9" s="130"/>
      <c r="T9" s="130"/>
      <c r="U9" s="130">
        <f t="shared" si="0"/>
        <v>437741.96800000098</v>
      </c>
      <c r="V9" s="130">
        <f t="shared" si="5"/>
        <v>1912.81</v>
      </c>
      <c r="W9" s="130">
        <f t="shared" si="6"/>
        <v>435829.15800000099</v>
      </c>
      <c r="AA9" s="230">
        <f t="shared" si="7"/>
        <v>43774.1968000001</v>
      </c>
    </row>
    <row r="10" spans="1:28" s="131" customFormat="1" ht="15.75" x14ac:dyDescent="0.25">
      <c r="A10" s="132">
        <v>1322</v>
      </c>
      <c r="B10" s="136" t="s">
        <v>105</v>
      </c>
      <c r="C10" s="134">
        <f>4021604.08+355815.63</f>
        <v>4377419.71</v>
      </c>
      <c r="D10" s="135"/>
      <c r="E10" s="135">
        <f t="shared" si="1"/>
        <v>4377419.71</v>
      </c>
      <c r="F10" s="129">
        <f t="shared" si="2"/>
        <v>437741.97100000002</v>
      </c>
      <c r="G10" s="130">
        <v>44692</v>
      </c>
      <c r="H10" s="130">
        <v>645.99</v>
      </c>
      <c r="I10" s="130">
        <f t="shared" si="3"/>
        <v>44046.01</v>
      </c>
      <c r="J10" s="130"/>
      <c r="K10" s="130"/>
      <c r="L10" s="130"/>
      <c r="M10" s="130"/>
      <c r="N10" s="226">
        <f>I10+40366.48</f>
        <v>84412.49</v>
      </c>
      <c r="O10" s="231">
        <v>5625.07</v>
      </c>
      <c r="P10" s="130">
        <f t="shared" si="4"/>
        <v>78787.420000000013</v>
      </c>
      <c r="Q10" s="130"/>
      <c r="R10" s="130"/>
      <c r="S10" s="130"/>
      <c r="T10" s="130"/>
      <c r="U10" s="130">
        <f t="shared" si="0"/>
        <v>4377419.71</v>
      </c>
      <c r="V10" s="130">
        <f t="shared" si="5"/>
        <v>6271.0599999999995</v>
      </c>
      <c r="W10" s="130">
        <f t="shared" si="6"/>
        <v>4371148.6500000004</v>
      </c>
      <c r="AA10" s="230">
        <f t="shared" si="7"/>
        <v>437741.97100000002</v>
      </c>
    </row>
    <row r="11" spans="1:28" s="131" customFormat="1" ht="15" customHeight="1" x14ac:dyDescent="0.25">
      <c r="A11" s="132">
        <v>1332</v>
      </c>
      <c r="B11" s="136" t="s">
        <v>106</v>
      </c>
      <c r="C11" s="134">
        <v>1388969</v>
      </c>
      <c r="D11" s="135"/>
      <c r="E11" s="135">
        <f t="shared" si="1"/>
        <v>1388969</v>
      </c>
      <c r="F11" s="129">
        <f t="shared" si="2"/>
        <v>138896.9</v>
      </c>
      <c r="G11" s="130">
        <v>118210</v>
      </c>
      <c r="H11" s="130">
        <v>20629.509999999998</v>
      </c>
      <c r="I11" s="130">
        <f t="shared" si="3"/>
        <v>97580.49</v>
      </c>
      <c r="J11" s="130"/>
      <c r="K11" s="130"/>
      <c r="L11" s="130"/>
      <c r="M11" s="130"/>
      <c r="N11" s="227">
        <f>I11+107127.91</f>
        <v>204708.40000000002</v>
      </c>
      <c r="O11" s="231">
        <v>7644.57</v>
      </c>
      <c r="P11" s="130">
        <f t="shared" si="4"/>
        <v>197063.83000000002</v>
      </c>
      <c r="Q11" s="130"/>
      <c r="R11" s="130"/>
      <c r="S11" s="130"/>
      <c r="T11" s="130"/>
      <c r="U11" s="130">
        <f t="shared" si="0"/>
        <v>1388969</v>
      </c>
      <c r="V11" s="130">
        <f t="shared" si="5"/>
        <v>28274.079999999998</v>
      </c>
      <c r="W11" s="130">
        <f t="shared" si="6"/>
        <v>1360694.92</v>
      </c>
      <c r="AA11" s="230">
        <f t="shared" si="7"/>
        <v>138896.9</v>
      </c>
    </row>
    <row r="12" spans="1:28" s="131" customFormat="1" ht="15.75" x14ac:dyDescent="0.25">
      <c r="A12" s="132">
        <v>1347</v>
      </c>
      <c r="B12" s="136" t="s">
        <v>107</v>
      </c>
      <c r="C12" s="134">
        <v>350000</v>
      </c>
      <c r="D12" s="135"/>
      <c r="E12" s="135">
        <f t="shared" si="1"/>
        <v>350000</v>
      </c>
      <c r="F12" s="129">
        <f t="shared" si="2"/>
        <v>35000</v>
      </c>
      <c r="G12" s="130">
        <v>29167</v>
      </c>
      <c r="H12" s="130"/>
      <c r="I12" s="130">
        <f t="shared" si="3"/>
        <v>29167</v>
      </c>
      <c r="J12" s="130"/>
      <c r="K12" s="130"/>
      <c r="L12" s="130"/>
      <c r="M12" s="130"/>
      <c r="N12" s="226">
        <f>I12+29166.66</f>
        <v>58333.66</v>
      </c>
      <c r="O12" s="231"/>
      <c r="P12" s="130">
        <f t="shared" si="4"/>
        <v>58333.66</v>
      </c>
      <c r="Q12" s="130"/>
      <c r="R12" s="130"/>
      <c r="S12" s="130"/>
      <c r="T12" s="130"/>
      <c r="U12" s="130">
        <f t="shared" si="0"/>
        <v>350000</v>
      </c>
      <c r="V12" s="130">
        <f t="shared" si="5"/>
        <v>0</v>
      </c>
      <c r="W12" s="130">
        <f t="shared" si="6"/>
        <v>350000</v>
      </c>
      <c r="AA12" s="230">
        <f t="shared" si="7"/>
        <v>35000</v>
      </c>
    </row>
    <row r="13" spans="1:28" s="131" customFormat="1" ht="15" customHeight="1" x14ac:dyDescent="0.25">
      <c r="A13" s="132">
        <v>1411</v>
      </c>
      <c r="B13" s="136" t="s">
        <v>108</v>
      </c>
      <c r="C13" s="134">
        <f>1739434.94666845+153581.18</f>
        <v>1893016.12666845</v>
      </c>
      <c r="D13" s="135"/>
      <c r="E13" s="135">
        <f t="shared" si="1"/>
        <v>1893016.12666845</v>
      </c>
      <c r="F13" s="129">
        <f t="shared" si="2"/>
        <v>189301.612666845</v>
      </c>
      <c r="G13" s="130">
        <v>155590</v>
      </c>
      <c r="H13" s="130">
        <v>146649.09</v>
      </c>
      <c r="I13" s="130">
        <f t="shared" si="3"/>
        <v>8940.9100000000035</v>
      </c>
      <c r="J13" s="130"/>
      <c r="K13" s="130"/>
      <c r="L13" s="130"/>
      <c r="M13" s="130"/>
      <c r="N13" s="226">
        <f>I13+155590.35</f>
        <v>164531.26</v>
      </c>
      <c r="O13" s="231">
        <v>133497.51999999999</v>
      </c>
      <c r="P13" s="130">
        <f t="shared" si="4"/>
        <v>31033.74000000002</v>
      </c>
      <c r="Q13" s="130"/>
      <c r="R13" s="130"/>
      <c r="S13" s="130"/>
      <c r="T13" s="130"/>
      <c r="U13" s="130">
        <f t="shared" si="0"/>
        <v>1893016.12666845</v>
      </c>
      <c r="V13" s="130">
        <f t="shared" si="5"/>
        <v>280146.61</v>
      </c>
      <c r="W13" s="130">
        <f t="shared" si="6"/>
        <v>1612869.5166684501</v>
      </c>
      <c r="AA13" s="230">
        <f t="shared" si="7"/>
        <v>189301.612666845</v>
      </c>
    </row>
    <row r="14" spans="1:28" s="131" customFormat="1" ht="15.75" x14ac:dyDescent="0.25">
      <c r="A14" s="132">
        <v>1421</v>
      </c>
      <c r="B14" s="136" t="s">
        <v>109</v>
      </c>
      <c r="C14" s="134">
        <f>880731.291280002+76856.18</f>
        <v>957587.47128000204</v>
      </c>
      <c r="D14" s="135"/>
      <c r="E14" s="135">
        <f t="shared" si="1"/>
        <v>957587.47128000204</v>
      </c>
      <c r="F14" s="129">
        <f t="shared" si="2"/>
        <v>95758.747128000206</v>
      </c>
      <c r="G14" s="130">
        <v>78706</v>
      </c>
      <c r="H14" s="130">
        <v>62022.53</v>
      </c>
      <c r="I14" s="130">
        <f t="shared" si="3"/>
        <v>16683.47</v>
      </c>
      <c r="J14" s="130"/>
      <c r="K14" s="130"/>
      <c r="L14" s="130"/>
      <c r="M14" s="130"/>
      <c r="N14" s="226">
        <f>I14+78705.78</f>
        <v>95389.25</v>
      </c>
      <c r="O14" s="231">
        <v>62498.04</v>
      </c>
      <c r="P14" s="130">
        <f t="shared" si="4"/>
        <v>32891.21</v>
      </c>
      <c r="Q14" s="130"/>
      <c r="R14" s="130"/>
      <c r="S14" s="130"/>
      <c r="T14" s="130"/>
      <c r="U14" s="130">
        <f t="shared" si="0"/>
        <v>957587.47128000204</v>
      </c>
      <c r="V14" s="130">
        <f t="shared" si="5"/>
        <v>124520.57</v>
      </c>
      <c r="W14" s="130">
        <f t="shared" si="6"/>
        <v>833066.90128000197</v>
      </c>
      <c r="AA14" s="230">
        <f t="shared" si="7"/>
        <v>95758.747128000206</v>
      </c>
    </row>
    <row r="15" spans="1:28" s="131" customFormat="1" ht="15" customHeight="1" x14ac:dyDescent="0.25">
      <c r="A15" s="132">
        <v>1431</v>
      </c>
      <c r="B15" s="136" t="s">
        <v>110</v>
      </c>
      <c r="C15" s="134">
        <f>5137599.2108+384280.88</f>
        <v>5521880.0907999994</v>
      </c>
      <c r="D15" s="135"/>
      <c r="E15" s="135">
        <f t="shared" si="1"/>
        <v>5521880.0907999994</v>
      </c>
      <c r="F15" s="129">
        <f t="shared" si="2"/>
        <v>552188.00907999999</v>
      </c>
      <c r="G15" s="130">
        <v>453853</v>
      </c>
      <c r="H15" s="130">
        <v>361792.83</v>
      </c>
      <c r="I15" s="130">
        <f t="shared" si="3"/>
        <v>92060.169999999984</v>
      </c>
      <c r="J15" s="130"/>
      <c r="K15" s="130"/>
      <c r="L15" s="130"/>
      <c r="M15" s="130"/>
      <c r="N15" s="226">
        <f>I15+453853.14</f>
        <v>545913.31000000006</v>
      </c>
      <c r="O15" s="231">
        <v>364566.67</v>
      </c>
      <c r="P15" s="130">
        <f t="shared" si="4"/>
        <v>181346.64000000007</v>
      </c>
      <c r="Q15" s="130"/>
      <c r="R15" s="130"/>
      <c r="S15" s="130"/>
      <c r="T15" s="130"/>
      <c r="U15" s="130">
        <f t="shared" si="0"/>
        <v>5521880.0907999994</v>
      </c>
      <c r="V15" s="130">
        <f t="shared" si="5"/>
        <v>726359.5</v>
      </c>
      <c r="W15" s="130">
        <f t="shared" si="6"/>
        <v>4795520.5907999994</v>
      </c>
      <c r="AA15" s="230">
        <f t="shared" si="7"/>
        <v>552188.00907999999</v>
      </c>
    </row>
    <row r="16" spans="1:28" s="131" customFormat="1" ht="15.75" x14ac:dyDescent="0.25">
      <c r="A16" s="132">
        <v>1432</v>
      </c>
      <c r="B16" s="136" t="s">
        <v>111</v>
      </c>
      <c r="C16" s="134">
        <f>587154.197520001+51237.45</f>
        <v>638391.64752000093</v>
      </c>
      <c r="D16" s="135"/>
      <c r="E16" s="135">
        <f t="shared" si="1"/>
        <v>638391.64752000093</v>
      </c>
      <c r="F16" s="129">
        <f t="shared" si="2"/>
        <v>63839.164752000099</v>
      </c>
      <c r="G16" s="130">
        <v>52471</v>
      </c>
      <c r="H16" s="130">
        <v>41347.74</v>
      </c>
      <c r="I16" s="130">
        <f t="shared" si="3"/>
        <v>11123.260000000002</v>
      </c>
      <c r="J16" s="130"/>
      <c r="K16" s="130"/>
      <c r="L16" s="130"/>
      <c r="M16" s="130"/>
      <c r="N16" s="226">
        <f>I16+52470.57</f>
        <v>63593.83</v>
      </c>
      <c r="O16" s="231">
        <v>41664.75</v>
      </c>
      <c r="P16" s="130">
        <f t="shared" si="4"/>
        <v>21929.08</v>
      </c>
      <c r="Q16" s="130"/>
      <c r="R16" s="130"/>
      <c r="S16" s="130"/>
      <c r="T16" s="130"/>
      <c r="U16" s="130">
        <f t="shared" si="0"/>
        <v>638391.64752000093</v>
      </c>
      <c r="V16" s="130">
        <f t="shared" si="5"/>
        <v>83012.489999999991</v>
      </c>
      <c r="W16" s="130">
        <f t="shared" si="6"/>
        <v>555379.15752000094</v>
      </c>
      <c r="AA16" s="230">
        <f t="shared" si="7"/>
        <v>63839.164752000099</v>
      </c>
    </row>
    <row r="17" spans="1:27" s="131" customFormat="1" ht="15" customHeight="1" x14ac:dyDescent="0.25">
      <c r="A17" s="132">
        <v>1441</v>
      </c>
      <c r="B17" s="136" t="s">
        <v>112</v>
      </c>
      <c r="C17" s="135">
        <v>25000</v>
      </c>
      <c r="D17" s="137"/>
      <c r="E17" s="135">
        <f>+C17+D17</f>
        <v>25000</v>
      </c>
      <c r="F17" s="129">
        <f t="shared" si="2"/>
        <v>2500</v>
      </c>
      <c r="G17" s="130">
        <v>2123</v>
      </c>
      <c r="H17" s="130"/>
      <c r="I17" s="130">
        <f t="shared" si="3"/>
        <v>2123</v>
      </c>
      <c r="J17" s="130"/>
      <c r="K17" s="130"/>
      <c r="L17" s="130"/>
      <c r="M17" s="130"/>
      <c r="N17" s="226">
        <f>I17+1917.72</f>
        <v>4040.7200000000003</v>
      </c>
      <c r="O17" s="231"/>
      <c r="P17" s="130">
        <f t="shared" si="4"/>
        <v>4040.7200000000003</v>
      </c>
      <c r="Q17" s="130"/>
      <c r="R17" s="130"/>
      <c r="S17" s="130"/>
      <c r="T17" s="130"/>
      <c r="U17" s="130">
        <f t="shared" si="0"/>
        <v>25000</v>
      </c>
      <c r="V17" s="130">
        <f t="shared" si="5"/>
        <v>0</v>
      </c>
      <c r="W17" s="130">
        <f t="shared" si="6"/>
        <v>25000</v>
      </c>
      <c r="AA17" s="230">
        <f t="shared" si="7"/>
        <v>2500</v>
      </c>
    </row>
    <row r="18" spans="1:27" s="131" customFormat="1" ht="15.75" x14ac:dyDescent="0.25">
      <c r="A18" s="132">
        <v>1521</v>
      </c>
      <c r="B18" s="136" t="s">
        <v>113</v>
      </c>
      <c r="C18" s="135">
        <v>540000</v>
      </c>
      <c r="D18" s="137"/>
      <c r="E18" s="135">
        <f>+C18+D18</f>
        <v>540000</v>
      </c>
      <c r="F18" s="129">
        <f t="shared" si="2"/>
        <v>54000</v>
      </c>
      <c r="G18" s="130">
        <v>45000</v>
      </c>
      <c r="H18" s="130"/>
      <c r="I18" s="130">
        <f t="shared" si="3"/>
        <v>45000</v>
      </c>
      <c r="J18" s="130"/>
      <c r="K18" s="130"/>
      <c r="L18" s="130"/>
      <c r="M18" s="130"/>
      <c r="N18" s="226">
        <f>I18+45000</f>
        <v>90000</v>
      </c>
      <c r="O18" s="231">
        <v>45428.79</v>
      </c>
      <c r="P18" s="130">
        <f t="shared" si="4"/>
        <v>44571.21</v>
      </c>
      <c r="Q18" s="130"/>
      <c r="R18" s="130"/>
      <c r="S18" s="130"/>
      <c r="T18" s="130"/>
      <c r="U18" s="130">
        <f t="shared" si="0"/>
        <v>540000</v>
      </c>
      <c r="V18" s="130">
        <f t="shared" si="5"/>
        <v>45428.79</v>
      </c>
      <c r="W18" s="130">
        <f t="shared" si="6"/>
        <v>494571.21</v>
      </c>
      <c r="AA18" s="230">
        <f t="shared" si="7"/>
        <v>54000</v>
      </c>
    </row>
    <row r="19" spans="1:27" s="131" customFormat="1" ht="15" customHeight="1" x14ac:dyDescent="0.25">
      <c r="A19" s="132">
        <v>1543</v>
      </c>
      <c r="B19" s="136" t="s">
        <v>114</v>
      </c>
      <c r="C19" s="134">
        <v>711880</v>
      </c>
      <c r="D19" s="135"/>
      <c r="E19" s="135">
        <f t="shared" si="1"/>
        <v>711880</v>
      </c>
      <c r="F19" s="129">
        <f t="shared" si="2"/>
        <v>71188</v>
      </c>
      <c r="G19" s="130">
        <v>167440</v>
      </c>
      <c r="H19" s="130">
        <v>42700</v>
      </c>
      <c r="I19" s="130">
        <f t="shared" si="3"/>
        <v>124740</v>
      </c>
      <c r="J19" s="130"/>
      <c r="K19" s="130"/>
      <c r="L19" s="130"/>
      <c r="M19" s="130"/>
      <c r="N19" s="226">
        <f>I19+37700</f>
        <v>162440</v>
      </c>
      <c r="O19" s="231">
        <v>31900</v>
      </c>
      <c r="P19" s="130">
        <f t="shared" si="4"/>
        <v>130540</v>
      </c>
      <c r="Q19" s="130"/>
      <c r="R19" s="130"/>
      <c r="S19" s="130"/>
      <c r="T19" s="130"/>
      <c r="U19" s="130">
        <f t="shared" si="0"/>
        <v>711880</v>
      </c>
      <c r="V19" s="130">
        <f t="shared" si="5"/>
        <v>74600</v>
      </c>
      <c r="W19" s="130">
        <f t="shared" si="6"/>
        <v>637280</v>
      </c>
      <c r="AA19" s="230">
        <f t="shared" si="7"/>
        <v>71188</v>
      </c>
    </row>
    <row r="20" spans="1:27" s="131" customFormat="1" ht="15.75" x14ac:dyDescent="0.25">
      <c r="A20" s="132">
        <v>1611</v>
      </c>
      <c r="B20" s="136" t="s">
        <v>115</v>
      </c>
      <c r="C20" s="134">
        <f>1650000+985000</f>
        <v>2635000</v>
      </c>
      <c r="D20" s="134"/>
      <c r="E20" s="135">
        <f t="shared" si="1"/>
        <v>2635000</v>
      </c>
      <c r="F20" s="129">
        <f t="shared" si="2"/>
        <v>263500</v>
      </c>
      <c r="G20" s="130">
        <v>219583</v>
      </c>
      <c r="H20" s="130"/>
      <c r="I20" s="130">
        <f t="shared" si="3"/>
        <v>219583</v>
      </c>
      <c r="J20" s="130"/>
      <c r="K20" s="130"/>
      <c r="L20" s="130"/>
      <c r="M20" s="130"/>
      <c r="N20" s="226">
        <f>I20+219583.33</f>
        <v>439166.32999999996</v>
      </c>
      <c r="O20" s="231"/>
      <c r="P20" s="130">
        <f t="shared" si="4"/>
        <v>439166.32999999996</v>
      </c>
      <c r="Q20" s="130"/>
      <c r="R20" s="130"/>
      <c r="S20" s="130"/>
      <c r="T20" s="130"/>
      <c r="U20" s="130">
        <f t="shared" si="0"/>
        <v>2635000</v>
      </c>
      <c r="V20" s="130">
        <f t="shared" si="5"/>
        <v>0</v>
      </c>
      <c r="W20" s="130">
        <f t="shared" si="6"/>
        <v>2635000</v>
      </c>
      <c r="AA20" s="230">
        <f t="shared" si="7"/>
        <v>263500</v>
      </c>
    </row>
    <row r="21" spans="1:27" s="131" customFormat="1" ht="15" customHeight="1" x14ac:dyDescent="0.25">
      <c r="A21" s="132">
        <v>1712</v>
      </c>
      <c r="B21" s="136" t="s">
        <v>116</v>
      </c>
      <c r="C21" s="134">
        <f>2380261.47840001+217453.56</f>
        <v>2597715.0384000102</v>
      </c>
      <c r="D21" s="135"/>
      <c r="E21" s="135">
        <f t="shared" si="1"/>
        <v>2597715.0384000102</v>
      </c>
      <c r="F21" s="129">
        <f t="shared" si="2"/>
        <v>259771.50384000104</v>
      </c>
      <c r="G21" s="130">
        <v>216476</v>
      </c>
      <c r="H21" s="130">
        <v>183499</v>
      </c>
      <c r="I21" s="130">
        <f t="shared" si="3"/>
        <v>32977</v>
      </c>
      <c r="J21" s="130"/>
      <c r="K21" s="130"/>
      <c r="L21" s="130"/>
      <c r="M21" s="130"/>
      <c r="N21" s="226">
        <f>I21+216476</f>
        <v>249453</v>
      </c>
      <c r="O21" s="231">
        <v>185545.61</v>
      </c>
      <c r="P21" s="130">
        <f t="shared" si="4"/>
        <v>63907.390000000014</v>
      </c>
      <c r="Q21" s="130"/>
      <c r="R21" s="130"/>
      <c r="S21" s="130"/>
      <c r="T21" s="130"/>
      <c r="U21" s="130">
        <f t="shared" si="0"/>
        <v>2597715.0384000102</v>
      </c>
      <c r="V21" s="130">
        <f t="shared" si="5"/>
        <v>369044.61</v>
      </c>
      <c r="W21" s="130">
        <f t="shared" si="6"/>
        <v>2228670.4284000103</v>
      </c>
      <c r="AA21" s="230">
        <f t="shared" si="7"/>
        <v>259771.50384000104</v>
      </c>
    </row>
    <row r="22" spans="1:27" s="131" customFormat="1" ht="15.75" x14ac:dyDescent="0.25">
      <c r="A22" s="138">
        <v>1713</v>
      </c>
      <c r="B22" s="139" t="s">
        <v>117</v>
      </c>
      <c r="C22" s="134">
        <f>141036+1512570</f>
        <v>1653606</v>
      </c>
      <c r="D22" s="135"/>
      <c r="E22" s="135">
        <f>C22+D22</f>
        <v>1653606</v>
      </c>
      <c r="F22" s="129">
        <f t="shared" si="2"/>
        <v>165360.6</v>
      </c>
      <c r="G22" s="130">
        <v>137800</v>
      </c>
      <c r="H22" s="130">
        <v>114369.44</v>
      </c>
      <c r="I22" s="130">
        <f t="shared" si="3"/>
        <v>23430.559999999998</v>
      </c>
      <c r="J22" s="130"/>
      <c r="K22" s="130"/>
      <c r="L22" s="130"/>
      <c r="M22" s="130"/>
      <c r="N22" s="226">
        <f>I22+137800</f>
        <v>161230.56</v>
      </c>
      <c r="O22" s="231">
        <v>116422.03</v>
      </c>
      <c r="P22" s="130">
        <f t="shared" si="4"/>
        <v>44808.53</v>
      </c>
      <c r="Q22" s="130"/>
      <c r="R22" s="130"/>
      <c r="S22" s="130"/>
      <c r="T22" s="130"/>
      <c r="U22" s="130">
        <f t="shared" si="0"/>
        <v>1653606</v>
      </c>
      <c r="V22" s="130">
        <f t="shared" si="5"/>
        <v>230791.47</v>
      </c>
      <c r="W22" s="130">
        <f t="shared" si="6"/>
        <v>1422814.53</v>
      </c>
      <c r="AA22" s="230">
        <f t="shared" si="7"/>
        <v>165360.6</v>
      </c>
    </row>
    <row r="23" spans="1:27" s="131" customFormat="1" ht="15" customHeight="1" x14ac:dyDescent="0.25">
      <c r="A23" s="132">
        <v>1715</v>
      </c>
      <c r="B23" s="136" t="s">
        <v>118</v>
      </c>
      <c r="C23" s="140">
        <f>0+106744.69+1181986</f>
        <v>1288730.69</v>
      </c>
      <c r="D23" s="135"/>
      <c r="E23" s="135">
        <f t="shared" si="1"/>
        <v>1288730.69</v>
      </c>
      <c r="F23" s="129">
        <f t="shared" si="2"/>
        <v>128873.069</v>
      </c>
      <c r="G23" s="130"/>
      <c r="H23" s="130"/>
      <c r="I23" s="130">
        <f t="shared" si="3"/>
        <v>0</v>
      </c>
      <c r="J23" s="130"/>
      <c r="K23" s="130"/>
      <c r="L23" s="130"/>
      <c r="M23" s="130"/>
      <c r="N23" s="226">
        <v>0</v>
      </c>
      <c r="O23" s="231"/>
      <c r="P23" s="130">
        <f t="shared" si="4"/>
        <v>0</v>
      </c>
      <c r="Q23" s="130"/>
      <c r="R23" s="130"/>
      <c r="S23" s="130"/>
      <c r="T23" s="130"/>
      <c r="U23" s="130">
        <f t="shared" si="0"/>
        <v>1288730.69</v>
      </c>
      <c r="V23" s="130">
        <f t="shared" si="5"/>
        <v>0</v>
      </c>
      <c r="W23" s="130">
        <f t="shared" si="6"/>
        <v>1288730.69</v>
      </c>
      <c r="AA23" s="230">
        <f t="shared" si="7"/>
        <v>128873.069</v>
      </c>
    </row>
    <row r="24" spans="1:27" s="131" customFormat="1" ht="15.75" x14ac:dyDescent="0.25">
      <c r="A24" s="132">
        <v>1716</v>
      </c>
      <c r="B24" s="136" t="s">
        <v>119</v>
      </c>
      <c r="C24" s="135">
        <v>514800</v>
      </c>
      <c r="D24" s="137"/>
      <c r="E24" s="135">
        <f>+C24+D24</f>
        <v>514800</v>
      </c>
      <c r="F24" s="129">
        <f t="shared" si="2"/>
        <v>51480</v>
      </c>
      <c r="G24" s="130">
        <v>42900</v>
      </c>
      <c r="H24" s="130"/>
      <c r="I24" s="130">
        <f t="shared" si="3"/>
        <v>42900</v>
      </c>
      <c r="J24" s="130"/>
      <c r="K24" s="130"/>
      <c r="L24" s="130"/>
      <c r="M24" s="130"/>
      <c r="N24" s="226">
        <f>I24+42900</f>
        <v>85800</v>
      </c>
      <c r="O24" s="231"/>
      <c r="P24" s="130">
        <f t="shared" si="4"/>
        <v>85800</v>
      </c>
      <c r="Q24" s="130"/>
      <c r="R24" s="130"/>
      <c r="S24" s="130"/>
      <c r="T24" s="130"/>
      <c r="U24" s="130">
        <f t="shared" si="0"/>
        <v>514800</v>
      </c>
      <c r="V24" s="130">
        <f t="shared" si="5"/>
        <v>0</v>
      </c>
      <c r="W24" s="130">
        <f t="shared" si="6"/>
        <v>514800</v>
      </c>
      <c r="AA24" s="230">
        <f t="shared" si="7"/>
        <v>51480</v>
      </c>
    </row>
    <row r="25" spans="1:27" s="145" customFormat="1" ht="15" customHeight="1" x14ac:dyDescent="0.25">
      <c r="A25" s="141"/>
      <c r="B25" s="142" t="s">
        <v>120</v>
      </c>
      <c r="C25" s="143">
        <f>SUM(C7:C24)</f>
        <v>57958819.698668465</v>
      </c>
      <c r="D25" s="143">
        <f>SUM(D7:D24)</f>
        <v>0</v>
      </c>
      <c r="E25" s="144">
        <f t="shared" ref="E25:E58" si="8">C25+D25</f>
        <v>57958819.698668465</v>
      </c>
      <c r="F25" s="143">
        <f>SUM(F7:F24)</f>
        <v>5795881.9698668458</v>
      </c>
      <c r="G25" s="144">
        <f>SUM(G7:G24)</f>
        <v>4479536</v>
      </c>
      <c r="H25" s="144">
        <f t="shared" ref="H25:W25" si="9">SUM(H7:H24)</f>
        <v>3405187.5999999996</v>
      </c>
      <c r="I25" s="144">
        <f t="shared" si="9"/>
        <v>1074348.3999999999</v>
      </c>
      <c r="J25" s="144">
        <f t="shared" si="9"/>
        <v>0</v>
      </c>
      <c r="K25" s="144">
        <f t="shared" si="9"/>
        <v>0</v>
      </c>
      <c r="L25" s="144">
        <f t="shared" si="9"/>
        <v>0</v>
      </c>
      <c r="M25" s="144">
        <f t="shared" si="9"/>
        <v>0</v>
      </c>
      <c r="N25" s="228">
        <f t="shared" si="9"/>
        <v>5149779.8398799999</v>
      </c>
      <c r="O25" s="228">
        <f t="shared" si="9"/>
        <v>3201298.0399999996</v>
      </c>
      <c r="P25" s="228">
        <f t="shared" si="9"/>
        <v>1948481.7998800001</v>
      </c>
      <c r="Q25" s="228">
        <f t="shared" si="9"/>
        <v>0</v>
      </c>
      <c r="R25" s="228">
        <f t="shared" si="9"/>
        <v>0</v>
      </c>
      <c r="S25" s="228">
        <f t="shared" si="9"/>
        <v>0</v>
      </c>
      <c r="T25" s="228">
        <f t="shared" si="9"/>
        <v>0</v>
      </c>
      <c r="U25" s="144">
        <f t="shared" si="9"/>
        <v>57958819.698668465</v>
      </c>
      <c r="V25" s="144">
        <f t="shared" si="9"/>
        <v>6606485.6400000006</v>
      </c>
      <c r="W25" s="144">
        <f t="shared" si="9"/>
        <v>51352334.058668464</v>
      </c>
    </row>
    <row r="26" spans="1:27" s="131" customFormat="1" ht="15.75" x14ac:dyDescent="0.25">
      <c r="A26" s="138">
        <v>2111</v>
      </c>
      <c r="B26" s="146" t="s">
        <v>121</v>
      </c>
      <c r="C26" s="135">
        <v>100182.24320000001</v>
      </c>
      <c r="D26" s="135"/>
      <c r="E26" s="135">
        <f t="shared" si="8"/>
        <v>100182.24320000001</v>
      </c>
      <c r="F26" s="135"/>
      <c r="G26" s="130">
        <v>8349</v>
      </c>
      <c r="H26" s="130">
        <v>9912.9699999999993</v>
      </c>
      <c r="I26" s="130">
        <f t="shared" si="3"/>
        <v>-1563.9699999999993</v>
      </c>
      <c r="J26" s="130"/>
      <c r="K26" s="130">
        <v>1564</v>
      </c>
      <c r="L26" s="130"/>
      <c r="M26" s="130"/>
      <c r="N26" s="130">
        <f>(E26-G26)/11</f>
        <v>8348.4766545454549</v>
      </c>
      <c r="O26" s="130">
        <v>7113.54</v>
      </c>
      <c r="P26" s="130">
        <f t="shared" si="4"/>
        <v>1234.936654545455</v>
      </c>
      <c r="Q26" s="130">
        <v>123.5</v>
      </c>
      <c r="R26" s="130"/>
      <c r="S26" s="130"/>
      <c r="T26" s="130"/>
      <c r="U26" s="130">
        <f t="shared" ref="U26:U57" si="10">C26+D26</f>
        <v>100182.24320000001</v>
      </c>
      <c r="V26" s="130">
        <f t="shared" si="5"/>
        <v>17026.509999999998</v>
      </c>
      <c r="W26" s="130">
        <f t="shared" si="6"/>
        <v>83155.733200000017</v>
      </c>
    </row>
    <row r="27" spans="1:27" s="131" customFormat="1" ht="30.75" x14ac:dyDescent="0.25">
      <c r="A27" s="138">
        <v>2141</v>
      </c>
      <c r="B27" s="147" t="s">
        <v>122</v>
      </c>
      <c r="C27" s="135">
        <v>25000</v>
      </c>
      <c r="D27" s="135"/>
      <c r="E27" s="135">
        <f t="shared" si="8"/>
        <v>25000</v>
      </c>
      <c r="F27" s="135"/>
      <c r="G27" s="130"/>
      <c r="H27" s="130"/>
      <c r="I27" s="130">
        <f t="shared" si="3"/>
        <v>0</v>
      </c>
      <c r="J27" s="130"/>
      <c r="K27" s="130"/>
      <c r="L27" s="130"/>
      <c r="M27" s="130"/>
      <c r="N27" s="130">
        <f t="shared" ref="N27:N90" si="11">(E27-G27)/11</f>
        <v>2272.7272727272725</v>
      </c>
      <c r="O27" s="130"/>
      <c r="P27" s="130">
        <f t="shared" si="4"/>
        <v>2272.7272727272725</v>
      </c>
      <c r="Q27" s="130">
        <v>227.3</v>
      </c>
      <c r="R27" s="130"/>
      <c r="S27" s="130"/>
      <c r="T27" s="130"/>
      <c r="U27" s="130">
        <f t="shared" si="10"/>
        <v>25000</v>
      </c>
      <c r="V27" s="130">
        <f t="shared" si="5"/>
        <v>0</v>
      </c>
      <c r="W27" s="130">
        <f t="shared" si="6"/>
        <v>25000</v>
      </c>
    </row>
    <row r="28" spans="1:27" s="131" customFormat="1" ht="15.75" x14ac:dyDescent="0.25">
      <c r="A28" s="138">
        <v>2161</v>
      </c>
      <c r="B28" s="146" t="s">
        <v>123</v>
      </c>
      <c r="C28" s="135">
        <v>899616.66080000007</v>
      </c>
      <c r="D28" s="135"/>
      <c r="E28" s="135">
        <f t="shared" si="8"/>
        <v>899616.66080000007</v>
      </c>
      <c r="F28" s="135"/>
      <c r="G28" s="130">
        <v>64686.06</v>
      </c>
      <c r="H28" s="130">
        <v>62801.919999999998</v>
      </c>
      <c r="I28" s="130">
        <f t="shared" si="3"/>
        <v>1884.1399999999994</v>
      </c>
      <c r="J28" s="130"/>
      <c r="K28" s="130"/>
      <c r="L28" s="130"/>
      <c r="M28" s="130"/>
      <c r="N28" s="130">
        <f>I28+(E28-G28)/11</f>
        <v>77786.9218909091</v>
      </c>
      <c r="O28" s="130">
        <v>59924.28</v>
      </c>
      <c r="P28" s="130">
        <f t="shared" si="4"/>
        <v>17862.641890909101</v>
      </c>
      <c r="Q28" s="130">
        <v>1786.3</v>
      </c>
      <c r="R28" s="130"/>
      <c r="S28" s="130"/>
      <c r="T28" s="130"/>
      <c r="U28" s="130">
        <f t="shared" si="10"/>
        <v>899616.66080000007</v>
      </c>
      <c r="V28" s="130">
        <f t="shared" si="5"/>
        <v>122726.2</v>
      </c>
      <c r="W28" s="130">
        <f t="shared" si="6"/>
        <v>776890.46080000012</v>
      </c>
    </row>
    <row r="29" spans="1:27" s="131" customFormat="1" ht="15" customHeight="1" x14ac:dyDescent="0.25">
      <c r="A29" s="138">
        <v>2171</v>
      </c>
      <c r="B29" s="146" t="s">
        <v>124</v>
      </c>
      <c r="C29" s="135">
        <v>243450</v>
      </c>
      <c r="D29" s="135">
        <v>10000</v>
      </c>
      <c r="E29" s="135">
        <f t="shared" si="8"/>
        <v>253450</v>
      </c>
      <c r="F29" s="135"/>
      <c r="G29" s="130">
        <f>C29/12</f>
        <v>20287.5</v>
      </c>
      <c r="H29" s="130">
        <v>24423.87</v>
      </c>
      <c r="I29" s="130">
        <f t="shared" si="3"/>
        <v>-4136.369999999999</v>
      </c>
      <c r="J29" s="130"/>
      <c r="K29" s="130">
        <v>4136</v>
      </c>
      <c r="L29" s="130"/>
      <c r="M29" s="130"/>
      <c r="N29" s="130">
        <f t="shared" si="11"/>
        <v>21196.590909090908</v>
      </c>
      <c r="O29" s="130">
        <v>15380.63</v>
      </c>
      <c r="P29" s="130">
        <f t="shared" si="4"/>
        <v>5815.9609090909089</v>
      </c>
      <c r="Q29" s="130">
        <v>581.6</v>
      </c>
      <c r="R29" s="130"/>
      <c r="S29" s="130"/>
      <c r="T29" s="130"/>
      <c r="U29" s="130">
        <f t="shared" si="10"/>
        <v>253450</v>
      </c>
      <c r="V29" s="130">
        <f t="shared" si="5"/>
        <v>39804.5</v>
      </c>
      <c r="W29" s="130">
        <f t="shared" si="6"/>
        <v>213645.5</v>
      </c>
    </row>
    <row r="30" spans="1:27" s="131" customFormat="1" ht="45.75" x14ac:dyDescent="0.25">
      <c r="A30" s="138">
        <v>2212</v>
      </c>
      <c r="B30" s="147" t="s">
        <v>125</v>
      </c>
      <c r="C30" s="140">
        <v>5305045.78</v>
      </c>
      <c r="D30" s="135">
        <v>1000000</v>
      </c>
      <c r="E30" s="135">
        <f t="shared" si="8"/>
        <v>6305045.7800000003</v>
      </c>
      <c r="F30" s="135"/>
      <c r="G30" s="130">
        <v>442087.16</v>
      </c>
      <c r="H30" s="130">
        <v>269517.18</v>
      </c>
      <c r="I30" s="130">
        <f t="shared" si="3"/>
        <v>172569.97999999998</v>
      </c>
      <c r="J30" s="130">
        <v>17257</v>
      </c>
      <c r="K30" s="130"/>
      <c r="L30" s="130"/>
      <c r="M30" s="130"/>
      <c r="N30" s="130">
        <f>I30+(E30-G30)/11-J30</f>
        <v>688309.21818181814</v>
      </c>
      <c r="O30" s="130">
        <v>284887.88</v>
      </c>
      <c r="P30" s="130">
        <f t="shared" si="4"/>
        <v>403421.33818181814</v>
      </c>
      <c r="Q30" s="130">
        <v>40342.1</v>
      </c>
      <c r="R30" s="130"/>
      <c r="S30" s="130"/>
      <c r="T30" s="130"/>
      <c r="U30" s="130">
        <f t="shared" si="10"/>
        <v>6305045.7800000003</v>
      </c>
      <c r="V30" s="130">
        <f t="shared" si="5"/>
        <v>554405.06000000006</v>
      </c>
      <c r="W30" s="130">
        <f t="shared" si="6"/>
        <v>5750640.7200000007</v>
      </c>
    </row>
    <row r="31" spans="1:27" s="131" customFormat="1" ht="30.75" x14ac:dyDescent="0.25">
      <c r="A31" s="138">
        <v>2214</v>
      </c>
      <c r="B31" s="147" t="s">
        <v>126</v>
      </c>
      <c r="C31" s="135">
        <f>1076260.9312</f>
        <v>1076260.9312</v>
      </c>
      <c r="D31" s="148"/>
      <c r="E31" s="135">
        <f t="shared" si="8"/>
        <v>1076260.9312</v>
      </c>
      <c r="F31" s="135"/>
      <c r="G31" s="130">
        <v>69400.37</v>
      </c>
      <c r="H31" s="130">
        <v>67379.3</v>
      </c>
      <c r="I31" s="130">
        <f t="shared" si="3"/>
        <v>2021.0699999999924</v>
      </c>
      <c r="J31" s="130"/>
      <c r="K31" s="130"/>
      <c r="L31" s="130"/>
      <c r="M31" s="130"/>
      <c r="N31" s="130">
        <f>I31+(E31-G31)/11</f>
        <v>93553.848290909082</v>
      </c>
      <c r="O31" s="130">
        <v>71221.97</v>
      </c>
      <c r="P31" s="130">
        <f t="shared" si="4"/>
        <v>22331.878290909081</v>
      </c>
      <c r="Q31" s="130">
        <v>2233.1999999999998</v>
      </c>
      <c r="R31" s="130"/>
      <c r="S31" s="130"/>
      <c r="T31" s="130"/>
      <c r="U31" s="130">
        <f t="shared" si="10"/>
        <v>1076260.9312</v>
      </c>
      <c r="V31" s="130">
        <f t="shared" si="5"/>
        <v>138601.27000000002</v>
      </c>
      <c r="W31" s="130">
        <f t="shared" si="6"/>
        <v>937659.66119999997</v>
      </c>
    </row>
    <row r="32" spans="1:27" s="131" customFormat="1" ht="15.75" x14ac:dyDescent="0.25">
      <c r="A32" s="138">
        <v>2231</v>
      </c>
      <c r="B32" s="146" t="s">
        <v>127</v>
      </c>
      <c r="C32" s="135">
        <v>155673</v>
      </c>
      <c r="D32" s="148"/>
      <c r="E32" s="135">
        <f t="shared" si="8"/>
        <v>155673</v>
      </c>
      <c r="F32" s="135"/>
      <c r="G32" s="130">
        <v>4482.5600000000004</v>
      </c>
      <c r="H32" s="130">
        <v>4352.1499999999996</v>
      </c>
      <c r="I32" s="130">
        <f t="shared" si="3"/>
        <v>130.41000000000076</v>
      </c>
      <c r="J32" s="130"/>
      <c r="K32" s="130"/>
      <c r="L32" s="130"/>
      <c r="M32" s="130"/>
      <c r="N32" s="130">
        <f>I32+(E32-G32)/11</f>
        <v>13874.995454545457</v>
      </c>
      <c r="O32" s="130">
        <v>13771.87</v>
      </c>
      <c r="P32" s="130">
        <f t="shared" si="4"/>
        <v>103.1254545454558</v>
      </c>
      <c r="Q32" s="130">
        <v>10.3</v>
      </c>
      <c r="R32" s="130"/>
      <c r="S32" s="130"/>
      <c r="T32" s="130"/>
      <c r="U32" s="130">
        <f t="shared" si="10"/>
        <v>155673</v>
      </c>
      <c r="V32" s="130">
        <f t="shared" si="5"/>
        <v>18124.02</v>
      </c>
      <c r="W32" s="130">
        <f t="shared" si="6"/>
        <v>137548.98000000001</v>
      </c>
    </row>
    <row r="33" spans="1:23" s="131" customFormat="1" ht="15" customHeight="1" x14ac:dyDescent="0.25">
      <c r="A33" s="138">
        <v>2411</v>
      </c>
      <c r="B33" s="146" t="s">
        <v>128</v>
      </c>
      <c r="C33" s="135">
        <v>112500</v>
      </c>
      <c r="D33" s="135"/>
      <c r="E33" s="135">
        <f t="shared" si="8"/>
        <v>112500</v>
      </c>
      <c r="F33" s="135"/>
      <c r="G33" s="130"/>
      <c r="H33" s="130"/>
      <c r="I33" s="130">
        <f t="shared" si="3"/>
        <v>0</v>
      </c>
      <c r="J33" s="130"/>
      <c r="K33" s="130"/>
      <c r="L33" s="130"/>
      <c r="M33" s="130"/>
      <c r="N33" s="130">
        <f t="shared" si="11"/>
        <v>10227.272727272728</v>
      </c>
      <c r="O33" s="130"/>
      <c r="P33" s="130">
        <f t="shared" si="4"/>
        <v>10227.272727272728</v>
      </c>
      <c r="Q33" s="130">
        <v>1022.7</v>
      </c>
      <c r="R33" s="130"/>
      <c r="S33" s="130"/>
      <c r="T33" s="130"/>
      <c r="U33" s="130">
        <f t="shared" si="10"/>
        <v>112500</v>
      </c>
      <c r="V33" s="130">
        <f t="shared" si="5"/>
        <v>0</v>
      </c>
      <c r="W33" s="130">
        <f t="shared" si="6"/>
        <v>112500</v>
      </c>
    </row>
    <row r="34" spans="1:23" s="131" customFormat="1" ht="15.75" x14ac:dyDescent="0.25">
      <c r="A34" s="138">
        <v>2421</v>
      </c>
      <c r="B34" s="146" t="s">
        <v>129</v>
      </c>
      <c r="C34" s="135">
        <v>125000</v>
      </c>
      <c r="D34" s="135"/>
      <c r="E34" s="135">
        <f t="shared" si="8"/>
        <v>125000</v>
      </c>
      <c r="F34" s="135"/>
      <c r="G34" s="130"/>
      <c r="H34" s="130"/>
      <c r="I34" s="130">
        <f t="shared" si="3"/>
        <v>0</v>
      </c>
      <c r="J34" s="130"/>
      <c r="K34" s="130"/>
      <c r="L34" s="130"/>
      <c r="M34" s="130"/>
      <c r="N34" s="130">
        <f t="shared" si="11"/>
        <v>11363.636363636364</v>
      </c>
      <c r="O34" s="130"/>
      <c r="P34" s="130">
        <f t="shared" si="4"/>
        <v>11363.636363636364</v>
      </c>
      <c r="Q34" s="130">
        <v>1136.4000000000001</v>
      </c>
      <c r="R34" s="130"/>
      <c r="S34" s="130"/>
      <c r="T34" s="130"/>
      <c r="U34" s="130">
        <f t="shared" si="10"/>
        <v>125000</v>
      </c>
      <c r="V34" s="130">
        <f t="shared" si="5"/>
        <v>0</v>
      </c>
      <c r="W34" s="130">
        <f t="shared" si="6"/>
        <v>125000</v>
      </c>
    </row>
    <row r="35" spans="1:23" s="131" customFormat="1" ht="15" customHeight="1" x14ac:dyDescent="0.25">
      <c r="A35" s="138">
        <v>2431</v>
      </c>
      <c r="B35" s="146" t="s">
        <v>130</v>
      </c>
      <c r="C35" s="135">
        <v>95000</v>
      </c>
      <c r="D35" s="135"/>
      <c r="E35" s="135">
        <f t="shared" si="8"/>
        <v>95000</v>
      </c>
      <c r="F35" s="135"/>
      <c r="G35" s="130"/>
      <c r="H35" s="130"/>
      <c r="I35" s="130">
        <f t="shared" si="3"/>
        <v>0</v>
      </c>
      <c r="J35" s="130"/>
      <c r="K35" s="130"/>
      <c r="L35" s="130"/>
      <c r="M35" s="130"/>
      <c r="N35" s="130">
        <f t="shared" si="11"/>
        <v>8636.363636363636</v>
      </c>
      <c r="O35" s="130"/>
      <c r="P35" s="130">
        <f t="shared" si="4"/>
        <v>8636.363636363636</v>
      </c>
      <c r="Q35" s="130">
        <v>863.6</v>
      </c>
      <c r="R35" s="130"/>
      <c r="S35" s="130"/>
      <c r="T35" s="130"/>
      <c r="U35" s="130">
        <f t="shared" si="10"/>
        <v>95000</v>
      </c>
      <c r="V35" s="130">
        <f t="shared" si="5"/>
        <v>0</v>
      </c>
      <c r="W35" s="130">
        <f t="shared" si="6"/>
        <v>95000</v>
      </c>
    </row>
    <row r="36" spans="1:23" s="131" customFormat="1" ht="15.75" x14ac:dyDescent="0.25">
      <c r="A36" s="138">
        <v>2441</v>
      </c>
      <c r="B36" s="146" t="s">
        <v>131</v>
      </c>
      <c r="C36" s="135">
        <v>85000</v>
      </c>
      <c r="D36" s="135"/>
      <c r="E36" s="135">
        <f t="shared" si="8"/>
        <v>85000</v>
      </c>
      <c r="F36" s="135"/>
      <c r="G36" s="130"/>
      <c r="H36" s="130"/>
      <c r="I36" s="130">
        <f t="shared" si="3"/>
        <v>0</v>
      </c>
      <c r="J36" s="130"/>
      <c r="K36" s="130"/>
      <c r="L36" s="130"/>
      <c r="M36" s="130"/>
      <c r="N36" s="130">
        <f t="shared" si="11"/>
        <v>7727.272727272727</v>
      </c>
      <c r="O36" s="130"/>
      <c r="P36" s="130">
        <f t="shared" si="4"/>
        <v>7727.272727272727</v>
      </c>
      <c r="Q36" s="130">
        <v>772.7</v>
      </c>
      <c r="R36" s="130"/>
      <c r="S36" s="130"/>
      <c r="T36" s="130"/>
      <c r="U36" s="130">
        <f t="shared" si="10"/>
        <v>85000</v>
      </c>
      <c r="V36" s="130">
        <f t="shared" si="5"/>
        <v>0</v>
      </c>
      <c r="W36" s="130">
        <f t="shared" si="6"/>
        <v>85000</v>
      </c>
    </row>
    <row r="37" spans="1:23" s="131" customFormat="1" ht="15" customHeight="1" x14ac:dyDescent="0.25">
      <c r="A37" s="138">
        <v>2451</v>
      </c>
      <c r="B37" s="146" t="s">
        <v>132</v>
      </c>
      <c r="C37" s="135">
        <v>105000</v>
      </c>
      <c r="D37" s="148"/>
      <c r="E37" s="135">
        <f t="shared" si="8"/>
        <v>105000</v>
      </c>
      <c r="F37" s="135"/>
      <c r="G37" s="130"/>
      <c r="H37" s="130"/>
      <c r="I37" s="130">
        <f t="shared" si="3"/>
        <v>0</v>
      </c>
      <c r="J37" s="130"/>
      <c r="K37" s="130"/>
      <c r="L37" s="130"/>
      <c r="M37" s="130"/>
      <c r="N37" s="130">
        <f t="shared" si="11"/>
        <v>9545.454545454546</v>
      </c>
      <c r="O37" s="130"/>
      <c r="P37" s="130">
        <f t="shared" si="4"/>
        <v>9545.454545454546</v>
      </c>
      <c r="Q37" s="130">
        <v>954.5</v>
      </c>
      <c r="R37" s="130"/>
      <c r="S37" s="130"/>
      <c r="T37" s="130"/>
      <c r="U37" s="130">
        <f t="shared" si="10"/>
        <v>105000</v>
      </c>
      <c r="V37" s="130">
        <f t="shared" si="5"/>
        <v>0</v>
      </c>
      <c r="W37" s="130">
        <f t="shared" si="6"/>
        <v>105000</v>
      </c>
    </row>
    <row r="38" spans="1:23" s="131" customFormat="1" ht="15.75" x14ac:dyDescent="0.25">
      <c r="A38" s="138">
        <v>2461</v>
      </c>
      <c r="B38" s="146" t="s">
        <v>133</v>
      </c>
      <c r="C38" s="135">
        <f>229928*1.2</f>
        <v>275913.59999999998</v>
      </c>
      <c r="D38" s="148"/>
      <c r="E38" s="135">
        <f t="shared" si="8"/>
        <v>275913.59999999998</v>
      </c>
      <c r="F38" s="135"/>
      <c r="G38" s="130">
        <v>6106.87</v>
      </c>
      <c r="H38" s="130">
        <v>5929.22</v>
      </c>
      <c r="I38" s="130">
        <f t="shared" si="3"/>
        <v>177.64999999999964</v>
      </c>
      <c r="J38" s="130"/>
      <c r="K38" s="130"/>
      <c r="L38" s="130"/>
      <c r="M38" s="130"/>
      <c r="N38" s="130">
        <f>I38+(E38-G38)/11</f>
        <v>24705.534545454546</v>
      </c>
      <c r="O38" s="130">
        <v>7261.92</v>
      </c>
      <c r="P38" s="130">
        <f t="shared" si="4"/>
        <v>17443.614545454548</v>
      </c>
      <c r="Q38" s="130">
        <v>1744.4</v>
      </c>
      <c r="R38" s="130"/>
      <c r="S38" s="130"/>
      <c r="T38" s="130"/>
      <c r="U38" s="130">
        <f t="shared" si="10"/>
        <v>275913.59999999998</v>
      </c>
      <c r="V38" s="130">
        <f t="shared" si="5"/>
        <v>13191.14</v>
      </c>
      <c r="W38" s="130">
        <f t="shared" si="6"/>
        <v>262722.45999999996</v>
      </c>
    </row>
    <row r="39" spans="1:23" s="131" customFormat="1" ht="15" customHeight="1" x14ac:dyDescent="0.25">
      <c r="A39" s="138">
        <v>2471</v>
      </c>
      <c r="B39" s="146" t="s">
        <v>134</v>
      </c>
      <c r="C39" s="135">
        <f>29110.37+1.2</f>
        <v>29111.57</v>
      </c>
      <c r="D39" s="135"/>
      <c r="E39" s="135">
        <f t="shared" si="8"/>
        <v>29111.57</v>
      </c>
      <c r="F39" s="135"/>
      <c r="G39" s="130">
        <v>47290.39</v>
      </c>
      <c r="H39" s="130">
        <v>45913.29</v>
      </c>
      <c r="I39" s="130">
        <f t="shared" si="3"/>
        <v>1377.0999999999985</v>
      </c>
      <c r="J39" s="130"/>
      <c r="K39" s="130"/>
      <c r="L39" s="130"/>
      <c r="M39" s="130"/>
      <c r="N39" s="130">
        <f>I39+(E39-G39)/11</f>
        <v>-275.52000000000135</v>
      </c>
      <c r="O39" s="130">
        <v>8534.69</v>
      </c>
      <c r="P39" s="130">
        <f t="shared" si="4"/>
        <v>-8810.2100000000028</v>
      </c>
      <c r="Q39" s="130"/>
      <c r="R39" s="130">
        <v>8810</v>
      </c>
      <c r="S39" s="130"/>
      <c r="T39" s="130"/>
      <c r="U39" s="130">
        <f t="shared" si="10"/>
        <v>29111.57</v>
      </c>
      <c r="V39" s="130">
        <f t="shared" si="5"/>
        <v>54447.98</v>
      </c>
      <c r="W39" s="130">
        <f t="shared" si="6"/>
        <v>-25336.410000000003</v>
      </c>
    </row>
    <row r="40" spans="1:23" s="131" customFormat="1" ht="15.75" x14ac:dyDescent="0.25">
      <c r="A40" s="138">
        <v>2481</v>
      </c>
      <c r="B40" s="146" t="s">
        <v>135</v>
      </c>
      <c r="C40" s="135">
        <v>25000</v>
      </c>
      <c r="D40" s="148"/>
      <c r="E40" s="135">
        <f t="shared" si="8"/>
        <v>25000</v>
      </c>
      <c r="F40" s="135"/>
      <c r="G40" s="130"/>
      <c r="H40" s="130"/>
      <c r="I40" s="130">
        <f t="shared" si="3"/>
        <v>0</v>
      </c>
      <c r="J40" s="130"/>
      <c r="K40" s="130"/>
      <c r="L40" s="130"/>
      <c r="M40" s="130"/>
      <c r="N40" s="130">
        <f t="shared" si="11"/>
        <v>2272.7272727272725</v>
      </c>
      <c r="O40" s="130"/>
      <c r="P40" s="130">
        <f t="shared" si="4"/>
        <v>2272.7272727272725</v>
      </c>
      <c r="Q40" s="130">
        <v>227.3</v>
      </c>
      <c r="R40" s="130"/>
      <c r="S40" s="130"/>
      <c r="T40" s="130"/>
      <c r="U40" s="130">
        <f t="shared" si="10"/>
        <v>25000</v>
      </c>
      <c r="V40" s="130">
        <f t="shared" si="5"/>
        <v>0</v>
      </c>
      <c r="W40" s="130">
        <f t="shared" si="6"/>
        <v>25000</v>
      </c>
    </row>
    <row r="41" spans="1:23" s="131" customFormat="1" ht="30.75" x14ac:dyDescent="0.25">
      <c r="A41" s="138">
        <v>2491</v>
      </c>
      <c r="B41" s="147" t="s">
        <v>136</v>
      </c>
      <c r="C41" s="135">
        <v>25000</v>
      </c>
      <c r="D41" s="148"/>
      <c r="E41" s="135">
        <f t="shared" si="8"/>
        <v>25000</v>
      </c>
      <c r="F41" s="135"/>
      <c r="G41" s="130"/>
      <c r="H41" s="130"/>
      <c r="I41" s="130">
        <f t="shared" si="3"/>
        <v>0</v>
      </c>
      <c r="J41" s="130"/>
      <c r="K41" s="130"/>
      <c r="L41" s="130"/>
      <c r="M41" s="130"/>
      <c r="N41" s="130">
        <f t="shared" si="11"/>
        <v>2272.7272727272725</v>
      </c>
      <c r="O41" s="130"/>
      <c r="P41" s="130">
        <f t="shared" si="4"/>
        <v>2272.7272727272725</v>
      </c>
      <c r="Q41" s="130">
        <v>227.3</v>
      </c>
      <c r="R41" s="130"/>
      <c r="S41" s="130"/>
      <c r="T41" s="130"/>
      <c r="U41" s="130">
        <f t="shared" si="10"/>
        <v>25000</v>
      </c>
      <c r="V41" s="130">
        <f t="shared" si="5"/>
        <v>0</v>
      </c>
      <c r="W41" s="130">
        <f t="shared" si="6"/>
        <v>25000</v>
      </c>
    </row>
    <row r="42" spans="1:23" s="131" customFormat="1" ht="15.75" x14ac:dyDescent="0.25">
      <c r="A42" s="138">
        <v>2521</v>
      </c>
      <c r="B42" s="146" t="s">
        <v>137</v>
      </c>
      <c r="C42" s="135">
        <v>0</v>
      </c>
      <c r="D42" s="135">
        <v>20000</v>
      </c>
      <c r="E42" s="135">
        <f t="shared" si="8"/>
        <v>20000</v>
      </c>
      <c r="F42" s="135"/>
      <c r="G42" s="130"/>
      <c r="H42" s="130"/>
      <c r="I42" s="130">
        <f t="shared" si="3"/>
        <v>0</v>
      </c>
      <c r="J42" s="130"/>
      <c r="K42" s="130"/>
      <c r="L42" s="130"/>
      <c r="M42" s="130"/>
      <c r="N42" s="130">
        <f t="shared" si="11"/>
        <v>1818.1818181818182</v>
      </c>
      <c r="O42" s="130"/>
      <c r="P42" s="130">
        <f t="shared" si="4"/>
        <v>1818.1818181818182</v>
      </c>
      <c r="Q42" s="130">
        <v>181.8</v>
      </c>
      <c r="R42" s="130"/>
      <c r="S42" s="130"/>
      <c r="T42" s="130"/>
      <c r="U42" s="130">
        <f t="shared" si="10"/>
        <v>20000</v>
      </c>
      <c r="V42" s="130">
        <f t="shared" si="5"/>
        <v>0</v>
      </c>
      <c r="W42" s="130">
        <f t="shared" si="6"/>
        <v>20000</v>
      </c>
    </row>
    <row r="43" spans="1:23" s="131" customFormat="1" ht="15" customHeight="1" x14ac:dyDescent="0.25">
      <c r="A43" s="138">
        <v>2531</v>
      </c>
      <c r="B43" s="146" t="s">
        <v>138</v>
      </c>
      <c r="C43" s="135">
        <f>2189939.44</f>
        <v>2189939.44</v>
      </c>
      <c r="D43" s="135">
        <f>350000+25000</f>
        <v>375000</v>
      </c>
      <c r="E43" s="135">
        <f t="shared" si="8"/>
        <v>2564939.44</v>
      </c>
      <c r="F43" s="135"/>
      <c r="G43" s="130">
        <v>123251.86</v>
      </c>
      <c r="H43" s="130">
        <v>119661.78</v>
      </c>
      <c r="I43" s="130">
        <f t="shared" si="3"/>
        <v>3590.0800000000017</v>
      </c>
      <c r="J43" s="130"/>
      <c r="K43" s="130"/>
      <c r="L43" s="130"/>
      <c r="M43" s="130"/>
      <c r="N43" s="130">
        <f>I43+(E43-G43)/11</f>
        <v>225561.67818181816</v>
      </c>
      <c r="O43" s="130">
        <v>114673.18</v>
      </c>
      <c r="P43" s="130">
        <f t="shared" si="4"/>
        <v>110888.49818181817</v>
      </c>
      <c r="Q43" s="130">
        <v>11088.8</v>
      </c>
      <c r="R43" s="130"/>
      <c r="S43" s="130"/>
      <c r="T43" s="130"/>
      <c r="U43" s="130">
        <f t="shared" si="10"/>
        <v>2564939.44</v>
      </c>
      <c r="V43" s="130">
        <f t="shared" si="5"/>
        <v>234334.96</v>
      </c>
      <c r="W43" s="130">
        <f t="shared" si="6"/>
        <v>2330604.48</v>
      </c>
    </row>
    <row r="44" spans="1:23" s="131" customFormat="1" ht="15.75" x14ac:dyDescent="0.25">
      <c r="A44" s="138">
        <v>2541</v>
      </c>
      <c r="B44" s="146" t="s">
        <v>139</v>
      </c>
      <c r="C44" s="135">
        <v>173372.78399999999</v>
      </c>
      <c r="D44" s="148"/>
      <c r="E44" s="135">
        <f t="shared" si="8"/>
        <v>173372.78399999999</v>
      </c>
      <c r="F44" s="135"/>
      <c r="G44" s="130">
        <v>12137.52</v>
      </c>
      <c r="H44" s="130">
        <v>11784.32</v>
      </c>
      <c r="I44" s="130">
        <f t="shared" si="3"/>
        <v>353.20000000000073</v>
      </c>
      <c r="J44" s="130"/>
      <c r="K44" s="130"/>
      <c r="L44" s="130"/>
      <c r="M44" s="130"/>
      <c r="N44" s="130">
        <f>I44+(E44-G44)/11</f>
        <v>15010.951272727272</v>
      </c>
      <c r="O44" s="130">
        <v>33378.519999999997</v>
      </c>
      <c r="P44" s="130">
        <f t="shared" si="4"/>
        <v>-18367.568727272723</v>
      </c>
      <c r="Q44" s="130"/>
      <c r="R44" s="130">
        <v>18368</v>
      </c>
      <c r="S44" s="130"/>
      <c r="T44" s="130"/>
      <c r="U44" s="130">
        <f t="shared" si="10"/>
        <v>173372.78399999999</v>
      </c>
      <c r="V44" s="130">
        <f t="shared" si="5"/>
        <v>45162.84</v>
      </c>
      <c r="W44" s="130">
        <f t="shared" si="6"/>
        <v>128209.94399999999</v>
      </c>
    </row>
    <row r="45" spans="1:23" s="131" customFormat="1" ht="15" customHeight="1" x14ac:dyDescent="0.25">
      <c r="A45" s="138">
        <v>2551</v>
      </c>
      <c r="B45" s="146" t="s">
        <v>140</v>
      </c>
      <c r="C45" s="135">
        <v>0</v>
      </c>
      <c r="D45" s="148"/>
      <c r="E45" s="135">
        <f t="shared" si="8"/>
        <v>0</v>
      </c>
      <c r="F45" s="135"/>
      <c r="G45" s="130"/>
      <c r="H45" s="130"/>
      <c r="I45" s="130">
        <f t="shared" si="3"/>
        <v>0</v>
      </c>
      <c r="J45" s="130"/>
      <c r="K45" s="130"/>
      <c r="L45" s="130"/>
      <c r="M45" s="130"/>
      <c r="N45" s="130">
        <f t="shared" si="11"/>
        <v>0</v>
      </c>
      <c r="O45" s="130">
        <v>6655.03</v>
      </c>
      <c r="P45" s="130">
        <f t="shared" si="4"/>
        <v>-6655.03</v>
      </c>
      <c r="Q45" s="130"/>
      <c r="R45" s="130">
        <v>6655</v>
      </c>
      <c r="S45" s="130"/>
      <c r="T45" s="130"/>
      <c r="U45" s="130">
        <f t="shared" si="10"/>
        <v>0</v>
      </c>
      <c r="V45" s="130">
        <f t="shared" si="5"/>
        <v>6655.03</v>
      </c>
      <c r="W45" s="130">
        <f t="shared" si="6"/>
        <v>-6655.03</v>
      </c>
    </row>
    <row r="46" spans="1:23" s="131" customFormat="1" ht="45.75" x14ac:dyDescent="0.25">
      <c r="A46" s="138">
        <v>2611</v>
      </c>
      <c r="B46" s="147" t="s">
        <v>141</v>
      </c>
      <c r="C46" s="135">
        <f>(1149164.2368*36.27/100)*1.2</f>
        <v>500162.24242483207</v>
      </c>
      <c r="D46" s="148"/>
      <c r="E46" s="135">
        <f t="shared" si="8"/>
        <v>500162.24242483207</v>
      </c>
      <c r="F46" s="135"/>
      <c r="G46" s="130">
        <v>26016.77</v>
      </c>
      <c r="H46" s="130">
        <v>25259.02</v>
      </c>
      <c r="I46" s="130">
        <f t="shared" si="3"/>
        <v>757.75</v>
      </c>
      <c r="J46" s="130"/>
      <c r="K46" s="130"/>
      <c r="L46" s="130"/>
      <c r="M46" s="130"/>
      <c r="N46" s="130">
        <f t="shared" ref="N46:N52" si="12">I46+(E46-G46)/11</f>
        <v>43861.883856802917</v>
      </c>
      <c r="O46" s="130">
        <v>28570.959999999999</v>
      </c>
      <c r="P46" s="130">
        <f t="shared" si="4"/>
        <v>15290.923856802918</v>
      </c>
      <c r="Q46" s="130">
        <v>1529.1</v>
      </c>
      <c r="R46" s="130"/>
      <c r="S46" s="130"/>
      <c r="T46" s="130"/>
      <c r="U46" s="130">
        <f t="shared" si="10"/>
        <v>500162.24242483207</v>
      </c>
      <c r="V46" s="130">
        <f t="shared" si="5"/>
        <v>53829.979999999996</v>
      </c>
      <c r="W46" s="130">
        <f t="shared" si="6"/>
        <v>446332.26242483209</v>
      </c>
    </row>
    <row r="47" spans="1:23" s="131" customFormat="1" ht="30.75" x14ac:dyDescent="0.25">
      <c r="A47" s="138">
        <v>2614</v>
      </c>
      <c r="B47" s="147" t="s">
        <v>142</v>
      </c>
      <c r="C47" s="135">
        <f>(1149164.2368*63.73/100)*1.2</f>
        <v>878834.84173516813</v>
      </c>
      <c r="D47" s="148"/>
      <c r="E47" s="135">
        <f t="shared" si="8"/>
        <v>878834.84173516813</v>
      </c>
      <c r="F47" s="135"/>
      <c r="G47" s="130">
        <v>71111.199999999997</v>
      </c>
      <c r="H47" s="130">
        <v>69040.02</v>
      </c>
      <c r="I47" s="130">
        <f t="shared" si="3"/>
        <v>2071.179999999993</v>
      </c>
      <c r="J47" s="130"/>
      <c r="K47" s="130"/>
      <c r="L47" s="130"/>
      <c r="M47" s="130"/>
      <c r="N47" s="130">
        <f t="shared" si="12"/>
        <v>75500.601975924379</v>
      </c>
      <c r="O47" s="130">
        <v>69596.009999999995</v>
      </c>
      <c r="P47" s="130">
        <f t="shared" si="4"/>
        <v>5904.5919759243843</v>
      </c>
      <c r="Q47" s="130">
        <v>590.5</v>
      </c>
      <c r="R47" s="130"/>
      <c r="S47" s="130"/>
      <c r="T47" s="130"/>
      <c r="U47" s="130">
        <f t="shared" si="10"/>
        <v>878834.84173516813</v>
      </c>
      <c r="V47" s="130">
        <f t="shared" si="5"/>
        <v>138636.03</v>
      </c>
      <c r="W47" s="130">
        <f t="shared" si="6"/>
        <v>740198.8117351681</v>
      </c>
    </row>
    <row r="48" spans="1:23" s="131" customFormat="1" ht="15.75" x14ac:dyDescent="0.25">
      <c r="A48" s="138">
        <v>2711</v>
      </c>
      <c r="B48" s="146" t="s">
        <v>143</v>
      </c>
      <c r="C48" s="135">
        <v>449879.47680000006</v>
      </c>
      <c r="D48" s="148">
        <f>107000+982372</f>
        <v>1089372</v>
      </c>
      <c r="E48" s="135">
        <f t="shared" si="8"/>
        <v>1539251.4768000001</v>
      </c>
      <c r="F48" s="135"/>
      <c r="G48" s="130">
        <v>93579.62</v>
      </c>
      <c r="H48" s="130">
        <v>90854.080000000002</v>
      </c>
      <c r="I48" s="130">
        <f t="shared" si="3"/>
        <v>2725.5399999999936</v>
      </c>
      <c r="J48" s="130"/>
      <c r="K48" s="130"/>
      <c r="L48" s="130"/>
      <c r="M48" s="130"/>
      <c r="N48" s="130">
        <f t="shared" si="12"/>
        <v>134150.25425454549</v>
      </c>
      <c r="O48" s="130">
        <v>31095.42</v>
      </c>
      <c r="P48" s="130">
        <f t="shared" si="4"/>
        <v>103054.83425454549</v>
      </c>
      <c r="Q48" s="130">
        <v>10305.5</v>
      </c>
      <c r="R48" s="130"/>
      <c r="S48" s="130"/>
      <c r="T48" s="130"/>
      <c r="U48" s="130">
        <f t="shared" si="10"/>
        <v>1539251.4768000001</v>
      </c>
      <c r="V48" s="130">
        <f t="shared" si="5"/>
        <v>121949.5</v>
      </c>
      <c r="W48" s="130">
        <f t="shared" si="6"/>
        <v>1417301.9768000001</v>
      </c>
    </row>
    <row r="49" spans="1:23" s="131" customFormat="1" ht="15" customHeight="1" x14ac:dyDescent="0.25">
      <c r="A49" s="138">
        <v>2721</v>
      </c>
      <c r="B49" s="146" t="s">
        <v>144</v>
      </c>
      <c r="C49" s="135">
        <v>30462.329600000001</v>
      </c>
      <c r="D49" s="148"/>
      <c r="E49" s="135">
        <f t="shared" si="8"/>
        <v>30462.329600000001</v>
      </c>
      <c r="F49" s="135"/>
      <c r="G49" s="130">
        <v>1234.97</v>
      </c>
      <c r="H49" s="130">
        <v>1199.44</v>
      </c>
      <c r="I49" s="130">
        <f t="shared" si="3"/>
        <v>35.529999999999973</v>
      </c>
      <c r="J49" s="130"/>
      <c r="K49" s="130"/>
      <c r="L49" s="130"/>
      <c r="M49" s="130"/>
      <c r="N49" s="130">
        <f t="shared" si="12"/>
        <v>2692.5626909090906</v>
      </c>
      <c r="O49" s="130">
        <v>52667.48</v>
      </c>
      <c r="P49" s="130">
        <f t="shared" si="4"/>
        <v>-49974.91730909091</v>
      </c>
      <c r="Q49" s="130"/>
      <c r="R49" s="130">
        <v>46925</v>
      </c>
      <c r="S49" s="130">
        <v>3050</v>
      </c>
      <c r="T49" s="130"/>
      <c r="U49" s="130">
        <f t="shared" si="10"/>
        <v>30462.329600000001</v>
      </c>
      <c r="V49" s="130">
        <f t="shared" si="5"/>
        <v>53866.920000000006</v>
      </c>
      <c r="W49" s="130">
        <f t="shared" si="6"/>
        <v>-23404.590400000005</v>
      </c>
    </row>
    <row r="50" spans="1:23" s="131" customFormat="1" ht="15.75" x14ac:dyDescent="0.25">
      <c r="A50" s="138">
        <v>2731</v>
      </c>
      <c r="B50" s="146" t="s">
        <v>145</v>
      </c>
      <c r="C50" s="135">
        <v>69957.659200000009</v>
      </c>
      <c r="D50" s="135">
        <v>200000</v>
      </c>
      <c r="E50" s="135">
        <f t="shared" si="8"/>
        <v>269957.65919999999</v>
      </c>
      <c r="F50" s="135"/>
      <c r="G50" s="130">
        <v>36180.81</v>
      </c>
      <c r="H50" s="130">
        <v>35127.26</v>
      </c>
      <c r="I50" s="130">
        <f t="shared" si="3"/>
        <v>1053.5499999999956</v>
      </c>
      <c r="J50" s="130"/>
      <c r="K50" s="130"/>
      <c r="L50" s="130"/>
      <c r="M50" s="130"/>
      <c r="N50" s="130">
        <f t="shared" si="12"/>
        <v>22305.990836363631</v>
      </c>
      <c r="O50" s="130">
        <v>81636.679999999993</v>
      </c>
      <c r="P50" s="130">
        <f t="shared" si="4"/>
        <v>-59330.689163636358</v>
      </c>
      <c r="Q50" s="130"/>
      <c r="R50" s="130"/>
      <c r="S50" s="130">
        <v>59331</v>
      </c>
      <c r="T50" s="130"/>
      <c r="U50" s="130">
        <f t="shared" si="10"/>
        <v>269957.65919999999</v>
      </c>
      <c r="V50" s="130">
        <f t="shared" si="5"/>
        <v>116763.94</v>
      </c>
      <c r="W50" s="130">
        <f t="shared" si="6"/>
        <v>153193.71919999999</v>
      </c>
    </row>
    <row r="51" spans="1:23" s="131" customFormat="1" ht="15" customHeight="1" x14ac:dyDescent="0.25">
      <c r="A51" s="138">
        <v>2741</v>
      </c>
      <c r="B51" s="146" t="s">
        <v>146</v>
      </c>
      <c r="C51" s="135">
        <v>41777.486400000002</v>
      </c>
      <c r="D51" s="148"/>
      <c r="E51" s="135">
        <f t="shared" si="8"/>
        <v>41777.486400000002</v>
      </c>
      <c r="F51" s="135"/>
      <c r="G51" s="130">
        <v>1512.04</v>
      </c>
      <c r="H51" s="130">
        <v>1467.54</v>
      </c>
      <c r="I51" s="130">
        <f t="shared" si="3"/>
        <v>44.5</v>
      </c>
      <c r="J51" s="130"/>
      <c r="K51" s="130"/>
      <c r="L51" s="130"/>
      <c r="M51" s="130"/>
      <c r="N51" s="130">
        <f t="shared" si="12"/>
        <v>3704.9951272727271</v>
      </c>
      <c r="O51" s="130">
        <v>1224.29</v>
      </c>
      <c r="P51" s="130">
        <f t="shared" si="4"/>
        <v>2480.7051272727272</v>
      </c>
      <c r="Q51" s="130">
        <v>248.1</v>
      </c>
      <c r="R51" s="130"/>
      <c r="S51" s="130"/>
      <c r="T51" s="130"/>
      <c r="U51" s="130">
        <f t="shared" si="10"/>
        <v>41777.486400000002</v>
      </c>
      <c r="V51" s="130">
        <f t="shared" si="5"/>
        <v>2691.83</v>
      </c>
      <c r="W51" s="130">
        <f t="shared" si="6"/>
        <v>39085.6564</v>
      </c>
    </row>
    <row r="52" spans="1:23" s="131" customFormat="1" ht="15.75" x14ac:dyDescent="0.25">
      <c r="A52" s="138">
        <v>2751</v>
      </c>
      <c r="B52" s="146" t="s">
        <v>147</v>
      </c>
      <c r="C52" s="135">
        <v>342927.31199999998</v>
      </c>
      <c r="D52" s="148"/>
      <c r="E52" s="135">
        <f t="shared" si="8"/>
        <v>342927.31199999998</v>
      </c>
      <c r="F52" s="135"/>
      <c r="G52" s="130">
        <v>128.75</v>
      </c>
      <c r="H52" s="130">
        <v>125</v>
      </c>
      <c r="I52" s="130">
        <f t="shared" si="3"/>
        <v>3.75</v>
      </c>
      <c r="J52" s="130"/>
      <c r="K52" s="130"/>
      <c r="L52" s="130"/>
      <c r="M52" s="130"/>
      <c r="N52" s="130">
        <f t="shared" si="12"/>
        <v>31167.255636363636</v>
      </c>
      <c r="O52" s="130">
        <v>957</v>
      </c>
      <c r="P52" s="130">
        <f t="shared" si="4"/>
        <v>30210.255636363636</v>
      </c>
      <c r="Q52" s="130">
        <v>3021</v>
      </c>
      <c r="R52" s="130"/>
      <c r="S52" s="130"/>
      <c r="T52" s="130"/>
      <c r="U52" s="130">
        <f t="shared" si="10"/>
        <v>342927.31199999998</v>
      </c>
      <c r="V52" s="130">
        <f t="shared" si="5"/>
        <v>1082</v>
      </c>
      <c r="W52" s="130">
        <f t="shared" si="6"/>
        <v>341845.31199999998</v>
      </c>
    </row>
    <row r="53" spans="1:23" s="131" customFormat="1" ht="15" customHeight="1" x14ac:dyDescent="0.25">
      <c r="A53" s="138">
        <v>2911</v>
      </c>
      <c r="B53" s="146" t="s">
        <v>148</v>
      </c>
      <c r="C53" s="135">
        <v>34403.200000000004</v>
      </c>
      <c r="D53" s="148"/>
      <c r="E53" s="135">
        <f t="shared" si="8"/>
        <v>34403.200000000004</v>
      </c>
      <c r="F53" s="135"/>
      <c r="G53" s="130"/>
      <c r="H53" s="130"/>
      <c r="I53" s="130">
        <f t="shared" si="3"/>
        <v>0</v>
      </c>
      <c r="J53" s="130"/>
      <c r="K53" s="130"/>
      <c r="L53" s="130"/>
      <c r="M53" s="130"/>
      <c r="N53" s="130">
        <f t="shared" si="11"/>
        <v>3127.5636363636368</v>
      </c>
      <c r="O53" s="130"/>
      <c r="P53" s="130">
        <f t="shared" si="4"/>
        <v>3127.5636363636368</v>
      </c>
      <c r="Q53" s="130">
        <v>312.8</v>
      </c>
      <c r="R53" s="130"/>
      <c r="S53" s="130"/>
      <c r="T53" s="130"/>
      <c r="U53" s="130">
        <f t="shared" si="10"/>
        <v>34403.200000000004</v>
      </c>
      <c r="V53" s="130">
        <f t="shared" si="5"/>
        <v>0</v>
      </c>
      <c r="W53" s="130">
        <f t="shared" si="6"/>
        <v>34403.200000000004</v>
      </c>
    </row>
    <row r="54" spans="1:23" s="131" customFormat="1" ht="15.75" x14ac:dyDescent="0.25">
      <c r="A54" s="138">
        <v>2921</v>
      </c>
      <c r="B54" s="146" t="s">
        <v>149</v>
      </c>
      <c r="C54" s="135">
        <v>100000</v>
      </c>
      <c r="D54" s="148"/>
      <c r="E54" s="135">
        <f t="shared" si="8"/>
        <v>100000</v>
      </c>
      <c r="F54" s="135"/>
      <c r="G54" s="130"/>
      <c r="H54" s="130"/>
      <c r="I54" s="130">
        <f t="shared" si="3"/>
        <v>0</v>
      </c>
      <c r="J54" s="130"/>
      <c r="K54" s="130"/>
      <c r="L54" s="130"/>
      <c r="M54" s="130"/>
      <c r="N54" s="130">
        <f t="shared" si="11"/>
        <v>9090.9090909090901</v>
      </c>
      <c r="O54" s="130"/>
      <c r="P54" s="130">
        <f t="shared" si="4"/>
        <v>9090.9090909090901</v>
      </c>
      <c r="Q54" s="130">
        <v>909.1</v>
      </c>
      <c r="R54" s="130"/>
      <c r="S54" s="130"/>
      <c r="T54" s="130"/>
      <c r="U54" s="130">
        <f t="shared" si="10"/>
        <v>100000</v>
      </c>
      <c r="V54" s="130">
        <f t="shared" si="5"/>
        <v>0</v>
      </c>
      <c r="W54" s="130">
        <f t="shared" si="6"/>
        <v>100000</v>
      </c>
    </row>
    <row r="55" spans="1:23" s="131" customFormat="1" ht="15" customHeight="1" x14ac:dyDescent="0.25">
      <c r="A55" s="138">
        <v>2931</v>
      </c>
      <c r="B55" s="146" t="s">
        <v>150</v>
      </c>
      <c r="C55" s="135">
        <v>10000</v>
      </c>
      <c r="D55" s="148"/>
      <c r="E55" s="135">
        <f t="shared" si="8"/>
        <v>10000</v>
      </c>
      <c r="F55" s="135"/>
      <c r="G55" s="130"/>
      <c r="H55" s="130"/>
      <c r="I55" s="130">
        <f t="shared" si="3"/>
        <v>0</v>
      </c>
      <c r="J55" s="130"/>
      <c r="K55" s="130"/>
      <c r="L55" s="130"/>
      <c r="M55" s="130"/>
      <c r="N55" s="130">
        <f t="shared" si="11"/>
        <v>909.09090909090912</v>
      </c>
      <c r="O55" s="130"/>
      <c r="P55" s="130">
        <f t="shared" si="4"/>
        <v>909.09090909090912</v>
      </c>
      <c r="Q55" s="130">
        <v>90.9</v>
      </c>
      <c r="R55" s="130"/>
      <c r="S55" s="130"/>
      <c r="T55" s="130"/>
      <c r="U55" s="130">
        <f t="shared" si="10"/>
        <v>10000</v>
      </c>
      <c r="V55" s="130">
        <f t="shared" si="5"/>
        <v>0</v>
      </c>
      <c r="W55" s="130">
        <f t="shared" si="6"/>
        <v>10000</v>
      </c>
    </row>
    <row r="56" spans="1:23" s="131" customFormat="1" ht="15.75" x14ac:dyDescent="0.25">
      <c r="A56" s="138">
        <v>2941</v>
      </c>
      <c r="B56" s="146" t="s">
        <v>151</v>
      </c>
      <c r="C56" s="135">
        <v>15000</v>
      </c>
      <c r="D56" s="148"/>
      <c r="E56" s="135"/>
      <c r="F56" s="135"/>
      <c r="G56" s="130"/>
      <c r="H56" s="130"/>
      <c r="I56" s="130">
        <f t="shared" si="3"/>
        <v>0</v>
      </c>
      <c r="J56" s="130"/>
      <c r="K56" s="130"/>
      <c r="L56" s="130"/>
      <c r="M56" s="130"/>
      <c r="N56" s="130">
        <f t="shared" si="11"/>
        <v>0</v>
      </c>
      <c r="O56" s="130"/>
      <c r="P56" s="130">
        <f t="shared" si="4"/>
        <v>0</v>
      </c>
      <c r="Q56" s="130"/>
      <c r="R56" s="130"/>
      <c r="S56" s="130"/>
      <c r="T56" s="130"/>
      <c r="U56" s="130">
        <f t="shared" si="10"/>
        <v>15000</v>
      </c>
      <c r="V56" s="130">
        <f t="shared" si="5"/>
        <v>0</v>
      </c>
      <c r="W56" s="130">
        <f t="shared" si="6"/>
        <v>15000</v>
      </c>
    </row>
    <row r="57" spans="1:23" s="131" customFormat="1" ht="15" customHeight="1" x14ac:dyDescent="0.25">
      <c r="A57" s="138">
        <v>2961</v>
      </c>
      <c r="B57" s="146" t="s">
        <v>152</v>
      </c>
      <c r="C57" s="135">
        <v>25000</v>
      </c>
      <c r="D57" s="148"/>
      <c r="E57" s="135">
        <f t="shared" si="8"/>
        <v>25000</v>
      </c>
      <c r="F57" s="135"/>
      <c r="G57" s="130"/>
      <c r="H57" s="130"/>
      <c r="I57" s="130">
        <f t="shared" si="3"/>
        <v>0</v>
      </c>
      <c r="J57" s="130"/>
      <c r="K57" s="130"/>
      <c r="L57" s="130"/>
      <c r="M57" s="130"/>
      <c r="N57" s="130">
        <f t="shared" si="11"/>
        <v>2272.7272727272725</v>
      </c>
      <c r="O57" s="130"/>
      <c r="P57" s="130">
        <f t="shared" si="4"/>
        <v>2272.7272727272725</v>
      </c>
      <c r="Q57" s="130">
        <v>227.3</v>
      </c>
      <c r="R57" s="130"/>
      <c r="S57" s="130"/>
      <c r="T57" s="130"/>
      <c r="U57" s="130">
        <f t="shared" si="10"/>
        <v>25000</v>
      </c>
      <c r="V57" s="130">
        <f t="shared" si="5"/>
        <v>0</v>
      </c>
      <c r="W57" s="130">
        <f t="shared" si="6"/>
        <v>25000</v>
      </c>
    </row>
    <row r="58" spans="1:23" s="145" customFormat="1" ht="15.75" x14ac:dyDescent="0.25">
      <c r="A58" s="149"/>
      <c r="B58" s="149" t="s">
        <v>153</v>
      </c>
      <c r="C58" s="143">
        <f>SUM(C26:C57)</f>
        <v>13544470.557360001</v>
      </c>
      <c r="D58" s="143">
        <f>SUM(D26:D57)</f>
        <v>2694372</v>
      </c>
      <c r="E58" s="144">
        <f t="shared" si="8"/>
        <v>16238842.557360001</v>
      </c>
      <c r="F58" s="144"/>
      <c r="G58" s="144">
        <f>SUM(G26:G57)</f>
        <v>1027843.45</v>
      </c>
      <c r="H58" s="144">
        <f t="shared" ref="H58:W58" si="13">SUM(H26:H57)</f>
        <v>844748.35999999987</v>
      </c>
      <c r="I58" s="144">
        <f t="shared" si="13"/>
        <v>183095.08999999994</v>
      </c>
      <c r="J58" s="144">
        <f t="shared" si="13"/>
        <v>17257</v>
      </c>
      <c r="K58" s="144">
        <f t="shared" si="13"/>
        <v>5700</v>
      </c>
      <c r="L58" s="144">
        <f t="shared" si="13"/>
        <v>0</v>
      </c>
      <c r="M58" s="144">
        <f t="shared" si="13"/>
        <v>0</v>
      </c>
      <c r="N58" s="143">
        <f>SUM(N26:N57)</f>
        <v>1552992.8943054543</v>
      </c>
      <c r="O58" s="143">
        <f t="shared" ref="O58:T58" si="14">SUM(O26:O57)</f>
        <v>888551.35000000009</v>
      </c>
      <c r="P58" s="143">
        <f t="shared" si="14"/>
        <v>664441.54430545447</v>
      </c>
      <c r="Q58" s="143">
        <f t="shared" si="14"/>
        <v>80758.100000000006</v>
      </c>
      <c r="R58" s="143">
        <f t="shared" si="14"/>
        <v>80758</v>
      </c>
      <c r="S58" s="143">
        <f t="shared" si="14"/>
        <v>62381</v>
      </c>
      <c r="T58" s="143">
        <f t="shared" si="14"/>
        <v>0</v>
      </c>
      <c r="U58" s="144">
        <f t="shared" si="13"/>
        <v>16238842.557360001</v>
      </c>
      <c r="V58" s="144">
        <f t="shared" si="13"/>
        <v>1733299.7100000002</v>
      </c>
      <c r="W58" s="144">
        <f t="shared" si="13"/>
        <v>14505542.847360004</v>
      </c>
    </row>
    <row r="59" spans="1:23" s="131" customFormat="1" ht="15" customHeight="1" x14ac:dyDescent="0.25">
      <c r="A59" s="138">
        <v>3111</v>
      </c>
      <c r="B59" s="150" t="s">
        <v>154</v>
      </c>
      <c r="C59" s="151">
        <v>461469.80000000005</v>
      </c>
      <c r="D59" s="152"/>
      <c r="E59" s="135">
        <f>D59+C59</f>
        <v>461469.80000000005</v>
      </c>
      <c r="F59" s="135"/>
      <c r="G59" s="130">
        <v>38456</v>
      </c>
      <c r="H59" s="130">
        <v>46820</v>
      </c>
      <c r="I59" s="130">
        <f t="shared" si="3"/>
        <v>-8364</v>
      </c>
      <c r="J59" s="130"/>
      <c r="K59" s="130">
        <v>8364</v>
      </c>
      <c r="L59" s="130"/>
      <c r="M59" s="130"/>
      <c r="N59" s="130">
        <f t="shared" si="11"/>
        <v>38455.800000000003</v>
      </c>
      <c r="O59" s="130">
        <v>51949</v>
      </c>
      <c r="P59" s="130">
        <f t="shared" si="4"/>
        <v>-13493.199999999997</v>
      </c>
      <c r="Q59" s="130"/>
      <c r="R59" s="130">
        <v>13493</v>
      </c>
      <c r="S59" s="130"/>
      <c r="T59" s="130"/>
      <c r="U59" s="130">
        <f t="shared" ref="U59:U96" si="15">C59+D59</f>
        <v>461469.80000000005</v>
      </c>
      <c r="V59" s="130">
        <f t="shared" si="5"/>
        <v>98769</v>
      </c>
      <c r="W59" s="130">
        <f t="shared" si="6"/>
        <v>362700.80000000005</v>
      </c>
    </row>
    <row r="60" spans="1:23" s="131" customFormat="1" ht="15.75" x14ac:dyDescent="0.25">
      <c r="A60" s="138">
        <v>3121</v>
      </c>
      <c r="B60" s="150" t="s">
        <v>155</v>
      </c>
      <c r="C60" s="151">
        <v>159510.72799999997</v>
      </c>
      <c r="D60" s="152"/>
      <c r="E60" s="135">
        <f t="shared" ref="E60:E96" si="16">D60+C60</f>
        <v>159510.72799999997</v>
      </c>
      <c r="F60" s="135"/>
      <c r="G60" s="130">
        <v>13293</v>
      </c>
      <c r="H60" s="130">
        <v>13999.48</v>
      </c>
      <c r="I60" s="130">
        <f t="shared" si="3"/>
        <v>-706.47999999999956</v>
      </c>
      <c r="J60" s="130"/>
      <c r="K60" s="130">
        <v>706</v>
      </c>
      <c r="L60" s="130"/>
      <c r="M60" s="130"/>
      <c r="N60" s="130">
        <f t="shared" si="11"/>
        <v>13292.520727272726</v>
      </c>
      <c r="O60" s="130">
        <v>13128.88</v>
      </c>
      <c r="P60" s="130">
        <f t="shared" si="4"/>
        <v>163.64072727272651</v>
      </c>
      <c r="Q60" s="130">
        <v>16.399999999999999</v>
      </c>
      <c r="R60" s="130"/>
      <c r="S60" s="130"/>
      <c r="T60" s="130"/>
      <c r="U60" s="130">
        <f t="shared" si="15"/>
        <v>159510.72799999997</v>
      </c>
      <c r="V60" s="130">
        <f t="shared" si="5"/>
        <v>27128.36</v>
      </c>
      <c r="W60" s="130">
        <f t="shared" si="6"/>
        <v>132382.36799999996</v>
      </c>
    </row>
    <row r="61" spans="1:23" s="131" customFormat="1" ht="15" customHeight="1" x14ac:dyDescent="0.25">
      <c r="A61" s="138">
        <v>3131</v>
      </c>
      <c r="B61" s="150" t="s">
        <v>156</v>
      </c>
      <c r="C61" s="151">
        <v>10860.48</v>
      </c>
      <c r="D61" s="152"/>
      <c r="E61" s="135">
        <f t="shared" si="16"/>
        <v>10860.48</v>
      </c>
      <c r="F61" s="135"/>
      <c r="G61" s="130"/>
      <c r="H61" s="130"/>
      <c r="I61" s="130">
        <f t="shared" si="3"/>
        <v>0</v>
      </c>
      <c r="J61" s="130"/>
      <c r="K61" s="130"/>
      <c r="L61" s="130"/>
      <c r="M61" s="130"/>
      <c r="N61" s="130">
        <f t="shared" si="11"/>
        <v>987.31636363636358</v>
      </c>
      <c r="O61" s="130"/>
      <c r="P61" s="130">
        <f t="shared" si="4"/>
        <v>987.31636363636358</v>
      </c>
      <c r="Q61" s="130">
        <v>98.7</v>
      </c>
      <c r="R61" s="130"/>
      <c r="S61" s="130"/>
      <c r="T61" s="130"/>
      <c r="U61" s="130">
        <f t="shared" si="15"/>
        <v>10860.48</v>
      </c>
      <c r="V61" s="130">
        <f t="shared" si="5"/>
        <v>0</v>
      </c>
      <c r="W61" s="130">
        <f t="shared" si="6"/>
        <v>10860.48</v>
      </c>
    </row>
    <row r="62" spans="1:23" s="131" customFormat="1" ht="15.75" x14ac:dyDescent="0.25">
      <c r="A62" s="138">
        <v>3141</v>
      </c>
      <c r="B62" s="150" t="s">
        <v>157</v>
      </c>
      <c r="C62" s="151">
        <f>149034.7664+18133</f>
        <v>167167.76639999999</v>
      </c>
      <c r="D62" s="152"/>
      <c r="E62" s="135">
        <f t="shared" si="16"/>
        <v>167167.76639999999</v>
      </c>
      <c r="F62" s="135"/>
      <c r="G62" s="130">
        <v>11735.82</v>
      </c>
      <c r="H62" s="130">
        <v>11393.96</v>
      </c>
      <c r="I62" s="130">
        <f t="shared" si="3"/>
        <v>341.86000000000058</v>
      </c>
      <c r="J62" s="130"/>
      <c r="K62" s="130"/>
      <c r="L62" s="130"/>
      <c r="M62" s="130"/>
      <c r="N62" s="130">
        <f>I62+(E62-G62)/11</f>
        <v>14472.036945454545</v>
      </c>
      <c r="O62" s="130">
        <v>11293</v>
      </c>
      <c r="P62" s="130">
        <f t="shared" si="4"/>
        <v>3179.0369454545453</v>
      </c>
      <c r="Q62" s="130">
        <v>317.89999999999998</v>
      </c>
      <c r="R62" s="130"/>
      <c r="S62" s="130"/>
      <c r="T62" s="130"/>
      <c r="U62" s="130">
        <f t="shared" si="15"/>
        <v>167167.76639999999</v>
      </c>
      <c r="V62" s="130">
        <f t="shared" si="5"/>
        <v>22686.959999999999</v>
      </c>
      <c r="W62" s="130">
        <f t="shared" si="6"/>
        <v>144480.8064</v>
      </c>
    </row>
    <row r="63" spans="1:23" s="131" customFormat="1" ht="15" customHeight="1" x14ac:dyDescent="0.25">
      <c r="A63" s="138">
        <v>3171</v>
      </c>
      <c r="B63" s="150" t="s">
        <v>158</v>
      </c>
      <c r="C63" s="151">
        <v>6500</v>
      </c>
      <c r="D63" s="152"/>
      <c r="E63" s="135">
        <f t="shared" si="16"/>
        <v>6500</v>
      </c>
      <c r="F63" s="135"/>
      <c r="G63" s="130"/>
      <c r="H63" s="130"/>
      <c r="I63" s="130">
        <f t="shared" si="3"/>
        <v>0</v>
      </c>
      <c r="J63" s="130"/>
      <c r="K63" s="130"/>
      <c r="L63" s="130"/>
      <c r="M63" s="130"/>
      <c r="N63" s="130">
        <f t="shared" si="11"/>
        <v>590.90909090909088</v>
      </c>
      <c r="O63" s="130"/>
      <c r="P63" s="130">
        <f t="shared" si="4"/>
        <v>590.90909090909088</v>
      </c>
      <c r="Q63" s="130">
        <v>59.1</v>
      </c>
      <c r="R63" s="130"/>
      <c r="S63" s="130"/>
      <c r="T63" s="130"/>
      <c r="U63" s="130">
        <f t="shared" si="15"/>
        <v>6500</v>
      </c>
      <c r="V63" s="130">
        <f t="shared" si="5"/>
        <v>0</v>
      </c>
      <c r="W63" s="130">
        <f t="shared" si="6"/>
        <v>6500</v>
      </c>
    </row>
    <row r="64" spans="1:23" s="131" customFormat="1" ht="15.75" x14ac:dyDescent="0.25">
      <c r="A64" s="138">
        <v>3181</v>
      </c>
      <c r="B64" s="150" t="s">
        <v>159</v>
      </c>
      <c r="C64" s="151">
        <v>3112.2208000000001</v>
      </c>
      <c r="D64" s="152"/>
      <c r="E64" s="135">
        <f t="shared" si="16"/>
        <v>3112.2208000000001</v>
      </c>
      <c r="F64" s="135"/>
      <c r="G64" s="130">
        <v>259</v>
      </c>
      <c r="H64" s="130">
        <v>346.43</v>
      </c>
      <c r="I64" s="130">
        <f t="shared" si="3"/>
        <v>-87.43</v>
      </c>
      <c r="J64" s="130"/>
      <c r="K64" s="130">
        <v>87</v>
      </c>
      <c r="L64" s="130"/>
      <c r="M64" s="130"/>
      <c r="N64" s="130">
        <f t="shared" si="11"/>
        <v>259.38370909090912</v>
      </c>
      <c r="O64" s="130"/>
      <c r="P64" s="130">
        <f t="shared" si="4"/>
        <v>259.38370909090912</v>
      </c>
      <c r="Q64" s="130">
        <v>25.9</v>
      </c>
      <c r="R64" s="130"/>
      <c r="S64" s="130"/>
      <c r="T64" s="130"/>
      <c r="U64" s="130">
        <f t="shared" si="15"/>
        <v>3112.2208000000001</v>
      </c>
      <c r="V64" s="130">
        <f t="shared" si="5"/>
        <v>346.43</v>
      </c>
      <c r="W64" s="130">
        <f t="shared" si="6"/>
        <v>2765.7908000000002</v>
      </c>
    </row>
    <row r="65" spans="1:23" s="131" customFormat="1" ht="15" customHeight="1" x14ac:dyDescent="0.25">
      <c r="A65" s="138">
        <v>3232</v>
      </c>
      <c r="B65" s="150" t="s">
        <v>160</v>
      </c>
      <c r="C65" s="151">
        <v>40000</v>
      </c>
      <c r="D65" s="152"/>
      <c r="E65" s="135">
        <f t="shared" si="16"/>
        <v>40000</v>
      </c>
      <c r="F65" s="135"/>
      <c r="G65" s="130"/>
      <c r="H65" s="130"/>
      <c r="I65" s="130">
        <f t="shared" si="3"/>
        <v>0</v>
      </c>
      <c r="J65" s="130"/>
      <c r="K65" s="130"/>
      <c r="L65" s="130"/>
      <c r="M65" s="130"/>
      <c r="N65" s="130">
        <f t="shared" si="11"/>
        <v>3636.3636363636365</v>
      </c>
      <c r="O65" s="130"/>
      <c r="P65" s="130">
        <f t="shared" si="4"/>
        <v>3636.3636363636365</v>
      </c>
      <c r="Q65" s="130">
        <v>363.6</v>
      </c>
      <c r="R65" s="130"/>
      <c r="S65" s="130"/>
      <c r="T65" s="130"/>
      <c r="U65" s="130">
        <f t="shared" si="15"/>
        <v>40000</v>
      </c>
      <c r="V65" s="130">
        <f t="shared" si="5"/>
        <v>0</v>
      </c>
      <c r="W65" s="130">
        <f t="shared" si="6"/>
        <v>40000</v>
      </c>
    </row>
    <row r="66" spans="1:23" s="131" customFormat="1" ht="15.75" x14ac:dyDescent="0.25">
      <c r="A66" s="138">
        <v>3261</v>
      </c>
      <c r="B66" s="150" t="s">
        <v>161</v>
      </c>
      <c r="C66" s="151">
        <v>30000</v>
      </c>
      <c r="D66" s="152"/>
      <c r="E66" s="135">
        <f t="shared" si="16"/>
        <v>30000</v>
      </c>
      <c r="F66" s="135"/>
      <c r="G66" s="130"/>
      <c r="H66" s="130"/>
      <c r="I66" s="130">
        <f t="shared" si="3"/>
        <v>0</v>
      </c>
      <c r="J66" s="130"/>
      <c r="K66" s="130"/>
      <c r="L66" s="130"/>
      <c r="M66" s="130"/>
      <c r="N66" s="130">
        <f t="shared" si="11"/>
        <v>2727.2727272727275</v>
      </c>
      <c r="O66" s="130"/>
      <c r="P66" s="130">
        <f t="shared" si="4"/>
        <v>2727.2727272727275</v>
      </c>
      <c r="Q66" s="130">
        <v>272.7</v>
      </c>
      <c r="R66" s="130"/>
      <c r="S66" s="130"/>
      <c r="T66" s="130"/>
      <c r="U66" s="130">
        <f t="shared" si="15"/>
        <v>30000</v>
      </c>
      <c r="V66" s="130">
        <f t="shared" si="5"/>
        <v>0</v>
      </c>
      <c r="W66" s="130">
        <f t="shared" si="6"/>
        <v>30000</v>
      </c>
    </row>
    <row r="67" spans="1:23" s="131" customFormat="1" ht="15" customHeight="1" x14ac:dyDescent="0.25">
      <c r="A67" s="138">
        <v>3311</v>
      </c>
      <c r="B67" s="150" t="s">
        <v>162</v>
      </c>
      <c r="C67" s="151">
        <f>45000+240000+237600+83520</f>
        <v>606120</v>
      </c>
      <c r="D67" s="153"/>
      <c r="E67" s="135">
        <f t="shared" si="16"/>
        <v>606120</v>
      </c>
      <c r="F67" s="135"/>
      <c r="G67" s="130">
        <v>5829.8</v>
      </c>
      <c r="H67" s="130">
        <v>5660.38</v>
      </c>
      <c r="I67" s="130">
        <f t="shared" si="3"/>
        <v>169.42000000000007</v>
      </c>
      <c r="J67" s="130"/>
      <c r="K67" s="130"/>
      <c r="L67" s="130"/>
      <c r="M67" s="130"/>
      <c r="N67" s="130">
        <f>I67+(E67-G67)/11</f>
        <v>54741.256363636356</v>
      </c>
      <c r="O67" s="130">
        <v>5660.38</v>
      </c>
      <c r="P67" s="130">
        <f t="shared" si="4"/>
        <v>49080.876363636358</v>
      </c>
      <c r="Q67" s="130">
        <v>4908.1000000000004</v>
      </c>
      <c r="R67" s="130"/>
      <c r="S67" s="130"/>
      <c r="T67" s="130"/>
      <c r="U67" s="130">
        <f t="shared" si="15"/>
        <v>606120</v>
      </c>
      <c r="V67" s="130">
        <f t="shared" si="5"/>
        <v>11320.76</v>
      </c>
      <c r="W67" s="130">
        <f t="shared" si="6"/>
        <v>594799.24</v>
      </c>
    </row>
    <row r="68" spans="1:23" s="131" customFormat="1" ht="15.75" x14ac:dyDescent="0.25">
      <c r="A68" s="138">
        <v>3331</v>
      </c>
      <c r="B68" s="150" t="s">
        <v>163</v>
      </c>
      <c r="C68" s="151">
        <f>170000+30000</f>
        <v>200000</v>
      </c>
      <c r="D68" s="153"/>
      <c r="E68" s="135">
        <f t="shared" si="16"/>
        <v>200000</v>
      </c>
      <c r="F68" s="135"/>
      <c r="G68" s="130"/>
      <c r="H68" s="130"/>
      <c r="I68" s="130">
        <f t="shared" si="3"/>
        <v>0</v>
      </c>
      <c r="J68" s="130"/>
      <c r="K68" s="130"/>
      <c r="L68" s="130"/>
      <c r="M68" s="130"/>
      <c r="N68" s="130">
        <f t="shared" si="11"/>
        <v>18181.81818181818</v>
      </c>
      <c r="O68" s="130"/>
      <c r="P68" s="130">
        <f t="shared" si="4"/>
        <v>18181.81818181818</v>
      </c>
      <c r="Q68" s="130">
        <v>1818.2</v>
      </c>
      <c r="R68" s="130"/>
      <c r="S68" s="130"/>
      <c r="T68" s="130"/>
      <c r="U68" s="130">
        <f t="shared" si="15"/>
        <v>200000</v>
      </c>
      <c r="V68" s="130">
        <f t="shared" si="5"/>
        <v>0</v>
      </c>
      <c r="W68" s="130">
        <f t="shared" si="6"/>
        <v>200000</v>
      </c>
    </row>
    <row r="69" spans="1:23" s="131" customFormat="1" ht="15" customHeight="1" x14ac:dyDescent="0.25">
      <c r="A69" s="138">
        <v>3341</v>
      </c>
      <c r="B69" s="150" t="s">
        <v>164</v>
      </c>
      <c r="C69" s="151">
        <v>50000</v>
      </c>
      <c r="D69" s="152"/>
      <c r="E69" s="135">
        <f t="shared" si="16"/>
        <v>50000</v>
      </c>
      <c r="F69" s="135"/>
      <c r="G69" s="130">
        <v>27841.93</v>
      </c>
      <c r="H69" s="130">
        <v>27030.5</v>
      </c>
      <c r="I69" s="130">
        <f t="shared" si="3"/>
        <v>811.43000000000029</v>
      </c>
      <c r="J69" s="130"/>
      <c r="K69" s="130"/>
      <c r="L69" s="130"/>
      <c r="M69" s="130"/>
      <c r="N69" s="130">
        <f>I69+(E69-G69)/11</f>
        <v>2825.8</v>
      </c>
      <c r="O69" s="130">
        <v>26513.7</v>
      </c>
      <c r="P69" s="130">
        <f t="shared" si="4"/>
        <v>-23687.9</v>
      </c>
      <c r="Q69" s="130"/>
      <c r="R69" s="130">
        <v>23688</v>
      </c>
      <c r="S69" s="130"/>
      <c r="T69" s="130"/>
      <c r="U69" s="130">
        <f t="shared" si="15"/>
        <v>50000</v>
      </c>
      <c r="V69" s="130">
        <f t="shared" si="5"/>
        <v>53544.2</v>
      </c>
      <c r="W69" s="130">
        <f t="shared" si="6"/>
        <v>-3544.1999999999971</v>
      </c>
    </row>
    <row r="70" spans="1:23" s="131" customFormat="1" ht="15.75" x14ac:dyDescent="0.25">
      <c r="A70" s="138">
        <v>3342</v>
      </c>
      <c r="B70" s="150" t="s">
        <v>165</v>
      </c>
      <c r="C70" s="151">
        <f>15000+240000</f>
        <v>255000</v>
      </c>
      <c r="D70" s="152"/>
      <c r="E70" s="135">
        <f t="shared" si="16"/>
        <v>255000</v>
      </c>
      <c r="F70" s="135"/>
      <c r="G70" s="130">
        <v>2389.6</v>
      </c>
      <c r="H70" s="130">
        <v>2320</v>
      </c>
      <c r="I70" s="130">
        <f t="shared" si="3"/>
        <v>69.599999999999909</v>
      </c>
      <c r="J70" s="130"/>
      <c r="K70" s="130"/>
      <c r="L70" s="130"/>
      <c r="M70" s="130"/>
      <c r="N70" s="130">
        <f>I70+(E70-G70)/11</f>
        <v>23034.181818181816</v>
      </c>
      <c r="O70" s="130">
        <v>195868.96</v>
      </c>
      <c r="P70" s="130">
        <f t="shared" si="4"/>
        <v>-172834.77818181817</v>
      </c>
      <c r="Q70" s="130"/>
      <c r="R70" s="130"/>
      <c r="S70" s="130">
        <v>172835</v>
      </c>
      <c r="T70" s="130"/>
      <c r="U70" s="130">
        <f t="shared" si="15"/>
        <v>255000</v>
      </c>
      <c r="V70" s="130">
        <f t="shared" si="5"/>
        <v>198188.96</v>
      </c>
      <c r="W70" s="130">
        <f t="shared" si="6"/>
        <v>56811.040000000008</v>
      </c>
    </row>
    <row r="71" spans="1:23" s="131" customFormat="1" ht="15" customHeight="1" x14ac:dyDescent="0.25">
      <c r="A71" s="138">
        <v>3351</v>
      </c>
      <c r="B71" s="150" t="s">
        <v>166</v>
      </c>
      <c r="C71" s="151">
        <f>90000+124976</f>
        <v>214976</v>
      </c>
      <c r="D71" s="152"/>
      <c r="E71" s="135">
        <f t="shared" si="16"/>
        <v>214976</v>
      </c>
      <c r="F71" s="135"/>
      <c r="G71" s="130"/>
      <c r="H71" s="130"/>
      <c r="I71" s="130">
        <f t="shared" si="3"/>
        <v>0</v>
      </c>
      <c r="J71" s="130"/>
      <c r="K71" s="130"/>
      <c r="L71" s="130"/>
      <c r="M71" s="130"/>
      <c r="N71" s="130">
        <f t="shared" si="11"/>
        <v>19543.272727272728</v>
      </c>
      <c r="O71" s="130">
        <v>4800</v>
      </c>
      <c r="P71" s="130">
        <f t="shared" si="4"/>
        <v>14743.272727272728</v>
      </c>
      <c r="Q71" s="130">
        <v>1474.3</v>
      </c>
      <c r="R71" s="130"/>
      <c r="S71" s="130"/>
      <c r="T71" s="130"/>
      <c r="U71" s="130">
        <f t="shared" si="15"/>
        <v>214976</v>
      </c>
      <c r="V71" s="130">
        <f t="shared" si="5"/>
        <v>4800</v>
      </c>
      <c r="W71" s="130">
        <f t="shared" si="6"/>
        <v>210176</v>
      </c>
    </row>
    <row r="72" spans="1:23" s="131" customFormat="1" ht="15.75" x14ac:dyDescent="0.25">
      <c r="A72" s="138">
        <v>3362</v>
      </c>
      <c r="B72" s="150" t="s">
        <v>167</v>
      </c>
      <c r="C72" s="151">
        <v>45668.001600000011</v>
      </c>
      <c r="D72" s="152"/>
      <c r="E72" s="135">
        <f t="shared" si="16"/>
        <v>45668.001600000011</v>
      </c>
      <c r="F72" s="135"/>
      <c r="G72" s="130">
        <v>3225.96</v>
      </c>
      <c r="H72" s="130">
        <v>3132</v>
      </c>
      <c r="I72" s="130">
        <f t="shared" ref="I72:I124" si="17">G72-H72</f>
        <v>93.960000000000036</v>
      </c>
      <c r="J72" s="130"/>
      <c r="K72" s="130"/>
      <c r="L72" s="130"/>
      <c r="M72" s="130"/>
      <c r="N72" s="130">
        <f>I72+(E72-G72)/11</f>
        <v>3952.3274181818192</v>
      </c>
      <c r="O72" s="130">
        <v>23248.720000000001</v>
      </c>
      <c r="P72" s="130">
        <f t="shared" ref="P72:P124" si="18">N72-O72</f>
        <v>-19296.392581818181</v>
      </c>
      <c r="Q72" s="130"/>
      <c r="R72" s="130">
        <v>19296</v>
      </c>
      <c r="S72" s="130"/>
      <c r="T72" s="130"/>
      <c r="U72" s="130">
        <f t="shared" si="15"/>
        <v>45668.001600000011</v>
      </c>
      <c r="V72" s="130">
        <f t="shared" ref="V72:V124" si="19">H72+O72</f>
        <v>26380.720000000001</v>
      </c>
      <c r="W72" s="130">
        <f t="shared" ref="W72:W124" si="20">U72-V72</f>
        <v>19287.281600000009</v>
      </c>
    </row>
    <row r="73" spans="1:23" s="131" customFormat="1" ht="15" customHeight="1" x14ac:dyDescent="0.25">
      <c r="A73" s="138">
        <v>3363</v>
      </c>
      <c r="B73" s="150" t="s">
        <v>168</v>
      </c>
      <c r="C73" s="151">
        <v>50000</v>
      </c>
      <c r="D73" s="152"/>
      <c r="E73" s="135">
        <f t="shared" si="16"/>
        <v>50000</v>
      </c>
      <c r="F73" s="135"/>
      <c r="G73" s="130"/>
      <c r="H73" s="130"/>
      <c r="I73" s="130">
        <f t="shared" si="17"/>
        <v>0</v>
      </c>
      <c r="J73" s="130"/>
      <c r="K73" s="130"/>
      <c r="L73" s="130"/>
      <c r="M73" s="130"/>
      <c r="N73" s="130">
        <f t="shared" si="11"/>
        <v>4545.454545454545</v>
      </c>
      <c r="O73" s="130"/>
      <c r="P73" s="130">
        <f t="shared" si="18"/>
        <v>4545.454545454545</v>
      </c>
      <c r="Q73" s="130">
        <v>454.5</v>
      </c>
      <c r="R73" s="130"/>
      <c r="S73" s="130"/>
      <c r="T73" s="130"/>
      <c r="U73" s="130">
        <f t="shared" si="15"/>
        <v>50000</v>
      </c>
      <c r="V73" s="130">
        <f t="shared" si="19"/>
        <v>0</v>
      </c>
      <c r="W73" s="130">
        <f t="shared" si="20"/>
        <v>50000</v>
      </c>
    </row>
    <row r="74" spans="1:23" s="131" customFormat="1" ht="15.75" x14ac:dyDescent="0.25">
      <c r="A74" s="138">
        <v>3391</v>
      </c>
      <c r="B74" s="150" t="s">
        <v>169</v>
      </c>
      <c r="C74" s="135">
        <f>83520+120000+15000+170000</f>
        <v>388520</v>
      </c>
      <c r="D74" s="151">
        <v>638000</v>
      </c>
      <c r="E74" s="135">
        <f t="shared" si="16"/>
        <v>1026520</v>
      </c>
      <c r="F74" s="135"/>
      <c r="G74" s="130">
        <v>24734.42</v>
      </c>
      <c r="H74" s="130">
        <f>16058.04+2296</f>
        <v>18354.04</v>
      </c>
      <c r="I74" s="130">
        <f t="shared" si="17"/>
        <v>6380.3799999999974</v>
      </c>
      <c r="J74" s="130"/>
      <c r="K74" s="130"/>
      <c r="L74" s="130"/>
      <c r="M74" s="130"/>
      <c r="N74" s="130">
        <f>I74+(E74-G74)/11</f>
        <v>97451.796363636357</v>
      </c>
      <c r="O74" s="130">
        <v>32825.78</v>
      </c>
      <c r="P74" s="130">
        <f t="shared" si="18"/>
        <v>64626.016363636358</v>
      </c>
      <c r="Q74" s="130">
        <v>6462.6</v>
      </c>
      <c r="R74" s="130"/>
      <c r="S74" s="130"/>
      <c r="T74" s="130"/>
      <c r="U74" s="130">
        <f t="shared" si="15"/>
        <v>1026520</v>
      </c>
      <c r="V74" s="130">
        <f t="shared" si="19"/>
        <v>51179.82</v>
      </c>
      <c r="W74" s="130">
        <f t="shared" si="20"/>
        <v>975340.18</v>
      </c>
    </row>
    <row r="75" spans="1:23" s="131" customFormat="1" ht="15" customHeight="1" x14ac:dyDescent="0.25">
      <c r="A75" s="138">
        <v>3411</v>
      </c>
      <c r="B75" s="150" t="s">
        <v>170</v>
      </c>
      <c r="C75" s="151">
        <v>3567.4495999999999</v>
      </c>
      <c r="D75" s="152"/>
      <c r="E75" s="135">
        <f t="shared" si="16"/>
        <v>3567.4495999999999</v>
      </c>
      <c r="F75" s="135"/>
      <c r="G75" s="130">
        <v>25476.02</v>
      </c>
      <c r="H75" s="130">
        <v>264.88</v>
      </c>
      <c r="I75" s="130">
        <f t="shared" si="17"/>
        <v>25211.14</v>
      </c>
      <c r="J75" s="130">
        <v>931</v>
      </c>
      <c r="K75" s="130"/>
      <c r="L75" s="130"/>
      <c r="M75" s="130"/>
      <c r="N75" s="130">
        <f>I75+(E75-G75)/11-J75</f>
        <v>22288.451781818181</v>
      </c>
      <c r="O75" s="130">
        <v>61953.94</v>
      </c>
      <c r="P75" s="130">
        <f t="shared" si="18"/>
        <v>-39665.488218181825</v>
      </c>
      <c r="Q75" s="130"/>
      <c r="R75" s="130">
        <v>32043</v>
      </c>
      <c r="S75" s="130">
        <v>7622</v>
      </c>
      <c r="T75" s="130"/>
      <c r="U75" s="130">
        <f t="shared" si="15"/>
        <v>3567.4495999999999</v>
      </c>
      <c r="V75" s="130">
        <f t="shared" si="19"/>
        <v>62218.82</v>
      </c>
      <c r="W75" s="130">
        <f t="shared" si="20"/>
        <v>-58651.3704</v>
      </c>
    </row>
    <row r="76" spans="1:23" s="131" customFormat="1" ht="15.75" x14ac:dyDescent="0.25">
      <c r="A76" s="138">
        <v>3451</v>
      </c>
      <c r="B76" s="150" t="s">
        <v>171</v>
      </c>
      <c r="C76" s="151">
        <v>101437</v>
      </c>
      <c r="D76" s="152"/>
      <c r="E76" s="135">
        <f t="shared" si="16"/>
        <v>101437</v>
      </c>
      <c r="F76" s="135"/>
      <c r="G76" s="130"/>
      <c r="H76" s="130"/>
      <c r="I76" s="130">
        <f t="shared" si="17"/>
        <v>0</v>
      </c>
      <c r="J76" s="130"/>
      <c r="K76" s="130"/>
      <c r="L76" s="130"/>
      <c r="M76" s="130"/>
      <c r="N76" s="130">
        <f t="shared" si="11"/>
        <v>9221.545454545454</v>
      </c>
      <c r="O76" s="130"/>
      <c r="P76" s="130">
        <f t="shared" si="18"/>
        <v>9221.545454545454</v>
      </c>
      <c r="Q76" s="130">
        <v>922.2</v>
      </c>
      <c r="R76" s="130"/>
      <c r="S76" s="130"/>
      <c r="T76" s="130"/>
      <c r="U76" s="130">
        <f t="shared" si="15"/>
        <v>101437</v>
      </c>
      <c r="V76" s="130">
        <f t="shared" si="19"/>
        <v>0</v>
      </c>
      <c r="W76" s="130">
        <f t="shared" si="20"/>
        <v>101437</v>
      </c>
    </row>
    <row r="77" spans="1:23" s="131" customFormat="1" ht="15" customHeight="1" x14ac:dyDescent="0.25">
      <c r="A77" s="138">
        <v>3471</v>
      </c>
      <c r="B77" s="150" t="s">
        <v>172</v>
      </c>
      <c r="C77" s="151">
        <v>8686.08</v>
      </c>
      <c r="D77" s="152"/>
      <c r="E77" s="135">
        <f t="shared" si="16"/>
        <v>8686.08</v>
      </c>
      <c r="F77" s="135"/>
      <c r="G77" s="130">
        <v>716.88</v>
      </c>
      <c r="H77" s="130">
        <v>696</v>
      </c>
      <c r="I77" s="130">
        <f t="shared" si="17"/>
        <v>20.879999999999995</v>
      </c>
      <c r="J77" s="130"/>
      <c r="K77" s="130"/>
      <c r="L77" s="130"/>
      <c r="M77" s="130"/>
      <c r="N77" s="130">
        <f>I77+(E77-G77)/11</f>
        <v>745.35272727272729</v>
      </c>
      <c r="O77" s="130"/>
      <c r="P77" s="130">
        <f t="shared" si="18"/>
        <v>745.35272727272729</v>
      </c>
      <c r="Q77" s="130">
        <v>74.5</v>
      </c>
      <c r="R77" s="130"/>
      <c r="S77" s="130"/>
      <c r="T77" s="130"/>
      <c r="U77" s="130">
        <f t="shared" si="15"/>
        <v>8686.08</v>
      </c>
      <c r="V77" s="130">
        <f t="shared" si="19"/>
        <v>696</v>
      </c>
      <c r="W77" s="130">
        <f t="shared" si="20"/>
        <v>7990.08</v>
      </c>
    </row>
    <row r="78" spans="1:23" s="131" customFormat="1" ht="15.75" x14ac:dyDescent="0.25">
      <c r="A78" s="138">
        <v>3481</v>
      </c>
      <c r="B78" s="150" t="s">
        <v>173</v>
      </c>
      <c r="C78" s="151">
        <v>0</v>
      </c>
      <c r="D78" s="152"/>
      <c r="E78" s="135">
        <f t="shared" si="16"/>
        <v>0</v>
      </c>
      <c r="F78" s="135"/>
      <c r="G78" s="130"/>
      <c r="H78" s="130"/>
      <c r="I78" s="130">
        <f t="shared" si="17"/>
        <v>0</v>
      </c>
      <c r="J78" s="130"/>
      <c r="K78" s="130"/>
      <c r="L78" s="130"/>
      <c r="M78" s="130"/>
      <c r="N78" s="130">
        <f t="shared" si="11"/>
        <v>0</v>
      </c>
      <c r="O78" s="130"/>
      <c r="P78" s="130">
        <f t="shared" si="18"/>
        <v>0</v>
      </c>
      <c r="Q78" s="130"/>
      <c r="R78" s="130"/>
      <c r="S78" s="130"/>
      <c r="T78" s="130"/>
      <c r="U78" s="130">
        <f t="shared" si="15"/>
        <v>0</v>
      </c>
      <c r="V78" s="130">
        <f t="shared" si="19"/>
        <v>0</v>
      </c>
      <c r="W78" s="130">
        <f t="shared" si="20"/>
        <v>0</v>
      </c>
    </row>
    <row r="79" spans="1:23" s="131" customFormat="1" ht="15" customHeight="1" x14ac:dyDescent="0.25">
      <c r="A79" s="138">
        <v>3512</v>
      </c>
      <c r="B79" s="150" t="s">
        <v>174</v>
      </c>
      <c r="C79" s="151">
        <f>500000+150000+300000</f>
        <v>950000</v>
      </c>
      <c r="D79" s="151">
        <f>5735172-3+100000</f>
        <v>5835169</v>
      </c>
      <c r="E79" s="135">
        <f t="shared" si="16"/>
        <v>6785169</v>
      </c>
      <c r="F79" s="135"/>
      <c r="G79" s="130">
        <v>17220.57</v>
      </c>
      <c r="H79" s="130">
        <v>16719.18</v>
      </c>
      <c r="I79" s="130">
        <f t="shared" si="17"/>
        <v>501.38999999999942</v>
      </c>
      <c r="J79" s="130"/>
      <c r="K79" s="130"/>
      <c r="L79" s="130"/>
      <c r="M79" s="130"/>
      <c r="N79" s="130">
        <f>I79+(E79-G79)/11</f>
        <v>615769.42909090908</v>
      </c>
      <c r="O79" s="130">
        <v>3765.36</v>
      </c>
      <c r="P79" s="130">
        <f t="shared" si="18"/>
        <v>612004.06909090909</v>
      </c>
      <c r="Q79" s="130">
        <v>61200.4</v>
      </c>
      <c r="R79" s="130"/>
      <c r="S79" s="130"/>
      <c r="T79" s="130"/>
      <c r="U79" s="130">
        <f t="shared" si="15"/>
        <v>6785169</v>
      </c>
      <c r="V79" s="130">
        <f t="shared" si="19"/>
        <v>20484.54</v>
      </c>
      <c r="W79" s="130">
        <f t="shared" si="20"/>
        <v>6764684.46</v>
      </c>
    </row>
    <row r="80" spans="1:23" s="131" customFormat="1" ht="15.75" x14ac:dyDescent="0.25">
      <c r="A80" s="138">
        <v>3521</v>
      </c>
      <c r="B80" s="150" t="s">
        <v>175</v>
      </c>
      <c r="C80" s="151">
        <v>250000</v>
      </c>
      <c r="D80" s="152"/>
      <c r="E80" s="135">
        <f t="shared" si="16"/>
        <v>250000</v>
      </c>
      <c r="F80" s="135"/>
      <c r="G80" s="130"/>
      <c r="H80" s="130"/>
      <c r="I80" s="130">
        <f t="shared" si="17"/>
        <v>0</v>
      </c>
      <c r="J80" s="130"/>
      <c r="K80" s="130"/>
      <c r="L80" s="130"/>
      <c r="M80" s="130"/>
      <c r="N80" s="130">
        <f t="shared" si="11"/>
        <v>22727.272727272728</v>
      </c>
      <c r="O80" s="130"/>
      <c r="P80" s="130">
        <f t="shared" si="18"/>
        <v>22727.272727272728</v>
      </c>
      <c r="Q80" s="130">
        <v>2272.6999999999998</v>
      </c>
      <c r="R80" s="130"/>
      <c r="S80" s="130"/>
      <c r="T80" s="130"/>
      <c r="U80" s="130">
        <f t="shared" si="15"/>
        <v>250000</v>
      </c>
      <c r="V80" s="130">
        <f t="shared" si="19"/>
        <v>0</v>
      </c>
      <c r="W80" s="130">
        <f t="shared" si="20"/>
        <v>250000</v>
      </c>
    </row>
    <row r="81" spans="1:23" s="131" customFormat="1" ht="15" customHeight="1" x14ac:dyDescent="0.25">
      <c r="A81" s="138">
        <v>3531</v>
      </c>
      <c r="B81" s="150" t="s">
        <v>176</v>
      </c>
      <c r="C81" s="151">
        <v>1650000</v>
      </c>
      <c r="D81" s="152"/>
      <c r="E81" s="135">
        <f t="shared" si="16"/>
        <v>1650000</v>
      </c>
      <c r="F81" s="135"/>
      <c r="G81" s="130">
        <v>5669.12</v>
      </c>
      <c r="H81" s="130">
        <v>5504</v>
      </c>
      <c r="I81" s="130">
        <f t="shared" si="17"/>
        <v>165.11999999999989</v>
      </c>
      <c r="J81" s="130"/>
      <c r="K81" s="130"/>
      <c r="L81" s="130"/>
      <c r="M81" s="130"/>
      <c r="N81" s="130">
        <f>I81+(E81-G81)/11</f>
        <v>149649.74545454545</v>
      </c>
      <c r="O81" s="130">
        <v>580</v>
      </c>
      <c r="P81" s="130">
        <f t="shared" si="18"/>
        <v>149069.74545454545</v>
      </c>
      <c r="Q81" s="130">
        <v>14907</v>
      </c>
      <c r="R81" s="130"/>
      <c r="S81" s="130"/>
      <c r="T81" s="130"/>
      <c r="U81" s="130">
        <f t="shared" si="15"/>
        <v>1650000</v>
      </c>
      <c r="V81" s="130">
        <f t="shared" si="19"/>
        <v>6084</v>
      </c>
      <c r="W81" s="130">
        <f t="shared" si="20"/>
        <v>1643916</v>
      </c>
    </row>
    <row r="82" spans="1:23" s="131" customFormat="1" ht="15.75" x14ac:dyDescent="0.25">
      <c r="A82" s="138">
        <v>3551</v>
      </c>
      <c r="B82" s="150" t="s">
        <v>177</v>
      </c>
      <c r="C82" s="151">
        <v>213722</v>
      </c>
      <c r="D82" s="152"/>
      <c r="E82" s="135">
        <f t="shared" si="16"/>
        <v>213722</v>
      </c>
      <c r="F82" s="135"/>
      <c r="G82" s="130">
        <v>1252.48</v>
      </c>
      <c r="H82" s="130">
        <v>1216.04</v>
      </c>
      <c r="I82" s="130">
        <f t="shared" si="17"/>
        <v>36.440000000000055</v>
      </c>
      <c r="J82" s="130"/>
      <c r="K82" s="130"/>
      <c r="L82" s="130"/>
      <c r="M82" s="130"/>
      <c r="N82" s="130">
        <f>I82+(E82-G82)/11</f>
        <v>19351.850909090906</v>
      </c>
      <c r="O82" s="130">
        <v>13650.08</v>
      </c>
      <c r="P82" s="130">
        <f t="shared" si="18"/>
        <v>5701.7709090909066</v>
      </c>
      <c r="Q82" s="130">
        <v>570.20000000000005</v>
      </c>
      <c r="R82" s="130"/>
      <c r="S82" s="130"/>
      <c r="T82" s="130"/>
      <c r="U82" s="130">
        <f t="shared" si="15"/>
        <v>213722</v>
      </c>
      <c r="V82" s="130">
        <f t="shared" si="19"/>
        <v>14866.119999999999</v>
      </c>
      <c r="W82" s="130">
        <f t="shared" si="20"/>
        <v>198855.88</v>
      </c>
    </row>
    <row r="83" spans="1:23" s="131" customFormat="1" ht="15" customHeight="1" x14ac:dyDescent="0.25">
      <c r="A83" s="138">
        <v>3571</v>
      </c>
      <c r="B83" s="150" t="s">
        <v>178</v>
      </c>
      <c r="C83" s="151">
        <v>250000</v>
      </c>
      <c r="D83" s="152"/>
      <c r="E83" s="135">
        <f t="shared" si="16"/>
        <v>250000</v>
      </c>
      <c r="F83" s="135"/>
      <c r="G83" s="130"/>
      <c r="H83" s="130"/>
      <c r="I83" s="130">
        <f t="shared" si="17"/>
        <v>0</v>
      </c>
      <c r="J83" s="130"/>
      <c r="K83" s="130"/>
      <c r="L83" s="130"/>
      <c r="M83" s="130"/>
      <c r="N83" s="130">
        <f t="shared" si="11"/>
        <v>22727.272727272728</v>
      </c>
      <c r="O83" s="130">
        <v>465415.74</v>
      </c>
      <c r="P83" s="130">
        <f t="shared" si="18"/>
        <v>-442688.46727272728</v>
      </c>
      <c r="Q83" s="130"/>
      <c r="R83" s="130"/>
      <c r="S83" s="130">
        <v>442688</v>
      </c>
      <c r="T83" s="130"/>
      <c r="U83" s="130">
        <f t="shared" si="15"/>
        <v>250000</v>
      </c>
      <c r="V83" s="130">
        <f t="shared" si="19"/>
        <v>465415.74</v>
      </c>
      <c r="W83" s="130">
        <f t="shared" si="20"/>
        <v>-215415.74</v>
      </c>
    </row>
    <row r="84" spans="1:23" s="131" customFormat="1" ht="15.75" x14ac:dyDescent="0.25">
      <c r="A84" s="138">
        <v>3572</v>
      </c>
      <c r="B84" s="150" t="s">
        <v>179</v>
      </c>
      <c r="C84" s="151">
        <v>50000</v>
      </c>
      <c r="D84" s="152"/>
      <c r="E84" s="135">
        <f t="shared" si="16"/>
        <v>50000</v>
      </c>
      <c r="F84" s="135"/>
      <c r="G84" s="130"/>
      <c r="H84" s="130"/>
      <c r="I84" s="130">
        <f t="shared" si="17"/>
        <v>0</v>
      </c>
      <c r="J84" s="130"/>
      <c r="K84" s="130"/>
      <c r="L84" s="130"/>
      <c r="M84" s="130"/>
      <c r="N84" s="130">
        <f t="shared" si="11"/>
        <v>4545.454545454545</v>
      </c>
      <c r="O84" s="130"/>
      <c r="P84" s="130">
        <f t="shared" si="18"/>
        <v>4545.454545454545</v>
      </c>
      <c r="Q84" s="130">
        <v>454.5</v>
      </c>
      <c r="R84" s="130"/>
      <c r="S84" s="130"/>
      <c r="T84" s="130"/>
      <c r="U84" s="130">
        <f t="shared" si="15"/>
        <v>50000</v>
      </c>
      <c r="V84" s="130">
        <f t="shared" si="19"/>
        <v>0</v>
      </c>
      <c r="W84" s="130">
        <f t="shared" si="20"/>
        <v>50000</v>
      </c>
    </row>
    <row r="85" spans="1:23" s="131" customFormat="1" ht="15" customHeight="1" x14ac:dyDescent="0.25">
      <c r="A85" s="138">
        <v>3581</v>
      </c>
      <c r="B85" s="150" t="s">
        <v>180</v>
      </c>
      <c r="C85" s="151">
        <v>150000</v>
      </c>
      <c r="D85" s="152"/>
      <c r="E85" s="135">
        <f t="shared" si="16"/>
        <v>150000</v>
      </c>
      <c r="F85" s="135"/>
      <c r="G85" s="130">
        <v>12500</v>
      </c>
      <c r="H85" s="130">
        <v>15831.16</v>
      </c>
      <c r="I85" s="130">
        <f t="shared" si="17"/>
        <v>-3331.16</v>
      </c>
      <c r="J85" s="130"/>
      <c r="K85" s="130">
        <v>3331</v>
      </c>
      <c r="L85" s="130"/>
      <c r="M85" s="130"/>
      <c r="N85" s="130">
        <f t="shared" si="11"/>
        <v>12500</v>
      </c>
      <c r="O85" s="130">
        <v>15831.16</v>
      </c>
      <c r="P85" s="130">
        <f t="shared" si="18"/>
        <v>-3331.16</v>
      </c>
      <c r="Q85" s="130"/>
      <c r="R85" s="130">
        <v>3331</v>
      </c>
      <c r="S85" s="130"/>
      <c r="T85" s="130"/>
      <c r="U85" s="130">
        <f t="shared" si="15"/>
        <v>150000</v>
      </c>
      <c r="V85" s="130">
        <f t="shared" si="19"/>
        <v>31662.32</v>
      </c>
      <c r="W85" s="130">
        <f t="shared" si="20"/>
        <v>118337.68</v>
      </c>
    </row>
    <row r="86" spans="1:23" s="131" customFormat="1" ht="15.75" x14ac:dyDescent="0.25">
      <c r="A86" s="138">
        <v>3591</v>
      </c>
      <c r="B86" s="150" t="s">
        <v>181</v>
      </c>
      <c r="C86" s="151">
        <f>15000*12</f>
        <v>180000</v>
      </c>
      <c r="D86" s="152"/>
      <c r="E86" s="135">
        <f t="shared" si="16"/>
        <v>180000</v>
      </c>
      <c r="F86" s="135"/>
      <c r="G86" s="130"/>
      <c r="H86" s="130"/>
      <c r="I86" s="130">
        <f t="shared" si="17"/>
        <v>0</v>
      </c>
      <c r="J86" s="130"/>
      <c r="K86" s="130"/>
      <c r="L86" s="130"/>
      <c r="M86" s="130"/>
      <c r="N86" s="130">
        <f t="shared" si="11"/>
        <v>16363.636363636364</v>
      </c>
      <c r="O86" s="130"/>
      <c r="P86" s="130">
        <f t="shared" si="18"/>
        <v>16363.636363636364</v>
      </c>
      <c r="Q86" s="130">
        <v>1636.4</v>
      </c>
      <c r="R86" s="130"/>
      <c r="S86" s="130"/>
      <c r="T86" s="130"/>
      <c r="U86" s="130">
        <f t="shared" si="15"/>
        <v>180000</v>
      </c>
      <c r="V86" s="130">
        <f t="shared" si="19"/>
        <v>0</v>
      </c>
      <c r="W86" s="130">
        <f t="shared" si="20"/>
        <v>180000</v>
      </c>
    </row>
    <row r="87" spans="1:23" s="131" customFormat="1" ht="15" customHeight="1" x14ac:dyDescent="0.25">
      <c r="A87" s="138">
        <v>3721</v>
      </c>
      <c r="B87" s="150" t="s">
        <v>182</v>
      </c>
      <c r="C87" s="151">
        <v>64623.748800000001</v>
      </c>
      <c r="D87" s="152"/>
      <c r="E87" s="135">
        <f t="shared" si="16"/>
        <v>64623.748800000001</v>
      </c>
      <c r="F87" s="135"/>
      <c r="G87" s="130">
        <v>20598.97</v>
      </c>
      <c r="H87" s="130">
        <v>19998.759999999998</v>
      </c>
      <c r="I87" s="130">
        <f t="shared" si="17"/>
        <v>600.21000000000276</v>
      </c>
      <c r="J87" s="130"/>
      <c r="K87" s="130"/>
      <c r="L87" s="130"/>
      <c r="M87" s="130"/>
      <c r="N87" s="130">
        <f>I87+(E87-G87)/11</f>
        <v>4602.4626181818203</v>
      </c>
      <c r="O87" s="130">
        <v>4694.95</v>
      </c>
      <c r="P87" s="130">
        <f t="shared" si="18"/>
        <v>-92.487381818179529</v>
      </c>
      <c r="Q87" s="130"/>
      <c r="R87" s="130">
        <v>92</v>
      </c>
      <c r="S87" s="130"/>
      <c r="T87" s="130"/>
      <c r="U87" s="130">
        <f t="shared" si="15"/>
        <v>64623.748800000001</v>
      </c>
      <c r="V87" s="130">
        <f t="shared" si="19"/>
        <v>24693.71</v>
      </c>
      <c r="W87" s="130">
        <f t="shared" si="20"/>
        <v>39930.038800000002</v>
      </c>
    </row>
    <row r="88" spans="1:23" s="131" customFormat="1" ht="15.75" x14ac:dyDescent="0.25">
      <c r="A88" s="138">
        <v>3751</v>
      </c>
      <c r="B88" s="150" t="s">
        <v>183</v>
      </c>
      <c r="C88" s="151">
        <f>8371.68+25000</f>
        <v>33371.68</v>
      </c>
      <c r="D88" s="152"/>
      <c r="E88" s="135">
        <f t="shared" si="16"/>
        <v>33371.68</v>
      </c>
      <c r="F88" s="135"/>
      <c r="G88" s="130">
        <v>1827.22</v>
      </c>
      <c r="H88" s="130">
        <v>1774</v>
      </c>
      <c r="I88" s="130">
        <f t="shared" si="17"/>
        <v>53.220000000000027</v>
      </c>
      <c r="J88" s="130"/>
      <c r="K88" s="130"/>
      <c r="L88" s="130"/>
      <c r="M88" s="130"/>
      <c r="N88" s="130">
        <f>I88+(E88-G88)/11</f>
        <v>2920.8981818181819</v>
      </c>
      <c r="O88" s="130"/>
      <c r="P88" s="130">
        <f t="shared" si="18"/>
        <v>2920.8981818181819</v>
      </c>
      <c r="Q88" s="130">
        <v>292.10000000000002</v>
      </c>
      <c r="R88" s="130"/>
      <c r="S88" s="130"/>
      <c r="T88" s="130"/>
      <c r="U88" s="130">
        <f t="shared" si="15"/>
        <v>33371.68</v>
      </c>
      <c r="V88" s="130">
        <f t="shared" si="19"/>
        <v>1774</v>
      </c>
      <c r="W88" s="130">
        <f t="shared" si="20"/>
        <v>31597.68</v>
      </c>
    </row>
    <row r="89" spans="1:23" s="131" customFormat="1" ht="15" customHeight="1" x14ac:dyDescent="0.25">
      <c r="A89" s="138">
        <v>3791</v>
      </c>
      <c r="B89" s="150" t="s">
        <v>184</v>
      </c>
      <c r="C89" s="151">
        <v>6000</v>
      </c>
      <c r="D89" s="152"/>
      <c r="E89" s="135">
        <f t="shared" si="16"/>
        <v>6000</v>
      </c>
      <c r="F89" s="135"/>
      <c r="G89" s="130"/>
      <c r="H89" s="130"/>
      <c r="I89" s="130">
        <f t="shared" si="17"/>
        <v>0</v>
      </c>
      <c r="J89" s="130"/>
      <c r="K89" s="130"/>
      <c r="L89" s="130"/>
      <c r="M89" s="130"/>
      <c r="N89" s="130">
        <f t="shared" si="11"/>
        <v>545.4545454545455</v>
      </c>
      <c r="O89" s="130"/>
      <c r="P89" s="130">
        <f t="shared" si="18"/>
        <v>545.4545454545455</v>
      </c>
      <c r="Q89" s="130">
        <v>54.5</v>
      </c>
      <c r="R89" s="130"/>
      <c r="S89" s="130"/>
      <c r="T89" s="130"/>
      <c r="U89" s="130">
        <f t="shared" si="15"/>
        <v>6000</v>
      </c>
      <c r="V89" s="130">
        <f t="shared" si="19"/>
        <v>0</v>
      </c>
      <c r="W89" s="130">
        <f t="shared" si="20"/>
        <v>6000</v>
      </c>
    </row>
    <row r="90" spans="1:23" s="131" customFormat="1" ht="15.75" x14ac:dyDescent="0.25">
      <c r="A90" s="138">
        <v>3821</v>
      </c>
      <c r="B90" s="150" t="s">
        <v>185</v>
      </c>
      <c r="C90" s="151">
        <v>14400</v>
      </c>
      <c r="D90" s="152"/>
      <c r="E90" s="135">
        <f t="shared" si="16"/>
        <v>14400</v>
      </c>
      <c r="F90" s="135"/>
      <c r="G90" s="130"/>
      <c r="H90" s="130"/>
      <c r="I90" s="130">
        <f t="shared" si="17"/>
        <v>0</v>
      </c>
      <c r="J90" s="130"/>
      <c r="K90" s="130"/>
      <c r="L90" s="130"/>
      <c r="M90" s="130"/>
      <c r="N90" s="130">
        <f t="shared" si="11"/>
        <v>1309.090909090909</v>
      </c>
      <c r="O90" s="130"/>
      <c r="P90" s="130">
        <f t="shared" si="18"/>
        <v>1309.090909090909</v>
      </c>
      <c r="Q90" s="130">
        <v>130.9</v>
      </c>
      <c r="R90" s="130"/>
      <c r="S90" s="130"/>
      <c r="T90" s="130"/>
      <c r="U90" s="130">
        <f t="shared" si="15"/>
        <v>14400</v>
      </c>
      <c r="V90" s="130">
        <f t="shared" si="19"/>
        <v>0</v>
      </c>
      <c r="W90" s="130">
        <f t="shared" si="20"/>
        <v>14400</v>
      </c>
    </row>
    <row r="91" spans="1:23" s="131" customFormat="1" ht="15" customHeight="1" x14ac:dyDescent="0.25">
      <c r="A91" s="138">
        <v>3822</v>
      </c>
      <c r="B91" s="150" t="s">
        <v>186</v>
      </c>
      <c r="C91" s="151">
        <v>15000</v>
      </c>
      <c r="D91" s="152"/>
      <c r="E91" s="135">
        <f t="shared" si="16"/>
        <v>15000</v>
      </c>
      <c r="F91" s="135"/>
      <c r="G91" s="130">
        <v>15330.52</v>
      </c>
      <c r="H91" s="130">
        <v>14884</v>
      </c>
      <c r="I91" s="130">
        <f t="shared" si="17"/>
        <v>446.52000000000044</v>
      </c>
      <c r="J91" s="130"/>
      <c r="K91" s="130"/>
      <c r="L91" s="130"/>
      <c r="M91" s="130"/>
      <c r="N91" s="130">
        <f>I91+(E91-G91)/11</f>
        <v>416.4727272727277</v>
      </c>
      <c r="O91" s="130">
        <v>1570</v>
      </c>
      <c r="P91" s="130">
        <f t="shared" si="18"/>
        <v>-1153.5272727272722</v>
      </c>
      <c r="Q91" s="130"/>
      <c r="R91" s="130">
        <v>1154</v>
      </c>
      <c r="S91" s="130"/>
      <c r="T91" s="130"/>
      <c r="U91" s="130">
        <f t="shared" si="15"/>
        <v>15000</v>
      </c>
      <c r="V91" s="130">
        <f t="shared" si="19"/>
        <v>16454</v>
      </c>
      <c r="W91" s="130">
        <f t="shared" si="20"/>
        <v>-1454</v>
      </c>
    </row>
    <row r="92" spans="1:23" s="131" customFormat="1" ht="15.75" x14ac:dyDescent="0.25">
      <c r="A92" s="138">
        <v>3921</v>
      </c>
      <c r="B92" s="150" t="s">
        <v>187</v>
      </c>
      <c r="C92" s="151">
        <v>226398.22399999999</v>
      </c>
      <c r="D92" s="152"/>
      <c r="E92" s="135">
        <f t="shared" si="16"/>
        <v>226398.22399999999</v>
      </c>
      <c r="F92" s="135"/>
      <c r="G92" s="130">
        <v>18863.419999999998</v>
      </c>
      <c r="H92" s="130">
        <v>18314.23</v>
      </c>
      <c r="I92" s="130">
        <f t="shared" si="17"/>
        <v>549.18999999999869</v>
      </c>
      <c r="J92" s="130"/>
      <c r="K92" s="130"/>
      <c r="L92" s="130"/>
      <c r="M92" s="130"/>
      <c r="N92" s="130">
        <f>I92+(E92-G92)/11</f>
        <v>19415.990363636363</v>
      </c>
      <c r="O92" s="130">
        <v>37026.79</v>
      </c>
      <c r="P92" s="130">
        <f t="shared" si="18"/>
        <v>-17610.799636363638</v>
      </c>
      <c r="Q92" s="130"/>
      <c r="R92" s="130">
        <v>17611</v>
      </c>
      <c r="S92" s="130"/>
      <c r="T92" s="130"/>
      <c r="U92" s="130">
        <f t="shared" si="15"/>
        <v>226398.22399999999</v>
      </c>
      <c r="V92" s="130">
        <f t="shared" si="19"/>
        <v>55341.020000000004</v>
      </c>
      <c r="W92" s="130">
        <f t="shared" si="20"/>
        <v>171057.20399999997</v>
      </c>
    </row>
    <row r="93" spans="1:23" s="131" customFormat="1" ht="15" customHeight="1" x14ac:dyDescent="0.25">
      <c r="A93" s="138">
        <v>3941</v>
      </c>
      <c r="B93" s="150" t="s">
        <v>188</v>
      </c>
      <c r="C93" s="151">
        <v>500000</v>
      </c>
      <c r="D93" s="152"/>
      <c r="E93" s="135">
        <f t="shared" si="16"/>
        <v>500000</v>
      </c>
      <c r="F93" s="135"/>
      <c r="G93" s="130"/>
      <c r="H93" s="130"/>
      <c r="I93" s="130">
        <f t="shared" si="17"/>
        <v>0</v>
      </c>
      <c r="J93" s="130"/>
      <c r="K93" s="130"/>
      <c r="L93" s="130"/>
      <c r="M93" s="130"/>
      <c r="N93" s="130">
        <f t="shared" ref="N93:N124" si="21">(E93-G93)/11</f>
        <v>45454.545454545456</v>
      </c>
      <c r="O93" s="130"/>
      <c r="P93" s="130">
        <f t="shared" si="18"/>
        <v>45454.545454545456</v>
      </c>
      <c r="Q93" s="130">
        <v>4545.5</v>
      </c>
      <c r="R93" s="130"/>
      <c r="S93" s="130"/>
      <c r="T93" s="130"/>
      <c r="U93" s="130">
        <f t="shared" si="15"/>
        <v>500000</v>
      </c>
      <c r="V93" s="130">
        <f t="shared" si="19"/>
        <v>0</v>
      </c>
      <c r="W93" s="130">
        <f t="shared" si="20"/>
        <v>500000</v>
      </c>
    </row>
    <row r="94" spans="1:23" s="131" customFormat="1" ht="15.75" x14ac:dyDescent="0.25">
      <c r="A94" s="138">
        <v>3944</v>
      </c>
      <c r="B94" s="150" t="s">
        <v>189</v>
      </c>
      <c r="C94" s="151">
        <v>50000</v>
      </c>
      <c r="D94" s="152"/>
      <c r="E94" s="135">
        <f t="shared" si="16"/>
        <v>50000</v>
      </c>
      <c r="F94" s="135"/>
      <c r="G94" s="130"/>
      <c r="H94" s="130"/>
      <c r="I94" s="130">
        <f t="shared" si="17"/>
        <v>0</v>
      </c>
      <c r="J94" s="130"/>
      <c r="K94" s="130"/>
      <c r="L94" s="130"/>
      <c r="M94" s="130"/>
      <c r="N94" s="130">
        <f t="shared" si="21"/>
        <v>4545.454545454545</v>
      </c>
      <c r="O94" s="130"/>
      <c r="P94" s="130">
        <f t="shared" si="18"/>
        <v>4545.454545454545</v>
      </c>
      <c r="Q94" s="130">
        <v>454.5</v>
      </c>
      <c r="R94" s="130"/>
      <c r="S94" s="130"/>
      <c r="T94" s="130"/>
      <c r="U94" s="130">
        <f t="shared" si="15"/>
        <v>50000</v>
      </c>
      <c r="V94" s="130">
        <f t="shared" si="19"/>
        <v>0</v>
      </c>
      <c r="W94" s="130">
        <f t="shared" si="20"/>
        <v>50000</v>
      </c>
    </row>
    <row r="95" spans="1:23" s="131" customFormat="1" ht="15" customHeight="1" x14ac:dyDescent="0.25">
      <c r="A95" s="138">
        <v>3981</v>
      </c>
      <c r="B95" s="150" t="s">
        <v>190</v>
      </c>
      <c r="C95" s="151">
        <v>750000</v>
      </c>
      <c r="D95" s="152"/>
      <c r="E95" s="135">
        <f t="shared" si="16"/>
        <v>750000</v>
      </c>
      <c r="F95" s="135"/>
      <c r="G95" s="130"/>
      <c r="H95" s="130"/>
      <c r="I95" s="130">
        <f t="shared" si="17"/>
        <v>0</v>
      </c>
      <c r="J95" s="130"/>
      <c r="K95" s="130"/>
      <c r="L95" s="130"/>
      <c r="M95" s="130"/>
      <c r="N95" s="130">
        <f t="shared" si="21"/>
        <v>68181.818181818177</v>
      </c>
      <c r="O95" s="130"/>
      <c r="P95" s="130">
        <f t="shared" si="18"/>
        <v>68181.818181818177</v>
      </c>
      <c r="Q95" s="130">
        <v>6818.2</v>
      </c>
      <c r="R95" s="130"/>
      <c r="S95" s="130"/>
      <c r="T95" s="130"/>
      <c r="U95" s="130">
        <f t="shared" si="15"/>
        <v>750000</v>
      </c>
      <c r="V95" s="130">
        <f t="shared" si="19"/>
        <v>0</v>
      </c>
      <c r="W95" s="130">
        <f t="shared" si="20"/>
        <v>750000</v>
      </c>
    </row>
    <row r="96" spans="1:23" s="131" customFormat="1" ht="15.75" x14ac:dyDescent="0.25">
      <c r="A96" s="138">
        <v>3993</v>
      </c>
      <c r="B96" s="150" t="s">
        <v>191</v>
      </c>
      <c r="C96" s="151">
        <f>53859.3536-14400</f>
        <v>39459.353600000002</v>
      </c>
      <c r="D96" s="152"/>
      <c r="E96" s="135">
        <f t="shared" si="16"/>
        <v>39459.353600000002</v>
      </c>
      <c r="F96" s="135"/>
      <c r="G96" s="130">
        <v>1325.61</v>
      </c>
      <c r="H96" s="130">
        <v>1286.6500000000001</v>
      </c>
      <c r="I96" s="130">
        <f t="shared" si="17"/>
        <v>38.959999999999809</v>
      </c>
      <c r="J96" s="130"/>
      <c r="K96" s="130"/>
      <c r="L96" s="130"/>
      <c r="M96" s="130"/>
      <c r="N96" s="130">
        <f>I96+(E96-G96)/11</f>
        <v>3505.6639636363634</v>
      </c>
      <c r="O96" s="130">
        <v>2485.9899999999998</v>
      </c>
      <c r="P96" s="130">
        <f t="shared" si="18"/>
        <v>1019.6739636363636</v>
      </c>
      <c r="Q96" s="130">
        <v>102</v>
      </c>
      <c r="R96" s="130"/>
      <c r="S96" s="130"/>
      <c r="T96" s="130"/>
      <c r="U96" s="130">
        <f t="shared" si="15"/>
        <v>39459.353600000002</v>
      </c>
      <c r="V96" s="130">
        <f t="shared" si="19"/>
        <v>3772.64</v>
      </c>
      <c r="W96" s="130">
        <f t="shared" si="20"/>
        <v>35686.713600000003</v>
      </c>
    </row>
    <row r="97" spans="1:23" s="157" customFormat="1" ht="15" customHeight="1" x14ac:dyDescent="0.25">
      <c r="A97" s="154"/>
      <c r="B97" s="154" t="s">
        <v>192</v>
      </c>
      <c r="C97" s="155">
        <f>SUM(C59:C96)</f>
        <v>8195570.5328000002</v>
      </c>
      <c r="D97" s="155">
        <f>SUM(D59:D96)</f>
        <v>6473169</v>
      </c>
      <c r="E97" s="155">
        <f t="shared" ref="E97:W97" si="22">SUM(E59:E96)</f>
        <v>14668739.532799998</v>
      </c>
      <c r="F97" s="155"/>
      <c r="G97" s="155">
        <f t="shared" si="22"/>
        <v>248546.33999999997</v>
      </c>
      <c r="H97" s="155">
        <f t="shared" si="22"/>
        <v>225545.69000000003</v>
      </c>
      <c r="I97" s="155">
        <f t="shared" si="22"/>
        <v>23000.649999999998</v>
      </c>
      <c r="J97" s="156">
        <f t="shared" si="22"/>
        <v>931</v>
      </c>
      <c r="K97" s="156">
        <f t="shared" si="22"/>
        <v>12488</v>
      </c>
      <c r="L97" s="156">
        <f t="shared" si="22"/>
        <v>0</v>
      </c>
      <c r="M97" s="156">
        <f t="shared" si="22"/>
        <v>0</v>
      </c>
      <c r="N97" s="155">
        <f t="shared" si="22"/>
        <v>1345485.3738909087</v>
      </c>
      <c r="O97" s="155">
        <f t="shared" si="22"/>
        <v>972262.43</v>
      </c>
      <c r="P97" s="155">
        <f t="shared" si="22"/>
        <v>373222.94389090897</v>
      </c>
      <c r="Q97" s="155">
        <f t="shared" si="22"/>
        <v>110707.59999999999</v>
      </c>
      <c r="R97" s="155">
        <f t="shared" si="22"/>
        <v>110708</v>
      </c>
      <c r="S97" s="155">
        <f t="shared" si="22"/>
        <v>623145</v>
      </c>
      <c r="T97" s="155">
        <f t="shared" si="22"/>
        <v>0</v>
      </c>
      <c r="U97" s="156">
        <f t="shared" si="22"/>
        <v>14668739.532799998</v>
      </c>
      <c r="V97" s="156">
        <f t="shared" si="22"/>
        <v>1197808.1200000001</v>
      </c>
      <c r="W97" s="156">
        <f t="shared" si="22"/>
        <v>13470931.412799999</v>
      </c>
    </row>
    <row r="98" spans="1:23" s="131" customFormat="1" ht="30" x14ac:dyDescent="0.25">
      <c r="A98" s="158">
        <v>4412</v>
      </c>
      <c r="B98" s="159" t="s">
        <v>193</v>
      </c>
      <c r="C98" s="160">
        <v>100000</v>
      </c>
      <c r="D98" s="135">
        <v>0</v>
      </c>
      <c r="E98" s="148">
        <f t="shared" ref="E98:E125" si="23">C98+D98</f>
        <v>100000</v>
      </c>
      <c r="F98" s="148"/>
      <c r="G98" s="130"/>
      <c r="H98" s="130"/>
      <c r="I98" s="130">
        <f t="shared" si="17"/>
        <v>0</v>
      </c>
      <c r="J98" s="130"/>
      <c r="K98" s="130"/>
      <c r="L98" s="130"/>
      <c r="M98" s="130"/>
      <c r="N98" s="130">
        <f t="shared" si="21"/>
        <v>9090.9090909090901</v>
      </c>
      <c r="O98" s="130"/>
      <c r="P98" s="130">
        <f t="shared" si="18"/>
        <v>9090.9090909090901</v>
      </c>
      <c r="Q98" s="130"/>
      <c r="R98" s="130"/>
      <c r="S98" s="130"/>
      <c r="T98" s="130"/>
      <c r="U98" s="130">
        <f>C98+D98</f>
        <v>100000</v>
      </c>
      <c r="V98" s="130">
        <f t="shared" si="19"/>
        <v>0</v>
      </c>
      <c r="W98" s="130">
        <f t="shared" si="20"/>
        <v>100000</v>
      </c>
    </row>
    <row r="99" spans="1:23" s="131" customFormat="1" ht="15.75" x14ac:dyDescent="0.25">
      <c r="A99" s="158">
        <v>4413</v>
      </c>
      <c r="B99" s="159" t="s">
        <v>194</v>
      </c>
      <c r="C99" s="160"/>
      <c r="D99" s="135">
        <v>2700000</v>
      </c>
      <c r="E99" s="148">
        <f t="shared" si="23"/>
        <v>2700000</v>
      </c>
      <c r="F99" s="148"/>
      <c r="G99" s="130"/>
      <c r="H99" s="130"/>
      <c r="I99" s="130">
        <f t="shared" si="17"/>
        <v>0</v>
      </c>
      <c r="J99" s="130"/>
      <c r="K99" s="130"/>
      <c r="L99" s="130"/>
      <c r="M99" s="130"/>
      <c r="N99" s="130">
        <f t="shared" si="21"/>
        <v>245454.54545454544</v>
      </c>
      <c r="O99" s="130"/>
      <c r="P99" s="130">
        <f t="shared" si="18"/>
        <v>245454.54545454544</v>
      </c>
      <c r="Q99" s="130"/>
      <c r="R99" s="130"/>
      <c r="S99" s="130"/>
      <c r="T99" s="130"/>
      <c r="U99" s="130">
        <f>C99+D99</f>
        <v>2700000</v>
      </c>
      <c r="V99" s="130">
        <f t="shared" si="19"/>
        <v>0</v>
      </c>
      <c r="W99" s="130">
        <f t="shared" si="20"/>
        <v>2700000</v>
      </c>
    </row>
    <row r="100" spans="1:23" s="131" customFormat="1" ht="15.75" x14ac:dyDescent="0.25">
      <c r="A100" s="158">
        <v>4421</v>
      </c>
      <c r="B100" s="159" t="s">
        <v>195</v>
      </c>
      <c r="C100" s="160">
        <f>150000+200000</f>
        <v>350000</v>
      </c>
      <c r="D100" s="135">
        <f>6897153-1000000</f>
        <v>5897153</v>
      </c>
      <c r="E100" s="148">
        <f t="shared" si="23"/>
        <v>6247153</v>
      </c>
      <c r="F100" s="148"/>
      <c r="G100" s="130"/>
      <c r="H100" s="130"/>
      <c r="I100" s="130">
        <f t="shared" si="17"/>
        <v>0</v>
      </c>
      <c r="J100" s="130"/>
      <c r="K100" s="130"/>
      <c r="L100" s="130"/>
      <c r="M100" s="130"/>
      <c r="N100" s="130">
        <f t="shared" si="21"/>
        <v>567923</v>
      </c>
      <c r="O100" s="130"/>
      <c r="P100" s="130">
        <f t="shared" si="18"/>
        <v>567923</v>
      </c>
      <c r="Q100" s="130"/>
      <c r="R100" s="130"/>
      <c r="S100" s="130"/>
      <c r="T100" s="130"/>
      <c r="U100" s="130">
        <f>C100+D100</f>
        <v>6247153</v>
      </c>
      <c r="V100" s="130">
        <f t="shared" si="19"/>
        <v>0</v>
      </c>
      <c r="W100" s="130">
        <f t="shared" si="20"/>
        <v>6247153</v>
      </c>
    </row>
    <row r="101" spans="1:23" s="166" customFormat="1" ht="15" customHeight="1" x14ac:dyDescent="0.25">
      <c r="A101" s="161"/>
      <c r="B101" s="162"/>
      <c r="C101" s="163"/>
      <c r="D101" s="135"/>
      <c r="E101" s="164">
        <f t="shared" si="23"/>
        <v>0</v>
      </c>
      <c r="F101" s="164"/>
      <c r="G101" s="130">
        <f>E101/12</f>
        <v>0</v>
      </c>
      <c r="H101" s="165"/>
      <c r="I101" s="130">
        <f t="shared" si="17"/>
        <v>0</v>
      </c>
      <c r="J101" s="165"/>
      <c r="K101" s="165"/>
      <c r="L101" s="165"/>
      <c r="M101" s="165"/>
      <c r="N101" s="130">
        <f t="shared" si="21"/>
        <v>0</v>
      </c>
      <c r="O101" s="165"/>
      <c r="P101" s="130">
        <f t="shared" si="18"/>
        <v>0</v>
      </c>
      <c r="Q101" s="165"/>
      <c r="R101" s="165"/>
      <c r="S101" s="165"/>
      <c r="T101" s="165"/>
      <c r="U101" s="130">
        <f>C101+D101</f>
        <v>0</v>
      </c>
      <c r="V101" s="130">
        <f t="shared" si="19"/>
        <v>0</v>
      </c>
      <c r="W101" s="130">
        <f t="shared" si="20"/>
        <v>0</v>
      </c>
    </row>
    <row r="102" spans="1:23" s="166" customFormat="1" ht="15.75" x14ac:dyDescent="0.25">
      <c r="A102" s="167"/>
      <c r="B102" s="168" t="s">
        <v>196</v>
      </c>
      <c r="C102" s="169">
        <f>SUM(C98:C101)</f>
        <v>450000</v>
      </c>
      <c r="D102" s="169">
        <f>SUM(D98:D101)</f>
        <v>8597153</v>
      </c>
      <c r="E102" s="169">
        <f>SUM(E98:E101)</f>
        <v>9047153</v>
      </c>
      <c r="F102" s="169"/>
      <c r="G102" s="169">
        <f t="shared" ref="G102:W102" si="24">SUM(G98:G101)</f>
        <v>0</v>
      </c>
      <c r="H102" s="169">
        <f t="shared" si="24"/>
        <v>0</v>
      </c>
      <c r="I102" s="169">
        <f t="shared" si="24"/>
        <v>0</v>
      </c>
      <c r="J102" s="169">
        <f t="shared" si="24"/>
        <v>0</v>
      </c>
      <c r="K102" s="169">
        <f t="shared" si="24"/>
        <v>0</v>
      </c>
      <c r="L102" s="169">
        <f t="shared" si="24"/>
        <v>0</v>
      </c>
      <c r="M102" s="169">
        <f t="shared" si="24"/>
        <v>0</v>
      </c>
      <c r="N102" s="169">
        <f t="shared" si="24"/>
        <v>822468.45454545459</v>
      </c>
      <c r="O102" s="169">
        <f t="shared" si="24"/>
        <v>0</v>
      </c>
      <c r="P102" s="169">
        <f t="shared" si="24"/>
        <v>822468.45454545459</v>
      </c>
      <c r="Q102" s="169">
        <f t="shared" si="24"/>
        <v>0</v>
      </c>
      <c r="R102" s="169">
        <f t="shared" si="24"/>
        <v>0</v>
      </c>
      <c r="S102" s="169">
        <f t="shared" si="24"/>
        <v>0</v>
      </c>
      <c r="T102" s="169">
        <f t="shared" si="24"/>
        <v>0</v>
      </c>
      <c r="U102" s="169">
        <f t="shared" si="24"/>
        <v>9047153</v>
      </c>
      <c r="V102" s="169">
        <f t="shared" si="24"/>
        <v>0</v>
      </c>
      <c r="W102" s="169">
        <f t="shared" si="24"/>
        <v>9047153</v>
      </c>
    </row>
    <row r="103" spans="1:23" s="131" customFormat="1" ht="15" customHeight="1" x14ac:dyDescent="0.25">
      <c r="A103" s="138">
        <v>5111</v>
      </c>
      <c r="B103" s="146" t="s">
        <v>84</v>
      </c>
      <c r="C103" s="135">
        <v>250000</v>
      </c>
      <c r="D103" s="135"/>
      <c r="E103" s="135">
        <f t="shared" si="23"/>
        <v>250000</v>
      </c>
      <c r="F103" s="135"/>
      <c r="G103" s="130"/>
      <c r="H103" s="130"/>
      <c r="I103" s="130">
        <f t="shared" si="17"/>
        <v>0</v>
      </c>
      <c r="J103" s="130"/>
      <c r="K103" s="130"/>
      <c r="L103" s="130"/>
      <c r="M103" s="130"/>
      <c r="N103" s="130">
        <f t="shared" si="21"/>
        <v>22727.272727272728</v>
      </c>
      <c r="O103" s="130"/>
      <c r="P103" s="130">
        <f t="shared" si="18"/>
        <v>22727.272727272728</v>
      </c>
      <c r="Q103" s="130"/>
      <c r="R103" s="130"/>
      <c r="S103" s="130"/>
      <c r="T103" s="130"/>
      <c r="U103" s="130">
        <f t="shared" ref="U103:U115" si="25">C103+D103</f>
        <v>250000</v>
      </c>
      <c r="V103" s="130">
        <f t="shared" si="19"/>
        <v>0</v>
      </c>
      <c r="W103" s="130">
        <f t="shared" si="20"/>
        <v>250000</v>
      </c>
    </row>
    <row r="104" spans="1:23" s="131" customFormat="1" ht="15.75" x14ac:dyDescent="0.25">
      <c r="A104" s="138">
        <v>5121</v>
      </c>
      <c r="B104" s="146" t="s">
        <v>85</v>
      </c>
      <c r="C104" s="135">
        <f>1000000+250000</f>
        <v>1250000</v>
      </c>
      <c r="D104" s="135">
        <f>350000-178139.77</f>
        <v>171860.23</v>
      </c>
      <c r="E104" s="135">
        <f t="shared" si="23"/>
        <v>1421860.23</v>
      </c>
      <c r="F104" s="135"/>
      <c r="G104" s="130">
        <v>6318.02</v>
      </c>
      <c r="H104" s="130">
        <v>6134.08</v>
      </c>
      <c r="I104" s="130">
        <f t="shared" si="17"/>
        <v>183.94000000000051</v>
      </c>
      <c r="J104" s="130"/>
      <c r="K104" s="130"/>
      <c r="L104" s="130"/>
      <c r="M104" s="130"/>
      <c r="N104" s="130">
        <f>I104+(E104-G104)/11</f>
        <v>128869.59545454546</v>
      </c>
      <c r="O104" s="130">
        <v>31701.06</v>
      </c>
      <c r="P104" s="130">
        <f t="shared" si="18"/>
        <v>97168.535454545461</v>
      </c>
      <c r="Q104" s="130"/>
      <c r="R104" s="130"/>
      <c r="S104" s="130"/>
      <c r="T104" s="130"/>
      <c r="U104" s="130">
        <f t="shared" si="25"/>
        <v>1421860.23</v>
      </c>
      <c r="V104" s="130">
        <f t="shared" si="19"/>
        <v>37835.14</v>
      </c>
      <c r="W104" s="130">
        <f t="shared" si="20"/>
        <v>1384025.09</v>
      </c>
    </row>
    <row r="105" spans="1:23" s="131" customFormat="1" ht="15" customHeight="1" x14ac:dyDescent="0.25">
      <c r="A105" s="138">
        <v>5151</v>
      </c>
      <c r="B105" s="146" t="s">
        <v>86</v>
      </c>
      <c r="C105" s="135">
        <f>215800+825000-52192.3+250000</f>
        <v>1238607.7</v>
      </c>
      <c r="D105" s="135">
        <v>0</v>
      </c>
      <c r="E105" s="135">
        <f t="shared" si="23"/>
        <v>1238607.7</v>
      </c>
      <c r="F105" s="135"/>
      <c r="G105" s="130"/>
      <c r="H105" s="130"/>
      <c r="I105" s="130">
        <f t="shared" si="17"/>
        <v>0</v>
      </c>
      <c r="J105" s="130"/>
      <c r="K105" s="130"/>
      <c r="L105" s="130"/>
      <c r="M105" s="130"/>
      <c r="N105" s="130">
        <f t="shared" si="21"/>
        <v>112600.7</v>
      </c>
      <c r="O105" s="130">
        <v>66027.199999999997</v>
      </c>
      <c r="P105" s="130">
        <f t="shared" si="18"/>
        <v>46573.5</v>
      </c>
      <c r="Q105" s="130"/>
      <c r="R105" s="130"/>
      <c r="S105" s="130"/>
      <c r="T105" s="130"/>
      <c r="U105" s="130">
        <f t="shared" si="25"/>
        <v>1238607.7</v>
      </c>
      <c r="V105" s="130">
        <f t="shared" si="19"/>
        <v>66027.199999999997</v>
      </c>
      <c r="W105" s="130">
        <f t="shared" si="20"/>
        <v>1172580.5</v>
      </c>
    </row>
    <row r="106" spans="1:23" s="131" customFormat="1" ht="15.75" x14ac:dyDescent="0.25">
      <c r="A106" s="138">
        <v>5191</v>
      </c>
      <c r="B106" s="146" t="s">
        <v>87</v>
      </c>
      <c r="C106" s="135">
        <v>0</v>
      </c>
      <c r="D106" s="135">
        <v>15000</v>
      </c>
      <c r="E106" s="135">
        <f t="shared" si="23"/>
        <v>15000</v>
      </c>
      <c r="F106" s="135"/>
      <c r="G106" s="130"/>
      <c r="H106" s="130"/>
      <c r="I106" s="130">
        <f t="shared" si="17"/>
        <v>0</v>
      </c>
      <c r="J106" s="130"/>
      <c r="K106" s="130"/>
      <c r="L106" s="130"/>
      <c r="M106" s="130"/>
      <c r="N106" s="130">
        <f t="shared" si="21"/>
        <v>1363.6363636363637</v>
      </c>
      <c r="O106" s="130"/>
      <c r="P106" s="130">
        <f t="shared" si="18"/>
        <v>1363.6363636363637</v>
      </c>
      <c r="Q106" s="130"/>
      <c r="R106" s="130"/>
      <c r="S106" s="130"/>
      <c r="T106" s="130"/>
      <c r="U106" s="130">
        <f t="shared" si="25"/>
        <v>15000</v>
      </c>
      <c r="V106" s="130">
        <f t="shared" si="19"/>
        <v>0</v>
      </c>
      <c r="W106" s="130">
        <f t="shared" si="20"/>
        <v>15000</v>
      </c>
    </row>
    <row r="107" spans="1:23" s="131" customFormat="1" ht="15" customHeight="1" x14ac:dyDescent="0.25">
      <c r="A107" s="138">
        <v>5211</v>
      </c>
      <c r="B107" s="146" t="s">
        <v>88</v>
      </c>
      <c r="C107" s="152"/>
      <c r="D107" s="135">
        <v>0</v>
      </c>
      <c r="E107" s="135">
        <f t="shared" si="23"/>
        <v>0</v>
      </c>
      <c r="F107" s="135"/>
      <c r="G107" s="130"/>
      <c r="H107" s="130"/>
      <c r="I107" s="130">
        <f t="shared" si="17"/>
        <v>0</v>
      </c>
      <c r="J107" s="130"/>
      <c r="K107" s="130"/>
      <c r="L107" s="130"/>
      <c r="M107" s="130"/>
      <c r="N107" s="130">
        <f t="shared" si="21"/>
        <v>0</v>
      </c>
      <c r="O107" s="130"/>
      <c r="P107" s="130">
        <f t="shared" si="18"/>
        <v>0</v>
      </c>
      <c r="Q107" s="130"/>
      <c r="R107" s="130"/>
      <c r="S107" s="130"/>
      <c r="T107" s="130"/>
      <c r="U107" s="130">
        <f t="shared" si="25"/>
        <v>0</v>
      </c>
      <c r="V107" s="130">
        <f t="shared" si="19"/>
        <v>0</v>
      </c>
      <c r="W107" s="130">
        <f t="shared" si="20"/>
        <v>0</v>
      </c>
    </row>
    <row r="108" spans="1:23" s="131" customFormat="1" ht="15.75" x14ac:dyDescent="0.25">
      <c r="A108" s="138">
        <v>5291</v>
      </c>
      <c r="B108" s="170" t="s">
        <v>197</v>
      </c>
      <c r="C108" s="152"/>
      <c r="D108" s="135">
        <v>0</v>
      </c>
      <c r="E108" s="135">
        <f t="shared" si="23"/>
        <v>0</v>
      </c>
      <c r="F108" s="135"/>
      <c r="G108" s="130"/>
      <c r="H108" s="130"/>
      <c r="I108" s="130">
        <f t="shared" si="17"/>
        <v>0</v>
      </c>
      <c r="J108" s="130"/>
      <c r="K108" s="130"/>
      <c r="L108" s="130"/>
      <c r="M108" s="130"/>
      <c r="N108" s="130">
        <f t="shared" si="21"/>
        <v>0</v>
      </c>
      <c r="O108" s="130"/>
      <c r="P108" s="130">
        <f t="shared" si="18"/>
        <v>0</v>
      </c>
      <c r="Q108" s="130"/>
      <c r="R108" s="130"/>
      <c r="S108" s="130"/>
      <c r="T108" s="130"/>
      <c r="U108" s="130">
        <f t="shared" si="25"/>
        <v>0</v>
      </c>
      <c r="V108" s="130">
        <f t="shared" si="19"/>
        <v>0</v>
      </c>
      <c r="W108" s="130">
        <f t="shared" si="20"/>
        <v>0</v>
      </c>
    </row>
    <row r="109" spans="1:23" s="131" customFormat="1" ht="15" customHeight="1" x14ac:dyDescent="0.25">
      <c r="A109" s="138">
        <v>5311</v>
      </c>
      <c r="B109" s="170" t="s">
        <v>198</v>
      </c>
      <c r="C109" s="135">
        <v>300000</v>
      </c>
      <c r="D109" s="135">
        <f>4814972.24-15600-4099372</f>
        <v>700000.24000000022</v>
      </c>
      <c r="E109" s="135">
        <f t="shared" si="23"/>
        <v>1000000.2400000002</v>
      </c>
      <c r="F109" s="135"/>
      <c r="G109" s="130"/>
      <c r="H109" s="130"/>
      <c r="I109" s="130">
        <f t="shared" si="17"/>
        <v>0</v>
      </c>
      <c r="J109" s="130"/>
      <c r="K109" s="130"/>
      <c r="L109" s="130"/>
      <c r="M109" s="130"/>
      <c r="N109" s="130">
        <f t="shared" si="21"/>
        <v>90909.112727272746</v>
      </c>
      <c r="O109" s="130"/>
      <c r="P109" s="130">
        <f t="shared" si="18"/>
        <v>90909.112727272746</v>
      </c>
      <c r="Q109" s="130"/>
      <c r="R109" s="130"/>
      <c r="S109" s="130"/>
      <c r="T109" s="130"/>
      <c r="U109" s="130">
        <f t="shared" si="25"/>
        <v>1000000.2400000002</v>
      </c>
      <c r="V109" s="130">
        <f t="shared" si="19"/>
        <v>0</v>
      </c>
      <c r="W109" s="130">
        <f t="shared" si="20"/>
        <v>1000000.2400000002</v>
      </c>
    </row>
    <row r="110" spans="1:23" s="131" customFormat="1" ht="15.75" x14ac:dyDescent="0.25">
      <c r="A110" s="138">
        <v>5621</v>
      </c>
      <c r="B110" s="146" t="s">
        <v>89</v>
      </c>
      <c r="C110" s="135">
        <v>500000</v>
      </c>
      <c r="D110" s="135">
        <v>0</v>
      </c>
      <c r="E110" s="135">
        <f t="shared" si="23"/>
        <v>500000</v>
      </c>
      <c r="F110" s="135"/>
      <c r="G110" s="130"/>
      <c r="H110" s="130"/>
      <c r="I110" s="130">
        <f t="shared" si="17"/>
        <v>0</v>
      </c>
      <c r="J110" s="130"/>
      <c r="K110" s="130"/>
      <c r="L110" s="130"/>
      <c r="M110" s="130"/>
      <c r="N110" s="130">
        <f t="shared" si="21"/>
        <v>45454.545454545456</v>
      </c>
      <c r="O110" s="130"/>
      <c r="P110" s="130">
        <f t="shared" si="18"/>
        <v>45454.545454545456</v>
      </c>
      <c r="Q110" s="130"/>
      <c r="R110" s="130"/>
      <c r="S110" s="130"/>
      <c r="T110" s="130"/>
      <c r="U110" s="130">
        <f t="shared" si="25"/>
        <v>500000</v>
      </c>
      <c r="V110" s="130">
        <f t="shared" si="19"/>
        <v>0</v>
      </c>
      <c r="W110" s="130">
        <f t="shared" si="20"/>
        <v>500000</v>
      </c>
    </row>
    <row r="111" spans="1:23" s="131" customFormat="1" ht="15" customHeight="1" x14ac:dyDescent="0.25">
      <c r="A111" s="138">
        <v>5641</v>
      </c>
      <c r="B111" s="146" t="s">
        <v>199</v>
      </c>
      <c r="C111" s="135">
        <f>1500000-291261.22</f>
        <v>1208738.78</v>
      </c>
      <c r="D111" s="135">
        <v>425000</v>
      </c>
      <c r="E111" s="135">
        <f t="shared" si="23"/>
        <v>1633738.78</v>
      </c>
      <c r="F111" s="135"/>
      <c r="G111" s="130"/>
      <c r="H111" s="130"/>
      <c r="I111" s="130">
        <f t="shared" si="17"/>
        <v>0</v>
      </c>
      <c r="J111" s="130"/>
      <c r="K111" s="130"/>
      <c r="L111" s="130"/>
      <c r="M111" s="130"/>
      <c r="N111" s="130">
        <f t="shared" si="21"/>
        <v>148521.70727272728</v>
      </c>
      <c r="O111" s="130"/>
      <c r="P111" s="130">
        <f t="shared" si="18"/>
        <v>148521.70727272728</v>
      </c>
      <c r="Q111" s="130"/>
      <c r="R111" s="130"/>
      <c r="S111" s="130"/>
      <c r="T111" s="130"/>
      <c r="U111" s="130">
        <f t="shared" si="25"/>
        <v>1633738.78</v>
      </c>
      <c r="V111" s="130">
        <f t="shared" si="19"/>
        <v>0</v>
      </c>
      <c r="W111" s="130">
        <f t="shared" si="20"/>
        <v>1633738.78</v>
      </c>
    </row>
    <row r="112" spans="1:23" s="131" customFormat="1" ht="15.75" x14ac:dyDescent="0.25">
      <c r="A112" s="138">
        <v>5661</v>
      </c>
      <c r="B112" s="146" t="s">
        <v>200</v>
      </c>
      <c r="C112" s="135">
        <v>1200000</v>
      </c>
      <c r="D112" s="135"/>
      <c r="E112" s="135">
        <f t="shared" si="23"/>
        <v>1200000</v>
      </c>
      <c r="F112" s="135"/>
      <c r="G112" s="130"/>
      <c r="H112" s="130"/>
      <c r="I112" s="130">
        <f t="shared" si="17"/>
        <v>0</v>
      </c>
      <c r="J112" s="130"/>
      <c r="K112" s="130"/>
      <c r="L112" s="130"/>
      <c r="M112" s="130"/>
      <c r="N112" s="130">
        <f t="shared" si="21"/>
        <v>109090.90909090909</v>
      </c>
      <c r="O112" s="130"/>
      <c r="P112" s="130">
        <f t="shared" si="18"/>
        <v>109090.90909090909</v>
      </c>
      <c r="Q112" s="130"/>
      <c r="R112" s="130"/>
      <c r="S112" s="130"/>
      <c r="T112" s="130"/>
      <c r="U112" s="130">
        <f t="shared" si="25"/>
        <v>1200000</v>
      </c>
      <c r="V112" s="130">
        <f t="shared" si="19"/>
        <v>0</v>
      </c>
      <c r="W112" s="130">
        <f t="shared" si="20"/>
        <v>1200000</v>
      </c>
    </row>
    <row r="113" spans="1:23" s="131" customFormat="1" ht="15" customHeight="1" x14ac:dyDescent="0.25">
      <c r="A113" s="138">
        <v>5411</v>
      </c>
      <c r="B113" s="146" t="s">
        <v>201</v>
      </c>
      <c r="C113" s="135">
        <v>565000</v>
      </c>
      <c r="D113" s="135"/>
      <c r="E113" s="135">
        <f t="shared" si="23"/>
        <v>565000</v>
      </c>
      <c r="F113" s="135"/>
      <c r="G113" s="130"/>
      <c r="H113" s="130"/>
      <c r="I113" s="130">
        <f t="shared" si="17"/>
        <v>0</v>
      </c>
      <c r="J113" s="130"/>
      <c r="K113" s="130"/>
      <c r="L113" s="130"/>
      <c r="M113" s="130"/>
      <c r="N113" s="130">
        <f t="shared" si="21"/>
        <v>51363.63636363636</v>
      </c>
      <c r="O113" s="130"/>
      <c r="P113" s="130">
        <f t="shared" si="18"/>
        <v>51363.63636363636</v>
      </c>
      <c r="Q113" s="130"/>
      <c r="R113" s="130"/>
      <c r="S113" s="130"/>
      <c r="T113" s="130"/>
      <c r="U113" s="130">
        <f t="shared" si="25"/>
        <v>565000</v>
      </c>
      <c r="V113" s="130">
        <f t="shared" si="19"/>
        <v>0</v>
      </c>
      <c r="W113" s="130">
        <f t="shared" si="20"/>
        <v>565000</v>
      </c>
    </row>
    <row r="114" spans="1:23" s="131" customFormat="1" ht="15.75" x14ac:dyDescent="0.25">
      <c r="A114" s="138">
        <v>5911</v>
      </c>
      <c r="B114" s="146" t="s">
        <v>92</v>
      </c>
      <c r="C114" s="135">
        <f>25000+25000</f>
        <v>50000</v>
      </c>
      <c r="D114" s="135">
        <v>0</v>
      </c>
      <c r="E114" s="135">
        <f t="shared" si="23"/>
        <v>50000</v>
      </c>
      <c r="F114" s="135"/>
      <c r="G114" s="130"/>
      <c r="H114" s="130"/>
      <c r="I114" s="130">
        <f t="shared" si="17"/>
        <v>0</v>
      </c>
      <c r="J114" s="130"/>
      <c r="K114" s="130"/>
      <c r="L114" s="130"/>
      <c r="M114" s="130"/>
      <c r="N114" s="130">
        <f t="shared" si="21"/>
        <v>4545.454545454545</v>
      </c>
      <c r="O114" s="130"/>
      <c r="P114" s="130">
        <f t="shared" si="18"/>
        <v>4545.454545454545</v>
      </c>
      <c r="Q114" s="130"/>
      <c r="R114" s="130"/>
      <c r="S114" s="130"/>
      <c r="T114" s="130"/>
      <c r="U114" s="130">
        <f t="shared" si="25"/>
        <v>50000</v>
      </c>
      <c r="V114" s="130">
        <f t="shared" si="19"/>
        <v>0</v>
      </c>
      <c r="W114" s="130">
        <f t="shared" si="20"/>
        <v>50000</v>
      </c>
    </row>
    <row r="115" spans="1:23" s="131" customFormat="1" ht="15.75" x14ac:dyDescent="0.25">
      <c r="A115" s="138">
        <v>5971</v>
      </c>
      <c r="B115" s="146" t="s">
        <v>93</v>
      </c>
      <c r="C115" s="135">
        <v>350000</v>
      </c>
      <c r="D115" s="135">
        <v>0</v>
      </c>
      <c r="E115" s="135">
        <f t="shared" si="23"/>
        <v>350000</v>
      </c>
      <c r="F115" s="135"/>
      <c r="G115" s="130"/>
      <c r="H115" s="130"/>
      <c r="I115" s="130">
        <f t="shared" si="17"/>
        <v>0</v>
      </c>
      <c r="J115" s="130"/>
      <c r="K115" s="130"/>
      <c r="L115" s="130"/>
      <c r="M115" s="130"/>
      <c r="N115" s="130">
        <f t="shared" si="21"/>
        <v>31818.18181818182</v>
      </c>
      <c r="O115" s="130"/>
      <c r="P115" s="130">
        <f t="shared" si="18"/>
        <v>31818.18181818182</v>
      </c>
      <c r="Q115" s="130"/>
      <c r="R115" s="130"/>
      <c r="S115" s="130"/>
      <c r="T115" s="130"/>
      <c r="U115" s="130">
        <f t="shared" si="25"/>
        <v>350000</v>
      </c>
      <c r="V115" s="130">
        <f t="shared" si="19"/>
        <v>0</v>
      </c>
      <c r="W115" s="130">
        <f t="shared" si="20"/>
        <v>350000</v>
      </c>
    </row>
    <row r="116" spans="1:23" s="166" customFormat="1" ht="15.75" x14ac:dyDescent="0.25">
      <c r="A116" s="167"/>
      <c r="B116" s="168" t="s">
        <v>202</v>
      </c>
      <c r="C116" s="156">
        <f>SUM(C103:C115)</f>
        <v>6912346.4800000004</v>
      </c>
      <c r="D116" s="156">
        <f>SUM(D103:D115)</f>
        <v>1311860.4700000002</v>
      </c>
      <c r="E116" s="156">
        <f>C116+D116</f>
        <v>8224206.9500000011</v>
      </c>
      <c r="F116" s="156"/>
      <c r="G116" s="156">
        <f>SUM(G103:G115)</f>
        <v>6318.02</v>
      </c>
      <c r="H116" s="156"/>
      <c r="I116" s="169">
        <f>SUM(I103:I115)</f>
        <v>183.94000000000051</v>
      </c>
      <c r="J116" s="169">
        <f t="shared" ref="J116:W116" si="26">SUM(J103:J115)</f>
        <v>0</v>
      </c>
      <c r="K116" s="169">
        <f t="shared" si="26"/>
        <v>0</v>
      </c>
      <c r="L116" s="169">
        <f t="shared" si="26"/>
        <v>0</v>
      </c>
      <c r="M116" s="169">
        <f t="shared" si="26"/>
        <v>0</v>
      </c>
      <c r="N116" s="156">
        <f t="shared" si="26"/>
        <v>747264.75181818183</v>
      </c>
      <c r="O116" s="156">
        <f t="shared" si="26"/>
        <v>97728.26</v>
      </c>
      <c r="P116" s="156">
        <f t="shared" si="26"/>
        <v>649536.49181818182</v>
      </c>
      <c r="Q116" s="156">
        <f t="shared" si="26"/>
        <v>0</v>
      </c>
      <c r="R116" s="156">
        <f t="shared" si="26"/>
        <v>0</v>
      </c>
      <c r="S116" s="156">
        <f t="shared" si="26"/>
        <v>0</v>
      </c>
      <c r="T116" s="156">
        <f t="shared" si="26"/>
        <v>0</v>
      </c>
      <c r="U116" s="169">
        <f>SUM(U103:U115)</f>
        <v>8224206.9500000002</v>
      </c>
      <c r="V116" s="169">
        <f t="shared" si="26"/>
        <v>103862.34</v>
      </c>
      <c r="W116" s="169">
        <f t="shared" si="26"/>
        <v>8120344.6100000003</v>
      </c>
    </row>
    <row r="117" spans="1:23" s="166" customFormat="1" ht="15.75" x14ac:dyDescent="0.25">
      <c r="A117" s="171">
        <v>6171</v>
      </c>
      <c r="B117" s="159" t="s">
        <v>203</v>
      </c>
      <c r="C117" s="160"/>
      <c r="D117" s="172"/>
      <c r="E117" s="164">
        <f t="shared" si="23"/>
        <v>0</v>
      </c>
      <c r="F117" s="164"/>
      <c r="G117" s="130">
        <f>E117/12</f>
        <v>0</v>
      </c>
      <c r="H117" s="165"/>
      <c r="I117" s="130">
        <f t="shared" si="17"/>
        <v>0</v>
      </c>
      <c r="J117" s="165"/>
      <c r="K117" s="165"/>
      <c r="L117" s="165"/>
      <c r="M117" s="165"/>
      <c r="N117" s="130">
        <f t="shared" si="21"/>
        <v>0</v>
      </c>
      <c r="O117" s="165"/>
      <c r="P117" s="130">
        <f t="shared" si="18"/>
        <v>0</v>
      </c>
      <c r="Q117" s="165"/>
      <c r="R117" s="165"/>
      <c r="S117" s="165"/>
      <c r="T117" s="165"/>
      <c r="U117" s="130">
        <f>C117+D117</f>
        <v>0</v>
      </c>
      <c r="V117" s="130">
        <f t="shared" si="19"/>
        <v>0</v>
      </c>
      <c r="W117" s="130">
        <f t="shared" si="20"/>
        <v>0</v>
      </c>
    </row>
    <row r="118" spans="1:23" s="166" customFormat="1" ht="15.75" x14ac:dyDescent="0.25">
      <c r="A118" s="171">
        <v>6211</v>
      </c>
      <c r="B118" s="159" t="s">
        <v>204</v>
      </c>
      <c r="C118" s="160"/>
      <c r="D118" s="135"/>
      <c r="E118" s="164">
        <f t="shared" si="23"/>
        <v>0</v>
      </c>
      <c r="F118" s="164"/>
      <c r="G118" s="130">
        <f>E118/12</f>
        <v>0</v>
      </c>
      <c r="H118" s="165"/>
      <c r="I118" s="130">
        <f t="shared" si="17"/>
        <v>0</v>
      </c>
      <c r="J118" s="165"/>
      <c r="K118" s="165"/>
      <c r="L118" s="165"/>
      <c r="M118" s="165"/>
      <c r="N118" s="130">
        <f t="shared" si="21"/>
        <v>0</v>
      </c>
      <c r="O118" s="165"/>
      <c r="P118" s="130">
        <f t="shared" si="18"/>
        <v>0</v>
      </c>
      <c r="Q118" s="165"/>
      <c r="R118" s="165"/>
      <c r="S118" s="165"/>
      <c r="T118" s="165"/>
      <c r="U118" s="130">
        <f>C118+D118</f>
        <v>0</v>
      </c>
      <c r="V118" s="130">
        <f t="shared" si="19"/>
        <v>0</v>
      </c>
      <c r="W118" s="130">
        <f t="shared" si="20"/>
        <v>0</v>
      </c>
    </row>
    <row r="119" spans="1:23" s="166" customFormat="1" ht="15.75" x14ac:dyDescent="0.25">
      <c r="A119" s="167"/>
      <c r="B119" s="168" t="s">
        <v>205</v>
      </c>
      <c r="C119" s="173"/>
      <c r="D119" s="173">
        <f>SUM(D117:D118)</f>
        <v>0</v>
      </c>
      <c r="E119" s="173">
        <f t="shared" si="23"/>
        <v>0</v>
      </c>
      <c r="F119" s="173"/>
      <c r="G119" s="156">
        <f>SUM(G117:G118)</f>
        <v>0</v>
      </c>
      <c r="H119" s="173">
        <f>E119+G119</f>
        <v>0</v>
      </c>
      <c r="I119" s="173">
        <f t="shared" ref="I119:M119" si="27">G119+H119</f>
        <v>0</v>
      </c>
      <c r="J119" s="173">
        <f t="shared" si="27"/>
        <v>0</v>
      </c>
      <c r="K119" s="173">
        <f t="shared" si="27"/>
        <v>0</v>
      </c>
      <c r="L119" s="173">
        <f t="shared" si="27"/>
        <v>0</v>
      </c>
      <c r="M119" s="173">
        <f t="shared" si="27"/>
        <v>0</v>
      </c>
      <c r="N119" s="173">
        <f t="shared" ref="N119:T119" si="28">SUM(N117:N118)</f>
        <v>0</v>
      </c>
      <c r="O119" s="173">
        <f t="shared" si="28"/>
        <v>0</v>
      </c>
      <c r="P119" s="173">
        <f t="shared" si="28"/>
        <v>0</v>
      </c>
      <c r="Q119" s="173">
        <f t="shared" si="28"/>
        <v>0</v>
      </c>
      <c r="R119" s="173">
        <f t="shared" si="28"/>
        <v>0</v>
      </c>
      <c r="S119" s="173">
        <f t="shared" si="28"/>
        <v>0</v>
      </c>
      <c r="T119" s="173">
        <f t="shared" si="28"/>
        <v>0</v>
      </c>
      <c r="U119" s="169">
        <f>SUM(U117:U118)</f>
        <v>0</v>
      </c>
      <c r="V119" s="173">
        <f t="shared" ref="V119" si="29">M119+U119</f>
        <v>0</v>
      </c>
      <c r="W119" s="169">
        <f>SUM(W117:W118)</f>
        <v>0</v>
      </c>
    </row>
    <row r="120" spans="1:23" s="166" customFormat="1" ht="15.75" x14ac:dyDescent="0.25">
      <c r="A120" s="161"/>
      <c r="B120" s="162"/>
      <c r="C120" s="163"/>
      <c r="D120" s="135"/>
      <c r="E120" s="164">
        <f t="shared" si="23"/>
        <v>0</v>
      </c>
      <c r="F120" s="164"/>
      <c r="G120" s="165"/>
      <c r="H120" s="165"/>
      <c r="I120" s="130">
        <f t="shared" si="17"/>
        <v>0</v>
      </c>
      <c r="J120" s="165"/>
      <c r="K120" s="165"/>
      <c r="L120" s="165"/>
      <c r="M120" s="165"/>
      <c r="N120" s="130">
        <f t="shared" si="21"/>
        <v>0</v>
      </c>
      <c r="O120" s="165"/>
      <c r="P120" s="130">
        <f t="shared" si="18"/>
        <v>0</v>
      </c>
      <c r="Q120" s="165"/>
      <c r="R120" s="165"/>
      <c r="S120" s="165"/>
      <c r="T120" s="165"/>
      <c r="U120" s="130">
        <f>C120+D120</f>
        <v>0</v>
      </c>
      <c r="V120" s="130">
        <f t="shared" si="19"/>
        <v>0</v>
      </c>
      <c r="W120" s="130">
        <f t="shared" si="20"/>
        <v>0</v>
      </c>
    </row>
    <row r="121" spans="1:23" s="166" customFormat="1" ht="15.75" x14ac:dyDescent="0.25">
      <c r="A121" s="161"/>
      <c r="B121" s="162"/>
      <c r="C121" s="163"/>
      <c r="D121" s="135"/>
      <c r="E121" s="164">
        <f t="shared" si="23"/>
        <v>0</v>
      </c>
      <c r="F121" s="164"/>
      <c r="G121" s="165"/>
      <c r="H121" s="165"/>
      <c r="I121" s="130">
        <f t="shared" si="17"/>
        <v>0</v>
      </c>
      <c r="J121" s="165"/>
      <c r="K121" s="165"/>
      <c r="L121" s="165"/>
      <c r="M121" s="165"/>
      <c r="N121" s="130">
        <f t="shared" si="21"/>
        <v>0</v>
      </c>
      <c r="O121" s="165"/>
      <c r="P121" s="130">
        <f t="shared" si="18"/>
        <v>0</v>
      </c>
      <c r="Q121" s="165"/>
      <c r="R121" s="165"/>
      <c r="S121" s="165"/>
      <c r="T121" s="165"/>
      <c r="U121" s="130">
        <f>C121+D121</f>
        <v>0</v>
      </c>
      <c r="V121" s="130">
        <f t="shared" si="19"/>
        <v>0</v>
      </c>
      <c r="W121" s="130">
        <f t="shared" si="20"/>
        <v>0</v>
      </c>
    </row>
    <row r="122" spans="1:23" s="166" customFormat="1" ht="15.75" x14ac:dyDescent="0.25">
      <c r="A122" s="167"/>
      <c r="B122" s="168" t="s">
        <v>206</v>
      </c>
      <c r="C122" s="173"/>
      <c r="D122" s="173">
        <f>SUM(D120:D121)</f>
        <v>0</v>
      </c>
      <c r="E122" s="173">
        <f t="shared" si="23"/>
        <v>0</v>
      </c>
      <c r="F122" s="173"/>
      <c r="G122" s="156">
        <f>SUM(G120:G121)</f>
        <v>0</v>
      </c>
      <c r="H122" s="173">
        <f>E122+G122</f>
        <v>0</v>
      </c>
      <c r="I122" s="173">
        <f t="shared" ref="I122:M122" si="30">G122+H122</f>
        <v>0</v>
      </c>
      <c r="J122" s="173">
        <f t="shared" si="30"/>
        <v>0</v>
      </c>
      <c r="K122" s="173">
        <f t="shared" si="30"/>
        <v>0</v>
      </c>
      <c r="L122" s="173">
        <f t="shared" si="30"/>
        <v>0</v>
      </c>
      <c r="M122" s="173">
        <f t="shared" si="30"/>
        <v>0</v>
      </c>
      <c r="N122" s="173">
        <f t="shared" ref="N122:T122" si="31">SUM(N120:N121)</f>
        <v>0</v>
      </c>
      <c r="O122" s="173">
        <f t="shared" si="31"/>
        <v>0</v>
      </c>
      <c r="P122" s="173">
        <f t="shared" si="31"/>
        <v>0</v>
      </c>
      <c r="Q122" s="173">
        <f t="shared" si="31"/>
        <v>0</v>
      </c>
      <c r="R122" s="173">
        <f t="shared" si="31"/>
        <v>0</v>
      </c>
      <c r="S122" s="173">
        <f t="shared" si="31"/>
        <v>0</v>
      </c>
      <c r="T122" s="173">
        <f t="shared" si="31"/>
        <v>0</v>
      </c>
      <c r="U122" s="169">
        <f>SUM(U120:U121)</f>
        <v>0</v>
      </c>
      <c r="V122" s="173">
        <f t="shared" ref="V122" si="32">M122+U122</f>
        <v>0</v>
      </c>
      <c r="W122" s="169">
        <f>SUM(W120:W121)</f>
        <v>0</v>
      </c>
    </row>
    <row r="123" spans="1:23" s="166" customFormat="1" ht="30.75" x14ac:dyDescent="0.25">
      <c r="A123" s="161">
        <v>7991</v>
      </c>
      <c r="B123" s="174" t="s">
        <v>207</v>
      </c>
      <c r="C123" s="135"/>
      <c r="D123" s="135">
        <v>1000000</v>
      </c>
      <c r="E123" s="164">
        <f t="shared" si="23"/>
        <v>1000000</v>
      </c>
      <c r="F123" s="164"/>
      <c r="G123" s="165"/>
      <c r="H123" s="165"/>
      <c r="I123" s="130">
        <f t="shared" si="17"/>
        <v>0</v>
      </c>
      <c r="J123" s="165"/>
      <c r="K123" s="165"/>
      <c r="L123" s="165"/>
      <c r="M123" s="165"/>
      <c r="N123" s="130">
        <f t="shared" si="21"/>
        <v>90909.090909090912</v>
      </c>
      <c r="O123" s="165"/>
      <c r="P123" s="130">
        <f t="shared" si="18"/>
        <v>90909.090909090912</v>
      </c>
      <c r="Q123" s="165"/>
      <c r="R123" s="165"/>
      <c r="S123" s="165"/>
      <c r="T123" s="165"/>
      <c r="U123" s="130">
        <f>C123+D123</f>
        <v>1000000</v>
      </c>
      <c r="V123" s="130">
        <f t="shared" si="19"/>
        <v>0</v>
      </c>
      <c r="W123" s="130">
        <f t="shared" si="20"/>
        <v>1000000</v>
      </c>
    </row>
    <row r="124" spans="1:23" s="166" customFormat="1" ht="15.75" x14ac:dyDescent="0.25">
      <c r="A124" s="161"/>
      <c r="B124" s="162"/>
      <c r="C124" s="163"/>
      <c r="D124" s="135"/>
      <c r="E124" s="164">
        <f t="shared" si="23"/>
        <v>0</v>
      </c>
      <c r="F124" s="164"/>
      <c r="G124" s="165"/>
      <c r="H124" s="165"/>
      <c r="I124" s="130">
        <f t="shared" si="17"/>
        <v>0</v>
      </c>
      <c r="J124" s="165"/>
      <c r="K124" s="165"/>
      <c r="L124" s="165"/>
      <c r="M124" s="165"/>
      <c r="N124" s="130">
        <f t="shared" si="21"/>
        <v>0</v>
      </c>
      <c r="O124" s="165"/>
      <c r="P124" s="130">
        <f t="shared" si="18"/>
        <v>0</v>
      </c>
      <c r="Q124" s="165"/>
      <c r="R124" s="165"/>
      <c r="S124" s="165"/>
      <c r="T124" s="165"/>
      <c r="U124" s="130">
        <f>C124+D124</f>
        <v>0</v>
      </c>
      <c r="V124" s="130">
        <f t="shared" si="19"/>
        <v>0</v>
      </c>
      <c r="W124" s="130">
        <f t="shared" si="20"/>
        <v>0</v>
      </c>
    </row>
    <row r="125" spans="1:23" s="166" customFormat="1" ht="15.75" x14ac:dyDescent="0.25">
      <c r="A125" s="167"/>
      <c r="B125" s="168" t="s">
        <v>208</v>
      </c>
      <c r="C125" s="169">
        <f>SUM(C123:C124)</f>
        <v>0</v>
      </c>
      <c r="D125" s="169">
        <f>SUM(D123:D124)</f>
        <v>1000000</v>
      </c>
      <c r="E125" s="169">
        <f t="shared" si="23"/>
        <v>1000000</v>
      </c>
      <c r="F125" s="169"/>
      <c r="G125" s="156">
        <f>SUM(G123:G124)</f>
        <v>0</v>
      </c>
      <c r="H125" s="169">
        <v>0</v>
      </c>
      <c r="I125" s="169">
        <v>0</v>
      </c>
      <c r="J125" s="169">
        <v>0</v>
      </c>
      <c r="K125" s="169">
        <v>0</v>
      </c>
      <c r="L125" s="169">
        <v>0</v>
      </c>
      <c r="M125" s="169">
        <v>0</v>
      </c>
      <c r="N125" s="169">
        <f t="shared" ref="N125:T125" si="33">SUM(N123:N124)</f>
        <v>90909.090909090912</v>
      </c>
      <c r="O125" s="169">
        <f t="shared" si="33"/>
        <v>0</v>
      </c>
      <c r="P125" s="169">
        <f t="shared" si="33"/>
        <v>90909.090909090912</v>
      </c>
      <c r="Q125" s="169">
        <f t="shared" si="33"/>
        <v>0</v>
      </c>
      <c r="R125" s="169">
        <f t="shared" si="33"/>
        <v>0</v>
      </c>
      <c r="S125" s="169">
        <f t="shared" si="33"/>
        <v>0</v>
      </c>
      <c r="T125" s="169">
        <f t="shared" si="33"/>
        <v>0</v>
      </c>
      <c r="U125" s="169">
        <f>SUM(U123:U124)</f>
        <v>1000000</v>
      </c>
      <c r="V125" s="169">
        <f>SUM(V123:V124)</f>
        <v>0</v>
      </c>
      <c r="W125" s="169">
        <f>SUM(W123:W124)</f>
        <v>1000000</v>
      </c>
    </row>
    <row r="126" spans="1:23" s="166" customFormat="1" ht="15.75" x14ac:dyDescent="0.25">
      <c r="A126" s="175"/>
      <c r="B126" s="176"/>
      <c r="C126" s="163"/>
      <c r="D126" s="135"/>
      <c r="E126" s="164"/>
      <c r="F126" s="164"/>
      <c r="G126" s="165"/>
      <c r="H126" s="165"/>
      <c r="I126" s="130"/>
      <c r="J126" s="165"/>
      <c r="K126" s="165"/>
      <c r="L126" s="165"/>
      <c r="M126" s="165"/>
      <c r="N126" s="165"/>
      <c r="O126" s="165"/>
      <c r="P126" s="130"/>
      <c r="Q126" s="165"/>
      <c r="R126" s="165"/>
      <c r="S126" s="165"/>
      <c r="T126" s="165"/>
      <c r="U126" s="165"/>
      <c r="V126" s="165"/>
      <c r="W126" s="165"/>
    </row>
    <row r="127" spans="1:23" s="166" customFormat="1" ht="15.75" x14ac:dyDescent="0.25">
      <c r="A127" s="177"/>
      <c r="B127" s="177" t="s">
        <v>226</v>
      </c>
      <c r="C127" s="178"/>
      <c r="D127" s="178"/>
      <c r="E127" s="178"/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  <c r="R127" s="178"/>
      <c r="S127" s="178"/>
      <c r="T127" s="178"/>
      <c r="U127" s="178"/>
      <c r="V127" s="178"/>
      <c r="W127" s="178"/>
    </row>
    <row r="128" spans="1:23" s="166" customFormat="1" ht="15.75" x14ac:dyDescent="0.25">
      <c r="A128" s="177"/>
      <c r="B128" s="177" t="s">
        <v>209</v>
      </c>
      <c r="C128" s="179">
        <f>C25+C58+C97+C102+C116+C119+C122+C125</f>
        <v>87061207.268828481</v>
      </c>
      <c r="D128" s="179">
        <f>D25+D58+D97+D102+D116+D119+D122+D125</f>
        <v>20076554.469999999</v>
      </c>
      <c r="E128" s="178">
        <f>E25+E58+E97+E102+E116+E119+E122+E125</f>
        <v>107137761.73882848</v>
      </c>
      <c r="F128" s="178"/>
      <c r="G128" s="178">
        <f t="shared" ref="G128:T128" si="34">G25+G58+G97+G102+G116+G119+G122+G125</f>
        <v>5762243.8099999996</v>
      </c>
      <c r="H128" s="178">
        <f t="shared" si="34"/>
        <v>4475481.6499999994</v>
      </c>
      <c r="I128" s="178">
        <f t="shared" si="34"/>
        <v>1280628.0799999996</v>
      </c>
      <c r="J128" s="178">
        <f t="shared" si="34"/>
        <v>18188</v>
      </c>
      <c r="K128" s="178">
        <f t="shared" si="34"/>
        <v>18188</v>
      </c>
      <c r="L128" s="178">
        <f t="shared" si="34"/>
        <v>0</v>
      </c>
      <c r="M128" s="178">
        <f t="shared" si="34"/>
        <v>0</v>
      </c>
      <c r="N128" s="178">
        <f t="shared" si="34"/>
        <v>9708900.4053490907</v>
      </c>
      <c r="O128" s="178">
        <f t="shared" si="34"/>
        <v>5159840.0799999991</v>
      </c>
      <c r="P128" s="178">
        <f t="shared" si="34"/>
        <v>4549060.3253490906</v>
      </c>
      <c r="Q128" s="178">
        <f t="shared" si="34"/>
        <v>191465.7</v>
      </c>
      <c r="R128" s="178">
        <f t="shared" si="34"/>
        <v>191466</v>
      </c>
      <c r="S128" s="178">
        <f t="shared" si="34"/>
        <v>685526</v>
      </c>
      <c r="T128" s="178">
        <f t="shared" si="34"/>
        <v>0</v>
      </c>
      <c r="U128" s="178">
        <f t="shared" ref="U128:W128" si="35">U25+U58+U97+U102+U116+U119+U122+U125</f>
        <v>107137761.73882848</v>
      </c>
      <c r="V128" s="178">
        <f t="shared" si="35"/>
        <v>9641455.8100000005</v>
      </c>
      <c r="W128" s="178">
        <f t="shared" si="35"/>
        <v>97496305.928828463</v>
      </c>
    </row>
    <row r="129" spans="1:6" x14ac:dyDescent="0.25">
      <c r="A129" s="81"/>
      <c r="B129" s="82"/>
      <c r="C129" s="91"/>
      <c r="D129" s="92"/>
      <c r="E129" s="93"/>
      <c r="F129" s="93"/>
    </row>
    <row r="130" spans="1:6" x14ac:dyDescent="0.25">
      <c r="D130" s="94"/>
    </row>
  </sheetData>
  <mergeCells count="8">
    <mergeCell ref="V5:V6"/>
    <mergeCell ref="W5:W6"/>
    <mergeCell ref="Q5:R5"/>
    <mergeCell ref="A5:A6"/>
    <mergeCell ref="B5:B6"/>
    <mergeCell ref="C5:C6"/>
    <mergeCell ref="J5:K5"/>
    <mergeCell ref="U5:U6"/>
  </mergeCells>
  <pageMargins left="0.70866141732283472" right="0.70866141732283472" top="0.74803149606299213" bottom="0.74803149606299213" header="0.31496062992125984" footer="0.31496062992125984"/>
  <pageSetup paperSize="5" scale="47" fitToHeight="2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5"/>
  <sheetViews>
    <sheetView workbookViewId="0">
      <selection activeCell="D10" sqref="D10"/>
    </sheetView>
  </sheetViews>
  <sheetFormatPr baseColWidth="10" defaultRowHeight="15" x14ac:dyDescent="0.25"/>
  <cols>
    <col min="1" max="1" width="1.140625" customWidth="1"/>
    <col min="2" max="2" width="19.5703125" customWidth="1"/>
    <col min="3" max="3" width="96.5703125" customWidth="1"/>
    <col min="4" max="4" width="11.140625" style="33" bestFit="1" customWidth="1"/>
    <col min="257" max="257" width="1.140625" customWidth="1"/>
    <col min="258" max="258" width="16.85546875" customWidth="1"/>
    <col min="259" max="259" width="65.140625" customWidth="1"/>
    <col min="260" max="260" width="16.28515625" customWidth="1"/>
    <col min="513" max="513" width="1.140625" customWidth="1"/>
    <col min="514" max="514" width="16.85546875" customWidth="1"/>
    <col min="515" max="515" width="65.140625" customWidth="1"/>
    <col min="516" max="516" width="16.28515625" customWidth="1"/>
    <col min="769" max="769" width="1.140625" customWidth="1"/>
    <col min="770" max="770" width="16.85546875" customWidth="1"/>
    <col min="771" max="771" width="65.140625" customWidth="1"/>
    <col min="772" max="772" width="16.28515625" customWidth="1"/>
    <col min="1025" max="1025" width="1.140625" customWidth="1"/>
    <col min="1026" max="1026" width="16.85546875" customWidth="1"/>
    <col min="1027" max="1027" width="65.140625" customWidth="1"/>
    <col min="1028" max="1028" width="16.28515625" customWidth="1"/>
    <col min="1281" max="1281" width="1.140625" customWidth="1"/>
    <col min="1282" max="1282" width="16.85546875" customWidth="1"/>
    <col min="1283" max="1283" width="65.140625" customWidth="1"/>
    <col min="1284" max="1284" width="16.28515625" customWidth="1"/>
    <col min="1537" max="1537" width="1.140625" customWidth="1"/>
    <col min="1538" max="1538" width="16.85546875" customWidth="1"/>
    <col min="1539" max="1539" width="65.140625" customWidth="1"/>
    <col min="1540" max="1540" width="16.28515625" customWidth="1"/>
    <col min="1793" max="1793" width="1.140625" customWidth="1"/>
    <col min="1794" max="1794" width="16.85546875" customWidth="1"/>
    <col min="1795" max="1795" width="65.140625" customWidth="1"/>
    <col min="1796" max="1796" width="16.28515625" customWidth="1"/>
    <col min="2049" max="2049" width="1.140625" customWidth="1"/>
    <col min="2050" max="2050" width="16.85546875" customWidth="1"/>
    <col min="2051" max="2051" width="65.140625" customWidth="1"/>
    <col min="2052" max="2052" width="16.28515625" customWidth="1"/>
    <col min="2305" max="2305" width="1.140625" customWidth="1"/>
    <col min="2306" max="2306" width="16.85546875" customWidth="1"/>
    <col min="2307" max="2307" width="65.140625" customWidth="1"/>
    <col min="2308" max="2308" width="16.28515625" customWidth="1"/>
    <col min="2561" max="2561" width="1.140625" customWidth="1"/>
    <col min="2562" max="2562" width="16.85546875" customWidth="1"/>
    <col min="2563" max="2563" width="65.140625" customWidth="1"/>
    <col min="2564" max="2564" width="16.28515625" customWidth="1"/>
    <col min="2817" max="2817" width="1.140625" customWidth="1"/>
    <col min="2818" max="2818" width="16.85546875" customWidth="1"/>
    <col min="2819" max="2819" width="65.140625" customWidth="1"/>
    <col min="2820" max="2820" width="16.28515625" customWidth="1"/>
    <col min="3073" max="3073" width="1.140625" customWidth="1"/>
    <col min="3074" max="3074" width="16.85546875" customWidth="1"/>
    <col min="3075" max="3075" width="65.140625" customWidth="1"/>
    <col min="3076" max="3076" width="16.28515625" customWidth="1"/>
    <col min="3329" max="3329" width="1.140625" customWidth="1"/>
    <col min="3330" max="3330" width="16.85546875" customWidth="1"/>
    <col min="3331" max="3331" width="65.140625" customWidth="1"/>
    <col min="3332" max="3332" width="16.28515625" customWidth="1"/>
    <col min="3585" max="3585" width="1.140625" customWidth="1"/>
    <col min="3586" max="3586" width="16.85546875" customWidth="1"/>
    <col min="3587" max="3587" width="65.140625" customWidth="1"/>
    <col min="3588" max="3588" width="16.28515625" customWidth="1"/>
    <col min="3841" max="3841" width="1.140625" customWidth="1"/>
    <col min="3842" max="3842" width="16.85546875" customWidth="1"/>
    <col min="3843" max="3843" width="65.140625" customWidth="1"/>
    <col min="3844" max="3844" width="16.28515625" customWidth="1"/>
    <col min="4097" max="4097" width="1.140625" customWidth="1"/>
    <col min="4098" max="4098" width="16.85546875" customWidth="1"/>
    <col min="4099" max="4099" width="65.140625" customWidth="1"/>
    <col min="4100" max="4100" width="16.28515625" customWidth="1"/>
    <col min="4353" max="4353" width="1.140625" customWidth="1"/>
    <col min="4354" max="4354" width="16.85546875" customWidth="1"/>
    <col min="4355" max="4355" width="65.140625" customWidth="1"/>
    <col min="4356" max="4356" width="16.28515625" customWidth="1"/>
    <col min="4609" max="4609" width="1.140625" customWidth="1"/>
    <col min="4610" max="4610" width="16.85546875" customWidth="1"/>
    <col min="4611" max="4611" width="65.140625" customWidth="1"/>
    <col min="4612" max="4612" width="16.28515625" customWidth="1"/>
    <col min="4865" max="4865" width="1.140625" customWidth="1"/>
    <col min="4866" max="4866" width="16.85546875" customWidth="1"/>
    <col min="4867" max="4867" width="65.140625" customWidth="1"/>
    <col min="4868" max="4868" width="16.28515625" customWidth="1"/>
    <col min="5121" max="5121" width="1.140625" customWidth="1"/>
    <col min="5122" max="5122" width="16.85546875" customWidth="1"/>
    <col min="5123" max="5123" width="65.140625" customWidth="1"/>
    <col min="5124" max="5124" width="16.28515625" customWidth="1"/>
    <col min="5377" max="5377" width="1.140625" customWidth="1"/>
    <col min="5378" max="5378" width="16.85546875" customWidth="1"/>
    <col min="5379" max="5379" width="65.140625" customWidth="1"/>
    <col min="5380" max="5380" width="16.28515625" customWidth="1"/>
    <col min="5633" max="5633" width="1.140625" customWidth="1"/>
    <col min="5634" max="5634" width="16.85546875" customWidth="1"/>
    <col min="5635" max="5635" width="65.140625" customWidth="1"/>
    <col min="5636" max="5636" width="16.28515625" customWidth="1"/>
    <col min="5889" max="5889" width="1.140625" customWidth="1"/>
    <col min="5890" max="5890" width="16.85546875" customWidth="1"/>
    <col min="5891" max="5891" width="65.140625" customWidth="1"/>
    <col min="5892" max="5892" width="16.28515625" customWidth="1"/>
    <col min="6145" max="6145" width="1.140625" customWidth="1"/>
    <col min="6146" max="6146" width="16.85546875" customWidth="1"/>
    <col min="6147" max="6147" width="65.140625" customWidth="1"/>
    <col min="6148" max="6148" width="16.28515625" customWidth="1"/>
    <col min="6401" max="6401" width="1.140625" customWidth="1"/>
    <col min="6402" max="6402" width="16.85546875" customWidth="1"/>
    <col min="6403" max="6403" width="65.140625" customWidth="1"/>
    <col min="6404" max="6404" width="16.28515625" customWidth="1"/>
    <col min="6657" max="6657" width="1.140625" customWidth="1"/>
    <col min="6658" max="6658" width="16.85546875" customWidth="1"/>
    <col min="6659" max="6659" width="65.140625" customWidth="1"/>
    <col min="6660" max="6660" width="16.28515625" customWidth="1"/>
    <col min="6913" max="6913" width="1.140625" customWidth="1"/>
    <col min="6914" max="6914" width="16.85546875" customWidth="1"/>
    <col min="6915" max="6915" width="65.140625" customWidth="1"/>
    <col min="6916" max="6916" width="16.28515625" customWidth="1"/>
    <col min="7169" max="7169" width="1.140625" customWidth="1"/>
    <col min="7170" max="7170" width="16.85546875" customWidth="1"/>
    <col min="7171" max="7171" width="65.140625" customWidth="1"/>
    <col min="7172" max="7172" width="16.28515625" customWidth="1"/>
    <col min="7425" max="7425" width="1.140625" customWidth="1"/>
    <col min="7426" max="7426" width="16.85546875" customWidth="1"/>
    <col min="7427" max="7427" width="65.140625" customWidth="1"/>
    <col min="7428" max="7428" width="16.28515625" customWidth="1"/>
    <col min="7681" max="7681" width="1.140625" customWidth="1"/>
    <col min="7682" max="7682" width="16.85546875" customWidth="1"/>
    <col min="7683" max="7683" width="65.140625" customWidth="1"/>
    <col min="7684" max="7684" width="16.28515625" customWidth="1"/>
    <col min="7937" max="7937" width="1.140625" customWidth="1"/>
    <col min="7938" max="7938" width="16.85546875" customWidth="1"/>
    <col min="7939" max="7939" width="65.140625" customWidth="1"/>
    <col min="7940" max="7940" width="16.28515625" customWidth="1"/>
    <col min="8193" max="8193" width="1.140625" customWidth="1"/>
    <col min="8194" max="8194" width="16.85546875" customWidth="1"/>
    <col min="8195" max="8195" width="65.140625" customWidth="1"/>
    <col min="8196" max="8196" width="16.28515625" customWidth="1"/>
    <col min="8449" max="8449" width="1.140625" customWidth="1"/>
    <col min="8450" max="8450" width="16.85546875" customWidth="1"/>
    <col min="8451" max="8451" width="65.140625" customWidth="1"/>
    <col min="8452" max="8452" width="16.28515625" customWidth="1"/>
    <col min="8705" max="8705" width="1.140625" customWidth="1"/>
    <col min="8706" max="8706" width="16.85546875" customWidth="1"/>
    <col min="8707" max="8707" width="65.140625" customWidth="1"/>
    <col min="8708" max="8708" width="16.28515625" customWidth="1"/>
    <col min="8961" max="8961" width="1.140625" customWidth="1"/>
    <col min="8962" max="8962" width="16.85546875" customWidth="1"/>
    <col min="8963" max="8963" width="65.140625" customWidth="1"/>
    <col min="8964" max="8964" width="16.28515625" customWidth="1"/>
    <col min="9217" max="9217" width="1.140625" customWidth="1"/>
    <col min="9218" max="9218" width="16.85546875" customWidth="1"/>
    <col min="9219" max="9219" width="65.140625" customWidth="1"/>
    <col min="9220" max="9220" width="16.28515625" customWidth="1"/>
    <col min="9473" max="9473" width="1.140625" customWidth="1"/>
    <col min="9474" max="9474" width="16.85546875" customWidth="1"/>
    <col min="9475" max="9475" width="65.140625" customWidth="1"/>
    <col min="9476" max="9476" width="16.28515625" customWidth="1"/>
    <col min="9729" max="9729" width="1.140625" customWidth="1"/>
    <col min="9730" max="9730" width="16.85546875" customWidth="1"/>
    <col min="9731" max="9731" width="65.140625" customWidth="1"/>
    <col min="9732" max="9732" width="16.28515625" customWidth="1"/>
    <col min="9985" max="9985" width="1.140625" customWidth="1"/>
    <col min="9986" max="9986" width="16.85546875" customWidth="1"/>
    <col min="9987" max="9987" width="65.140625" customWidth="1"/>
    <col min="9988" max="9988" width="16.28515625" customWidth="1"/>
    <col min="10241" max="10241" width="1.140625" customWidth="1"/>
    <col min="10242" max="10242" width="16.85546875" customWidth="1"/>
    <col min="10243" max="10243" width="65.140625" customWidth="1"/>
    <col min="10244" max="10244" width="16.28515625" customWidth="1"/>
    <col min="10497" max="10497" width="1.140625" customWidth="1"/>
    <col min="10498" max="10498" width="16.85546875" customWidth="1"/>
    <col min="10499" max="10499" width="65.140625" customWidth="1"/>
    <col min="10500" max="10500" width="16.28515625" customWidth="1"/>
    <col min="10753" max="10753" width="1.140625" customWidth="1"/>
    <col min="10754" max="10754" width="16.85546875" customWidth="1"/>
    <col min="10755" max="10755" width="65.140625" customWidth="1"/>
    <col min="10756" max="10756" width="16.28515625" customWidth="1"/>
    <col min="11009" max="11009" width="1.140625" customWidth="1"/>
    <col min="11010" max="11010" width="16.85546875" customWidth="1"/>
    <col min="11011" max="11011" width="65.140625" customWidth="1"/>
    <col min="11012" max="11012" width="16.28515625" customWidth="1"/>
    <col min="11265" max="11265" width="1.140625" customWidth="1"/>
    <col min="11266" max="11266" width="16.85546875" customWidth="1"/>
    <col min="11267" max="11267" width="65.140625" customWidth="1"/>
    <col min="11268" max="11268" width="16.28515625" customWidth="1"/>
    <col min="11521" max="11521" width="1.140625" customWidth="1"/>
    <col min="11522" max="11522" width="16.85546875" customWidth="1"/>
    <col min="11523" max="11523" width="65.140625" customWidth="1"/>
    <col min="11524" max="11524" width="16.28515625" customWidth="1"/>
    <col min="11777" max="11777" width="1.140625" customWidth="1"/>
    <col min="11778" max="11778" width="16.85546875" customWidth="1"/>
    <col min="11779" max="11779" width="65.140625" customWidth="1"/>
    <col min="11780" max="11780" width="16.28515625" customWidth="1"/>
    <col min="12033" max="12033" width="1.140625" customWidth="1"/>
    <col min="12034" max="12034" width="16.85546875" customWidth="1"/>
    <col min="12035" max="12035" width="65.140625" customWidth="1"/>
    <col min="12036" max="12036" width="16.28515625" customWidth="1"/>
    <col min="12289" max="12289" width="1.140625" customWidth="1"/>
    <col min="12290" max="12290" width="16.85546875" customWidth="1"/>
    <col min="12291" max="12291" width="65.140625" customWidth="1"/>
    <col min="12292" max="12292" width="16.28515625" customWidth="1"/>
    <col min="12545" max="12545" width="1.140625" customWidth="1"/>
    <col min="12546" max="12546" width="16.85546875" customWidth="1"/>
    <col min="12547" max="12547" width="65.140625" customWidth="1"/>
    <col min="12548" max="12548" width="16.28515625" customWidth="1"/>
    <col min="12801" max="12801" width="1.140625" customWidth="1"/>
    <col min="12802" max="12802" width="16.85546875" customWidth="1"/>
    <col min="12803" max="12803" width="65.140625" customWidth="1"/>
    <col min="12804" max="12804" width="16.28515625" customWidth="1"/>
    <col min="13057" max="13057" width="1.140625" customWidth="1"/>
    <col min="13058" max="13058" width="16.85546875" customWidth="1"/>
    <col min="13059" max="13059" width="65.140625" customWidth="1"/>
    <col min="13060" max="13060" width="16.28515625" customWidth="1"/>
    <col min="13313" max="13313" width="1.140625" customWidth="1"/>
    <col min="13314" max="13314" width="16.85546875" customWidth="1"/>
    <col min="13315" max="13315" width="65.140625" customWidth="1"/>
    <col min="13316" max="13316" width="16.28515625" customWidth="1"/>
    <col min="13569" max="13569" width="1.140625" customWidth="1"/>
    <col min="13570" max="13570" width="16.85546875" customWidth="1"/>
    <col min="13571" max="13571" width="65.140625" customWidth="1"/>
    <col min="13572" max="13572" width="16.28515625" customWidth="1"/>
    <col min="13825" max="13825" width="1.140625" customWidth="1"/>
    <col min="13826" max="13826" width="16.85546875" customWidth="1"/>
    <col min="13827" max="13827" width="65.140625" customWidth="1"/>
    <col min="13828" max="13828" width="16.28515625" customWidth="1"/>
    <col min="14081" max="14081" width="1.140625" customWidth="1"/>
    <col min="14082" max="14082" width="16.85546875" customWidth="1"/>
    <col min="14083" max="14083" width="65.140625" customWidth="1"/>
    <col min="14084" max="14084" width="16.28515625" customWidth="1"/>
    <col min="14337" max="14337" width="1.140625" customWidth="1"/>
    <col min="14338" max="14338" width="16.85546875" customWidth="1"/>
    <col min="14339" max="14339" width="65.140625" customWidth="1"/>
    <col min="14340" max="14340" width="16.28515625" customWidth="1"/>
    <col min="14593" max="14593" width="1.140625" customWidth="1"/>
    <col min="14594" max="14594" width="16.85546875" customWidth="1"/>
    <col min="14595" max="14595" width="65.140625" customWidth="1"/>
    <col min="14596" max="14596" width="16.28515625" customWidth="1"/>
    <col min="14849" max="14849" width="1.140625" customWidth="1"/>
    <col min="14850" max="14850" width="16.85546875" customWidth="1"/>
    <col min="14851" max="14851" width="65.140625" customWidth="1"/>
    <col min="14852" max="14852" width="16.28515625" customWidth="1"/>
    <col min="15105" max="15105" width="1.140625" customWidth="1"/>
    <col min="15106" max="15106" width="16.85546875" customWidth="1"/>
    <col min="15107" max="15107" width="65.140625" customWidth="1"/>
    <col min="15108" max="15108" width="16.28515625" customWidth="1"/>
    <col min="15361" max="15361" width="1.140625" customWidth="1"/>
    <col min="15362" max="15362" width="16.85546875" customWidth="1"/>
    <col min="15363" max="15363" width="65.140625" customWidth="1"/>
    <col min="15364" max="15364" width="16.28515625" customWidth="1"/>
    <col min="15617" max="15617" width="1.140625" customWidth="1"/>
    <col min="15618" max="15618" width="16.85546875" customWidth="1"/>
    <col min="15619" max="15619" width="65.140625" customWidth="1"/>
    <col min="15620" max="15620" width="16.28515625" customWidth="1"/>
    <col min="15873" max="15873" width="1.140625" customWidth="1"/>
    <col min="15874" max="15874" width="16.85546875" customWidth="1"/>
    <col min="15875" max="15875" width="65.140625" customWidth="1"/>
    <col min="15876" max="15876" width="16.28515625" customWidth="1"/>
    <col min="16129" max="16129" width="1.140625" customWidth="1"/>
    <col min="16130" max="16130" width="16.85546875" customWidth="1"/>
    <col min="16131" max="16131" width="65.140625" customWidth="1"/>
    <col min="16132" max="16132" width="16.28515625" customWidth="1"/>
  </cols>
  <sheetData>
    <row r="2" spans="2:7" x14ac:dyDescent="0.25">
      <c r="B2" s="310" t="s">
        <v>63</v>
      </c>
      <c r="C2" s="310"/>
      <c r="D2" s="310"/>
    </row>
    <row r="3" spans="2:7" x14ac:dyDescent="0.25">
      <c r="B3" s="31" t="s">
        <v>313</v>
      </c>
      <c r="C3" s="31"/>
      <c r="D3" s="32"/>
    </row>
    <row r="4" spans="2:7" x14ac:dyDescent="0.25">
      <c r="B4" s="310" t="s">
        <v>315</v>
      </c>
      <c r="C4" s="310"/>
      <c r="D4" s="310"/>
    </row>
    <row r="6" spans="2:7" x14ac:dyDescent="0.25">
      <c r="B6" s="34" t="s">
        <v>65</v>
      </c>
      <c r="C6" s="35" t="s">
        <v>66</v>
      </c>
      <c r="D6" s="36" t="s">
        <v>67</v>
      </c>
    </row>
    <row r="7" spans="2:7" ht="30.75" x14ac:dyDescent="0.25">
      <c r="B7" s="161">
        <v>7991</v>
      </c>
      <c r="C7" s="174" t="s">
        <v>207</v>
      </c>
      <c r="D7" s="182">
        <v>389631.05</v>
      </c>
    </row>
    <row r="8" spans="2:7" ht="30.75" x14ac:dyDescent="0.25">
      <c r="B8" s="161">
        <v>7991</v>
      </c>
      <c r="C8" s="174" t="s">
        <v>207</v>
      </c>
      <c r="D8" s="182">
        <v>50808</v>
      </c>
    </row>
    <row r="9" spans="2:7" ht="30.75" x14ac:dyDescent="0.25">
      <c r="B9" s="161">
        <v>7991</v>
      </c>
      <c r="C9" s="174" t="s">
        <v>207</v>
      </c>
      <c r="D9" s="182">
        <v>195868.96</v>
      </c>
    </row>
    <row r="10" spans="2:7" ht="15.75" x14ac:dyDescent="0.25">
      <c r="B10" s="138">
        <v>2711</v>
      </c>
      <c r="C10" s="146" t="s">
        <v>143</v>
      </c>
      <c r="D10" s="182">
        <v>6655</v>
      </c>
    </row>
    <row r="11" spans="2:7" ht="15.75" x14ac:dyDescent="0.25">
      <c r="B11" s="138">
        <v>3591</v>
      </c>
      <c r="C11" s="150" t="s">
        <v>181</v>
      </c>
      <c r="D11" s="182">
        <v>1454</v>
      </c>
    </row>
    <row r="12" spans="2:7" x14ac:dyDescent="0.25">
      <c r="B12" s="180"/>
      <c r="C12" s="181"/>
      <c r="D12" s="182"/>
    </row>
    <row r="13" spans="2:7" x14ac:dyDescent="0.25">
      <c r="B13" s="39"/>
      <c r="C13" s="34" t="s">
        <v>68</v>
      </c>
      <c r="D13" s="40">
        <f>SUM(D7:D12)</f>
        <v>644417.01</v>
      </c>
      <c r="G13" s="41"/>
    </row>
    <row r="15" spans="2:7" x14ac:dyDescent="0.25">
      <c r="B15" s="34" t="s">
        <v>69</v>
      </c>
      <c r="C15" s="35" t="s">
        <v>66</v>
      </c>
      <c r="D15" s="36" t="s">
        <v>67</v>
      </c>
    </row>
    <row r="16" spans="2:7" ht="15.75" x14ac:dyDescent="0.25">
      <c r="B16" s="138">
        <v>5191</v>
      </c>
      <c r="C16" s="146" t="s">
        <v>87</v>
      </c>
      <c r="D16" s="182">
        <v>389631.05</v>
      </c>
    </row>
    <row r="17" spans="2:6" ht="15.75" x14ac:dyDescent="0.25">
      <c r="B17" s="138">
        <v>2561</v>
      </c>
      <c r="C17" s="146" t="s">
        <v>263</v>
      </c>
      <c r="D17" s="182">
        <v>50808</v>
      </c>
    </row>
    <row r="18" spans="2:6" ht="15.75" x14ac:dyDescent="0.25">
      <c r="B18" s="138">
        <v>2551</v>
      </c>
      <c r="C18" s="146" t="s">
        <v>140</v>
      </c>
      <c r="D18" s="182">
        <v>6655</v>
      </c>
    </row>
    <row r="19" spans="2:6" ht="15.75" x14ac:dyDescent="0.25">
      <c r="B19" s="138">
        <v>3822</v>
      </c>
      <c r="C19" s="150" t="s">
        <v>186</v>
      </c>
      <c r="D19" s="182">
        <v>1454</v>
      </c>
    </row>
    <row r="20" spans="2:6" ht="15.75" x14ac:dyDescent="0.25">
      <c r="B20" s="138">
        <v>3321</v>
      </c>
      <c r="C20" s="150" t="s">
        <v>272</v>
      </c>
      <c r="D20" s="182">
        <v>195869</v>
      </c>
    </row>
    <row r="21" spans="2:6" x14ac:dyDescent="0.25">
      <c r="B21" s="38"/>
      <c r="C21" s="42"/>
      <c r="D21" s="37"/>
    </row>
    <row r="22" spans="2:6" x14ac:dyDescent="0.25">
      <c r="B22" s="43"/>
      <c r="C22" s="44" t="s">
        <v>70</v>
      </c>
      <c r="D22" s="45">
        <f>SUM(D16:D21)</f>
        <v>644417.05000000005</v>
      </c>
      <c r="F22" s="46"/>
    </row>
    <row r="24" spans="2:6" x14ac:dyDescent="0.25">
      <c r="B24" t="s">
        <v>270</v>
      </c>
    </row>
    <row r="25" spans="2:6" hidden="1" x14ac:dyDescent="0.25">
      <c r="B25" s="34" t="s">
        <v>71</v>
      </c>
      <c r="C25" s="35" t="s">
        <v>72</v>
      </c>
      <c r="D25" s="36" t="s">
        <v>67</v>
      </c>
    </row>
    <row r="26" spans="2:6" ht="15.75" hidden="1" x14ac:dyDescent="0.25">
      <c r="B26" s="138">
        <v>2111</v>
      </c>
      <c r="C26" s="146" t="s">
        <v>121</v>
      </c>
      <c r="D26" s="182">
        <v>1564</v>
      </c>
    </row>
    <row r="27" spans="2:6" ht="15.75" hidden="1" x14ac:dyDescent="0.25">
      <c r="B27" s="138">
        <v>2171</v>
      </c>
      <c r="C27" s="146" t="s">
        <v>124</v>
      </c>
      <c r="D27" s="182">
        <v>4136</v>
      </c>
    </row>
    <row r="28" spans="2:6" ht="15.75" hidden="1" x14ac:dyDescent="0.25">
      <c r="B28" s="138">
        <v>3111</v>
      </c>
      <c r="C28" s="150" t="s">
        <v>154</v>
      </c>
      <c r="D28" s="182">
        <v>2967</v>
      </c>
    </row>
    <row r="29" spans="2:6" ht="15.75" hidden="1" x14ac:dyDescent="0.25">
      <c r="B29" s="138">
        <v>3121</v>
      </c>
      <c r="C29" s="150" t="s">
        <v>155</v>
      </c>
      <c r="D29" s="182">
        <v>706</v>
      </c>
    </row>
    <row r="30" spans="2:6" ht="15.75" hidden="1" x14ac:dyDescent="0.25">
      <c r="B30" s="138">
        <v>3181</v>
      </c>
      <c r="C30" s="150" t="s">
        <v>159</v>
      </c>
      <c r="D30" s="182">
        <v>87</v>
      </c>
    </row>
    <row r="31" spans="2:6" ht="15.75" hidden="1" x14ac:dyDescent="0.25">
      <c r="B31" s="138">
        <v>3581</v>
      </c>
      <c r="C31" s="150" t="s">
        <v>180</v>
      </c>
      <c r="D31" s="182">
        <v>3331</v>
      </c>
    </row>
    <row r="32" spans="2:6" hidden="1" x14ac:dyDescent="0.25">
      <c r="B32" s="62"/>
      <c r="C32" s="65"/>
      <c r="D32" s="47"/>
    </row>
    <row r="33" spans="2:4" hidden="1" x14ac:dyDescent="0.25">
      <c r="B33" s="39"/>
      <c r="C33" s="35" t="s">
        <v>73</v>
      </c>
      <c r="D33" s="48">
        <f>SUM(D26:D32)</f>
        <v>12791</v>
      </c>
    </row>
    <row r="34" spans="2:4" x14ac:dyDescent="0.25">
      <c r="B34" t="s">
        <v>271</v>
      </c>
      <c r="C34" s="50"/>
      <c r="D34" s="51"/>
    </row>
    <row r="35" spans="2:4" x14ac:dyDescent="0.25">
      <c r="B35" t="s">
        <v>273</v>
      </c>
    </row>
  </sheetData>
  <mergeCells count="2">
    <mergeCell ref="B2:D2"/>
    <mergeCell ref="B4:D4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opLeftCell="A7" workbookViewId="0">
      <selection activeCell="F13" sqref="F13:F14"/>
    </sheetView>
  </sheetViews>
  <sheetFormatPr baseColWidth="10" defaultRowHeight="15" x14ac:dyDescent="0.25"/>
  <cols>
    <col min="5" max="5" width="35" customWidth="1"/>
    <col min="7" max="7" width="15.140625" bestFit="1" customWidth="1"/>
    <col min="261" max="261" width="35" customWidth="1"/>
    <col min="263" max="263" width="15.140625" bestFit="1" customWidth="1"/>
    <col min="517" max="517" width="35" customWidth="1"/>
    <col min="519" max="519" width="15.140625" bestFit="1" customWidth="1"/>
    <col min="773" max="773" width="35" customWidth="1"/>
    <col min="775" max="775" width="15.140625" bestFit="1" customWidth="1"/>
    <col min="1029" max="1029" width="35" customWidth="1"/>
    <col min="1031" max="1031" width="15.140625" bestFit="1" customWidth="1"/>
    <col min="1285" max="1285" width="35" customWidth="1"/>
    <col min="1287" max="1287" width="15.140625" bestFit="1" customWidth="1"/>
    <col min="1541" max="1541" width="35" customWidth="1"/>
    <col min="1543" max="1543" width="15.140625" bestFit="1" customWidth="1"/>
    <col min="1797" max="1797" width="35" customWidth="1"/>
    <col min="1799" max="1799" width="15.140625" bestFit="1" customWidth="1"/>
    <col min="2053" max="2053" width="35" customWidth="1"/>
    <col min="2055" max="2055" width="15.140625" bestFit="1" customWidth="1"/>
    <col min="2309" max="2309" width="35" customWidth="1"/>
    <col min="2311" max="2311" width="15.140625" bestFit="1" customWidth="1"/>
    <col min="2565" max="2565" width="35" customWidth="1"/>
    <col min="2567" max="2567" width="15.140625" bestFit="1" customWidth="1"/>
    <col min="2821" max="2821" width="35" customWidth="1"/>
    <col min="2823" max="2823" width="15.140625" bestFit="1" customWidth="1"/>
    <col min="3077" max="3077" width="35" customWidth="1"/>
    <col min="3079" max="3079" width="15.140625" bestFit="1" customWidth="1"/>
    <col min="3333" max="3333" width="35" customWidth="1"/>
    <col min="3335" max="3335" width="15.140625" bestFit="1" customWidth="1"/>
    <col min="3589" max="3589" width="35" customWidth="1"/>
    <col min="3591" max="3591" width="15.140625" bestFit="1" customWidth="1"/>
    <col min="3845" max="3845" width="35" customWidth="1"/>
    <col min="3847" max="3847" width="15.140625" bestFit="1" customWidth="1"/>
    <col min="4101" max="4101" width="35" customWidth="1"/>
    <col min="4103" max="4103" width="15.140625" bestFit="1" customWidth="1"/>
    <col min="4357" max="4357" width="35" customWidth="1"/>
    <col min="4359" max="4359" width="15.140625" bestFit="1" customWidth="1"/>
    <col min="4613" max="4613" width="35" customWidth="1"/>
    <col min="4615" max="4615" width="15.140625" bestFit="1" customWidth="1"/>
    <col min="4869" max="4869" width="35" customWidth="1"/>
    <col min="4871" max="4871" width="15.140625" bestFit="1" customWidth="1"/>
    <col min="5125" max="5125" width="35" customWidth="1"/>
    <col min="5127" max="5127" width="15.140625" bestFit="1" customWidth="1"/>
    <col min="5381" max="5381" width="35" customWidth="1"/>
    <col min="5383" max="5383" width="15.140625" bestFit="1" customWidth="1"/>
    <col min="5637" max="5637" width="35" customWidth="1"/>
    <col min="5639" max="5639" width="15.140625" bestFit="1" customWidth="1"/>
    <col min="5893" max="5893" width="35" customWidth="1"/>
    <col min="5895" max="5895" width="15.140625" bestFit="1" customWidth="1"/>
    <col min="6149" max="6149" width="35" customWidth="1"/>
    <col min="6151" max="6151" width="15.140625" bestFit="1" customWidth="1"/>
    <col min="6405" max="6405" width="35" customWidth="1"/>
    <col min="6407" max="6407" width="15.140625" bestFit="1" customWidth="1"/>
    <col min="6661" max="6661" width="35" customWidth="1"/>
    <col min="6663" max="6663" width="15.140625" bestFit="1" customWidth="1"/>
    <col min="6917" max="6917" width="35" customWidth="1"/>
    <col min="6919" max="6919" width="15.140625" bestFit="1" customWidth="1"/>
    <col min="7173" max="7173" width="35" customWidth="1"/>
    <col min="7175" max="7175" width="15.140625" bestFit="1" customWidth="1"/>
    <col min="7429" max="7429" width="35" customWidth="1"/>
    <col min="7431" max="7431" width="15.140625" bestFit="1" customWidth="1"/>
    <col min="7685" max="7685" width="35" customWidth="1"/>
    <col min="7687" max="7687" width="15.140625" bestFit="1" customWidth="1"/>
    <col min="7941" max="7941" width="35" customWidth="1"/>
    <col min="7943" max="7943" width="15.140625" bestFit="1" customWidth="1"/>
    <col min="8197" max="8197" width="35" customWidth="1"/>
    <col min="8199" max="8199" width="15.140625" bestFit="1" customWidth="1"/>
    <col min="8453" max="8453" width="35" customWidth="1"/>
    <col min="8455" max="8455" width="15.140625" bestFit="1" customWidth="1"/>
    <col min="8709" max="8709" width="35" customWidth="1"/>
    <col min="8711" max="8711" width="15.140625" bestFit="1" customWidth="1"/>
    <col min="8965" max="8965" width="35" customWidth="1"/>
    <col min="8967" max="8967" width="15.140625" bestFit="1" customWidth="1"/>
    <col min="9221" max="9221" width="35" customWidth="1"/>
    <col min="9223" max="9223" width="15.140625" bestFit="1" customWidth="1"/>
    <col min="9477" max="9477" width="35" customWidth="1"/>
    <col min="9479" max="9479" width="15.140625" bestFit="1" customWidth="1"/>
    <col min="9733" max="9733" width="35" customWidth="1"/>
    <col min="9735" max="9735" width="15.140625" bestFit="1" customWidth="1"/>
    <col min="9989" max="9989" width="35" customWidth="1"/>
    <col min="9991" max="9991" width="15.140625" bestFit="1" customWidth="1"/>
    <col min="10245" max="10245" width="35" customWidth="1"/>
    <col min="10247" max="10247" width="15.140625" bestFit="1" customWidth="1"/>
    <col min="10501" max="10501" width="35" customWidth="1"/>
    <col min="10503" max="10503" width="15.140625" bestFit="1" customWidth="1"/>
    <col min="10757" max="10757" width="35" customWidth="1"/>
    <col min="10759" max="10759" width="15.140625" bestFit="1" customWidth="1"/>
    <col min="11013" max="11013" width="35" customWidth="1"/>
    <col min="11015" max="11015" width="15.140625" bestFit="1" customWidth="1"/>
    <col min="11269" max="11269" width="35" customWidth="1"/>
    <col min="11271" max="11271" width="15.140625" bestFit="1" customWidth="1"/>
    <col min="11525" max="11525" width="35" customWidth="1"/>
    <col min="11527" max="11527" width="15.140625" bestFit="1" customWidth="1"/>
    <col min="11781" max="11781" width="35" customWidth="1"/>
    <col min="11783" max="11783" width="15.140625" bestFit="1" customWidth="1"/>
    <col min="12037" max="12037" width="35" customWidth="1"/>
    <col min="12039" max="12039" width="15.140625" bestFit="1" customWidth="1"/>
    <col min="12293" max="12293" width="35" customWidth="1"/>
    <col min="12295" max="12295" width="15.140625" bestFit="1" customWidth="1"/>
    <col min="12549" max="12549" width="35" customWidth="1"/>
    <col min="12551" max="12551" width="15.140625" bestFit="1" customWidth="1"/>
    <col min="12805" max="12805" width="35" customWidth="1"/>
    <col min="12807" max="12807" width="15.140625" bestFit="1" customWidth="1"/>
    <col min="13061" max="13061" width="35" customWidth="1"/>
    <col min="13063" max="13063" width="15.140625" bestFit="1" customWidth="1"/>
    <col min="13317" max="13317" width="35" customWidth="1"/>
    <col min="13319" max="13319" width="15.140625" bestFit="1" customWidth="1"/>
    <col min="13573" max="13573" width="35" customWidth="1"/>
    <col min="13575" max="13575" width="15.140625" bestFit="1" customWidth="1"/>
    <col min="13829" max="13829" width="35" customWidth="1"/>
    <col min="13831" max="13831" width="15.140625" bestFit="1" customWidth="1"/>
    <col min="14085" max="14085" width="35" customWidth="1"/>
    <col min="14087" max="14087" width="15.140625" bestFit="1" customWidth="1"/>
    <col min="14341" max="14341" width="35" customWidth="1"/>
    <col min="14343" max="14343" width="15.140625" bestFit="1" customWidth="1"/>
    <col min="14597" max="14597" width="35" customWidth="1"/>
    <col min="14599" max="14599" width="15.140625" bestFit="1" customWidth="1"/>
    <col min="14853" max="14853" width="35" customWidth="1"/>
    <col min="14855" max="14855" width="15.140625" bestFit="1" customWidth="1"/>
    <col min="15109" max="15109" width="35" customWidth="1"/>
    <col min="15111" max="15111" width="15.140625" bestFit="1" customWidth="1"/>
    <col min="15365" max="15365" width="35" customWidth="1"/>
    <col min="15367" max="15367" width="15.140625" bestFit="1" customWidth="1"/>
    <col min="15621" max="15621" width="35" customWidth="1"/>
    <col min="15623" max="15623" width="15.140625" bestFit="1" customWidth="1"/>
    <col min="15877" max="15877" width="35" customWidth="1"/>
    <col min="15879" max="15879" width="15.140625" bestFit="1" customWidth="1"/>
    <col min="16133" max="16133" width="35" customWidth="1"/>
    <col min="16135" max="16135" width="15.140625" bestFit="1" customWidth="1"/>
  </cols>
  <sheetData>
    <row r="1" spans="1:7" x14ac:dyDescent="0.25">
      <c r="A1" t="s">
        <v>75</v>
      </c>
    </row>
    <row r="2" spans="1:7" x14ac:dyDescent="0.25">
      <c r="A2" t="s">
        <v>262</v>
      </c>
    </row>
    <row r="5" spans="1:7" x14ac:dyDescent="0.25">
      <c r="B5" t="s">
        <v>76</v>
      </c>
      <c r="G5" s="52">
        <v>9238242.5299999993</v>
      </c>
    </row>
    <row r="7" spans="1:7" x14ac:dyDescent="0.25">
      <c r="A7" t="s">
        <v>77</v>
      </c>
      <c r="B7" t="s">
        <v>78</v>
      </c>
      <c r="F7" s="53">
        <v>78975.740000000005</v>
      </c>
      <c r="G7" s="54">
        <f>SUM(F7:F9)</f>
        <v>105668.71</v>
      </c>
    </row>
    <row r="8" spans="1:7" x14ac:dyDescent="0.25">
      <c r="B8" t="s">
        <v>79</v>
      </c>
      <c r="F8" s="53">
        <v>12674.66</v>
      </c>
    </row>
    <row r="9" spans="1:7" x14ac:dyDescent="0.25">
      <c r="B9" t="s">
        <v>80</v>
      </c>
      <c r="F9" s="53">
        <v>14018.31</v>
      </c>
    </row>
    <row r="10" spans="1:7" x14ac:dyDescent="0.25">
      <c r="B10" t="s">
        <v>81</v>
      </c>
      <c r="F10" s="53">
        <v>0</v>
      </c>
    </row>
    <row r="11" spans="1:7" x14ac:dyDescent="0.25">
      <c r="B11" t="s">
        <v>82</v>
      </c>
      <c r="F11" s="53">
        <v>0</v>
      </c>
    </row>
    <row r="13" spans="1:7" x14ac:dyDescent="0.25">
      <c r="A13" t="s">
        <v>83</v>
      </c>
      <c r="B13" t="s">
        <v>84</v>
      </c>
      <c r="F13" s="53">
        <v>436332.11</v>
      </c>
      <c r="G13" s="54">
        <f>SUM(F13:F21)</f>
        <v>508493.31</v>
      </c>
    </row>
    <row r="14" spans="1:7" x14ac:dyDescent="0.25">
      <c r="B14" t="s">
        <v>85</v>
      </c>
      <c r="F14" s="53">
        <v>6134</v>
      </c>
    </row>
    <row r="15" spans="1:7" x14ac:dyDescent="0.25">
      <c r="B15" t="s">
        <v>86</v>
      </c>
      <c r="F15" s="53">
        <v>66027.199999999997</v>
      </c>
    </row>
    <row r="16" spans="1:7" x14ac:dyDescent="0.25">
      <c r="B16" t="s">
        <v>87</v>
      </c>
      <c r="F16" s="53">
        <v>0</v>
      </c>
    </row>
    <row r="17" spans="1:7" x14ac:dyDescent="0.25">
      <c r="B17" t="s">
        <v>88</v>
      </c>
      <c r="F17" s="53">
        <v>0</v>
      </c>
    </row>
    <row r="18" spans="1:7" x14ac:dyDescent="0.25">
      <c r="B18" t="s">
        <v>89</v>
      </c>
      <c r="F18" s="53">
        <v>0</v>
      </c>
    </row>
    <row r="19" spans="1:7" x14ac:dyDescent="0.25">
      <c r="B19" t="s">
        <v>90</v>
      </c>
      <c r="F19" s="53">
        <v>0</v>
      </c>
    </row>
    <row r="20" spans="1:7" x14ac:dyDescent="0.25">
      <c r="B20" t="s">
        <v>91</v>
      </c>
      <c r="F20" s="53">
        <v>0</v>
      </c>
    </row>
    <row r="21" spans="1:7" x14ac:dyDescent="0.25">
      <c r="B21" t="s">
        <v>92</v>
      </c>
      <c r="F21" s="53">
        <v>0</v>
      </c>
    </row>
    <row r="22" spans="1:7" x14ac:dyDescent="0.25">
      <c r="B22" t="s">
        <v>93</v>
      </c>
      <c r="F22" s="53">
        <v>0</v>
      </c>
    </row>
    <row r="24" spans="1:7" x14ac:dyDescent="0.25">
      <c r="A24" t="s">
        <v>83</v>
      </c>
      <c r="B24" t="s">
        <v>94</v>
      </c>
      <c r="F24" s="53">
        <v>0</v>
      </c>
      <c r="G24" s="53">
        <v>0</v>
      </c>
    </row>
    <row r="26" spans="1:7" x14ac:dyDescent="0.25">
      <c r="A26" t="s">
        <v>95</v>
      </c>
      <c r="B26" t="s">
        <v>265</v>
      </c>
      <c r="G26" s="54">
        <f>+G5-G7+G13</f>
        <v>9641067.129999999</v>
      </c>
    </row>
  </sheetData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X132"/>
  <sheetViews>
    <sheetView topLeftCell="F1" workbookViewId="0">
      <pane ySplit="6" topLeftCell="A125" activePane="bottomLeft" state="frozen"/>
      <selection pane="bottomLeft" activeCell="I132" sqref="I132"/>
    </sheetView>
  </sheetViews>
  <sheetFormatPr baseColWidth="10" defaultColWidth="9.140625" defaultRowHeight="15.75" x14ac:dyDescent="0.25"/>
  <cols>
    <col min="1" max="1" width="7.140625" style="58" customWidth="1"/>
    <col min="2" max="2" width="67.42578125" style="58" customWidth="1"/>
    <col min="3" max="3" width="13" style="85" customWidth="1"/>
    <col min="4" max="4" width="13.5703125" style="85" customWidth="1"/>
    <col min="5" max="5" width="17.5703125" style="85" bestFit="1" customWidth="1"/>
    <col min="6" max="6" width="17.7109375" style="85" customWidth="1"/>
    <col min="7" max="7" width="5.5703125" style="85" customWidth="1"/>
    <col min="8" max="8" width="14" style="85" customWidth="1"/>
    <col min="9" max="9" width="14.28515625" style="85" customWidth="1"/>
    <col min="10" max="10" width="16.5703125" style="85" customWidth="1"/>
    <col min="11" max="12" width="11.42578125" style="85" customWidth="1"/>
    <col min="13" max="13" width="12.7109375" style="85" customWidth="1"/>
    <col min="14" max="14" width="11.5703125" style="85" customWidth="1"/>
    <col min="15" max="15" width="14.7109375" style="85" customWidth="1"/>
    <col min="16" max="16" width="14.7109375" style="233" customWidth="1"/>
    <col min="17" max="21" width="14.7109375" style="85" customWidth="1"/>
    <col min="22" max="22" width="16.85546875" style="85" customWidth="1"/>
    <col min="23" max="23" width="18.42578125" style="85" customWidth="1"/>
    <col min="24" max="24" width="15" style="85" customWidth="1"/>
    <col min="25" max="222" width="11.42578125" style="58" customWidth="1"/>
    <col min="223" max="16384" width="9.140625" style="58"/>
  </cols>
  <sheetData>
    <row r="2" spans="1:24" ht="18" x14ac:dyDescent="0.25">
      <c r="C2" s="87" t="s">
        <v>258</v>
      </c>
      <c r="D2" s="88"/>
    </row>
    <row r="3" spans="1:24" x14ac:dyDescent="0.25">
      <c r="C3" s="89" t="s">
        <v>224</v>
      </c>
      <c r="D3" s="89"/>
    </row>
    <row r="4" spans="1:24" ht="24.75" customHeight="1" x14ac:dyDescent="0.25"/>
    <row r="5" spans="1:24" ht="15" customHeight="1" x14ac:dyDescent="0.25">
      <c r="A5" s="296" t="s">
        <v>99</v>
      </c>
      <c r="B5" s="298" t="s">
        <v>100</v>
      </c>
      <c r="C5" s="303" t="s">
        <v>210</v>
      </c>
      <c r="D5" s="223" t="s">
        <v>19</v>
      </c>
      <c r="E5" s="223" t="s">
        <v>101</v>
      </c>
      <c r="F5" s="304" t="s">
        <v>227</v>
      </c>
      <c r="G5" s="305"/>
      <c r="H5" s="224" t="s">
        <v>211</v>
      </c>
      <c r="I5" s="224" t="s">
        <v>212</v>
      </c>
      <c r="J5" s="224"/>
      <c r="K5" s="306" t="s">
        <v>213</v>
      </c>
      <c r="L5" s="307"/>
      <c r="M5" s="224"/>
      <c r="N5" s="224"/>
      <c r="O5" s="224" t="s">
        <v>211</v>
      </c>
      <c r="P5" s="224" t="s">
        <v>212</v>
      </c>
      <c r="Q5" s="224"/>
      <c r="R5" s="306" t="s">
        <v>213</v>
      </c>
      <c r="S5" s="307"/>
      <c r="T5" s="224"/>
      <c r="U5" s="224"/>
      <c r="V5" s="308" t="s">
        <v>214</v>
      </c>
      <c r="W5" s="302" t="s">
        <v>215</v>
      </c>
      <c r="X5" s="302" t="s">
        <v>216</v>
      </c>
    </row>
    <row r="6" spans="1:24" ht="25.5" x14ac:dyDescent="0.25">
      <c r="A6" s="297"/>
      <c r="B6" s="298"/>
      <c r="C6" s="303"/>
      <c r="D6" s="222" t="s">
        <v>222</v>
      </c>
      <c r="E6" s="223" t="s">
        <v>264</v>
      </c>
      <c r="F6" s="223" t="s">
        <v>218</v>
      </c>
      <c r="G6" s="223" t="s">
        <v>219</v>
      </c>
      <c r="H6" s="84" t="s">
        <v>33</v>
      </c>
      <c r="I6" s="84" t="s">
        <v>33</v>
      </c>
      <c r="J6" s="84" t="s">
        <v>217</v>
      </c>
      <c r="K6" s="84" t="s">
        <v>218</v>
      </c>
      <c r="L6" s="84" t="s">
        <v>219</v>
      </c>
      <c r="M6" s="84" t="s">
        <v>220</v>
      </c>
      <c r="N6" s="84" t="s">
        <v>221</v>
      </c>
      <c r="O6" s="84" t="s">
        <v>247</v>
      </c>
      <c r="P6" s="84" t="s">
        <v>247</v>
      </c>
      <c r="Q6" s="84" t="s">
        <v>217</v>
      </c>
      <c r="R6" s="84" t="s">
        <v>218</v>
      </c>
      <c r="S6" s="84" t="s">
        <v>219</v>
      </c>
      <c r="T6" s="84" t="s">
        <v>220</v>
      </c>
      <c r="U6" s="84" t="s">
        <v>221</v>
      </c>
      <c r="V6" s="309"/>
      <c r="W6" s="302"/>
      <c r="X6" s="302"/>
    </row>
    <row r="7" spans="1:24" s="131" customFormat="1" ht="15" customHeight="1" x14ac:dyDescent="0.25">
      <c r="A7" s="126">
        <v>1131</v>
      </c>
      <c r="B7" s="127" t="s">
        <v>102</v>
      </c>
      <c r="C7" s="128">
        <f>29378510.336+2561872.56+53797.14</f>
        <v>31994180.035999998</v>
      </c>
      <c r="D7" s="129"/>
      <c r="E7" s="129">
        <f>C7+D7</f>
        <v>31994180.035999998</v>
      </c>
      <c r="F7" s="129"/>
      <c r="G7" s="129"/>
      <c r="H7" s="130">
        <v>2675467</v>
      </c>
      <c r="I7" s="130">
        <v>2401012.83</v>
      </c>
      <c r="J7" s="130">
        <f>E7-I7</f>
        <v>29593167.206</v>
      </c>
      <c r="K7" s="130"/>
      <c r="L7" s="130"/>
      <c r="M7" s="130"/>
      <c r="N7" s="130"/>
      <c r="O7" s="226">
        <v>2416550.92</v>
      </c>
      <c r="P7" s="231">
        <v>2168504.21</v>
      </c>
      <c r="Q7" s="130">
        <f>J7-P7</f>
        <v>27424662.995999999</v>
      </c>
      <c r="R7" s="130"/>
      <c r="S7" s="130"/>
      <c r="T7" s="130"/>
      <c r="U7" s="130"/>
      <c r="V7" s="130">
        <f t="shared" ref="V7:V24" si="0">C7+D7</f>
        <v>31994180.035999998</v>
      </c>
      <c r="W7" s="130">
        <f>I7+P7</f>
        <v>4569517.04</v>
      </c>
      <c r="X7" s="130">
        <f>V7-W7-R7+S7</f>
        <v>27424662.995999999</v>
      </c>
    </row>
    <row r="8" spans="1:24" s="131" customFormat="1" ht="30" x14ac:dyDescent="0.25">
      <c r="A8" s="132">
        <v>1311</v>
      </c>
      <c r="B8" s="133" t="s">
        <v>103</v>
      </c>
      <c r="C8" s="134">
        <v>432901.92</v>
      </c>
      <c r="D8" s="135"/>
      <c r="E8" s="135">
        <f t="shared" ref="E8:E23" si="1">C8+D8</f>
        <v>432901.92</v>
      </c>
      <c r="F8" s="135"/>
      <c r="G8" s="135"/>
      <c r="H8" s="130">
        <v>35681</v>
      </c>
      <c r="I8" s="130">
        <v>30266.55</v>
      </c>
      <c r="J8" s="130">
        <f t="shared" ref="J8:J24" si="2">E8-I8</f>
        <v>402635.37</v>
      </c>
      <c r="K8" s="130"/>
      <c r="L8" s="130"/>
      <c r="M8" s="130"/>
      <c r="N8" s="130"/>
      <c r="O8" s="226">
        <v>35845.159880000007</v>
      </c>
      <c r="P8" s="231">
        <v>36340.06</v>
      </c>
      <c r="Q8" s="130">
        <f t="shared" ref="Q8:Q73" si="3">J8-P8</f>
        <v>366295.31</v>
      </c>
      <c r="R8" s="130"/>
      <c r="S8" s="130"/>
      <c r="T8" s="130"/>
      <c r="U8" s="130"/>
      <c r="V8" s="130">
        <f t="shared" si="0"/>
        <v>432901.92</v>
      </c>
      <c r="W8" s="130">
        <f t="shared" ref="W8:W73" si="4">I8+P8</f>
        <v>66606.61</v>
      </c>
      <c r="X8" s="130">
        <f t="shared" ref="X8:X71" si="5">V8-W8-R8+S8</f>
        <v>366295.31</v>
      </c>
    </row>
    <row r="9" spans="1:24" s="131" customFormat="1" ht="15" customHeight="1" x14ac:dyDescent="0.25">
      <c r="A9" s="132">
        <v>1321</v>
      </c>
      <c r="B9" s="136" t="s">
        <v>104</v>
      </c>
      <c r="C9" s="134">
        <f>402160.408000001+35581.56</f>
        <v>437741.96800000098</v>
      </c>
      <c r="D9" s="135"/>
      <c r="E9" s="135">
        <f t="shared" si="1"/>
        <v>437741.96800000098</v>
      </c>
      <c r="F9" s="135"/>
      <c r="G9" s="135"/>
      <c r="H9" s="130">
        <v>4377</v>
      </c>
      <c r="I9" s="130">
        <v>252.09</v>
      </c>
      <c r="J9" s="130">
        <f t="shared" si="2"/>
        <v>437489.87800000096</v>
      </c>
      <c r="K9" s="130"/>
      <c r="L9" s="130"/>
      <c r="M9" s="130"/>
      <c r="N9" s="130"/>
      <c r="O9" s="226">
        <v>4377.42</v>
      </c>
      <c r="P9" s="231">
        <v>1660.72</v>
      </c>
      <c r="Q9" s="130">
        <f t="shared" si="3"/>
        <v>435829.15800000099</v>
      </c>
      <c r="R9" s="130"/>
      <c r="S9" s="130"/>
      <c r="T9" s="130"/>
      <c r="U9" s="130"/>
      <c r="V9" s="130">
        <f t="shared" si="0"/>
        <v>437741.96800000098</v>
      </c>
      <c r="W9" s="130">
        <f t="shared" si="4"/>
        <v>1912.81</v>
      </c>
      <c r="X9" s="130">
        <f t="shared" si="5"/>
        <v>435829.15800000099</v>
      </c>
    </row>
    <row r="10" spans="1:24" s="131" customFormat="1" x14ac:dyDescent="0.25">
      <c r="A10" s="132">
        <v>1322</v>
      </c>
      <c r="B10" s="136" t="s">
        <v>105</v>
      </c>
      <c r="C10" s="134">
        <f>4021604.08+355815.63</f>
        <v>4377419.71</v>
      </c>
      <c r="D10" s="135"/>
      <c r="E10" s="135">
        <f t="shared" si="1"/>
        <v>4377419.71</v>
      </c>
      <c r="F10" s="135"/>
      <c r="G10" s="135"/>
      <c r="H10" s="130">
        <v>44692</v>
      </c>
      <c r="I10" s="130">
        <v>645.99</v>
      </c>
      <c r="J10" s="130">
        <f t="shared" si="2"/>
        <v>4376773.72</v>
      </c>
      <c r="K10" s="130"/>
      <c r="L10" s="130"/>
      <c r="M10" s="130"/>
      <c r="N10" s="130"/>
      <c r="O10" s="226">
        <v>40366.480000000003</v>
      </c>
      <c r="P10" s="231">
        <v>5625.07</v>
      </c>
      <c r="Q10" s="130">
        <f t="shared" si="3"/>
        <v>4371148.6499999994</v>
      </c>
      <c r="R10" s="130"/>
      <c r="S10" s="130"/>
      <c r="T10" s="130"/>
      <c r="U10" s="130"/>
      <c r="V10" s="130">
        <f t="shared" si="0"/>
        <v>4377419.71</v>
      </c>
      <c r="W10" s="130">
        <f t="shared" si="4"/>
        <v>6271.0599999999995</v>
      </c>
      <c r="X10" s="130">
        <f t="shared" si="5"/>
        <v>4371148.6500000004</v>
      </c>
    </row>
    <row r="11" spans="1:24" s="131" customFormat="1" ht="15" customHeight="1" x14ac:dyDescent="0.25">
      <c r="A11" s="132">
        <v>1332</v>
      </c>
      <c r="B11" s="136" t="s">
        <v>106</v>
      </c>
      <c r="C11" s="134">
        <v>1388969</v>
      </c>
      <c r="D11" s="135"/>
      <c r="E11" s="135">
        <f t="shared" si="1"/>
        <v>1388969</v>
      </c>
      <c r="F11" s="135"/>
      <c r="G11" s="135"/>
      <c r="H11" s="130">
        <v>118210</v>
      </c>
      <c r="I11" s="130">
        <v>20629.509999999998</v>
      </c>
      <c r="J11" s="130">
        <f t="shared" si="2"/>
        <v>1368339.49</v>
      </c>
      <c r="K11" s="130"/>
      <c r="L11" s="130"/>
      <c r="M11" s="130"/>
      <c r="N11" s="130"/>
      <c r="O11" s="227">
        <v>107127.91</v>
      </c>
      <c r="P11" s="231">
        <v>7644.57</v>
      </c>
      <c r="Q11" s="130">
        <f t="shared" si="3"/>
        <v>1360694.92</v>
      </c>
      <c r="R11" s="130"/>
      <c r="S11" s="130"/>
      <c r="T11" s="130"/>
      <c r="U11" s="130"/>
      <c r="V11" s="130">
        <f t="shared" si="0"/>
        <v>1388969</v>
      </c>
      <c r="W11" s="130">
        <f t="shared" si="4"/>
        <v>28274.079999999998</v>
      </c>
      <c r="X11" s="130">
        <f t="shared" si="5"/>
        <v>1360694.92</v>
      </c>
    </row>
    <row r="12" spans="1:24" s="131" customFormat="1" x14ac:dyDescent="0.25">
      <c r="A12" s="132">
        <v>1347</v>
      </c>
      <c r="B12" s="136" t="s">
        <v>107</v>
      </c>
      <c r="C12" s="134">
        <v>350000</v>
      </c>
      <c r="D12" s="135"/>
      <c r="E12" s="135">
        <f t="shared" si="1"/>
        <v>350000</v>
      </c>
      <c r="F12" s="135"/>
      <c r="G12" s="135"/>
      <c r="H12" s="130">
        <v>29167</v>
      </c>
      <c r="I12" s="130"/>
      <c r="J12" s="130">
        <f t="shared" si="2"/>
        <v>350000</v>
      </c>
      <c r="K12" s="130"/>
      <c r="L12" s="130"/>
      <c r="M12" s="130"/>
      <c r="N12" s="130"/>
      <c r="O12" s="226">
        <v>29166.66</v>
      </c>
      <c r="P12" s="231"/>
      <c r="Q12" s="130">
        <f t="shared" si="3"/>
        <v>350000</v>
      </c>
      <c r="R12" s="130"/>
      <c r="S12" s="130"/>
      <c r="T12" s="130"/>
      <c r="U12" s="130"/>
      <c r="V12" s="130">
        <f t="shared" si="0"/>
        <v>350000</v>
      </c>
      <c r="W12" s="130">
        <f t="shared" si="4"/>
        <v>0</v>
      </c>
      <c r="X12" s="130">
        <f t="shared" si="5"/>
        <v>350000</v>
      </c>
    </row>
    <row r="13" spans="1:24" s="131" customFormat="1" ht="15" customHeight="1" x14ac:dyDescent="0.25">
      <c r="A13" s="132">
        <v>1411</v>
      </c>
      <c r="B13" s="136" t="s">
        <v>108</v>
      </c>
      <c r="C13" s="134">
        <f>1739434.94666845+153581.18</f>
        <v>1893016.12666845</v>
      </c>
      <c r="D13" s="135"/>
      <c r="E13" s="135">
        <f t="shared" si="1"/>
        <v>1893016.12666845</v>
      </c>
      <c r="F13" s="135"/>
      <c r="G13" s="135"/>
      <c r="H13" s="130">
        <v>155590</v>
      </c>
      <c r="I13" s="130">
        <v>146649.09</v>
      </c>
      <c r="J13" s="130">
        <f t="shared" si="2"/>
        <v>1746367.0366684499</v>
      </c>
      <c r="K13" s="130"/>
      <c r="L13" s="130"/>
      <c r="M13" s="130"/>
      <c r="N13" s="130"/>
      <c r="O13" s="226">
        <v>155590.35</v>
      </c>
      <c r="P13" s="231">
        <v>133497.51999999999</v>
      </c>
      <c r="Q13" s="130">
        <f t="shared" si="3"/>
        <v>1612869.5166684499</v>
      </c>
      <c r="R13" s="130"/>
      <c r="S13" s="130"/>
      <c r="T13" s="130"/>
      <c r="U13" s="130"/>
      <c r="V13" s="130">
        <f t="shared" si="0"/>
        <v>1893016.12666845</v>
      </c>
      <c r="W13" s="130">
        <f t="shared" si="4"/>
        <v>280146.61</v>
      </c>
      <c r="X13" s="130">
        <f t="shared" si="5"/>
        <v>1612869.5166684501</v>
      </c>
    </row>
    <row r="14" spans="1:24" s="131" customFormat="1" x14ac:dyDescent="0.25">
      <c r="A14" s="132">
        <v>1421</v>
      </c>
      <c r="B14" s="136" t="s">
        <v>109</v>
      </c>
      <c r="C14" s="134">
        <f>880731.291280002+76856.18</f>
        <v>957587.47128000204</v>
      </c>
      <c r="D14" s="135"/>
      <c r="E14" s="135">
        <f t="shared" si="1"/>
        <v>957587.47128000204</v>
      </c>
      <c r="F14" s="135"/>
      <c r="G14" s="135"/>
      <c r="H14" s="130">
        <v>78706</v>
      </c>
      <c r="I14" s="130">
        <v>62022.53</v>
      </c>
      <c r="J14" s="130">
        <f t="shared" si="2"/>
        <v>895564.94128000201</v>
      </c>
      <c r="K14" s="130"/>
      <c r="L14" s="130"/>
      <c r="M14" s="130"/>
      <c r="N14" s="130"/>
      <c r="O14" s="226">
        <v>78705.78</v>
      </c>
      <c r="P14" s="231">
        <v>62498.04</v>
      </c>
      <c r="Q14" s="130">
        <f t="shared" si="3"/>
        <v>833066.90128000197</v>
      </c>
      <c r="R14" s="130"/>
      <c r="S14" s="130"/>
      <c r="T14" s="130"/>
      <c r="U14" s="130"/>
      <c r="V14" s="130">
        <f t="shared" si="0"/>
        <v>957587.47128000204</v>
      </c>
      <c r="W14" s="130">
        <f t="shared" si="4"/>
        <v>124520.57</v>
      </c>
      <c r="X14" s="130">
        <f t="shared" si="5"/>
        <v>833066.90128000197</v>
      </c>
    </row>
    <row r="15" spans="1:24" s="131" customFormat="1" ht="15" customHeight="1" x14ac:dyDescent="0.25">
      <c r="A15" s="132">
        <v>1431</v>
      </c>
      <c r="B15" s="136" t="s">
        <v>110</v>
      </c>
      <c r="C15" s="134">
        <f>5137599.2108+384280.88</f>
        <v>5521880.0907999994</v>
      </c>
      <c r="D15" s="135"/>
      <c r="E15" s="135">
        <f t="shared" si="1"/>
        <v>5521880.0907999994</v>
      </c>
      <c r="F15" s="135"/>
      <c r="G15" s="135"/>
      <c r="H15" s="130">
        <v>453853</v>
      </c>
      <c r="I15" s="130">
        <v>361792.83</v>
      </c>
      <c r="J15" s="130">
        <f t="shared" si="2"/>
        <v>5160087.2607999993</v>
      </c>
      <c r="K15" s="130"/>
      <c r="L15" s="130"/>
      <c r="M15" s="130"/>
      <c r="N15" s="130"/>
      <c r="O15" s="226">
        <v>453853.14</v>
      </c>
      <c r="P15" s="231">
        <v>364566.67</v>
      </c>
      <c r="Q15" s="130">
        <f t="shared" si="3"/>
        <v>4795520.5907999994</v>
      </c>
      <c r="R15" s="130"/>
      <c r="S15" s="130"/>
      <c r="T15" s="130"/>
      <c r="U15" s="130"/>
      <c r="V15" s="130">
        <f t="shared" si="0"/>
        <v>5521880.0907999994</v>
      </c>
      <c r="W15" s="130">
        <f t="shared" si="4"/>
        <v>726359.5</v>
      </c>
      <c r="X15" s="130">
        <f t="shared" si="5"/>
        <v>4795520.5907999994</v>
      </c>
    </row>
    <row r="16" spans="1:24" s="131" customFormat="1" x14ac:dyDescent="0.25">
      <c r="A16" s="132">
        <v>1432</v>
      </c>
      <c r="B16" s="136" t="s">
        <v>111</v>
      </c>
      <c r="C16" s="134">
        <f>587154.197520001+51237.45</f>
        <v>638391.64752000093</v>
      </c>
      <c r="D16" s="135"/>
      <c r="E16" s="135">
        <f t="shared" si="1"/>
        <v>638391.64752000093</v>
      </c>
      <c r="F16" s="135"/>
      <c r="G16" s="135"/>
      <c r="H16" s="130">
        <v>52471</v>
      </c>
      <c r="I16" s="130">
        <v>41347.74</v>
      </c>
      <c r="J16" s="130">
        <f t="shared" si="2"/>
        <v>597043.90752000094</v>
      </c>
      <c r="K16" s="130"/>
      <c r="L16" s="130"/>
      <c r="M16" s="130"/>
      <c r="N16" s="130"/>
      <c r="O16" s="226">
        <v>52470.57</v>
      </c>
      <c r="P16" s="231">
        <v>41664.75</v>
      </c>
      <c r="Q16" s="130">
        <f t="shared" si="3"/>
        <v>555379.15752000094</v>
      </c>
      <c r="R16" s="130"/>
      <c r="S16" s="130"/>
      <c r="T16" s="130"/>
      <c r="U16" s="130"/>
      <c r="V16" s="130">
        <f t="shared" si="0"/>
        <v>638391.64752000093</v>
      </c>
      <c r="W16" s="130">
        <f t="shared" si="4"/>
        <v>83012.489999999991</v>
      </c>
      <c r="X16" s="130">
        <f t="shared" si="5"/>
        <v>555379.15752000094</v>
      </c>
    </row>
    <row r="17" spans="1:24" s="131" customFormat="1" ht="15" customHeight="1" x14ac:dyDescent="0.25">
      <c r="A17" s="132">
        <v>1441</v>
      </c>
      <c r="B17" s="136" t="s">
        <v>112</v>
      </c>
      <c r="C17" s="135">
        <v>25000</v>
      </c>
      <c r="D17" s="137"/>
      <c r="E17" s="135">
        <f>+C17+D17</f>
        <v>25000</v>
      </c>
      <c r="F17" s="135"/>
      <c r="G17" s="135"/>
      <c r="H17" s="130">
        <v>2123</v>
      </c>
      <c r="I17" s="130"/>
      <c r="J17" s="130">
        <f t="shared" si="2"/>
        <v>25000</v>
      </c>
      <c r="K17" s="130"/>
      <c r="L17" s="130"/>
      <c r="M17" s="130"/>
      <c r="N17" s="130"/>
      <c r="O17" s="226">
        <v>1917.72</v>
      </c>
      <c r="P17" s="231"/>
      <c r="Q17" s="130">
        <f t="shared" si="3"/>
        <v>25000</v>
      </c>
      <c r="R17" s="130"/>
      <c r="S17" s="130"/>
      <c r="T17" s="130"/>
      <c r="U17" s="130"/>
      <c r="V17" s="130">
        <f t="shared" si="0"/>
        <v>25000</v>
      </c>
      <c r="W17" s="130">
        <f t="shared" si="4"/>
        <v>0</v>
      </c>
      <c r="X17" s="130">
        <f t="shared" si="5"/>
        <v>25000</v>
      </c>
    </row>
    <row r="18" spans="1:24" s="131" customFormat="1" x14ac:dyDescent="0.25">
      <c r="A18" s="132">
        <v>1521</v>
      </c>
      <c r="B18" s="136" t="s">
        <v>113</v>
      </c>
      <c r="C18" s="135">
        <v>540000</v>
      </c>
      <c r="D18" s="137"/>
      <c r="E18" s="135">
        <f>+C18+D18</f>
        <v>540000</v>
      </c>
      <c r="F18" s="135"/>
      <c r="G18" s="135"/>
      <c r="H18" s="130">
        <v>45000</v>
      </c>
      <c r="I18" s="130"/>
      <c r="J18" s="130">
        <f t="shared" si="2"/>
        <v>540000</v>
      </c>
      <c r="K18" s="130"/>
      <c r="L18" s="130"/>
      <c r="M18" s="130"/>
      <c r="N18" s="130"/>
      <c r="O18" s="226">
        <v>45000</v>
      </c>
      <c r="P18" s="231">
        <v>45428.79</v>
      </c>
      <c r="Q18" s="130">
        <f t="shared" si="3"/>
        <v>494571.21</v>
      </c>
      <c r="R18" s="130"/>
      <c r="S18" s="130"/>
      <c r="T18" s="130"/>
      <c r="U18" s="130"/>
      <c r="V18" s="130">
        <f t="shared" si="0"/>
        <v>540000</v>
      </c>
      <c r="W18" s="130">
        <f t="shared" si="4"/>
        <v>45428.79</v>
      </c>
      <c r="X18" s="130">
        <f t="shared" si="5"/>
        <v>494571.21</v>
      </c>
    </row>
    <row r="19" spans="1:24" s="131" customFormat="1" ht="15" customHeight="1" x14ac:dyDescent="0.25">
      <c r="A19" s="132">
        <v>1543</v>
      </c>
      <c r="B19" s="136" t="s">
        <v>114</v>
      </c>
      <c r="C19" s="134">
        <v>711880</v>
      </c>
      <c r="D19" s="135"/>
      <c r="E19" s="135">
        <f t="shared" si="1"/>
        <v>711880</v>
      </c>
      <c r="F19" s="135"/>
      <c r="G19" s="135"/>
      <c r="H19" s="130">
        <v>167440</v>
      </c>
      <c r="I19" s="130">
        <v>42700</v>
      </c>
      <c r="J19" s="130">
        <f t="shared" si="2"/>
        <v>669180</v>
      </c>
      <c r="K19" s="130"/>
      <c r="L19" s="130"/>
      <c r="M19" s="130"/>
      <c r="N19" s="130"/>
      <c r="O19" s="226">
        <v>37700</v>
      </c>
      <c r="P19" s="231">
        <v>31900</v>
      </c>
      <c r="Q19" s="130">
        <f t="shared" si="3"/>
        <v>637280</v>
      </c>
      <c r="R19" s="130"/>
      <c r="S19" s="130"/>
      <c r="T19" s="130"/>
      <c r="U19" s="130"/>
      <c r="V19" s="130">
        <f t="shared" si="0"/>
        <v>711880</v>
      </c>
      <c r="W19" s="130">
        <f t="shared" si="4"/>
        <v>74600</v>
      </c>
      <c r="X19" s="130">
        <f t="shared" si="5"/>
        <v>637280</v>
      </c>
    </row>
    <row r="20" spans="1:24" s="131" customFormat="1" x14ac:dyDescent="0.25">
      <c r="A20" s="132">
        <v>1611</v>
      </c>
      <c r="B20" s="136" t="s">
        <v>115</v>
      </c>
      <c r="C20" s="134">
        <f>1650000+985000</f>
        <v>2635000</v>
      </c>
      <c r="D20" s="134"/>
      <c r="E20" s="135">
        <f t="shared" si="1"/>
        <v>2635000</v>
      </c>
      <c r="F20" s="135"/>
      <c r="G20" s="135"/>
      <c r="H20" s="130">
        <v>219583</v>
      </c>
      <c r="I20" s="130"/>
      <c r="J20" s="130">
        <f t="shared" si="2"/>
        <v>2635000</v>
      </c>
      <c r="K20" s="130"/>
      <c r="L20" s="130"/>
      <c r="M20" s="130"/>
      <c r="N20" s="130"/>
      <c r="O20" s="226">
        <v>219583.33</v>
      </c>
      <c r="P20" s="231"/>
      <c r="Q20" s="130">
        <f t="shared" si="3"/>
        <v>2635000</v>
      </c>
      <c r="R20" s="130"/>
      <c r="S20" s="130"/>
      <c r="T20" s="130"/>
      <c r="U20" s="130"/>
      <c r="V20" s="130">
        <f t="shared" si="0"/>
        <v>2635000</v>
      </c>
      <c r="W20" s="130">
        <f t="shared" si="4"/>
        <v>0</v>
      </c>
      <c r="X20" s="130">
        <f t="shared" si="5"/>
        <v>2635000</v>
      </c>
    </row>
    <row r="21" spans="1:24" s="131" customFormat="1" ht="15" customHeight="1" x14ac:dyDescent="0.25">
      <c r="A21" s="132">
        <v>1712</v>
      </c>
      <c r="B21" s="136" t="s">
        <v>116</v>
      </c>
      <c r="C21" s="134">
        <f>2380261.47840001+217453.56</f>
        <v>2597715.0384000102</v>
      </c>
      <c r="D21" s="135"/>
      <c r="E21" s="135">
        <f t="shared" si="1"/>
        <v>2597715.0384000102</v>
      </c>
      <c r="F21" s="135"/>
      <c r="G21" s="135"/>
      <c r="H21" s="130">
        <v>216476</v>
      </c>
      <c r="I21" s="130">
        <v>183499</v>
      </c>
      <c r="J21" s="130">
        <f t="shared" si="2"/>
        <v>2414216.0384000102</v>
      </c>
      <c r="K21" s="130"/>
      <c r="L21" s="130"/>
      <c r="M21" s="130"/>
      <c r="N21" s="130"/>
      <c r="O21" s="226">
        <v>216476</v>
      </c>
      <c r="P21" s="231">
        <v>185545.61</v>
      </c>
      <c r="Q21" s="130">
        <f t="shared" si="3"/>
        <v>2228670.4284000103</v>
      </c>
      <c r="R21" s="130"/>
      <c r="S21" s="130"/>
      <c r="T21" s="130"/>
      <c r="U21" s="130"/>
      <c r="V21" s="130">
        <f t="shared" si="0"/>
        <v>2597715.0384000102</v>
      </c>
      <c r="W21" s="130">
        <f t="shared" si="4"/>
        <v>369044.61</v>
      </c>
      <c r="X21" s="130">
        <f t="shared" si="5"/>
        <v>2228670.4284000103</v>
      </c>
    </row>
    <row r="22" spans="1:24" s="131" customFormat="1" x14ac:dyDescent="0.25">
      <c r="A22" s="138">
        <v>1713</v>
      </c>
      <c r="B22" s="139" t="s">
        <v>117</v>
      </c>
      <c r="C22" s="134">
        <f>141036+1512570</f>
        <v>1653606</v>
      </c>
      <c r="D22" s="135"/>
      <c r="E22" s="135">
        <f>C22+D22</f>
        <v>1653606</v>
      </c>
      <c r="F22" s="135"/>
      <c r="G22" s="135"/>
      <c r="H22" s="130">
        <v>137800</v>
      </c>
      <c r="I22" s="130">
        <v>114369.44</v>
      </c>
      <c r="J22" s="130">
        <f t="shared" si="2"/>
        <v>1539236.56</v>
      </c>
      <c r="K22" s="130"/>
      <c r="L22" s="130"/>
      <c r="M22" s="130"/>
      <c r="N22" s="130"/>
      <c r="O22" s="226">
        <v>137800</v>
      </c>
      <c r="P22" s="231">
        <v>116422.03</v>
      </c>
      <c r="Q22" s="130">
        <f t="shared" si="3"/>
        <v>1422814.53</v>
      </c>
      <c r="R22" s="130"/>
      <c r="S22" s="130"/>
      <c r="T22" s="130"/>
      <c r="U22" s="130"/>
      <c r="V22" s="130">
        <f t="shared" si="0"/>
        <v>1653606</v>
      </c>
      <c r="W22" s="130">
        <f t="shared" si="4"/>
        <v>230791.47</v>
      </c>
      <c r="X22" s="130">
        <f t="shared" si="5"/>
        <v>1422814.53</v>
      </c>
    </row>
    <row r="23" spans="1:24" s="131" customFormat="1" ht="15" customHeight="1" x14ac:dyDescent="0.25">
      <c r="A23" s="132">
        <v>1715</v>
      </c>
      <c r="B23" s="136" t="s">
        <v>118</v>
      </c>
      <c r="C23" s="140">
        <f>0+106744.69+1181986</f>
        <v>1288730.69</v>
      </c>
      <c r="D23" s="135"/>
      <c r="E23" s="135">
        <f t="shared" si="1"/>
        <v>1288730.69</v>
      </c>
      <c r="F23" s="135"/>
      <c r="G23" s="135"/>
      <c r="H23" s="130"/>
      <c r="I23" s="130"/>
      <c r="J23" s="130">
        <f t="shared" si="2"/>
        <v>1288730.69</v>
      </c>
      <c r="K23" s="130"/>
      <c r="L23" s="130"/>
      <c r="M23" s="130"/>
      <c r="N23" s="130"/>
      <c r="O23" s="226">
        <v>0</v>
      </c>
      <c r="P23" s="231"/>
      <c r="Q23" s="130">
        <f t="shared" si="3"/>
        <v>1288730.69</v>
      </c>
      <c r="R23" s="130"/>
      <c r="S23" s="130"/>
      <c r="T23" s="130"/>
      <c r="U23" s="130"/>
      <c r="V23" s="130">
        <f t="shared" si="0"/>
        <v>1288730.69</v>
      </c>
      <c r="W23" s="130">
        <f t="shared" si="4"/>
        <v>0</v>
      </c>
      <c r="X23" s="130">
        <f t="shared" si="5"/>
        <v>1288730.69</v>
      </c>
    </row>
    <row r="24" spans="1:24" s="131" customFormat="1" x14ac:dyDescent="0.25">
      <c r="A24" s="132">
        <v>1716</v>
      </c>
      <c r="B24" s="136" t="s">
        <v>119</v>
      </c>
      <c r="C24" s="135">
        <v>514800</v>
      </c>
      <c r="D24" s="137"/>
      <c r="E24" s="135">
        <f>+C24+D24</f>
        <v>514800</v>
      </c>
      <c r="F24" s="135"/>
      <c r="G24" s="135"/>
      <c r="H24" s="130">
        <v>42900</v>
      </c>
      <c r="I24" s="130"/>
      <c r="J24" s="130">
        <f t="shared" si="2"/>
        <v>514800</v>
      </c>
      <c r="K24" s="130"/>
      <c r="L24" s="130"/>
      <c r="M24" s="130"/>
      <c r="N24" s="130"/>
      <c r="O24" s="226">
        <v>42900</v>
      </c>
      <c r="P24" s="231"/>
      <c r="Q24" s="130">
        <f t="shared" si="3"/>
        <v>514800</v>
      </c>
      <c r="R24" s="130"/>
      <c r="S24" s="130"/>
      <c r="T24" s="130"/>
      <c r="U24" s="130"/>
      <c r="V24" s="130">
        <f t="shared" si="0"/>
        <v>514800</v>
      </c>
      <c r="W24" s="130">
        <f t="shared" si="4"/>
        <v>0</v>
      </c>
      <c r="X24" s="130">
        <f t="shared" si="5"/>
        <v>514800</v>
      </c>
    </row>
    <row r="25" spans="1:24" s="145" customFormat="1" ht="15" customHeight="1" x14ac:dyDescent="0.25">
      <c r="A25" s="141"/>
      <c r="B25" s="142" t="s">
        <v>120</v>
      </c>
      <c r="C25" s="143">
        <f>SUM(C7:C24)</f>
        <v>57958819.698668465</v>
      </c>
      <c r="D25" s="143">
        <f>SUM(D7:D24)</f>
        <v>0</v>
      </c>
      <c r="E25" s="144">
        <f t="shared" ref="E25:E59" si="6">C25+D25</f>
        <v>57958819.698668465</v>
      </c>
      <c r="F25" s="143">
        <f t="shared" ref="F25:G25" si="7">SUM(F7:F24)</f>
        <v>0</v>
      </c>
      <c r="G25" s="143">
        <f t="shared" si="7"/>
        <v>0</v>
      </c>
      <c r="H25" s="144">
        <f>SUM(H7:H24)</f>
        <v>4479536</v>
      </c>
      <c r="I25" s="144">
        <f t="shared" ref="I25:X25" si="8">SUM(I7:I24)</f>
        <v>3405187.5999999996</v>
      </c>
      <c r="J25" s="144">
        <f t="shared" si="8"/>
        <v>54553632.098668464</v>
      </c>
      <c r="K25" s="144">
        <f t="shared" si="8"/>
        <v>0</v>
      </c>
      <c r="L25" s="144">
        <f t="shared" si="8"/>
        <v>0</v>
      </c>
      <c r="M25" s="144">
        <f t="shared" si="8"/>
        <v>0</v>
      </c>
      <c r="N25" s="144">
        <f t="shared" si="8"/>
        <v>0</v>
      </c>
      <c r="O25" s="144">
        <f>SUM(O7:O24)</f>
        <v>4075431.4398800004</v>
      </c>
      <c r="P25" s="144">
        <f t="shared" si="8"/>
        <v>3201298.0399999996</v>
      </c>
      <c r="Q25" s="144">
        <f t="shared" si="8"/>
        <v>51352334.058668457</v>
      </c>
      <c r="R25" s="144">
        <f t="shared" si="8"/>
        <v>0</v>
      </c>
      <c r="S25" s="144">
        <f t="shared" si="8"/>
        <v>0</v>
      </c>
      <c r="T25" s="144">
        <f t="shared" si="8"/>
        <v>0</v>
      </c>
      <c r="U25" s="144">
        <f t="shared" si="8"/>
        <v>0</v>
      </c>
      <c r="V25" s="144">
        <f t="shared" si="8"/>
        <v>57958819.698668465</v>
      </c>
      <c r="W25" s="144">
        <f t="shared" si="8"/>
        <v>6606485.6400000006</v>
      </c>
      <c r="X25" s="144">
        <f t="shared" si="8"/>
        <v>51352334.058668464</v>
      </c>
    </row>
    <row r="26" spans="1:24" s="131" customFormat="1" x14ac:dyDescent="0.25">
      <c r="A26" s="138">
        <v>2111</v>
      </c>
      <c r="B26" s="146" t="s">
        <v>121</v>
      </c>
      <c r="C26" s="135">
        <v>100182.24320000001</v>
      </c>
      <c r="D26" s="135"/>
      <c r="E26" s="135">
        <f t="shared" si="6"/>
        <v>100182.24320000001</v>
      </c>
      <c r="F26" s="135"/>
      <c r="G26" s="135"/>
      <c r="H26" s="130">
        <v>8349</v>
      </c>
      <c r="I26" s="130">
        <v>9912.9699999999993</v>
      </c>
      <c r="J26" s="130">
        <f>E26-I26</f>
        <v>90269.273200000011</v>
      </c>
      <c r="K26" s="130"/>
      <c r="L26" s="130"/>
      <c r="M26" s="130"/>
      <c r="N26" s="130"/>
      <c r="O26" s="130">
        <v>7255</v>
      </c>
      <c r="P26" s="231">
        <v>7559.94</v>
      </c>
      <c r="Q26" s="130">
        <f t="shared" si="3"/>
        <v>82709.333200000008</v>
      </c>
      <c r="R26" s="130"/>
      <c r="S26" s="130"/>
      <c r="T26" s="130"/>
      <c r="U26" s="130"/>
      <c r="V26" s="130">
        <f t="shared" ref="V26:V58" si="9">C26+D26</f>
        <v>100182.24320000001</v>
      </c>
      <c r="W26" s="130">
        <f t="shared" si="4"/>
        <v>17472.91</v>
      </c>
      <c r="X26" s="130">
        <f t="shared" si="5"/>
        <v>82709.333200000008</v>
      </c>
    </row>
    <row r="27" spans="1:24" s="131" customFormat="1" ht="30.75" x14ac:dyDescent="0.25">
      <c r="A27" s="138">
        <v>2141</v>
      </c>
      <c r="B27" s="147" t="s">
        <v>122</v>
      </c>
      <c r="C27" s="135">
        <v>25000</v>
      </c>
      <c r="D27" s="135"/>
      <c r="E27" s="135">
        <f t="shared" si="6"/>
        <v>25000</v>
      </c>
      <c r="F27" s="135"/>
      <c r="G27" s="135"/>
      <c r="H27" s="130"/>
      <c r="I27" s="130"/>
      <c r="J27" s="130">
        <f t="shared" ref="J27:J92" si="10">E27-I27</f>
        <v>25000</v>
      </c>
      <c r="K27" s="130"/>
      <c r="L27" s="130"/>
      <c r="M27" s="130"/>
      <c r="N27" s="130"/>
      <c r="O27" s="130"/>
      <c r="P27" s="231"/>
      <c r="Q27" s="130">
        <f t="shared" si="3"/>
        <v>25000</v>
      </c>
      <c r="R27" s="130"/>
      <c r="S27" s="130"/>
      <c r="T27" s="130"/>
      <c r="U27" s="130"/>
      <c r="V27" s="130">
        <f t="shared" si="9"/>
        <v>25000</v>
      </c>
      <c r="W27" s="130">
        <f t="shared" si="4"/>
        <v>0</v>
      </c>
      <c r="X27" s="130">
        <f t="shared" si="5"/>
        <v>25000</v>
      </c>
    </row>
    <row r="28" spans="1:24" s="131" customFormat="1" x14ac:dyDescent="0.25">
      <c r="A28" s="138">
        <v>2161</v>
      </c>
      <c r="B28" s="146" t="s">
        <v>123</v>
      </c>
      <c r="C28" s="135">
        <v>899616.66080000007</v>
      </c>
      <c r="D28" s="135"/>
      <c r="E28" s="135">
        <f t="shared" si="6"/>
        <v>899616.66080000007</v>
      </c>
      <c r="F28" s="135"/>
      <c r="G28" s="135"/>
      <c r="H28" s="130">
        <v>64686.06</v>
      </c>
      <c r="I28" s="130">
        <v>62801.919999999998</v>
      </c>
      <c r="J28" s="130">
        <f t="shared" si="10"/>
        <v>836814.74080000003</v>
      </c>
      <c r="K28" s="130"/>
      <c r="L28" s="130"/>
      <c r="M28" s="130"/>
      <c r="N28" s="130"/>
      <c r="O28" s="130">
        <v>60025</v>
      </c>
      <c r="P28" s="231">
        <v>59924.28</v>
      </c>
      <c r="Q28" s="130">
        <f t="shared" si="3"/>
        <v>776890.4608</v>
      </c>
      <c r="R28" s="130"/>
      <c r="S28" s="130"/>
      <c r="T28" s="130"/>
      <c r="U28" s="130"/>
      <c r="V28" s="130">
        <f t="shared" si="9"/>
        <v>899616.66080000007</v>
      </c>
      <c r="W28" s="130">
        <f t="shared" si="4"/>
        <v>122726.2</v>
      </c>
      <c r="X28" s="130">
        <f t="shared" si="5"/>
        <v>776890.46080000012</v>
      </c>
    </row>
    <row r="29" spans="1:24" s="131" customFormat="1" ht="15" customHeight="1" x14ac:dyDescent="0.25">
      <c r="A29" s="138">
        <v>2171</v>
      </c>
      <c r="B29" s="146" t="s">
        <v>124</v>
      </c>
      <c r="C29" s="135">
        <v>243450</v>
      </c>
      <c r="D29" s="135">
        <v>10000</v>
      </c>
      <c r="E29" s="135">
        <f t="shared" si="6"/>
        <v>253450</v>
      </c>
      <c r="F29" s="135"/>
      <c r="G29" s="135"/>
      <c r="H29" s="130">
        <f t="shared" ref="H29" si="11">C29/12</f>
        <v>20287.5</v>
      </c>
      <c r="I29" s="130">
        <v>24423.87</v>
      </c>
      <c r="J29" s="130">
        <f t="shared" si="10"/>
        <v>229026.13</v>
      </c>
      <c r="K29" s="130"/>
      <c r="L29" s="130"/>
      <c r="M29" s="130"/>
      <c r="N29" s="130"/>
      <c r="O29" s="130">
        <v>16512</v>
      </c>
      <c r="P29" s="231">
        <v>15380.63</v>
      </c>
      <c r="Q29" s="130">
        <f t="shared" si="3"/>
        <v>213645.5</v>
      </c>
      <c r="R29" s="130"/>
      <c r="S29" s="130"/>
      <c r="T29" s="130"/>
      <c r="U29" s="130"/>
      <c r="V29" s="130">
        <f t="shared" si="9"/>
        <v>253450</v>
      </c>
      <c r="W29" s="130">
        <f t="shared" si="4"/>
        <v>39804.5</v>
      </c>
      <c r="X29" s="130">
        <f t="shared" si="5"/>
        <v>213645.5</v>
      </c>
    </row>
    <row r="30" spans="1:24" s="131" customFormat="1" ht="60.75" x14ac:dyDescent="0.25">
      <c r="A30" s="138">
        <v>2212</v>
      </c>
      <c r="B30" s="147" t="s">
        <v>125</v>
      </c>
      <c r="C30" s="140">
        <v>5305045.78</v>
      </c>
      <c r="D30" s="135">
        <v>1000000</v>
      </c>
      <c r="E30" s="135">
        <f t="shared" si="6"/>
        <v>6305045.7800000003</v>
      </c>
      <c r="F30" s="135"/>
      <c r="G30" s="135"/>
      <c r="H30" s="130">
        <v>442087.16</v>
      </c>
      <c r="I30" s="130">
        <v>269517.18</v>
      </c>
      <c r="J30" s="130">
        <f t="shared" si="10"/>
        <v>6035528.6000000006</v>
      </c>
      <c r="K30" s="130"/>
      <c r="L30" s="130"/>
      <c r="M30" s="130"/>
      <c r="N30" s="130"/>
      <c r="O30" s="130">
        <v>286915</v>
      </c>
      <c r="P30" s="231">
        <v>284219.88</v>
      </c>
      <c r="Q30" s="130">
        <f t="shared" si="3"/>
        <v>5751308.7200000007</v>
      </c>
      <c r="R30" s="130"/>
      <c r="S30" s="130"/>
      <c r="T30" s="130"/>
      <c r="U30" s="130"/>
      <c r="V30" s="130">
        <f t="shared" si="9"/>
        <v>6305045.7800000003</v>
      </c>
      <c r="W30" s="130">
        <f t="shared" si="4"/>
        <v>553737.06000000006</v>
      </c>
      <c r="X30" s="130">
        <f t="shared" si="5"/>
        <v>5751308.7200000007</v>
      </c>
    </row>
    <row r="31" spans="1:24" s="131" customFormat="1" ht="30.75" x14ac:dyDescent="0.25">
      <c r="A31" s="138">
        <v>2214</v>
      </c>
      <c r="B31" s="147" t="s">
        <v>126</v>
      </c>
      <c r="C31" s="135">
        <f>1076260.9312</f>
        <v>1076260.9312</v>
      </c>
      <c r="D31" s="148"/>
      <c r="E31" s="135">
        <f t="shared" si="6"/>
        <v>1076260.9312</v>
      </c>
      <c r="F31" s="135"/>
      <c r="G31" s="135"/>
      <c r="H31" s="130">
        <v>69400.37</v>
      </c>
      <c r="I31" s="130">
        <v>67379.3</v>
      </c>
      <c r="J31" s="130">
        <f t="shared" si="10"/>
        <v>1008881.6311999999</v>
      </c>
      <c r="K31" s="130"/>
      <c r="L31" s="130"/>
      <c r="M31" s="130"/>
      <c r="N31" s="130"/>
      <c r="O31" s="130">
        <v>73515</v>
      </c>
      <c r="P31" s="231">
        <v>71054.97</v>
      </c>
      <c r="Q31" s="130">
        <f t="shared" si="3"/>
        <v>937826.66119999997</v>
      </c>
      <c r="R31" s="130"/>
      <c r="S31" s="130"/>
      <c r="T31" s="130"/>
      <c r="U31" s="130"/>
      <c r="V31" s="130">
        <f t="shared" si="9"/>
        <v>1076260.9312</v>
      </c>
      <c r="W31" s="130">
        <f t="shared" si="4"/>
        <v>138434.27000000002</v>
      </c>
      <c r="X31" s="130">
        <f t="shared" si="5"/>
        <v>937826.66119999997</v>
      </c>
    </row>
    <row r="32" spans="1:24" s="131" customFormat="1" x14ac:dyDescent="0.25">
      <c r="A32" s="138">
        <v>2231</v>
      </c>
      <c r="B32" s="146" t="s">
        <v>127</v>
      </c>
      <c r="C32" s="135">
        <v>155673</v>
      </c>
      <c r="D32" s="148"/>
      <c r="E32" s="135">
        <f t="shared" si="6"/>
        <v>155673</v>
      </c>
      <c r="F32" s="135"/>
      <c r="G32" s="135"/>
      <c r="H32" s="130">
        <v>4482.5600000000004</v>
      </c>
      <c r="I32" s="130">
        <v>4352.1499999999996</v>
      </c>
      <c r="J32" s="130">
        <f t="shared" si="10"/>
        <v>151320.85</v>
      </c>
      <c r="K32" s="130"/>
      <c r="L32" s="130"/>
      <c r="M32" s="130"/>
      <c r="N32" s="130"/>
      <c r="O32" s="130">
        <v>15708</v>
      </c>
      <c r="P32" s="231">
        <v>13771.87</v>
      </c>
      <c r="Q32" s="130">
        <f t="shared" si="3"/>
        <v>137548.98000000001</v>
      </c>
      <c r="R32" s="130"/>
      <c r="S32" s="130"/>
      <c r="T32" s="130"/>
      <c r="U32" s="130"/>
      <c r="V32" s="130">
        <f t="shared" si="9"/>
        <v>155673</v>
      </c>
      <c r="W32" s="130">
        <f t="shared" si="4"/>
        <v>18124.02</v>
      </c>
      <c r="X32" s="130">
        <f t="shared" si="5"/>
        <v>137548.98000000001</v>
      </c>
    </row>
    <row r="33" spans="1:24" s="131" customFormat="1" ht="15" customHeight="1" x14ac:dyDescent="0.25">
      <c r="A33" s="138">
        <v>2411</v>
      </c>
      <c r="B33" s="146" t="s">
        <v>128</v>
      </c>
      <c r="C33" s="135">
        <v>112500</v>
      </c>
      <c r="D33" s="135"/>
      <c r="E33" s="135">
        <f t="shared" si="6"/>
        <v>112500</v>
      </c>
      <c r="F33" s="135"/>
      <c r="G33" s="135"/>
      <c r="H33" s="130"/>
      <c r="I33" s="130">
        <f>17643.78+708.26</f>
        <v>18352.039999999997</v>
      </c>
      <c r="J33" s="130">
        <f t="shared" si="10"/>
        <v>94147.96</v>
      </c>
      <c r="K33" s="130"/>
      <c r="L33" s="130"/>
      <c r="M33" s="130"/>
      <c r="N33" s="130"/>
      <c r="O33" s="130"/>
      <c r="P33" s="231">
        <v>5299.98</v>
      </c>
      <c r="Q33" s="130">
        <f t="shared" si="3"/>
        <v>88847.98000000001</v>
      </c>
      <c r="R33" s="130"/>
      <c r="S33" s="130"/>
      <c r="T33" s="130"/>
      <c r="U33" s="130"/>
      <c r="V33" s="130">
        <f t="shared" si="9"/>
        <v>112500</v>
      </c>
      <c r="W33" s="130">
        <f t="shared" si="4"/>
        <v>23652.019999999997</v>
      </c>
      <c r="X33" s="130">
        <f t="shared" si="5"/>
        <v>88847.98000000001</v>
      </c>
    </row>
    <row r="34" spans="1:24" s="131" customFormat="1" x14ac:dyDescent="0.25">
      <c r="A34" s="138">
        <v>2421</v>
      </c>
      <c r="B34" s="146" t="s">
        <v>129</v>
      </c>
      <c r="C34" s="135">
        <v>125000</v>
      </c>
      <c r="D34" s="135"/>
      <c r="E34" s="135">
        <f t="shared" si="6"/>
        <v>125000</v>
      </c>
      <c r="F34" s="135"/>
      <c r="G34" s="135"/>
      <c r="H34" s="130"/>
      <c r="I34" s="130">
        <v>2517.4499999999998</v>
      </c>
      <c r="J34" s="130">
        <f t="shared" si="10"/>
        <v>122482.55</v>
      </c>
      <c r="K34" s="130"/>
      <c r="L34" s="130"/>
      <c r="M34" s="130"/>
      <c r="N34" s="130"/>
      <c r="O34" s="130"/>
      <c r="P34" s="231"/>
      <c r="Q34" s="130">
        <f t="shared" si="3"/>
        <v>122482.55</v>
      </c>
      <c r="R34" s="130"/>
      <c r="S34" s="130"/>
      <c r="T34" s="130"/>
      <c r="U34" s="130"/>
      <c r="V34" s="130">
        <f t="shared" si="9"/>
        <v>125000</v>
      </c>
      <c r="W34" s="130">
        <f t="shared" si="4"/>
        <v>2517.4499999999998</v>
      </c>
      <c r="X34" s="130">
        <f t="shared" si="5"/>
        <v>122482.55</v>
      </c>
    </row>
    <row r="35" spans="1:24" s="131" customFormat="1" ht="15" customHeight="1" x14ac:dyDescent="0.25">
      <c r="A35" s="138">
        <v>2431</v>
      </c>
      <c r="B35" s="146" t="s">
        <v>130</v>
      </c>
      <c r="C35" s="135">
        <v>95000</v>
      </c>
      <c r="D35" s="135"/>
      <c r="E35" s="135">
        <f t="shared" si="6"/>
        <v>95000</v>
      </c>
      <c r="F35" s="135"/>
      <c r="G35" s="135"/>
      <c r="H35" s="130"/>
      <c r="I35" s="130"/>
      <c r="J35" s="130">
        <f t="shared" si="10"/>
        <v>95000</v>
      </c>
      <c r="K35" s="130"/>
      <c r="L35" s="130"/>
      <c r="M35" s="130"/>
      <c r="N35" s="130"/>
      <c r="O35" s="130"/>
      <c r="P35" s="231"/>
      <c r="Q35" s="130">
        <f t="shared" si="3"/>
        <v>95000</v>
      </c>
      <c r="R35" s="130"/>
      <c r="S35" s="130"/>
      <c r="T35" s="130"/>
      <c r="U35" s="130"/>
      <c r="V35" s="130">
        <f t="shared" si="9"/>
        <v>95000</v>
      </c>
      <c r="W35" s="130">
        <f t="shared" si="4"/>
        <v>0</v>
      </c>
      <c r="X35" s="130">
        <f t="shared" si="5"/>
        <v>95000</v>
      </c>
    </row>
    <row r="36" spans="1:24" s="131" customFormat="1" x14ac:dyDescent="0.25">
      <c r="A36" s="138">
        <v>2441</v>
      </c>
      <c r="B36" s="146" t="s">
        <v>131</v>
      </c>
      <c r="C36" s="135">
        <v>85000</v>
      </c>
      <c r="D36" s="135"/>
      <c r="E36" s="135">
        <f t="shared" si="6"/>
        <v>85000</v>
      </c>
      <c r="F36" s="135"/>
      <c r="G36" s="135"/>
      <c r="H36" s="130"/>
      <c r="I36" s="130">
        <v>11535.94</v>
      </c>
      <c r="J36" s="130">
        <f t="shared" si="10"/>
        <v>73464.06</v>
      </c>
      <c r="K36" s="130"/>
      <c r="L36" s="130"/>
      <c r="M36" s="130"/>
      <c r="N36" s="130"/>
      <c r="O36" s="130"/>
      <c r="P36" s="231"/>
      <c r="Q36" s="130">
        <f t="shared" si="3"/>
        <v>73464.06</v>
      </c>
      <c r="R36" s="130"/>
      <c r="S36" s="130"/>
      <c r="T36" s="130"/>
      <c r="U36" s="130"/>
      <c r="V36" s="130">
        <f t="shared" si="9"/>
        <v>85000</v>
      </c>
      <c r="W36" s="130">
        <f t="shared" si="4"/>
        <v>11535.94</v>
      </c>
      <c r="X36" s="130">
        <f t="shared" si="5"/>
        <v>73464.06</v>
      </c>
    </row>
    <row r="37" spans="1:24" s="131" customFormat="1" ht="15" customHeight="1" x14ac:dyDescent="0.25">
      <c r="A37" s="138">
        <v>2451</v>
      </c>
      <c r="B37" s="146" t="s">
        <v>132</v>
      </c>
      <c r="C37" s="135">
        <v>105000</v>
      </c>
      <c r="D37" s="148"/>
      <c r="E37" s="135">
        <f t="shared" si="6"/>
        <v>105000</v>
      </c>
      <c r="F37" s="135"/>
      <c r="G37" s="135"/>
      <c r="H37" s="130"/>
      <c r="I37" s="130"/>
      <c r="J37" s="130">
        <f t="shared" si="10"/>
        <v>105000</v>
      </c>
      <c r="K37" s="130"/>
      <c r="L37" s="130"/>
      <c r="M37" s="130"/>
      <c r="N37" s="130"/>
      <c r="O37" s="130"/>
      <c r="P37" s="231"/>
      <c r="Q37" s="130">
        <f t="shared" si="3"/>
        <v>105000</v>
      </c>
      <c r="R37" s="130"/>
      <c r="S37" s="130"/>
      <c r="T37" s="130"/>
      <c r="U37" s="130"/>
      <c r="V37" s="130">
        <f t="shared" si="9"/>
        <v>105000</v>
      </c>
      <c r="W37" s="130">
        <f t="shared" si="4"/>
        <v>0</v>
      </c>
      <c r="X37" s="130">
        <f t="shared" si="5"/>
        <v>105000</v>
      </c>
    </row>
    <row r="38" spans="1:24" s="131" customFormat="1" x14ac:dyDescent="0.25">
      <c r="A38" s="138">
        <v>2461</v>
      </c>
      <c r="B38" s="146" t="s">
        <v>133</v>
      </c>
      <c r="C38" s="135">
        <f>229928*1.2</f>
        <v>275913.59999999998</v>
      </c>
      <c r="D38" s="148"/>
      <c r="E38" s="135">
        <f t="shared" si="6"/>
        <v>275913.59999999998</v>
      </c>
      <c r="F38" s="135"/>
      <c r="G38" s="135"/>
      <c r="H38" s="130">
        <v>6106.87</v>
      </c>
      <c r="I38" s="130">
        <v>5929.22</v>
      </c>
      <c r="J38" s="130">
        <f t="shared" si="10"/>
        <v>269984.38</v>
      </c>
      <c r="K38" s="130"/>
      <c r="L38" s="130"/>
      <c r="M38" s="130"/>
      <c r="N38" s="130"/>
      <c r="O38" s="130">
        <v>7380</v>
      </c>
      <c r="P38" s="231">
        <v>7261.92</v>
      </c>
      <c r="Q38" s="130">
        <f t="shared" si="3"/>
        <v>262722.46000000002</v>
      </c>
      <c r="R38" s="130"/>
      <c r="S38" s="130"/>
      <c r="T38" s="130"/>
      <c r="U38" s="130"/>
      <c r="V38" s="130">
        <f t="shared" si="9"/>
        <v>275913.59999999998</v>
      </c>
      <c r="W38" s="130">
        <f t="shared" si="4"/>
        <v>13191.14</v>
      </c>
      <c r="X38" s="130">
        <f t="shared" si="5"/>
        <v>262722.45999999996</v>
      </c>
    </row>
    <row r="39" spans="1:24" s="131" customFormat="1" ht="15" customHeight="1" x14ac:dyDescent="0.25">
      <c r="A39" s="138">
        <v>2471</v>
      </c>
      <c r="B39" s="146" t="s">
        <v>134</v>
      </c>
      <c r="C39" s="135">
        <f>29110.37+1.2</f>
        <v>29111.57</v>
      </c>
      <c r="D39" s="135"/>
      <c r="E39" s="135">
        <f t="shared" si="6"/>
        <v>29111.57</v>
      </c>
      <c r="F39" s="135"/>
      <c r="G39" s="135"/>
      <c r="H39" s="130">
        <v>47290.39</v>
      </c>
      <c r="I39" s="130">
        <f>9806.64+3701.22</f>
        <v>13507.859999999999</v>
      </c>
      <c r="J39" s="130">
        <f t="shared" si="10"/>
        <v>15603.710000000001</v>
      </c>
      <c r="K39" s="130"/>
      <c r="L39" s="130"/>
      <c r="M39" s="130"/>
      <c r="N39" s="130"/>
      <c r="O39" s="130">
        <v>8795</v>
      </c>
      <c r="P39" s="231">
        <v>3234.71</v>
      </c>
      <c r="Q39" s="130">
        <f t="shared" si="3"/>
        <v>12369</v>
      </c>
      <c r="R39" s="130"/>
      <c r="S39" s="130"/>
      <c r="T39" s="130"/>
      <c r="U39" s="130"/>
      <c r="V39" s="130">
        <f t="shared" si="9"/>
        <v>29111.57</v>
      </c>
      <c r="W39" s="130">
        <f t="shared" si="4"/>
        <v>16742.57</v>
      </c>
      <c r="X39" s="130">
        <f t="shared" si="5"/>
        <v>12369</v>
      </c>
    </row>
    <row r="40" spans="1:24" s="131" customFormat="1" x14ac:dyDescent="0.25">
      <c r="A40" s="138">
        <v>2481</v>
      </c>
      <c r="B40" s="146" t="s">
        <v>135</v>
      </c>
      <c r="C40" s="135">
        <v>25000</v>
      </c>
      <c r="D40" s="148"/>
      <c r="E40" s="135">
        <f t="shared" si="6"/>
        <v>25000</v>
      </c>
      <c r="F40" s="135"/>
      <c r="G40" s="135"/>
      <c r="H40" s="130"/>
      <c r="I40" s="130"/>
      <c r="J40" s="130">
        <f t="shared" si="10"/>
        <v>25000</v>
      </c>
      <c r="K40" s="130"/>
      <c r="L40" s="130"/>
      <c r="M40" s="130"/>
      <c r="N40" s="130"/>
      <c r="O40" s="130"/>
      <c r="P40" s="231"/>
      <c r="Q40" s="130">
        <f t="shared" si="3"/>
        <v>25000</v>
      </c>
      <c r="R40" s="130"/>
      <c r="S40" s="130"/>
      <c r="T40" s="130"/>
      <c r="U40" s="130"/>
      <c r="V40" s="130">
        <f t="shared" si="9"/>
        <v>25000</v>
      </c>
      <c r="W40" s="130">
        <f t="shared" si="4"/>
        <v>0</v>
      </c>
      <c r="X40" s="130">
        <f t="shared" si="5"/>
        <v>25000</v>
      </c>
    </row>
    <row r="41" spans="1:24" s="131" customFormat="1" ht="30.75" x14ac:dyDescent="0.25">
      <c r="A41" s="138">
        <v>2491</v>
      </c>
      <c r="B41" s="147" t="s">
        <v>136</v>
      </c>
      <c r="C41" s="135">
        <v>25000</v>
      </c>
      <c r="D41" s="148"/>
      <c r="E41" s="135">
        <f t="shared" si="6"/>
        <v>25000</v>
      </c>
      <c r="F41" s="135"/>
      <c r="G41" s="135"/>
      <c r="H41" s="130"/>
      <c r="I41" s="130"/>
      <c r="J41" s="130">
        <f t="shared" si="10"/>
        <v>25000</v>
      </c>
      <c r="K41" s="130"/>
      <c r="L41" s="130"/>
      <c r="M41" s="130"/>
      <c r="N41" s="130"/>
      <c r="O41" s="130"/>
      <c r="P41" s="231"/>
      <c r="Q41" s="130">
        <f t="shared" si="3"/>
        <v>25000</v>
      </c>
      <c r="R41" s="130"/>
      <c r="S41" s="130"/>
      <c r="T41" s="130"/>
      <c r="U41" s="130"/>
      <c r="V41" s="130">
        <f t="shared" si="9"/>
        <v>25000</v>
      </c>
      <c r="W41" s="130">
        <f t="shared" si="4"/>
        <v>0</v>
      </c>
      <c r="X41" s="130">
        <f t="shared" si="5"/>
        <v>25000</v>
      </c>
    </row>
    <row r="42" spans="1:24" s="131" customFormat="1" x14ac:dyDescent="0.25">
      <c r="A42" s="138">
        <v>2521</v>
      </c>
      <c r="B42" s="146" t="s">
        <v>137</v>
      </c>
      <c r="C42" s="135">
        <v>0</v>
      </c>
      <c r="D42" s="135">
        <v>20000</v>
      </c>
      <c r="E42" s="135">
        <f t="shared" si="6"/>
        <v>20000</v>
      </c>
      <c r="F42" s="135"/>
      <c r="G42" s="135"/>
      <c r="H42" s="130"/>
      <c r="I42" s="130"/>
      <c r="J42" s="130">
        <f t="shared" si="10"/>
        <v>20000</v>
      </c>
      <c r="K42" s="130"/>
      <c r="L42" s="130"/>
      <c r="M42" s="130"/>
      <c r="N42" s="130"/>
      <c r="O42" s="130"/>
      <c r="P42" s="231"/>
      <c r="Q42" s="130">
        <f t="shared" si="3"/>
        <v>20000</v>
      </c>
      <c r="R42" s="130"/>
      <c r="S42" s="130"/>
      <c r="T42" s="130"/>
      <c r="U42" s="130"/>
      <c r="V42" s="130">
        <f t="shared" si="9"/>
        <v>20000</v>
      </c>
      <c r="W42" s="130">
        <f t="shared" si="4"/>
        <v>0</v>
      </c>
      <c r="X42" s="130">
        <f t="shared" si="5"/>
        <v>20000</v>
      </c>
    </row>
    <row r="43" spans="1:24" s="131" customFormat="1" ht="15" customHeight="1" x14ac:dyDescent="0.25">
      <c r="A43" s="138">
        <v>2531</v>
      </c>
      <c r="B43" s="146" t="s">
        <v>138</v>
      </c>
      <c r="C43" s="135">
        <f>2189939.44</f>
        <v>2189939.44</v>
      </c>
      <c r="D43" s="135">
        <f>350000+25000</f>
        <v>375000</v>
      </c>
      <c r="E43" s="135">
        <f t="shared" si="6"/>
        <v>2564939.44</v>
      </c>
      <c r="F43" s="135"/>
      <c r="G43" s="135"/>
      <c r="H43" s="130">
        <v>123251.86</v>
      </c>
      <c r="I43" s="130">
        <v>119661.78</v>
      </c>
      <c r="J43" s="130">
        <f t="shared" si="10"/>
        <v>2445277.66</v>
      </c>
      <c r="K43" s="130"/>
      <c r="L43" s="130"/>
      <c r="M43" s="130"/>
      <c r="N43" s="130"/>
      <c r="O43" s="130">
        <v>115892</v>
      </c>
      <c r="P43" s="231">
        <v>109267.17</v>
      </c>
      <c r="Q43" s="130">
        <f t="shared" si="3"/>
        <v>2336010.4900000002</v>
      </c>
      <c r="R43" s="130"/>
      <c r="S43" s="130"/>
      <c r="T43" s="130"/>
      <c r="U43" s="130"/>
      <c r="V43" s="130">
        <f t="shared" si="9"/>
        <v>2564939.44</v>
      </c>
      <c r="W43" s="130">
        <f t="shared" si="4"/>
        <v>228928.95</v>
      </c>
      <c r="X43" s="130">
        <f t="shared" si="5"/>
        <v>2336010.4899999998</v>
      </c>
    </row>
    <row r="44" spans="1:24" s="131" customFormat="1" x14ac:dyDescent="0.25">
      <c r="A44" s="138">
        <v>2541</v>
      </c>
      <c r="B44" s="146" t="s">
        <v>139</v>
      </c>
      <c r="C44" s="135">
        <v>173372.78399999999</v>
      </c>
      <c r="D44" s="148"/>
      <c r="E44" s="135">
        <f t="shared" si="6"/>
        <v>173372.78399999999</v>
      </c>
      <c r="F44" s="135"/>
      <c r="G44" s="135"/>
      <c r="H44" s="130">
        <v>12137.52</v>
      </c>
      <c r="I44" s="130">
        <v>11784.32</v>
      </c>
      <c r="J44" s="130">
        <f t="shared" si="10"/>
        <v>161588.46399999998</v>
      </c>
      <c r="K44" s="130"/>
      <c r="L44" s="130"/>
      <c r="M44" s="130"/>
      <c r="N44" s="130"/>
      <c r="O44" s="130">
        <v>35801</v>
      </c>
      <c r="P44" s="231">
        <v>38378.53</v>
      </c>
      <c r="Q44" s="130">
        <f t="shared" si="3"/>
        <v>123209.93399999998</v>
      </c>
      <c r="R44" s="130"/>
      <c r="S44" s="130"/>
      <c r="T44" s="130"/>
      <c r="U44" s="130"/>
      <c r="V44" s="130">
        <f t="shared" si="9"/>
        <v>173372.78399999999</v>
      </c>
      <c r="W44" s="130">
        <f t="shared" si="4"/>
        <v>50162.85</v>
      </c>
      <c r="X44" s="130">
        <f t="shared" si="5"/>
        <v>123209.93399999998</v>
      </c>
    </row>
    <row r="45" spans="1:24" s="131" customFormat="1" ht="15" customHeight="1" x14ac:dyDescent="0.25">
      <c r="A45" s="138">
        <v>2551</v>
      </c>
      <c r="B45" s="146" t="s">
        <v>140</v>
      </c>
      <c r="C45" s="135">
        <v>0</v>
      </c>
      <c r="D45" s="148"/>
      <c r="E45" s="135">
        <f t="shared" si="6"/>
        <v>0</v>
      </c>
      <c r="F45" s="135"/>
      <c r="G45" s="135"/>
      <c r="H45" s="130"/>
      <c r="I45" s="130"/>
      <c r="J45" s="130">
        <f t="shared" si="10"/>
        <v>0</v>
      </c>
      <c r="K45" s="130"/>
      <c r="L45" s="130"/>
      <c r="M45" s="130"/>
      <c r="N45" s="130"/>
      <c r="O45" s="130"/>
      <c r="P45" s="231">
        <v>6655.03</v>
      </c>
      <c r="Q45" s="130">
        <f t="shared" si="3"/>
        <v>-6655.03</v>
      </c>
      <c r="R45" s="130"/>
      <c r="S45" s="130">
        <v>6655</v>
      </c>
      <c r="T45" s="130"/>
      <c r="U45" s="130"/>
      <c r="V45" s="130">
        <f t="shared" si="9"/>
        <v>0</v>
      </c>
      <c r="W45" s="130">
        <f t="shared" si="4"/>
        <v>6655.03</v>
      </c>
      <c r="X45" s="130">
        <f t="shared" si="5"/>
        <v>-2.9999999999745341E-2</v>
      </c>
    </row>
    <row r="46" spans="1:24" s="131" customFormat="1" ht="15" customHeight="1" x14ac:dyDescent="0.25">
      <c r="A46" s="138">
        <v>2561</v>
      </c>
      <c r="B46" s="146" t="s">
        <v>263</v>
      </c>
      <c r="C46" s="135">
        <v>0</v>
      </c>
      <c r="D46" s="148"/>
      <c r="E46" s="135">
        <f t="shared" si="6"/>
        <v>0</v>
      </c>
      <c r="F46" s="135"/>
      <c r="G46" s="135"/>
      <c r="H46" s="130"/>
      <c r="I46" s="130"/>
      <c r="J46" s="130">
        <f t="shared" si="10"/>
        <v>0</v>
      </c>
      <c r="K46" s="130"/>
      <c r="L46" s="130"/>
      <c r="M46" s="130"/>
      <c r="N46" s="130"/>
      <c r="O46" s="130">
        <v>0</v>
      </c>
      <c r="P46" s="231">
        <v>50808</v>
      </c>
      <c r="Q46" s="130">
        <f t="shared" si="3"/>
        <v>-50808</v>
      </c>
      <c r="R46" s="130"/>
      <c r="S46" s="130">
        <v>50808</v>
      </c>
      <c r="T46" s="130"/>
      <c r="U46" s="130"/>
      <c r="V46" s="130">
        <f t="shared" si="9"/>
        <v>0</v>
      </c>
      <c r="W46" s="130">
        <f t="shared" si="4"/>
        <v>50808</v>
      </c>
      <c r="X46" s="130">
        <f t="shared" si="5"/>
        <v>0</v>
      </c>
    </row>
    <row r="47" spans="1:24" s="131" customFormat="1" ht="45.75" x14ac:dyDescent="0.25">
      <c r="A47" s="138">
        <v>2611</v>
      </c>
      <c r="B47" s="147" t="s">
        <v>141</v>
      </c>
      <c r="C47" s="135">
        <f>(1149164.2368*36.27/100)*1.2</f>
        <v>500162.24242483207</v>
      </c>
      <c r="D47" s="148"/>
      <c r="E47" s="135">
        <f t="shared" si="6"/>
        <v>500162.24242483207</v>
      </c>
      <c r="F47" s="135"/>
      <c r="G47" s="135"/>
      <c r="H47" s="130">
        <v>26016.77</v>
      </c>
      <c r="I47" s="130">
        <v>25259.02</v>
      </c>
      <c r="J47" s="130">
        <f t="shared" si="10"/>
        <v>474903.22242483206</v>
      </c>
      <c r="K47" s="130"/>
      <c r="L47" s="130"/>
      <c r="M47" s="130"/>
      <c r="N47" s="130"/>
      <c r="O47" s="130">
        <v>29617</v>
      </c>
      <c r="P47" s="231">
        <v>28570.959999999999</v>
      </c>
      <c r="Q47" s="130">
        <f t="shared" si="3"/>
        <v>446332.26242483204</v>
      </c>
      <c r="R47" s="130"/>
      <c r="S47" s="130"/>
      <c r="T47" s="130"/>
      <c r="U47" s="130"/>
      <c r="V47" s="130">
        <f t="shared" si="9"/>
        <v>500162.24242483207</v>
      </c>
      <c r="W47" s="130">
        <f t="shared" si="4"/>
        <v>53829.979999999996</v>
      </c>
      <c r="X47" s="130">
        <f t="shared" si="5"/>
        <v>446332.26242483209</v>
      </c>
    </row>
    <row r="48" spans="1:24" s="131" customFormat="1" ht="30.75" x14ac:dyDescent="0.25">
      <c r="A48" s="138">
        <v>2614</v>
      </c>
      <c r="B48" s="147" t="s">
        <v>142</v>
      </c>
      <c r="C48" s="135">
        <f>(1149164.2368*63.73/100)*1.2</f>
        <v>878834.84173516813</v>
      </c>
      <c r="D48" s="148"/>
      <c r="E48" s="135">
        <f t="shared" si="6"/>
        <v>878834.84173516813</v>
      </c>
      <c r="F48" s="135"/>
      <c r="G48" s="135"/>
      <c r="H48" s="130">
        <v>71111.199999999997</v>
      </c>
      <c r="I48" s="130">
        <v>69040.02</v>
      </c>
      <c r="J48" s="130">
        <f t="shared" si="10"/>
        <v>809794.82173516811</v>
      </c>
      <c r="K48" s="130"/>
      <c r="L48" s="130"/>
      <c r="M48" s="130"/>
      <c r="N48" s="130"/>
      <c r="O48" s="130">
        <v>70601</v>
      </c>
      <c r="P48" s="231">
        <v>69596.009999999995</v>
      </c>
      <c r="Q48" s="130">
        <f t="shared" si="3"/>
        <v>740198.8117351681</v>
      </c>
      <c r="R48" s="130"/>
      <c r="S48" s="130"/>
      <c r="T48" s="130"/>
      <c r="U48" s="130"/>
      <c r="V48" s="130">
        <f t="shared" si="9"/>
        <v>878834.84173516813</v>
      </c>
      <c r="W48" s="130">
        <f t="shared" si="4"/>
        <v>138636.03</v>
      </c>
      <c r="X48" s="130">
        <f t="shared" si="5"/>
        <v>740198.8117351681</v>
      </c>
    </row>
    <row r="49" spans="1:24" s="131" customFormat="1" x14ac:dyDescent="0.25">
      <c r="A49" s="138">
        <v>2711</v>
      </c>
      <c r="B49" s="146" t="s">
        <v>143</v>
      </c>
      <c r="C49" s="135">
        <v>449879.47680000006</v>
      </c>
      <c r="D49" s="148">
        <f>107000+982372</f>
        <v>1089372</v>
      </c>
      <c r="E49" s="135">
        <f t="shared" si="6"/>
        <v>1539251.4768000001</v>
      </c>
      <c r="F49" s="135"/>
      <c r="G49" s="135"/>
      <c r="H49" s="130">
        <v>93579.62</v>
      </c>
      <c r="I49" s="130">
        <v>90854.080000000002</v>
      </c>
      <c r="J49" s="130">
        <f t="shared" si="10"/>
        <v>1448397.3968</v>
      </c>
      <c r="K49" s="130"/>
      <c r="L49" s="130"/>
      <c r="M49" s="130"/>
      <c r="N49" s="130"/>
      <c r="O49" s="130">
        <v>32151</v>
      </c>
      <c r="P49" s="231">
        <v>31095.42</v>
      </c>
      <c r="Q49" s="130">
        <f t="shared" si="3"/>
        <v>1417301.9768000001</v>
      </c>
      <c r="R49" s="130">
        <v>6655</v>
      </c>
      <c r="S49" s="130"/>
      <c r="T49" s="130"/>
      <c r="U49" s="130"/>
      <c r="V49" s="130">
        <f t="shared" si="9"/>
        <v>1539251.4768000001</v>
      </c>
      <c r="W49" s="130">
        <f t="shared" si="4"/>
        <v>121949.5</v>
      </c>
      <c r="X49" s="130">
        <f t="shared" si="5"/>
        <v>1410646.9768000001</v>
      </c>
    </row>
    <row r="50" spans="1:24" s="131" customFormat="1" ht="15" customHeight="1" x14ac:dyDescent="0.25">
      <c r="A50" s="138">
        <v>2721</v>
      </c>
      <c r="B50" s="146" t="s">
        <v>144</v>
      </c>
      <c r="C50" s="135">
        <v>30462.329600000001</v>
      </c>
      <c r="D50" s="148"/>
      <c r="E50" s="135">
        <f t="shared" si="6"/>
        <v>30462.329600000001</v>
      </c>
      <c r="F50" s="135"/>
      <c r="G50" s="135"/>
      <c r="H50" s="130">
        <v>1234.97</v>
      </c>
      <c r="I50" s="130">
        <v>1199.44</v>
      </c>
      <c r="J50" s="130">
        <f t="shared" si="10"/>
        <v>29262.889600000002</v>
      </c>
      <c r="K50" s="130"/>
      <c r="L50" s="130"/>
      <c r="M50" s="130"/>
      <c r="N50" s="130"/>
      <c r="O50" s="130">
        <v>54120</v>
      </c>
      <c r="P50" s="231">
        <v>1859.48</v>
      </c>
      <c r="Q50" s="130">
        <f t="shared" si="3"/>
        <v>27403.409600000003</v>
      </c>
      <c r="R50" s="130"/>
      <c r="S50" s="130"/>
      <c r="T50" s="130"/>
      <c r="U50" s="130"/>
      <c r="V50" s="130">
        <f t="shared" si="9"/>
        <v>30462.329600000001</v>
      </c>
      <c r="W50" s="130">
        <f t="shared" si="4"/>
        <v>3058.92</v>
      </c>
      <c r="X50" s="130">
        <f t="shared" si="5"/>
        <v>27403.409599999999</v>
      </c>
    </row>
    <row r="51" spans="1:24" s="131" customFormat="1" x14ac:dyDescent="0.25">
      <c r="A51" s="138">
        <v>2731</v>
      </c>
      <c r="B51" s="146" t="s">
        <v>145</v>
      </c>
      <c r="C51" s="135">
        <v>69957.659200000009</v>
      </c>
      <c r="D51" s="135">
        <v>200000</v>
      </c>
      <c r="E51" s="135">
        <f t="shared" si="6"/>
        <v>269957.65919999999</v>
      </c>
      <c r="F51" s="135"/>
      <c r="G51" s="135"/>
      <c r="H51" s="130">
        <v>36180.81</v>
      </c>
      <c r="I51" s="130">
        <v>35127.26</v>
      </c>
      <c r="J51" s="130">
        <f t="shared" si="10"/>
        <v>234830.39919999999</v>
      </c>
      <c r="K51" s="130"/>
      <c r="L51" s="130"/>
      <c r="M51" s="130"/>
      <c r="N51" s="130"/>
      <c r="O51" s="130">
        <v>83530</v>
      </c>
      <c r="P51" s="231">
        <v>81636.679999999993</v>
      </c>
      <c r="Q51" s="130">
        <f t="shared" si="3"/>
        <v>153193.71919999999</v>
      </c>
      <c r="R51" s="130"/>
      <c r="S51" s="130"/>
      <c r="T51" s="130"/>
      <c r="U51" s="130"/>
      <c r="V51" s="130">
        <f t="shared" si="9"/>
        <v>269957.65919999999</v>
      </c>
      <c r="W51" s="130">
        <f t="shared" si="4"/>
        <v>116763.94</v>
      </c>
      <c r="X51" s="130">
        <f t="shared" si="5"/>
        <v>153193.71919999999</v>
      </c>
    </row>
    <row r="52" spans="1:24" s="131" customFormat="1" ht="15" customHeight="1" x14ac:dyDescent="0.25">
      <c r="A52" s="138">
        <v>2741</v>
      </c>
      <c r="B52" s="146" t="s">
        <v>146</v>
      </c>
      <c r="C52" s="135">
        <v>41777.486400000002</v>
      </c>
      <c r="D52" s="148"/>
      <c r="E52" s="135">
        <f t="shared" si="6"/>
        <v>41777.486400000002</v>
      </c>
      <c r="F52" s="135"/>
      <c r="G52" s="135"/>
      <c r="H52" s="130">
        <v>1512.04</v>
      </c>
      <c r="I52" s="130">
        <v>1467.54</v>
      </c>
      <c r="J52" s="130">
        <f t="shared" si="10"/>
        <v>40309.946400000001</v>
      </c>
      <c r="K52" s="130"/>
      <c r="L52" s="130"/>
      <c r="M52" s="130"/>
      <c r="N52" s="130"/>
      <c r="O52" s="130">
        <v>1501</v>
      </c>
      <c r="P52" s="231">
        <v>1224.29</v>
      </c>
      <c r="Q52" s="130">
        <f t="shared" si="3"/>
        <v>39085.6564</v>
      </c>
      <c r="R52" s="130"/>
      <c r="S52" s="130"/>
      <c r="T52" s="130"/>
      <c r="U52" s="130"/>
      <c r="V52" s="130">
        <f t="shared" si="9"/>
        <v>41777.486400000002</v>
      </c>
      <c r="W52" s="130">
        <f t="shared" si="4"/>
        <v>2691.83</v>
      </c>
      <c r="X52" s="130">
        <f t="shared" si="5"/>
        <v>39085.6564</v>
      </c>
    </row>
    <row r="53" spans="1:24" s="131" customFormat="1" x14ac:dyDescent="0.25">
      <c r="A53" s="138">
        <v>2751</v>
      </c>
      <c r="B53" s="146" t="s">
        <v>147</v>
      </c>
      <c r="C53" s="135">
        <v>342927.31199999998</v>
      </c>
      <c r="D53" s="148"/>
      <c r="E53" s="135">
        <f t="shared" si="6"/>
        <v>342927.31199999998</v>
      </c>
      <c r="F53" s="135"/>
      <c r="G53" s="135"/>
      <c r="H53" s="130">
        <v>128.75</v>
      </c>
      <c r="I53" s="130">
        <v>125</v>
      </c>
      <c r="J53" s="130">
        <f t="shared" si="10"/>
        <v>342802.31199999998</v>
      </c>
      <c r="K53" s="130"/>
      <c r="L53" s="130"/>
      <c r="M53" s="130"/>
      <c r="N53" s="130"/>
      <c r="O53" s="130">
        <v>1089</v>
      </c>
      <c r="P53" s="231">
        <v>957</v>
      </c>
      <c r="Q53" s="130">
        <f t="shared" si="3"/>
        <v>341845.31199999998</v>
      </c>
      <c r="R53" s="130"/>
      <c r="S53" s="130"/>
      <c r="T53" s="130"/>
      <c r="U53" s="130"/>
      <c r="V53" s="130">
        <f t="shared" si="9"/>
        <v>342927.31199999998</v>
      </c>
      <c r="W53" s="130">
        <f t="shared" si="4"/>
        <v>1082</v>
      </c>
      <c r="X53" s="130">
        <f t="shared" si="5"/>
        <v>341845.31199999998</v>
      </c>
    </row>
    <row r="54" spans="1:24" s="131" customFormat="1" ht="15" customHeight="1" x14ac:dyDescent="0.25">
      <c r="A54" s="138">
        <v>2911</v>
      </c>
      <c r="B54" s="146" t="s">
        <v>148</v>
      </c>
      <c r="C54" s="135">
        <v>34403.200000000004</v>
      </c>
      <c r="D54" s="148"/>
      <c r="E54" s="135">
        <f t="shared" si="6"/>
        <v>34403.200000000004</v>
      </c>
      <c r="F54" s="135"/>
      <c r="G54" s="135"/>
      <c r="H54" s="130"/>
      <c r="I54" s="130"/>
      <c r="J54" s="130">
        <f t="shared" si="10"/>
        <v>34403.200000000004</v>
      </c>
      <c r="K54" s="130"/>
      <c r="L54" s="130"/>
      <c r="M54" s="130"/>
      <c r="N54" s="130"/>
      <c r="O54" s="130"/>
      <c r="P54" s="231"/>
      <c r="Q54" s="130">
        <f t="shared" si="3"/>
        <v>34403.200000000004</v>
      </c>
      <c r="R54" s="130"/>
      <c r="S54" s="130"/>
      <c r="T54" s="130"/>
      <c r="U54" s="130"/>
      <c r="V54" s="130">
        <f t="shared" si="9"/>
        <v>34403.200000000004</v>
      </c>
      <c r="W54" s="130">
        <f t="shared" si="4"/>
        <v>0</v>
      </c>
      <c r="X54" s="130">
        <f t="shared" si="5"/>
        <v>34403.200000000004</v>
      </c>
    </row>
    <row r="55" spans="1:24" s="131" customFormat="1" x14ac:dyDescent="0.25">
      <c r="A55" s="138">
        <v>2921</v>
      </c>
      <c r="B55" s="146" t="s">
        <v>149</v>
      </c>
      <c r="C55" s="135">
        <v>100000</v>
      </c>
      <c r="D55" s="148"/>
      <c r="E55" s="135">
        <f t="shared" si="6"/>
        <v>100000</v>
      </c>
      <c r="F55" s="135"/>
      <c r="G55" s="135"/>
      <c r="H55" s="130"/>
      <c r="I55" s="130"/>
      <c r="J55" s="130">
        <f t="shared" si="10"/>
        <v>100000</v>
      </c>
      <c r="K55" s="130"/>
      <c r="L55" s="130"/>
      <c r="M55" s="130"/>
      <c r="N55" s="130"/>
      <c r="O55" s="130"/>
      <c r="P55" s="231"/>
      <c r="Q55" s="130">
        <f t="shared" si="3"/>
        <v>100000</v>
      </c>
      <c r="R55" s="130"/>
      <c r="S55" s="130"/>
      <c r="T55" s="130"/>
      <c r="U55" s="130"/>
      <c r="V55" s="130">
        <f t="shared" si="9"/>
        <v>100000</v>
      </c>
      <c r="W55" s="130">
        <f t="shared" si="4"/>
        <v>0</v>
      </c>
      <c r="X55" s="130">
        <f t="shared" si="5"/>
        <v>100000</v>
      </c>
    </row>
    <row r="56" spans="1:24" s="131" customFormat="1" ht="15" customHeight="1" x14ac:dyDescent="0.25">
      <c r="A56" s="138">
        <v>2931</v>
      </c>
      <c r="B56" s="146" t="s">
        <v>150</v>
      </c>
      <c r="C56" s="135">
        <v>10000</v>
      </c>
      <c r="D56" s="148"/>
      <c r="E56" s="135">
        <f t="shared" si="6"/>
        <v>10000</v>
      </c>
      <c r="F56" s="135"/>
      <c r="G56" s="135"/>
      <c r="H56" s="130"/>
      <c r="I56" s="130"/>
      <c r="J56" s="130">
        <f t="shared" si="10"/>
        <v>10000</v>
      </c>
      <c r="K56" s="130"/>
      <c r="L56" s="130"/>
      <c r="M56" s="130"/>
      <c r="N56" s="130"/>
      <c r="O56" s="130"/>
      <c r="P56" s="231"/>
      <c r="Q56" s="130">
        <f t="shared" si="3"/>
        <v>10000</v>
      </c>
      <c r="R56" s="130"/>
      <c r="S56" s="130"/>
      <c r="T56" s="130"/>
      <c r="U56" s="130"/>
      <c r="V56" s="130">
        <f t="shared" si="9"/>
        <v>10000</v>
      </c>
      <c r="W56" s="130">
        <f t="shared" si="4"/>
        <v>0</v>
      </c>
      <c r="X56" s="130">
        <f t="shared" si="5"/>
        <v>10000</v>
      </c>
    </row>
    <row r="57" spans="1:24" s="131" customFormat="1" x14ac:dyDescent="0.25">
      <c r="A57" s="138">
        <v>2941</v>
      </c>
      <c r="B57" s="146" t="s">
        <v>151</v>
      </c>
      <c r="C57" s="135">
        <v>15000</v>
      </c>
      <c r="D57" s="148"/>
      <c r="E57" s="135">
        <f t="shared" si="6"/>
        <v>15000</v>
      </c>
      <c r="F57" s="135"/>
      <c r="G57" s="135"/>
      <c r="H57" s="130"/>
      <c r="I57" s="130"/>
      <c r="J57" s="130">
        <f t="shared" si="10"/>
        <v>15000</v>
      </c>
      <c r="K57" s="130"/>
      <c r="L57" s="130"/>
      <c r="M57" s="130"/>
      <c r="N57" s="130"/>
      <c r="O57" s="130"/>
      <c r="P57" s="231"/>
      <c r="Q57" s="130">
        <f t="shared" si="3"/>
        <v>15000</v>
      </c>
      <c r="R57" s="130"/>
      <c r="S57" s="130"/>
      <c r="T57" s="130"/>
      <c r="U57" s="130"/>
      <c r="V57" s="130">
        <f t="shared" si="9"/>
        <v>15000</v>
      </c>
      <c r="W57" s="130">
        <f t="shared" si="4"/>
        <v>0</v>
      </c>
      <c r="X57" s="130">
        <f t="shared" si="5"/>
        <v>15000</v>
      </c>
    </row>
    <row r="58" spans="1:24" s="131" customFormat="1" ht="15" customHeight="1" x14ac:dyDescent="0.25">
      <c r="A58" s="138">
        <v>2961</v>
      </c>
      <c r="B58" s="146" t="s">
        <v>152</v>
      </c>
      <c r="C58" s="135">
        <v>25000</v>
      </c>
      <c r="D58" s="148"/>
      <c r="E58" s="135">
        <f t="shared" si="6"/>
        <v>25000</v>
      </c>
      <c r="F58" s="135"/>
      <c r="G58" s="135"/>
      <c r="H58" s="130"/>
      <c r="I58" s="130"/>
      <c r="J58" s="130">
        <f t="shared" si="10"/>
        <v>25000</v>
      </c>
      <c r="K58" s="130"/>
      <c r="L58" s="130"/>
      <c r="M58" s="130"/>
      <c r="N58" s="130"/>
      <c r="O58" s="130"/>
      <c r="P58" s="231"/>
      <c r="Q58" s="130">
        <f t="shared" si="3"/>
        <v>25000</v>
      </c>
      <c r="R58" s="130"/>
      <c r="S58" s="130"/>
      <c r="T58" s="130"/>
      <c r="U58" s="130"/>
      <c r="V58" s="130">
        <f t="shared" si="9"/>
        <v>25000</v>
      </c>
      <c r="W58" s="130">
        <f t="shared" si="4"/>
        <v>0</v>
      </c>
      <c r="X58" s="130">
        <f t="shared" si="5"/>
        <v>25000</v>
      </c>
    </row>
    <row r="59" spans="1:24" s="145" customFormat="1" x14ac:dyDescent="0.25">
      <c r="A59" s="149"/>
      <c r="B59" s="149" t="s">
        <v>153</v>
      </c>
      <c r="C59" s="143">
        <f>SUM(C26:C58)</f>
        <v>13544470.557360001</v>
      </c>
      <c r="D59" s="143">
        <f>SUM(D26:D58)</f>
        <v>2694372</v>
      </c>
      <c r="E59" s="144">
        <f t="shared" si="6"/>
        <v>16238842.557360001</v>
      </c>
      <c r="F59" s="143">
        <f t="shared" ref="F59:G59" si="12">SUM(F26:F58)</f>
        <v>0</v>
      </c>
      <c r="G59" s="143">
        <f t="shared" si="12"/>
        <v>0</v>
      </c>
      <c r="H59" s="144">
        <f>SUM(H26:H58)</f>
        <v>1027843.45</v>
      </c>
      <c r="I59" s="144">
        <f t="shared" ref="I59:X59" si="13">SUM(I26:I58)</f>
        <v>844748.35999999987</v>
      </c>
      <c r="J59" s="144">
        <f t="shared" si="13"/>
        <v>15394094.197360002</v>
      </c>
      <c r="K59" s="144">
        <f t="shared" si="13"/>
        <v>0</v>
      </c>
      <c r="L59" s="144">
        <f t="shared" si="13"/>
        <v>0</v>
      </c>
      <c r="M59" s="144">
        <f t="shared" si="13"/>
        <v>0</v>
      </c>
      <c r="N59" s="144">
        <f t="shared" si="13"/>
        <v>0</v>
      </c>
      <c r="O59" s="144">
        <f t="shared" si="13"/>
        <v>900407</v>
      </c>
      <c r="P59" s="143">
        <f t="shared" si="13"/>
        <v>887756.75</v>
      </c>
      <c r="Q59" s="144">
        <f t="shared" si="13"/>
        <v>14506337.447360005</v>
      </c>
      <c r="R59" s="144">
        <f t="shared" si="13"/>
        <v>6655</v>
      </c>
      <c r="S59" s="144">
        <f t="shared" si="13"/>
        <v>57463</v>
      </c>
      <c r="T59" s="144">
        <f t="shared" si="13"/>
        <v>0</v>
      </c>
      <c r="U59" s="144">
        <f t="shared" si="13"/>
        <v>0</v>
      </c>
      <c r="V59" s="144">
        <f t="shared" si="13"/>
        <v>16238842.557360001</v>
      </c>
      <c r="W59" s="144">
        <f t="shared" si="13"/>
        <v>1732505.11</v>
      </c>
      <c r="X59" s="144">
        <f t="shared" si="13"/>
        <v>14557145.447360005</v>
      </c>
    </row>
    <row r="60" spans="1:24" s="131" customFormat="1" ht="15" customHeight="1" x14ac:dyDescent="0.25">
      <c r="A60" s="138">
        <v>3111</v>
      </c>
      <c r="B60" s="150" t="s">
        <v>154</v>
      </c>
      <c r="C60" s="151">
        <v>461469.80000000005</v>
      </c>
      <c r="D60" s="152"/>
      <c r="E60" s="135">
        <f>D60+C60</f>
        <v>461469.80000000005</v>
      </c>
      <c r="F60" s="135"/>
      <c r="G60" s="135"/>
      <c r="H60" s="130">
        <v>38456</v>
      </c>
      <c r="I60" s="130">
        <v>46820</v>
      </c>
      <c r="J60" s="130">
        <f t="shared" si="10"/>
        <v>414649.80000000005</v>
      </c>
      <c r="K60" s="130"/>
      <c r="L60" s="130"/>
      <c r="M60" s="130"/>
      <c r="N60" s="130"/>
      <c r="O60" s="130">
        <v>53940</v>
      </c>
      <c r="P60" s="231">
        <v>51949</v>
      </c>
      <c r="Q60" s="130">
        <f t="shared" si="3"/>
        <v>362700.80000000005</v>
      </c>
      <c r="R60" s="130"/>
      <c r="S60" s="130"/>
      <c r="T60" s="130"/>
      <c r="U60" s="130"/>
      <c r="V60" s="130">
        <f t="shared" ref="V60:V98" si="14">C60+D60</f>
        <v>461469.80000000005</v>
      </c>
      <c r="W60" s="130">
        <f t="shared" si="4"/>
        <v>98769</v>
      </c>
      <c r="X60" s="130">
        <f t="shared" si="5"/>
        <v>362700.80000000005</v>
      </c>
    </row>
    <row r="61" spans="1:24" s="131" customFormat="1" x14ac:dyDescent="0.25">
      <c r="A61" s="138">
        <v>3121</v>
      </c>
      <c r="B61" s="150" t="s">
        <v>155</v>
      </c>
      <c r="C61" s="151">
        <v>159510.72799999997</v>
      </c>
      <c r="D61" s="152"/>
      <c r="E61" s="135">
        <f t="shared" ref="E61:E98" si="15">D61+C61</f>
        <v>159510.72799999997</v>
      </c>
      <c r="F61" s="135"/>
      <c r="G61" s="135"/>
      <c r="H61" s="130">
        <v>13293</v>
      </c>
      <c r="I61" s="130">
        <v>13999.48</v>
      </c>
      <c r="J61" s="130">
        <f t="shared" si="10"/>
        <v>145511.24799999996</v>
      </c>
      <c r="K61" s="130"/>
      <c r="L61" s="130"/>
      <c r="M61" s="130"/>
      <c r="N61" s="130"/>
      <c r="O61" s="130">
        <v>15210</v>
      </c>
      <c r="P61" s="231">
        <v>13128.88</v>
      </c>
      <c r="Q61" s="130">
        <f t="shared" si="3"/>
        <v>132382.36799999996</v>
      </c>
      <c r="R61" s="130"/>
      <c r="S61" s="130"/>
      <c r="T61" s="130"/>
      <c r="U61" s="130"/>
      <c r="V61" s="130">
        <f t="shared" si="14"/>
        <v>159510.72799999997</v>
      </c>
      <c r="W61" s="130">
        <f t="shared" si="4"/>
        <v>27128.36</v>
      </c>
      <c r="X61" s="130">
        <f t="shared" si="5"/>
        <v>132382.36799999996</v>
      </c>
    </row>
    <row r="62" spans="1:24" s="131" customFormat="1" ht="15" customHeight="1" x14ac:dyDescent="0.25">
      <c r="A62" s="138">
        <v>3131</v>
      </c>
      <c r="B62" s="150" t="s">
        <v>156</v>
      </c>
      <c r="C62" s="151">
        <v>10860.48</v>
      </c>
      <c r="D62" s="152"/>
      <c r="E62" s="135">
        <f t="shared" si="15"/>
        <v>10860.48</v>
      </c>
      <c r="F62" s="135"/>
      <c r="G62" s="135"/>
      <c r="H62" s="130"/>
      <c r="I62" s="130"/>
      <c r="J62" s="130">
        <f t="shared" si="10"/>
        <v>10860.48</v>
      </c>
      <c r="K62" s="130"/>
      <c r="L62" s="130"/>
      <c r="M62" s="130"/>
      <c r="N62" s="130"/>
      <c r="O62" s="130"/>
      <c r="P62" s="231"/>
      <c r="Q62" s="130">
        <f t="shared" si="3"/>
        <v>10860.48</v>
      </c>
      <c r="R62" s="130"/>
      <c r="S62" s="130"/>
      <c r="T62" s="130"/>
      <c r="U62" s="130"/>
      <c r="V62" s="130">
        <f t="shared" si="14"/>
        <v>10860.48</v>
      </c>
      <c r="W62" s="130">
        <f t="shared" si="4"/>
        <v>0</v>
      </c>
      <c r="X62" s="130">
        <f t="shared" si="5"/>
        <v>10860.48</v>
      </c>
    </row>
    <row r="63" spans="1:24" s="131" customFormat="1" x14ac:dyDescent="0.25">
      <c r="A63" s="138">
        <v>3141</v>
      </c>
      <c r="B63" s="150" t="s">
        <v>157</v>
      </c>
      <c r="C63" s="151">
        <f>149034.7664+18133</f>
        <v>167167.76639999999</v>
      </c>
      <c r="D63" s="152"/>
      <c r="E63" s="135">
        <f t="shared" si="15"/>
        <v>167167.76639999999</v>
      </c>
      <c r="F63" s="135"/>
      <c r="G63" s="135"/>
      <c r="H63" s="130">
        <v>11735.82</v>
      </c>
      <c r="I63" s="130">
        <v>11393.96</v>
      </c>
      <c r="J63" s="130">
        <f t="shared" si="10"/>
        <v>155773.8064</v>
      </c>
      <c r="K63" s="130"/>
      <c r="L63" s="130"/>
      <c r="M63" s="130"/>
      <c r="N63" s="130"/>
      <c r="O63" s="130">
        <v>12402</v>
      </c>
      <c r="P63" s="231">
        <v>11293</v>
      </c>
      <c r="Q63" s="130">
        <f t="shared" si="3"/>
        <v>144480.8064</v>
      </c>
      <c r="R63" s="130"/>
      <c r="S63" s="130"/>
      <c r="T63" s="130"/>
      <c r="U63" s="130"/>
      <c r="V63" s="130">
        <f t="shared" si="14"/>
        <v>167167.76639999999</v>
      </c>
      <c r="W63" s="130">
        <f t="shared" si="4"/>
        <v>22686.959999999999</v>
      </c>
      <c r="X63" s="130">
        <f t="shared" si="5"/>
        <v>144480.8064</v>
      </c>
    </row>
    <row r="64" spans="1:24" s="131" customFormat="1" ht="15" customHeight="1" x14ac:dyDescent="0.25">
      <c r="A64" s="138">
        <v>3171</v>
      </c>
      <c r="B64" s="150" t="s">
        <v>158</v>
      </c>
      <c r="C64" s="151">
        <v>6500</v>
      </c>
      <c r="D64" s="152"/>
      <c r="E64" s="135">
        <f t="shared" si="15"/>
        <v>6500</v>
      </c>
      <c r="F64" s="135"/>
      <c r="G64" s="135"/>
      <c r="H64" s="130"/>
      <c r="I64" s="130"/>
      <c r="J64" s="130">
        <f t="shared" si="10"/>
        <v>6500</v>
      </c>
      <c r="K64" s="130"/>
      <c r="L64" s="130"/>
      <c r="M64" s="130"/>
      <c r="N64" s="130"/>
      <c r="O64" s="130"/>
      <c r="P64" s="231"/>
      <c r="Q64" s="130">
        <f t="shared" si="3"/>
        <v>6500</v>
      </c>
      <c r="R64" s="130"/>
      <c r="S64" s="130"/>
      <c r="T64" s="130"/>
      <c r="U64" s="130"/>
      <c r="V64" s="130">
        <f t="shared" si="14"/>
        <v>6500</v>
      </c>
      <c r="W64" s="130">
        <f t="shared" si="4"/>
        <v>0</v>
      </c>
      <c r="X64" s="130">
        <f t="shared" si="5"/>
        <v>6500</v>
      </c>
    </row>
    <row r="65" spans="1:24" s="131" customFormat="1" x14ac:dyDescent="0.25">
      <c r="A65" s="138">
        <v>3181</v>
      </c>
      <c r="B65" s="150" t="s">
        <v>159</v>
      </c>
      <c r="C65" s="151">
        <v>3112.2208000000001</v>
      </c>
      <c r="D65" s="152"/>
      <c r="E65" s="135">
        <f t="shared" si="15"/>
        <v>3112.2208000000001</v>
      </c>
      <c r="F65" s="135"/>
      <c r="G65" s="135"/>
      <c r="H65" s="130">
        <v>259</v>
      </c>
      <c r="I65" s="130">
        <v>346.43</v>
      </c>
      <c r="J65" s="130">
        <f t="shared" si="10"/>
        <v>2765.7908000000002</v>
      </c>
      <c r="K65" s="130"/>
      <c r="L65" s="130"/>
      <c r="M65" s="130"/>
      <c r="N65" s="130"/>
      <c r="O65" s="130"/>
      <c r="P65" s="231"/>
      <c r="Q65" s="130">
        <f t="shared" si="3"/>
        <v>2765.7908000000002</v>
      </c>
      <c r="R65" s="130"/>
      <c r="S65" s="130"/>
      <c r="T65" s="130"/>
      <c r="U65" s="130"/>
      <c r="V65" s="130">
        <f t="shared" si="14"/>
        <v>3112.2208000000001</v>
      </c>
      <c r="W65" s="130">
        <f t="shared" si="4"/>
        <v>346.43</v>
      </c>
      <c r="X65" s="130">
        <f t="shared" si="5"/>
        <v>2765.7908000000002</v>
      </c>
    </row>
    <row r="66" spans="1:24" s="131" customFormat="1" ht="15" customHeight="1" x14ac:dyDescent="0.25">
      <c r="A66" s="138">
        <v>3232</v>
      </c>
      <c r="B66" s="150" t="s">
        <v>160</v>
      </c>
      <c r="C66" s="151">
        <v>40000</v>
      </c>
      <c r="D66" s="152"/>
      <c r="E66" s="135">
        <f t="shared" si="15"/>
        <v>40000</v>
      </c>
      <c r="F66" s="135"/>
      <c r="G66" s="135"/>
      <c r="H66" s="130"/>
      <c r="I66" s="130"/>
      <c r="J66" s="130">
        <f t="shared" si="10"/>
        <v>40000</v>
      </c>
      <c r="K66" s="130"/>
      <c r="L66" s="130"/>
      <c r="M66" s="130"/>
      <c r="N66" s="130"/>
      <c r="O66" s="130"/>
      <c r="P66" s="231"/>
      <c r="Q66" s="130">
        <f t="shared" si="3"/>
        <v>40000</v>
      </c>
      <c r="R66" s="130"/>
      <c r="S66" s="130"/>
      <c r="T66" s="130"/>
      <c r="U66" s="130"/>
      <c r="V66" s="130">
        <f t="shared" si="14"/>
        <v>40000</v>
      </c>
      <c r="W66" s="130">
        <f t="shared" si="4"/>
        <v>0</v>
      </c>
      <c r="X66" s="130">
        <f t="shared" si="5"/>
        <v>40000</v>
      </c>
    </row>
    <row r="67" spans="1:24" s="131" customFormat="1" x14ac:dyDescent="0.25">
      <c r="A67" s="138">
        <v>3261</v>
      </c>
      <c r="B67" s="150" t="s">
        <v>161</v>
      </c>
      <c r="C67" s="151">
        <v>30000</v>
      </c>
      <c r="D67" s="152"/>
      <c r="E67" s="135">
        <f t="shared" si="15"/>
        <v>30000</v>
      </c>
      <c r="F67" s="135"/>
      <c r="G67" s="135"/>
      <c r="H67" s="130"/>
      <c r="I67" s="130"/>
      <c r="J67" s="130">
        <f t="shared" si="10"/>
        <v>30000</v>
      </c>
      <c r="K67" s="130"/>
      <c r="L67" s="130"/>
      <c r="M67" s="130"/>
      <c r="N67" s="130"/>
      <c r="O67" s="130"/>
      <c r="P67" s="231"/>
      <c r="Q67" s="130">
        <f t="shared" si="3"/>
        <v>30000</v>
      </c>
      <c r="R67" s="130"/>
      <c r="S67" s="130"/>
      <c r="T67" s="130"/>
      <c r="U67" s="130"/>
      <c r="V67" s="130">
        <f t="shared" si="14"/>
        <v>30000</v>
      </c>
      <c r="W67" s="130">
        <f t="shared" si="4"/>
        <v>0</v>
      </c>
      <c r="X67" s="130">
        <f t="shared" si="5"/>
        <v>30000</v>
      </c>
    </row>
    <row r="68" spans="1:24" s="131" customFormat="1" ht="15" customHeight="1" x14ac:dyDescent="0.25">
      <c r="A68" s="138">
        <v>3311</v>
      </c>
      <c r="B68" s="150" t="s">
        <v>162</v>
      </c>
      <c r="C68" s="151">
        <f>45000+240000+237600+83520</f>
        <v>606120</v>
      </c>
      <c r="D68" s="153"/>
      <c r="E68" s="135">
        <f t="shared" si="15"/>
        <v>606120</v>
      </c>
      <c r="F68" s="135"/>
      <c r="G68" s="135"/>
      <c r="H68" s="130">
        <v>5829.8</v>
      </c>
      <c r="I68" s="130">
        <v>5660.38</v>
      </c>
      <c r="J68" s="130">
        <f t="shared" si="10"/>
        <v>600459.62</v>
      </c>
      <c r="K68" s="130"/>
      <c r="L68" s="130"/>
      <c r="M68" s="130"/>
      <c r="N68" s="130"/>
      <c r="O68" s="130">
        <v>5801</v>
      </c>
      <c r="P68" s="231">
        <v>5660.38</v>
      </c>
      <c r="Q68" s="130">
        <f t="shared" si="3"/>
        <v>594799.24</v>
      </c>
      <c r="R68" s="130"/>
      <c r="S68" s="130"/>
      <c r="T68" s="130"/>
      <c r="U68" s="130"/>
      <c r="V68" s="130">
        <f t="shared" si="14"/>
        <v>606120</v>
      </c>
      <c r="W68" s="130">
        <f t="shared" si="4"/>
        <v>11320.76</v>
      </c>
      <c r="X68" s="130">
        <f t="shared" si="5"/>
        <v>594799.24</v>
      </c>
    </row>
    <row r="69" spans="1:24" s="131" customFormat="1" ht="15" customHeight="1" x14ac:dyDescent="0.25">
      <c r="A69" s="138">
        <v>3321</v>
      </c>
      <c r="B69" s="150" t="s">
        <v>269</v>
      </c>
      <c r="C69" s="151">
        <v>0</v>
      </c>
      <c r="D69" s="153"/>
      <c r="E69" s="135">
        <v>0</v>
      </c>
      <c r="F69" s="135"/>
      <c r="G69" s="135"/>
      <c r="H69" s="130"/>
      <c r="I69" s="130"/>
      <c r="J69" s="130"/>
      <c r="K69" s="130"/>
      <c r="L69" s="130"/>
      <c r="M69" s="130"/>
      <c r="N69" s="130"/>
      <c r="O69" s="130"/>
      <c r="P69" s="231">
        <v>195868.96</v>
      </c>
      <c r="Q69" s="130">
        <f t="shared" si="3"/>
        <v>-195868.96</v>
      </c>
      <c r="R69" s="130"/>
      <c r="S69" s="130">
        <v>195869</v>
      </c>
      <c r="T69" s="130"/>
      <c r="U69" s="130"/>
      <c r="V69" s="130">
        <f t="shared" si="14"/>
        <v>0</v>
      </c>
      <c r="W69" s="130">
        <f t="shared" si="4"/>
        <v>195868.96</v>
      </c>
      <c r="X69" s="130">
        <f t="shared" si="5"/>
        <v>4.0000000008149073E-2</v>
      </c>
    </row>
    <row r="70" spans="1:24" s="131" customFormat="1" x14ac:dyDescent="0.25">
      <c r="A70" s="138">
        <v>3331</v>
      </c>
      <c r="B70" s="150" t="s">
        <v>163</v>
      </c>
      <c r="C70" s="151">
        <f>170000+30000</f>
        <v>200000</v>
      </c>
      <c r="D70" s="153"/>
      <c r="E70" s="135">
        <f t="shared" si="15"/>
        <v>200000</v>
      </c>
      <c r="F70" s="135"/>
      <c r="G70" s="135"/>
      <c r="H70" s="130"/>
      <c r="I70" s="130"/>
      <c r="J70" s="130">
        <f t="shared" si="10"/>
        <v>200000</v>
      </c>
      <c r="K70" s="130"/>
      <c r="L70" s="130"/>
      <c r="M70" s="130"/>
      <c r="N70" s="130"/>
      <c r="O70" s="130"/>
      <c r="P70" s="231"/>
      <c r="Q70" s="130">
        <f t="shared" si="3"/>
        <v>200000</v>
      </c>
      <c r="R70" s="130"/>
      <c r="S70" s="130"/>
      <c r="T70" s="130"/>
      <c r="U70" s="130"/>
      <c r="V70" s="130">
        <f t="shared" si="14"/>
        <v>200000</v>
      </c>
      <c r="W70" s="130">
        <f t="shared" si="4"/>
        <v>0</v>
      </c>
      <c r="X70" s="130">
        <f t="shared" si="5"/>
        <v>200000</v>
      </c>
    </row>
    <row r="71" spans="1:24" s="131" customFormat="1" ht="15" customHeight="1" x14ac:dyDescent="0.25">
      <c r="A71" s="138">
        <v>3341</v>
      </c>
      <c r="B71" s="150" t="s">
        <v>164</v>
      </c>
      <c r="C71" s="151">
        <v>50000</v>
      </c>
      <c r="D71" s="152"/>
      <c r="E71" s="135">
        <f t="shared" si="15"/>
        <v>50000</v>
      </c>
      <c r="F71" s="135"/>
      <c r="G71" s="135"/>
      <c r="H71" s="130">
        <v>27841.93</v>
      </c>
      <c r="I71" s="130">
        <v>27031</v>
      </c>
      <c r="J71" s="130">
        <f t="shared" si="10"/>
        <v>22969</v>
      </c>
      <c r="K71" s="130"/>
      <c r="L71" s="130"/>
      <c r="M71" s="130"/>
      <c r="N71" s="130"/>
      <c r="O71" s="130">
        <v>28601</v>
      </c>
      <c r="P71" s="231"/>
      <c r="Q71" s="130">
        <f t="shared" si="3"/>
        <v>22969</v>
      </c>
      <c r="R71" s="130"/>
      <c r="S71" s="130"/>
      <c r="T71" s="130"/>
      <c r="U71" s="130"/>
      <c r="V71" s="130">
        <f t="shared" si="14"/>
        <v>50000</v>
      </c>
      <c r="W71" s="130">
        <f t="shared" si="4"/>
        <v>27031</v>
      </c>
      <c r="X71" s="130">
        <f t="shared" si="5"/>
        <v>22969</v>
      </c>
    </row>
    <row r="72" spans="1:24" s="131" customFormat="1" x14ac:dyDescent="0.25">
      <c r="A72" s="138">
        <v>3342</v>
      </c>
      <c r="B72" s="150" t="s">
        <v>165</v>
      </c>
      <c r="C72" s="151">
        <f>15000+240000</f>
        <v>255000</v>
      </c>
      <c r="D72" s="152"/>
      <c r="E72" s="135">
        <f t="shared" si="15"/>
        <v>255000</v>
      </c>
      <c r="F72" s="135"/>
      <c r="G72" s="135"/>
      <c r="H72" s="130">
        <v>2389.6</v>
      </c>
      <c r="I72" s="130">
        <v>2320</v>
      </c>
      <c r="J72" s="130">
        <f t="shared" si="10"/>
        <v>252680</v>
      </c>
      <c r="K72" s="130"/>
      <c r="L72" s="130"/>
      <c r="M72" s="130"/>
      <c r="N72" s="130"/>
      <c r="O72" s="130">
        <v>197800</v>
      </c>
      <c r="P72" s="231"/>
      <c r="Q72" s="130">
        <f t="shared" si="3"/>
        <v>252680</v>
      </c>
      <c r="R72" s="130"/>
      <c r="S72" s="130"/>
      <c r="T72" s="130"/>
      <c r="U72" s="130"/>
      <c r="V72" s="130">
        <f t="shared" si="14"/>
        <v>255000</v>
      </c>
      <c r="W72" s="130">
        <f t="shared" si="4"/>
        <v>2320</v>
      </c>
      <c r="X72" s="130">
        <f t="shared" ref="X72:X126" si="16">V72-W72-R72+S72</f>
        <v>252680</v>
      </c>
    </row>
    <row r="73" spans="1:24" s="131" customFormat="1" ht="15" customHeight="1" x14ac:dyDescent="0.25">
      <c r="A73" s="138">
        <v>3351</v>
      </c>
      <c r="B73" s="150" t="s">
        <v>166</v>
      </c>
      <c r="C73" s="151">
        <f>90000+124976</f>
        <v>214976</v>
      </c>
      <c r="D73" s="152"/>
      <c r="E73" s="135">
        <f t="shared" si="15"/>
        <v>214976</v>
      </c>
      <c r="F73" s="135"/>
      <c r="G73" s="135"/>
      <c r="H73" s="130"/>
      <c r="I73" s="130"/>
      <c r="J73" s="130">
        <f t="shared" si="10"/>
        <v>214976</v>
      </c>
      <c r="K73" s="130"/>
      <c r="L73" s="130"/>
      <c r="M73" s="130"/>
      <c r="N73" s="130"/>
      <c r="O73" s="130">
        <v>5600</v>
      </c>
      <c r="P73" s="231">
        <v>4800</v>
      </c>
      <c r="Q73" s="130">
        <f t="shared" si="3"/>
        <v>210176</v>
      </c>
      <c r="R73" s="130"/>
      <c r="S73" s="130"/>
      <c r="T73" s="130"/>
      <c r="U73" s="130"/>
      <c r="V73" s="130">
        <f t="shared" si="14"/>
        <v>214976</v>
      </c>
      <c r="W73" s="130">
        <f t="shared" si="4"/>
        <v>4800</v>
      </c>
      <c r="X73" s="130">
        <f t="shared" si="16"/>
        <v>210176</v>
      </c>
    </row>
    <row r="74" spans="1:24" s="131" customFormat="1" x14ac:dyDescent="0.25">
      <c r="A74" s="138">
        <v>3362</v>
      </c>
      <c r="B74" s="150" t="s">
        <v>167</v>
      </c>
      <c r="C74" s="151">
        <v>45668.001600000011</v>
      </c>
      <c r="D74" s="152"/>
      <c r="E74" s="135">
        <f t="shared" si="15"/>
        <v>45668.001600000011</v>
      </c>
      <c r="F74" s="135"/>
      <c r="G74" s="135"/>
      <c r="H74" s="130">
        <v>3225.96</v>
      </c>
      <c r="I74" s="130">
        <v>3132</v>
      </c>
      <c r="J74" s="130">
        <f t="shared" si="10"/>
        <v>42536.001600000011</v>
      </c>
      <c r="K74" s="130"/>
      <c r="L74" s="130"/>
      <c r="M74" s="130"/>
      <c r="N74" s="130"/>
      <c r="O74" s="130">
        <v>24740</v>
      </c>
      <c r="P74" s="231">
        <v>23248.720000000001</v>
      </c>
      <c r="Q74" s="130">
        <f t="shared" ref="Q74:Q126" si="17">J74-P74</f>
        <v>19287.281600000009</v>
      </c>
      <c r="R74" s="130"/>
      <c r="S74" s="130"/>
      <c r="T74" s="130"/>
      <c r="U74" s="130"/>
      <c r="V74" s="130">
        <f t="shared" si="14"/>
        <v>45668.001600000011</v>
      </c>
      <c r="W74" s="130">
        <f t="shared" ref="W74:W126" si="18">I74+P74</f>
        <v>26380.720000000001</v>
      </c>
      <c r="X74" s="130">
        <f t="shared" si="16"/>
        <v>19287.281600000009</v>
      </c>
    </row>
    <row r="75" spans="1:24" s="131" customFormat="1" ht="15" customHeight="1" x14ac:dyDescent="0.25">
      <c r="A75" s="138">
        <v>3363</v>
      </c>
      <c r="B75" s="150" t="s">
        <v>168</v>
      </c>
      <c r="C75" s="151">
        <v>50000</v>
      </c>
      <c r="D75" s="152"/>
      <c r="E75" s="135">
        <f t="shared" si="15"/>
        <v>50000</v>
      </c>
      <c r="F75" s="135"/>
      <c r="G75" s="135"/>
      <c r="H75" s="130"/>
      <c r="I75" s="130"/>
      <c r="J75" s="130">
        <f t="shared" si="10"/>
        <v>50000</v>
      </c>
      <c r="K75" s="130"/>
      <c r="L75" s="130"/>
      <c r="M75" s="130"/>
      <c r="N75" s="130"/>
      <c r="O75" s="130"/>
      <c r="P75" s="231"/>
      <c r="Q75" s="130">
        <f t="shared" si="17"/>
        <v>50000</v>
      </c>
      <c r="R75" s="130"/>
      <c r="S75" s="130"/>
      <c r="T75" s="130"/>
      <c r="U75" s="130"/>
      <c r="V75" s="130">
        <f t="shared" si="14"/>
        <v>50000</v>
      </c>
      <c r="W75" s="130">
        <f t="shared" si="18"/>
        <v>0</v>
      </c>
      <c r="X75" s="130">
        <f t="shared" si="16"/>
        <v>50000</v>
      </c>
    </row>
    <row r="76" spans="1:24" s="131" customFormat="1" x14ac:dyDescent="0.25">
      <c r="A76" s="138">
        <v>3391</v>
      </c>
      <c r="B76" s="150" t="s">
        <v>169</v>
      </c>
      <c r="C76" s="135">
        <f>83520+120000+15000+170000</f>
        <v>388520</v>
      </c>
      <c r="D76" s="151">
        <v>638000</v>
      </c>
      <c r="E76" s="135">
        <f t="shared" si="15"/>
        <v>1026520</v>
      </c>
      <c r="F76" s="135"/>
      <c r="G76" s="135"/>
      <c r="H76" s="130">
        <v>24734.42</v>
      </c>
      <c r="I76" s="130">
        <f>16058.04+2296</f>
        <v>18354.04</v>
      </c>
      <c r="J76" s="130">
        <f t="shared" si="10"/>
        <v>1008165.96</v>
      </c>
      <c r="K76" s="130"/>
      <c r="L76" s="130"/>
      <c r="M76" s="130"/>
      <c r="N76" s="130"/>
      <c r="O76" s="130">
        <v>34205</v>
      </c>
      <c r="P76" s="231">
        <v>32825.78</v>
      </c>
      <c r="Q76" s="130">
        <f t="shared" si="17"/>
        <v>975340.17999999993</v>
      </c>
      <c r="R76" s="130"/>
      <c r="S76" s="130"/>
      <c r="T76" s="130"/>
      <c r="U76" s="130"/>
      <c r="V76" s="130">
        <f t="shared" si="14"/>
        <v>1026520</v>
      </c>
      <c r="W76" s="130">
        <f t="shared" si="18"/>
        <v>51179.82</v>
      </c>
      <c r="X76" s="130">
        <f t="shared" si="16"/>
        <v>975340.18</v>
      </c>
    </row>
    <row r="77" spans="1:24" s="131" customFormat="1" ht="15" customHeight="1" x14ac:dyDescent="0.25">
      <c r="A77" s="138">
        <v>3411</v>
      </c>
      <c r="B77" s="150" t="s">
        <v>170</v>
      </c>
      <c r="C77" s="151">
        <v>3567.4495999999999</v>
      </c>
      <c r="D77" s="152"/>
      <c r="E77" s="135">
        <f t="shared" si="15"/>
        <v>3567.4495999999999</v>
      </c>
      <c r="F77" s="135"/>
      <c r="G77" s="135"/>
      <c r="H77" s="130">
        <v>25476.02</v>
      </c>
      <c r="I77" s="130">
        <v>264.88</v>
      </c>
      <c r="J77" s="130">
        <f t="shared" si="10"/>
        <v>3302.5695999999998</v>
      </c>
      <c r="K77" s="130"/>
      <c r="L77" s="130"/>
      <c r="M77" s="130"/>
      <c r="N77" s="130"/>
      <c r="O77" s="130">
        <v>64012</v>
      </c>
      <c r="P77" s="231">
        <v>206.19</v>
      </c>
      <c r="Q77" s="130">
        <f t="shared" si="17"/>
        <v>3096.3795999999998</v>
      </c>
      <c r="R77" s="130"/>
      <c r="S77" s="130"/>
      <c r="T77" s="130"/>
      <c r="U77" s="130"/>
      <c r="V77" s="130">
        <f t="shared" si="14"/>
        <v>3567.4495999999999</v>
      </c>
      <c r="W77" s="130">
        <f t="shared" si="18"/>
        <v>471.07</v>
      </c>
      <c r="X77" s="130">
        <f t="shared" si="16"/>
        <v>3096.3795999999998</v>
      </c>
    </row>
    <row r="78" spans="1:24" s="131" customFormat="1" x14ac:dyDescent="0.25">
      <c r="A78" s="138">
        <v>3451</v>
      </c>
      <c r="B78" s="150" t="s">
        <v>171</v>
      </c>
      <c r="C78" s="151">
        <v>101437</v>
      </c>
      <c r="D78" s="152"/>
      <c r="E78" s="135">
        <f t="shared" si="15"/>
        <v>101437</v>
      </c>
      <c r="F78" s="135"/>
      <c r="G78" s="135"/>
      <c r="H78" s="130"/>
      <c r="I78" s="130"/>
      <c r="J78" s="130">
        <f t="shared" si="10"/>
        <v>101437</v>
      </c>
      <c r="K78" s="130"/>
      <c r="L78" s="130"/>
      <c r="M78" s="130"/>
      <c r="N78" s="130"/>
      <c r="O78" s="130"/>
      <c r="P78" s="231">
        <v>61747.75</v>
      </c>
      <c r="Q78" s="130">
        <f t="shared" si="17"/>
        <v>39689.25</v>
      </c>
      <c r="R78" s="130"/>
      <c r="S78" s="130"/>
      <c r="T78" s="130"/>
      <c r="U78" s="130"/>
      <c r="V78" s="130">
        <f t="shared" si="14"/>
        <v>101437</v>
      </c>
      <c r="W78" s="130">
        <f t="shared" si="18"/>
        <v>61747.75</v>
      </c>
      <c r="X78" s="130">
        <f t="shared" si="16"/>
        <v>39689.25</v>
      </c>
    </row>
    <row r="79" spans="1:24" s="131" customFormat="1" ht="15" customHeight="1" x14ac:dyDescent="0.25">
      <c r="A79" s="138">
        <v>3471</v>
      </c>
      <c r="B79" s="150" t="s">
        <v>172</v>
      </c>
      <c r="C79" s="151">
        <v>8686.08</v>
      </c>
      <c r="D79" s="152"/>
      <c r="E79" s="135">
        <f t="shared" si="15"/>
        <v>8686.08</v>
      </c>
      <c r="F79" s="135"/>
      <c r="G79" s="135"/>
      <c r="H79" s="130">
        <v>716.88</v>
      </c>
      <c r="I79" s="130">
        <v>696</v>
      </c>
      <c r="J79" s="130">
        <f t="shared" si="10"/>
        <v>7990.08</v>
      </c>
      <c r="K79" s="130"/>
      <c r="L79" s="130"/>
      <c r="M79" s="130"/>
      <c r="N79" s="130"/>
      <c r="O79" s="130"/>
      <c r="P79" s="231"/>
      <c r="Q79" s="130">
        <f t="shared" si="17"/>
        <v>7990.08</v>
      </c>
      <c r="R79" s="130"/>
      <c r="S79" s="130"/>
      <c r="T79" s="130"/>
      <c r="U79" s="130"/>
      <c r="V79" s="130">
        <f t="shared" si="14"/>
        <v>8686.08</v>
      </c>
      <c r="W79" s="130">
        <f t="shared" si="18"/>
        <v>696</v>
      </c>
      <c r="X79" s="130">
        <f t="shared" si="16"/>
        <v>7990.08</v>
      </c>
    </row>
    <row r="80" spans="1:24" s="131" customFormat="1" x14ac:dyDescent="0.25">
      <c r="A80" s="138">
        <v>3481</v>
      </c>
      <c r="B80" s="150" t="s">
        <v>173</v>
      </c>
      <c r="C80" s="151">
        <v>0</v>
      </c>
      <c r="D80" s="152"/>
      <c r="E80" s="135">
        <f t="shared" si="15"/>
        <v>0</v>
      </c>
      <c r="F80" s="135"/>
      <c r="G80" s="135"/>
      <c r="H80" s="130"/>
      <c r="I80" s="130"/>
      <c r="J80" s="130">
        <f t="shared" si="10"/>
        <v>0</v>
      </c>
      <c r="K80" s="130"/>
      <c r="L80" s="130"/>
      <c r="M80" s="130"/>
      <c r="N80" s="130"/>
      <c r="O80" s="130"/>
      <c r="P80" s="231"/>
      <c r="Q80" s="130">
        <f t="shared" si="17"/>
        <v>0</v>
      </c>
      <c r="R80" s="130"/>
      <c r="S80" s="130"/>
      <c r="T80" s="130"/>
      <c r="U80" s="130"/>
      <c r="V80" s="130">
        <f t="shared" si="14"/>
        <v>0</v>
      </c>
      <c r="W80" s="130">
        <f t="shared" si="18"/>
        <v>0</v>
      </c>
      <c r="X80" s="130">
        <f t="shared" si="16"/>
        <v>0</v>
      </c>
    </row>
    <row r="81" spans="1:24" s="131" customFormat="1" ht="15" customHeight="1" x14ac:dyDescent="0.25">
      <c r="A81" s="138">
        <v>3512</v>
      </c>
      <c r="B81" s="150" t="s">
        <v>174</v>
      </c>
      <c r="C81" s="151">
        <f>500000+150000+300000</f>
        <v>950000</v>
      </c>
      <c r="D81" s="151">
        <f>5735172-3+100000</f>
        <v>5835169</v>
      </c>
      <c r="E81" s="135">
        <f t="shared" si="15"/>
        <v>6785169</v>
      </c>
      <c r="F81" s="135"/>
      <c r="G81" s="135"/>
      <c r="H81" s="130">
        <v>17220.57</v>
      </c>
      <c r="I81" s="130">
        <v>16719.18</v>
      </c>
      <c r="J81" s="130">
        <f t="shared" si="10"/>
        <v>6768449.8200000003</v>
      </c>
      <c r="K81" s="130"/>
      <c r="L81" s="130"/>
      <c r="M81" s="130"/>
      <c r="N81" s="130"/>
      <c r="O81" s="130">
        <v>3904</v>
      </c>
      <c r="P81" s="231">
        <v>3765.36</v>
      </c>
      <c r="Q81" s="130">
        <f t="shared" si="17"/>
        <v>6764684.46</v>
      </c>
      <c r="R81" s="130"/>
      <c r="S81" s="130"/>
      <c r="T81" s="130"/>
      <c r="U81" s="130"/>
      <c r="V81" s="130">
        <f t="shared" si="14"/>
        <v>6785169</v>
      </c>
      <c r="W81" s="130">
        <f t="shared" si="18"/>
        <v>20484.54</v>
      </c>
      <c r="X81" s="130">
        <f t="shared" si="16"/>
        <v>6764684.46</v>
      </c>
    </row>
    <row r="82" spans="1:24" s="131" customFormat="1" x14ac:dyDescent="0.25">
      <c r="A82" s="138">
        <v>3521</v>
      </c>
      <c r="B82" s="150" t="s">
        <v>175</v>
      </c>
      <c r="C82" s="151">
        <v>250000</v>
      </c>
      <c r="D82" s="152"/>
      <c r="E82" s="135">
        <f t="shared" si="15"/>
        <v>250000</v>
      </c>
      <c r="F82" s="135"/>
      <c r="G82" s="135"/>
      <c r="H82" s="130"/>
      <c r="I82" s="130"/>
      <c r="J82" s="130">
        <f t="shared" si="10"/>
        <v>250000</v>
      </c>
      <c r="K82" s="130"/>
      <c r="L82" s="130"/>
      <c r="M82" s="130"/>
      <c r="N82" s="130"/>
      <c r="O82" s="130"/>
      <c r="P82" s="231"/>
      <c r="Q82" s="130">
        <f t="shared" si="17"/>
        <v>250000</v>
      </c>
      <c r="R82" s="130"/>
      <c r="S82" s="130"/>
      <c r="T82" s="130"/>
      <c r="U82" s="130"/>
      <c r="V82" s="130">
        <f t="shared" si="14"/>
        <v>250000</v>
      </c>
      <c r="W82" s="130">
        <f t="shared" si="18"/>
        <v>0</v>
      </c>
      <c r="X82" s="130">
        <f t="shared" si="16"/>
        <v>250000</v>
      </c>
    </row>
    <row r="83" spans="1:24" s="131" customFormat="1" ht="15" customHeight="1" x14ac:dyDescent="0.25">
      <c r="A83" s="138">
        <v>3531</v>
      </c>
      <c r="B83" s="150" t="s">
        <v>176</v>
      </c>
      <c r="C83" s="151">
        <v>1650000</v>
      </c>
      <c r="D83" s="152"/>
      <c r="E83" s="135">
        <f t="shared" si="15"/>
        <v>1650000</v>
      </c>
      <c r="F83" s="135"/>
      <c r="G83" s="135"/>
      <c r="H83" s="130">
        <v>5669.12</v>
      </c>
      <c r="I83" s="130">
        <v>5504</v>
      </c>
      <c r="J83" s="130">
        <f t="shared" si="10"/>
        <v>1644496</v>
      </c>
      <c r="K83" s="130"/>
      <c r="L83" s="130"/>
      <c r="M83" s="130"/>
      <c r="N83" s="130"/>
      <c r="O83" s="130">
        <v>650</v>
      </c>
      <c r="P83" s="231">
        <f>580</f>
        <v>580</v>
      </c>
      <c r="Q83" s="130">
        <f t="shared" si="17"/>
        <v>1643916</v>
      </c>
      <c r="R83" s="130"/>
      <c r="S83" s="130"/>
      <c r="T83" s="130"/>
      <c r="U83" s="130"/>
      <c r="V83" s="130">
        <f t="shared" si="14"/>
        <v>1650000</v>
      </c>
      <c r="W83" s="130">
        <f t="shared" si="18"/>
        <v>6084</v>
      </c>
      <c r="X83" s="130">
        <f t="shared" si="16"/>
        <v>1643916</v>
      </c>
    </row>
    <row r="84" spans="1:24" s="131" customFormat="1" x14ac:dyDescent="0.25">
      <c r="A84" s="138">
        <v>3551</v>
      </c>
      <c r="B84" s="150" t="s">
        <v>177</v>
      </c>
      <c r="C84" s="151">
        <v>213722</v>
      </c>
      <c r="D84" s="152"/>
      <c r="E84" s="135">
        <f t="shared" si="15"/>
        <v>213722</v>
      </c>
      <c r="F84" s="135"/>
      <c r="G84" s="135"/>
      <c r="H84" s="130">
        <v>1252.48</v>
      </c>
      <c r="I84" s="130">
        <v>1216.04</v>
      </c>
      <c r="J84" s="130">
        <f t="shared" si="10"/>
        <v>212505.96</v>
      </c>
      <c r="K84" s="130"/>
      <c r="L84" s="130"/>
      <c r="M84" s="130"/>
      <c r="N84" s="130"/>
      <c r="O84" s="130">
        <v>14801</v>
      </c>
      <c r="P84" s="231">
        <v>13650.08</v>
      </c>
      <c r="Q84" s="130">
        <f t="shared" si="17"/>
        <v>198855.88</v>
      </c>
      <c r="R84" s="130"/>
      <c r="S84" s="130"/>
      <c r="T84" s="130"/>
      <c r="U84" s="130"/>
      <c r="V84" s="130">
        <f t="shared" si="14"/>
        <v>213722</v>
      </c>
      <c r="W84" s="130">
        <f t="shared" si="18"/>
        <v>14866.119999999999</v>
      </c>
      <c r="X84" s="130">
        <f t="shared" si="16"/>
        <v>198855.88</v>
      </c>
    </row>
    <row r="85" spans="1:24" s="131" customFormat="1" ht="15" customHeight="1" x14ac:dyDescent="0.25">
      <c r="A85" s="138">
        <v>3571</v>
      </c>
      <c r="B85" s="150" t="s">
        <v>178</v>
      </c>
      <c r="C85" s="151">
        <v>250000</v>
      </c>
      <c r="D85" s="152"/>
      <c r="E85" s="135">
        <f t="shared" si="15"/>
        <v>250000</v>
      </c>
      <c r="F85" s="135"/>
      <c r="G85" s="135"/>
      <c r="H85" s="130"/>
      <c r="I85" s="130"/>
      <c r="J85" s="130">
        <f t="shared" si="10"/>
        <v>250000</v>
      </c>
      <c r="K85" s="130"/>
      <c r="L85" s="130"/>
      <c r="M85" s="130"/>
      <c r="N85" s="130"/>
      <c r="O85" s="130">
        <v>468500</v>
      </c>
      <c r="P85" s="231">
        <v>32944.639999999999</v>
      </c>
      <c r="Q85" s="130">
        <f t="shared" si="17"/>
        <v>217055.35999999999</v>
      </c>
      <c r="R85" s="130"/>
      <c r="S85" s="130"/>
      <c r="T85" s="130"/>
      <c r="U85" s="130"/>
      <c r="V85" s="130">
        <f t="shared" si="14"/>
        <v>250000</v>
      </c>
      <c r="W85" s="130">
        <f t="shared" si="18"/>
        <v>32944.639999999999</v>
      </c>
      <c r="X85" s="130">
        <f t="shared" si="16"/>
        <v>217055.35999999999</v>
      </c>
    </row>
    <row r="86" spans="1:24" s="131" customFormat="1" x14ac:dyDescent="0.25">
      <c r="A86" s="138">
        <v>3572</v>
      </c>
      <c r="B86" s="150" t="s">
        <v>179</v>
      </c>
      <c r="C86" s="151">
        <v>50000</v>
      </c>
      <c r="D86" s="152"/>
      <c r="E86" s="135">
        <f t="shared" si="15"/>
        <v>50000</v>
      </c>
      <c r="F86" s="135"/>
      <c r="G86" s="135"/>
      <c r="H86" s="130"/>
      <c r="I86" s="130"/>
      <c r="J86" s="130">
        <f t="shared" si="10"/>
        <v>50000</v>
      </c>
      <c r="K86" s="130"/>
      <c r="L86" s="130"/>
      <c r="M86" s="130"/>
      <c r="N86" s="130"/>
      <c r="O86" s="130"/>
      <c r="P86" s="231"/>
      <c r="Q86" s="130">
        <f t="shared" si="17"/>
        <v>50000</v>
      </c>
      <c r="R86" s="130"/>
      <c r="S86" s="130"/>
      <c r="T86" s="130"/>
      <c r="U86" s="130"/>
      <c r="V86" s="130">
        <f t="shared" si="14"/>
        <v>50000</v>
      </c>
      <c r="W86" s="130">
        <f t="shared" si="18"/>
        <v>0</v>
      </c>
      <c r="X86" s="130">
        <f t="shared" si="16"/>
        <v>50000</v>
      </c>
    </row>
    <row r="87" spans="1:24" s="131" customFormat="1" ht="15" customHeight="1" x14ac:dyDescent="0.25">
      <c r="A87" s="138">
        <v>3581</v>
      </c>
      <c r="B87" s="150" t="s">
        <v>180</v>
      </c>
      <c r="C87" s="151">
        <v>150000</v>
      </c>
      <c r="D87" s="152"/>
      <c r="E87" s="135">
        <f t="shared" si="15"/>
        <v>150000</v>
      </c>
      <c r="F87" s="135"/>
      <c r="G87" s="135"/>
      <c r="H87" s="130">
        <v>12500</v>
      </c>
      <c r="I87" s="130">
        <v>15831.16</v>
      </c>
      <c r="J87" s="130">
        <f t="shared" si="10"/>
        <v>134168.84</v>
      </c>
      <c r="K87" s="130"/>
      <c r="L87" s="130"/>
      <c r="M87" s="130"/>
      <c r="N87" s="130"/>
      <c r="O87" s="130">
        <v>17200</v>
      </c>
      <c r="P87" s="231">
        <f>43671.21+406</f>
        <v>44077.21</v>
      </c>
      <c r="Q87" s="130">
        <f t="shared" si="17"/>
        <v>90091.63</v>
      </c>
      <c r="R87" s="130"/>
      <c r="S87" s="130"/>
      <c r="T87" s="130"/>
      <c r="U87" s="130"/>
      <c r="V87" s="130">
        <f t="shared" si="14"/>
        <v>150000</v>
      </c>
      <c r="W87" s="130">
        <f t="shared" si="18"/>
        <v>59908.369999999995</v>
      </c>
      <c r="X87" s="130">
        <f t="shared" si="16"/>
        <v>90091.63</v>
      </c>
    </row>
    <row r="88" spans="1:24" s="131" customFormat="1" x14ac:dyDescent="0.25">
      <c r="A88" s="138">
        <v>3591</v>
      </c>
      <c r="B88" s="150" t="s">
        <v>181</v>
      </c>
      <c r="C88" s="151">
        <f>15000*12</f>
        <v>180000</v>
      </c>
      <c r="D88" s="152"/>
      <c r="E88" s="135">
        <f t="shared" si="15"/>
        <v>180000</v>
      </c>
      <c r="F88" s="135"/>
      <c r="G88" s="135"/>
      <c r="H88" s="130"/>
      <c r="I88" s="130"/>
      <c r="J88" s="130">
        <f t="shared" si="10"/>
        <v>180000</v>
      </c>
      <c r="K88" s="130"/>
      <c r="L88" s="130"/>
      <c r="M88" s="130"/>
      <c r="N88" s="130"/>
      <c r="O88" s="130"/>
      <c r="P88" s="231"/>
      <c r="Q88" s="130">
        <f t="shared" si="17"/>
        <v>180000</v>
      </c>
      <c r="R88" s="130">
        <v>1454</v>
      </c>
      <c r="S88" s="130"/>
      <c r="T88" s="130"/>
      <c r="U88" s="130"/>
      <c r="V88" s="130">
        <f t="shared" si="14"/>
        <v>180000</v>
      </c>
      <c r="W88" s="130">
        <f t="shared" si="18"/>
        <v>0</v>
      </c>
      <c r="X88" s="130">
        <f t="shared" si="16"/>
        <v>178546</v>
      </c>
    </row>
    <row r="89" spans="1:24" s="131" customFormat="1" ht="15" customHeight="1" x14ac:dyDescent="0.25">
      <c r="A89" s="138">
        <v>3721</v>
      </c>
      <c r="B89" s="150" t="s">
        <v>182</v>
      </c>
      <c r="C89" s="151">
        <v>64623.748800000001</v>
      </c>
      <c r="D89" s="152"/>
      <c r="E89" s="135">
        <f t="shared" si="15"/>
        <v>64623.748800000001</v>
      </c>
      <c r="F89" s="135"/>
      <c r="G89" s="135"/>
      <c r="H89" s="130">
        <v>20598.97</v>
      </c>
      <c r="I89" s="130">
        <v>19998.759999999998</v>
      </c>
      <c r="J89" s="130">
        <f t="shared" si="10"/>
        <v>44624.988800000006</v>
      </c>
      <c r="K89" s="130"/>
      <c r="L89" s="130"/>
      <c r="M89" s="130"/>
      <c r="N89" s="130"/>
      <c r="O89" s="130">
        <v>4820</v>
      </c>
      <c r="P89" s="231">
        <v>4694.95</v>
      </c>
      <c r="Q89" s="130">
        <f t="shared" si="17"/>
        <v>39930.038800000009</v>
      </c>
      <c r="R89" s="130"/>
      <c r="S89" s="130"/>
      <c r="T89" s="130"/>
      <c r="U89" s="130"/>
      <c r="V89" s="130">
        <f t="shared" si="14"/>
        <v>64623.748800000001</v>
      </c>
      <c r="W89" s="130">
        <f t="shared" si="18"/>
        <v>24693.71</v>
      </c>
      <c r="X89" s="130">
        <f t="shared" si="16"/>
        <v>39930.038800000002</v>
      </c>
    </row>
    <row r="90" spans="1:24" s="131" customFormat="1" x14ac:dyDescent="0.25">
      <c r="A90" s="138">
        <v>3751</v>
      </c>
      <c r="B90" s="150" t="s">
        <v>183</v>
      </c>
      <c r="C90" s="151">
        <f>8371.68+25000</f>
        <v>33371.68</v>
      </c>
      <c r="D90" s="152"/>
      <c r="E90" s="135">
        <f t="shared" si="15"/>
        <v>33371.68</v>
      </c>
      <c r="F90" s="135"/>
      <c r="G90" s="135"/>
      <c r="H90" s="130">
        <v>1827.22</v>
      </c>
      <c r="I90" s="130">
        <v>1774</v>
      </c>
      <c r="J90" s="130">
        <f t="shared" si="10"/>
        <v>31597.68</v>
      </c>
      <c r="K90" s="130"/>
      <c r="L90" s="130"/>
      <c r="M90" s="130"/>
      <c r="N90" s="130"/>
      <c r="O90" s="130"/>
      <c r="P90" s="231"/>
      <c r="Q90" s="130">
        <f t="shared" si="17"/>
        <v>31597.68</v>
      </c>
      <c r="R90" s="130"/>
      <c r="S90" s="130"/>
      <c r="T90" s="130"/>
      <c r="U90" s="130"/>
      <c r="V90" s="130">
        <f t="shared" si="14"/>
        <v>33371.68</v>
      </c>
      <c r="W90" s="130">
        <f t="shared" si="18"/>
        <v>1774</v>
      </c>
      <c r="X90" s="130">
        <f t="shared" si="16"/>
        <v>31597.68</v>
      </c>
    </row>
    <row r="91" spans="1:24" s="131" customFormat="1" ht="15" customHeight="1" x14ac:dyDescent="0.25">
      <c r="A91" s="138">
        <v>3791</v>
      </c>
      <c r="B91" s="150" t="s">
        <v>184</v>
      </c>
      <c r="C91" s="151">
        <v>6000</v>
      </c>
      <c r="D91" s="152"/>
      <c r="E91" s="135">
        <f t="shared" si="15"/>
        <v>6000</v>
      </c>
      <c r="F91" s="135"/>
      <c r="G91" s="135"/>
      <c r="H91" s="130"/>
      <c r="I91" s="130"/>
      <c r="J91" s="130">
        <f t="shared" si="10"/>
        <v>6000</v>
      </c>
      <c r="K91" s="130"/>
      <c r="L91" s="130"/>
      <c r="M91" s="130"/>
      <c r="N91" s="130"/>
      <c r="O91" s="130"/>
      <c r="P91" s="231"/>
      <c r="Q91" s="130">
        <f t="shared" si="17"/>
        <v>6000</v>
      </c>
      <c r="R91" s="130"/>
      <c r="S91" s="130"/>
      <c r="T91" s="130"/>
      <c r="U91" s="130"/>
      <c r="V91" s="130">
        <f t="shared" si="14"/>
        <v>6000</v>
      </c>
      <c r="W91" s="130">
        <f t="shared" si="18"/>
        <v>0</v>
      </c>
      <c r="X91" s="130">
        <f t="shared" si="16"/>
        <v>6000</v>
      </c>
    </row>
    <row r="92" spans="1:24" s="131" customFormat="1" x14ac:dyDescent="0.25">
      <c r="A92" s="138">
        <v>3821</v>
      </c>
      <c r="B92" s="150" t="s">
        <v>185</v>
      </c>
      <c r="C92" s="151">
        <v>14400</v>
      </c>
      <c r="D92" s="152"/>
      <c r="E92" s="135">
        <f t="shared" si="15"/>
        <v>14400</v>
      </c>
      <c r="F92" s="135"/>
      <c r="G92" s="135"/>
      <c r="H92" s="130"/>
      <c r="I92" s="130"/>
      <c r="J92" s="130">
        <f t="shared" si="10"/>
        <v>14400</v>
      </c>
      <c r="K92" s="130"/>
      <c r="L92" s="130"/>
      <c r="M92" s="130"/>
      <c r="N92" s="130"/>
      <c r="O92" s="130"/>
      <c r="P92" s="231">
        <v>1200</v>
      </c>
      <c r="Q92" s="130">
        <f t="shared" si="17"/>
        <v>13200</v>
      </c>
      <c r="R92" s="130"/>
      <c r="S92" s="130"/>
      <c r="T92" s="130"/>
      <c r="U92" s="130"/>
      <c r="V92" s="130">
        <f t="shared" si="14"/>
        <v>14400</v>
      </c>
      <c r="W92" s="130">
        <f t="shared" si="18"/>
        <v>1200</v>
      </c>
      <c r="X92" s="130">
        <f t="shared" si="16"/>
        <v>13200</v>
      </c>
    </row>
    <row r="93" spans="1:24" s="131" customFormat="1" ht="15" customHeight="1" x14ac:dyDescent="0.25">
      <c r="A93" s="138">
        <v>3822</v>
      </c>
      <c r="B93" s="150" t="s">
        <v>186</v>
      </c>
      <c r="C93" s="151">
        <v>15000</v>
      </c>
      <c r="D93" s="152"/>
      <c r="E93" s="135">
        <f t="shared" si="15"/>
        <v>15000</v>
      </c>
      <c r="F93" s="135"/>
      <c r="G93" s="135"/>
      <c r="H93" s="130">
        <v>15330.52</v>
      </c>
      <c r="I93" s="130">
        <v>14884</v>
      </c>
      <c r="J93" s="130">
        <f t="shared" ref="J93:J126" si="19">E93-I93</f>
        <v>116</v>
      </c>
      <c r="K93" s="130"/>
      <c r="L93" s="130"/>
      <c r="M93" s="130"/>
      <c r="N93" s="130"/>
      <c r="O93" s="130">
        <v>1850</v>
      </c>
      <c r="P93" s="231">
        <v>1570</v>
      </c>
      <c r="Q93" s="130">
        <f t="shared" si="17"/>
        <v>-1454</v>
      </c>
      <c r="R93" s="130"/>
      <c r="S93" s="130">
        <v>1454</v>
      </c>
      <c r="T93" s="130"/>
      <c r="U93" s="130"/>
      <c r="V93" s="130">
        <f t="shared" si="14"/>
        <v>15000</v>
      </c>
      <c r="W93" s="130">
        <f t="shared" si="18"/>
        <v>16454</v>
      </c>
      <c r="X93" s="130">
        <f t="shared" si="16"/>
        <v>0</v>
      </c>
    </row>
    <row r="94" spans="1:24" s="131" customFormat="1" x14ac:dyDescent="0.25">
      <c r="A94" s="138">
        <v>3921</v>
      </c>
      <c r="B94" s="150" t="s">
        <v>187</v>
      </c>
      <c r="C94" s="151">
        <v>226398.22399999999</v>
      </c>
      <c r="D94" s="152"/>
      <c r="E94" s="135">
        <f t="shared" si="15"/>
        <v>226398.22399999999</v>
      </c>
      <c r="F94" s="135"/>
      <c r="G94" s="135"/>
      <c r="H94" s="130">
        <v>18863.419999999998</v>
      </c>
      <c r="I94" s="130">
        <v>18314.23</v>
      </c>
      <c r="J94" s="130">
        <f t="shared" si="19"/>
        <v>208083.99399999998</v>
      </c>
      <c r="K94" s="130"/>
      <c r="L94" s="130"/>
      <c r="M94" s="130"/>
      <c r="N94" s="130"/>
      <c r="O94" s="130">
        <v>38050</v>
      </c>
      <c r="P94" s="231">
        <v>37026.79</v>
      </c>
      <c r="Q94" s="130">
        <f t="shared" si="17"/>
        <v>171057.20399999997</v>
      </c>
      <c r="R94" s="130"/>
      <c r="S94" s="130"/>
      <c r="T94" s="130"/>
      <c r="U94" s="130"/>
      <c r="V94" s="130">
        <f t="shared" si="14"/>
        <v>226398.22399999999</v>
      </c>
      <c r="W94" s="130">
        <f t="shared" si="18"/>
        <v>55341.020000000004</v>
      </c>
      <c r="X94" s="130">
        <f t="shared" si="16"/>
        <v>171057.20399999997</v>
      </c>
    </row>
    <row r="95" spans="1:24" s="131" customFormat="1" ht="15" customHeight="1" x14ac:dyDescent="0.25">
      <c r="A95" s="138">
        <v>3941</v>
      </c>
      <c r="B95" s="150" t="s">
        <v>188</v>
      </c>
      <c r="C95" s="151">
        <v>500000</v>
      </c>
      <c r="D95" s="152"/>
      <c r="E95" s="135">
        <f t="shared" si="15"/>
        <v>500000</v>
      </c>
      <c r="F95" s="135"/>
      <c r="G95" s="135"/>
      <c r="H95" s="130"/>
      <c r="I95" s="130"/>
      <c r="J95" s="130">
        <f t="shared" si="19"/>
        <v>500000</v>
      </c>
      <c r="K95" s="130"/>
      <c r="L95" s="130"/>
      <c r="M95" s="130"/>
      <c r="N95" s="130"/>
      <c r="O95" s="130"/>
      <c r="P95" s="231"/>
      <c r="Q95" s="130">
        <f t="shared" si="17"/>
        <v>500000</v>
      </c>
      <c r="R95" s="130"/>
      <c r="S95" s="130"/>
      <c r="T95" s="130"/>
      <c r="U95" s="130"/>
      <c r="V95" s="130">
        <f t="shared" si="14"/>
        <v>500000</v>
      </c>
      <c r="W95" s="130">
        <f t="shared" si="18"/>
        <v>0</v>
      </c>
      <c r="X95" s="130">
        <f t="shared" si="16"/>
        <v>500000</v>
      </c>
    </row>
    <row r="96" spans="1:24" s="131" customFormat="1" x14ac:dyDescent="0.25">
      <c r="A96" s="138">
        <v>3944</v>
      </c>
      <c r="B96" s="150" t="s">
        <v>189</v>
      </c>
      <c r="C96" s="151">
        <v>50000</v>
      </c>
      <c r="D96" s="152"/>
      <c r="E96" s="135">
        <f t="shared" si="15"/>
        <v>50000</v>
      </c>
      <c r="F96" s="135"/>
      <c r="G96" s="135"/>
      <c r="H96" s="130"/>
      <c r="I96" s="130"/>
      <c r="J96" s="130">
        <f t="shared" si="19"/>
        <v>50000</v>
      </c>
      <c r="K96" s="130"/>
      <c r="L96" s="130"/>
      <c r="M96" s="130"/>
      <c r="N96" s="130"/>
      <c r="O96" s="130"/>
      <c r="P96" s="231"/>
      <c r="Q96" s="130">
        <f t="shared" si="17"/>
        <v>50000</v>
      </c>
      <c r="R96" s="130"/>
      <c r="S96" s="130"/>
      <c r="T96" s="130"/>
      <c r="U96" s="130"/>
      <c r="V96" s="130">
        <f t="shared" si="14"/>
        <v>50000</v>
      </c>
      <c r="W96" s="130">
        <f t="shared" si="18"/>
        <v>0</v>
      </c>
      <c r="X96" s="130">
        <f t="shared" si="16"/>
        <v>50000</v>
      </c>
    </row>
    <row r="97" spans="1:24" s="131" customFormat="1" ht="15" customHeight="1" x14ac:dyDescent="0.25">
      <c r="A97" s="138">
        <v>3981</v>
      </c>
      <c r="B97" s="150" t="s">
        <v>190</v>
      </c>
      <c r="C97" s="151">
        <v>750000</v>
      </c>
      <c r="D97" s="152"/>
      <c r="E97" s="135">
        <f t="shared" si="15"/>
        <v>750000</v>
      </c>
      <c r="F97" s="135"/>
      <c r="G97" s="135"/>
      <c r="H97" s="130"/>
      <c r="I97" s="130"/>
      <c r="J97" s="130">
        <f t="shared" si="19"/>
        <v>750000</v>
      </c>
      <c r="K97" s="130"/>
      <c r="L97" s="130"/>
      <c r="M97" s="130"/>
      <c r="N97" s="130"/>
      <c r="O97" s="130"/>
      <c r="P97" s="231"/>
      <c r="Q97" s="130">
        <f t="shared" si="17"/>
        <v>750000</v>
      </c>
      <c r="R97" s="130"/>
      <c r="S97" s="130"/>
      <c r="T97" s="130"/>
      <c r="U97" s="130"/>
      <c r="V97" s="130">
        <f t="shared" si="14"/>
        <v>750000</v>
      </c>
      <c r="W97" s="130">
        <f t="shared" si="18"/>
        <v>0</v>
      </c>
      <c r="X97" s="130">
        <f t="shared" si="16"/>
        <v>750000</v>
      </c>
    </row>
    <row r="98" spans="1:24" s="131" customFormat="1" x14ac:dyDescent="0.25">
      <c r="A98" s="138">
        <v>3993</v>
      </c>
      <c r="B98" s="150" t="s">
        <v>191</v>
      </c>
      <c r="C98" s="151">
        <f>53859.3536-14400</f>
        <v>39459.353600000002</v>
      </c>
      <c r="D98" s="152"/>
      <c r="E98" s="135">
        <f t="shared" si="15"/>
        <v>39459.353600000002</v>
      </c>
      <c r="F98" s="135"/>
      <c r="G98" s="135"/>
      <c r="H98" s="130">
        <v>1325.61</v>
      </c>
      <c r="I98" s="130">
        <v>1286.6500000000001</v>
      </c>
      <c r="J98" s="130">
        <f t="shared" si="19"/>
        <v>38172.703600000001</v>
      </c>
      <c r="K98" s="130"/>
      <c r="L98" s="130"/>
      <c r="M98" s="130"/>
      <c r="N98" s="130"/>
      <c r="O98" s="130">
        <v>2650</v>
      </c>
      <c r="P98" s="231">
        <v>1285.99</v>
      </c>
      <c r="Q98" s="130">
        <f t="shared" si="17"/>
        <v>36886.713600000003</v>
      </c>
      <c r="R98" s="130"/>
      <c r="S98" s="130"/>
      <c r="T98" s="130"/>
      <c r="U98" s="130"/>
      <c r="V98" s="130">
        <f t="shared" si="14"/>
        <v>39459.353600000002</v>
      </c>
      <c r="W98" s="130">
        <f t="shared" si="18"/>
        <v>2572.6400000000003</v>
      </c>
      <c r="X98" s="130">
        <f t="shared" si="16"/>
        <v>36886.713600000003</v>
      </c>
    </row>
    <row r="99" spans="1:24" s="157" customFormat="1" ht="15" customHeight="1" x14ac:dyDescent="0.25">
      <c r="A99" s="154"/>
      <c r="B99" s="154" t="s">
        <v>192</v>
      </c>
      <c r="C99" s="155">
        <f>SUM(C60:C98)</f>
        <v>8195570.5328000002</v>
      </c>
      <c r="D99" s="155">
        <f>SUM(D60:D98)</f>
        <v>6473169</v>
      </c>
      <c r="E99" s="155">
        <f t="shared" ref="E99:X99" si="20">SUM(E60:E98)</f>
        <v>14668739.532799998</v>
      </c>
      <c r="F99" s="155">
        <f t="shared" si="20"/>
        <v>0</v>
      </c>
      <c r="G99" s="155">
        <f t="shared" si="20"/>
        <v>0</v>
      </c>
      <c r="H99" s="155">
        <f t="shared" si="20"/>
        <v>248546.33999999997</v>
      </c>
      <c r="I99" s="155">
        <f t="shared" si="20"/>
        <v>225546.19000000003</v>
      </c>
      <c r="J99" s="155">
        <f t="shared" si="20"/>
        <v>14443193.342800003</v>
      </c>
      <c r="K99" s="156">
        <f t="shared" si="20"/>
        <v>0</v>
      </c>
      <c r="L99" s="156">
        <f t="shared" si="20"/>
        <v>0</v>
      </c>
      <c r="M99" s="156">
        <f t="shared" si="20"/>
        <v>0</v>
      </c>
      <c r="N99" s="156">
        <f t="shared" si="20"/>
        <v>0</v>
      </c>
      <c r="O99" s="156">
        <f t="shared" si="20"/>
        <v>994736</v>
      </c>
      <c r="P99" s="155">
        <f t="shared" si="20"/>
        <v>541523.68000000005</v>
      </c>
      <c r="Q99" s="156">
        <f t="shared" si="20"/>
        <v>13901669.662800001</v>
      </c>
      <c r="R99" s="156">
        <f t="shared" si="20"/>
        <v>1454</v>
      </c>
      <c r="S99" s="156">
        <f t="shared" si="20"/>
        <v>197323</v>
      </c>
      <c r="T99" s="156">
        <f t="shared" si="20"/>
        <v>0</v>
      </c>
      <c r="U99" s="156">
        <f t="shared" si="20"/>
        <v>0</v>
      </c>
      <c r="V99" s="156">
        <f t="shared" si="20"/>
        <v>14668739.532799998</v>
      </c>
      <c r="W99" s="156">
        <f t="shared" si="20"/>
        <v>767069.87</v>
      </c>
      <c r="X99" s="156">
        <f t="shared" si="20"/>
        <v>14097538.662800001</v>
      </c>
    </row>
    <row r="100" spans="1:24" s="131" customFormat="1" ht="30" x14ac:dyDescent="0.25">
      <c r="A100" s="158">
        <v>4412</v>
      </c>
      <c r="B100" s="159" t="s">
        <v>193</v>
      </c>
      <c r="C100" s="160">
        <v>100000</v>
      </c>
      <c r="D100" s="135">
        <v>0</v>
      </c>
      <c r="E100" s="148">
        <f t="shared" ref="E100:E127" si="21">C100+D100</f>
        <v>100000</v>
      </c>
      <c r="F100" s="148"/>
      <c r="G100" s="148"/>
      <c r="H100" s="130"/>
      <c r="I100" s="130"/>
      <c r="J100" s="130">
        <f t="shared" si="19"/>
        <v>100000</v>
      </c>
      <c r="K100" s="130"/>
      <c r="L100" s="130"/>
      <c r="M100" s="130"/>
      <c r="N100" s="130"/>
      <c r="O100" s="130"/>
      <c r="P100" s="231"/>
      <c r="Q100" s="130">
        <f t="shared" si="17"/>
        <v>100000</v>
      </c>
      <c r="R100" s="130"/>
      <c r="S100" s="130"/>
      <c r="T100" s="130"/>
      <c r="U100" s="130"/>
      <c r="V100" s="130">
        <f>C100+D100</f>
        <v>100000</v>
      </c>
      <c r="W100" s="130">
        <f t="shared" si="18"/>
        <v>0</v>
      </c>
      <c r="X100" s="130">
        <f t="shared" si="16"/>
        <v>100000</v>
      </c>
    </row>
    <row r="101" spans="1:24" s="131" customFormat="1" x14ac:dyDescent="0.25">
      <c r="A101" s="158">
        <v>4413</v>
      </c>
      <c r="B101" s="159" t="s">
        <v>194</v>
      </c>
      <c r="C101" s="160"/>
      <c r="D101" s="135">
        <v>2700000</v>
      </c>
      <c r="E101" s="148">
        <f t="shared" si="21"/>
        <v>2700000</v>
      </c>
      <c r="F101" s="148"/>
      <c r="G101" s="148"/>
      <c r="H101" s="130"/>
      <c r="I101" s="130"/>
      <c r="J101" s="130">
        <f t="shared" si="19"/>
        <v>2700000</v>
      </c>
      <c r="K101" s="130"/>
      <c r="L101" s="130"/>
      <c r="M101" s="130"/>
      <c r="N101" s="130"/>
      <c r="O101" s="130"/>
      <c r="P101" s="231"/>
      <c r="Q101" s="130">
        <f t="shared" si="17"/>
        <v>2700000</v>
      </c>
      <c r="R101" s="130"/>
      <c r="S101" s="130"/>
      <c r="T101" s="130"/>
      <c r="U101" s="130"/>
      <c r="V101" s="130">
        <f>C101+D101</f>
        <v>2700000</v>
      </c>
      <c r="W101" s="130">
        <f t="shared" si="18"/>
        <v>0</v>
      </c>
      <c r="X101" s="130">
        <f t="shared" si="16"/>
        <v>2700000</v>
      </c>
    </row>
    <row r="102" spans="1:24" s="131" customFormat="1" x14ac:dyDescent="0.25">
      <c r="A102" s="158">
        <v>4421</v>
      </c>
      <c r="B102" s="159" t="s">
        <v>195</v>
      </c>
      <c r="C102" s="160">
        <f>150000+200000</f>
        <v>350000</v>
      </c>
      <c r="D102" s="135">
        <f>6897153-1000000</f>
        <v>5897153</v>
      </c>
      <c r="E102" s="148">
        <f t="shared" si="21"/>
        <v>6247153</v>
      </c>
      <c r="F102" s="148"/>
      <c r="G102" s="148"/>
      <c r="H102" s="130"/>
      <c r="I102" s="130"/>
      <c r="J102" s="130">
        <f t="shared" si="19"/>
        <v>6247153</v>
      </c>
      <c r="K102" s="130"/>
      <c r="L102" s="130"/>
      <c r="M102" s="130"/>
      <c r="N102" s="130"/>
      <c r="O102" s="130">
        <v>28601</v>
      </c>
      <c r="P102" s="231">
        <v>26513.7</v>
      </c>
      <c r="Q102" s="130">
        <f t="shared" si="17"/>
        <v>6220639.2999999998</v>
      </c>
      <c r="R102" s="130"/>
      <c r="S102" s="130"/>
      <c r="T102" s="130"/>
      <c r="U102" s="130"/>
      <c r="V102" s="130">
        <f>C102+D102</f>
        <v>6247153</v>
      </c>
      <c r="W102" s="130">
        <f t="shared" si="18"/>
        <v>26513.7</v>
      </c>
      <c r="X102" s="130">
        <f t="shared" si="16"/>
        <v>6220639.2999999998</v>
      </c>
    </row>
    <row r="103" spans="1:24" s="166" customFormat="1" ht="15" customHeight="1" x14ac:dyDescent="0.25">
      <c r="A103" s="161"/>
      <c r="B103" s="162"/>
      <c r="C103" s="163"/>
      <c r="D103" s="135"/>
      <c r="E103" s="164">
        <f t="shared" si="21"/>
        <v>0</v>
      </c>
      <c r="F103" s="164"/>
      <c r="G103" s="164"/>
      <c r="H103" s="130">
        <f t="shared" ref="H103:H120" si="22">E103/12</f>
        <v>0</v>
      </c>
      <c r="I103" s="165"/>
      <c r="J103" s="130">
        <f t="shared" si="19"/>
        <v>0</v>
      </c>
      <c r="K103" s="165"/>
      <c r="L103" s="165"/>
      <c r="M103" s="165"/>
      <c r="N103" s="165"/>
      <c r="O103" s="165"/>
      <c r="P103" s="232"/>
      <c r="Q103" s="130">
        <f t="shared" si="17"/>
        <v>0</v>
      </c>
      <c r="R103" s="165"/>
      <c r="S103" s="165"/>
      <c r="T103" s="165"/>
      <c r="U103" s="165"/>
      <c r="V103" s="130">
        <f>C103+D103</f>
        <v>0</v>
      </c>
      <c r="W103" s="130">
        <f t="shared" si="18"/>
        <v>0</v>
      </c>
      <c r="X103" s="130">
        <f t="shared" si="16"/>
        <v>0</v>
      </c>
    </row>
    <row r="104" spans="1:24" s="166" customFormat="1" x14ac:dyDescent="0.25">
      <c r="A104" s="167"/>
      <c r="B104" s="168" t="s">
        <v>196</v>
      </c>
      <c r="C104" s="169">
        <f>SUM(C100:C103)</f>
        <v>450000</v>
      </c>
      <c r="D104" s="169">
        <f>SUM(D100:D103)</f>
        <v>8597153</v>
      </c>
      <c r="E104" s="169">
        <f>SUM(E100:E103)</f>
        <v>9047153</v>
      </c>
      <c r="F104" s="169"/>
      <c r="G104" s="169"/>
      <c r="H104" s="169">
        <f t="shared" ref="H104:X104" si="23">SUM(H100:H103)</f>
        <v>0</v>
      </c>
      <c r="I104" s="169">
        <f t="shared" si="23"/>
        <v>0</v>
      </c>
      <c r="J104" s="169">
        <f t="shared" si="23"/>
        <v>9047153</v>
      </c>
      <c r="K104" s="169">
        <f t="shared" si="23"/>
        <v>0</v>
      </c>
      <c r="L104" s="169">
        <f t="shared" si="23"/>
        <v>0</v>
      </c>
      <c r="M104" s="169">
        <f t="shared" si="23"/>
        <v>0</v>
      </c>
      <c r="N104" s="169">
        <f t="shared" si="23"/>
        <v>0</v>
      </c>
      <c r="O104" s="169">
        <f t="shared" si="23"/>
        <v>28601</v>
      </c>
      <c r="P104" s="169">
        <f t="shared" si="23"/>
        <v>26513.7</v>
      </c>
      <c r="Q104" s="169">
        <f t="shared" si="23"/>
        <v>9020639.3000000007</v>
      </c>
      <c r="R104" s="169">
        <f t="shared" si="23"/>
        <v>0</v>
      </c>
      <c r="S104" s="169">
        <f t="shared" si="23"/>
        <v>0</v>
      </c>
      <c r="T104" s="169">
        <f t="shared" si="23"/>
        <v>0</v>
      </c>
      <c r="U104" s="169">
        <f t="shared" si="23"/>
        <v>0</v>
      </c>
      <c r="V104" s="169">
        <f t="shared" si="23"/>
        <v>9047153</v>
      </c>
      <c r="W104" s="169">
        <f t="shared" si="23"/>
        <v>26513.7</v>
      </c>
      <c r="X104" s="169">
        <f t="shared" si="23"/>
        <v>9020639.3000000007</v>
      </c>
    </row>
    <row r="105" spans="1:24" s="131" customFormat="1" ht="15" customHeight="1" x14ac:dyDescent="0.25">
      <c r="A105" s="138">
        <v>5111</v>
      </c>
      <c r="B105" s="146" t="s">
        <v>84</v>
      </c>
      <c r="C105" s="135">
        <v>250000</v>
      </c>
      <c r="D105" s="135"/>
      <c r="E105" s="135">
        <f t="shared" si="21"/>
        <v>250000</v>
      </c>
      <c r="F105" s="135"/>
      <c r="G105" s="135"/>
      <c r="H105" s="130"/>
      <c r="I105" s="130"/>
      <c r="J105" s="130">
        <f t="shared" si="19"/>
        <v>250000</v>
      </c>
      <c r="K105" s="130"/>
      <c r="L105" s="130"/>
      <c r="M105" s="130"/>
      <c r="N105" s="130"/>
      <c r="O105" s="130"/>
      <c r="P105" s="231"/>
      <c r="Q105" s="130">
        <f t="shared" si="17"/>
        <v>250000</v>
      </c>
      <c r="R105" s="130"/>
      <c r="S105" s="130"/>
      <c r="T105" s="130"/>
      <c r="U105" s="130"/>
      <c r="V105" s="130">
        <f t="shared" ref="V105:V117" si="24">C105+D105</f>
        <v>250000</v>
      </c>
      <c r="W105" s="130">
        <f t="shared" si="18"/>
        <v>0</v>
      </c>
      <c r="X105" s="130">
        <f t="shared" si="16"/>
        <v>250000</v>
      </c>
    </row>
    <row r="106" spans="1:24" s="131" customFormat="1" x14ac:dyDescent="0.25">
      <c r="A106" s="138">
        <v>5121</v>
      </c>
      <c r="B106" s="146" t="s">
        <v>85</v>
      </c>
      <c r="C106" s="135">
        <f>1000000+250000</f>
        <v>1250000</v>
      </c>
      <c r="D106" s="135">
        <f>350000-178139.77</f>
        <v>171860.23</v>
      </c>
      <c r="E106" s="135">
        <f t="shared" si="21"/>
        <v>1421860.23</v>
      </c>
      <c r="F106" s="135"/>
      <c r="G106" s="135"/>
      <c r="H106" s="130">
        <v>6318.02</v>
      </c>
      <c r="I106" s="130">
        <v>6134.08</v>
      </c>
      <c r="J106" s="130">
        <f t="shared" si="19"/>
        <v>1415726.15</v>
      </c>
      <c r="K106" s="130"/>
      <c r="L106" s="130"/>
      <c r="M106" s="130"/>
      <c r="N106" s="130"/>
      <c r="O106" s="130">
        <v>33507</v>
      </c>
      <c r="P106" s="231">
        <v>31701.06</v>
      </c>
      <c r="Q106" s="130">
        <f t="shared" si="17"/>
        <v>1384025.0899999999</v>
      </c>
      <c r="R106" s="130"/>
      <c r="S106" s="130"/>
      <c r="T106" s="130"/>
      <c r="U106" s="130"/>
      <c r="V106" s="130">
        <f t="shared" si="24"/>
        <v>1421860.23</v>
      </c>
      <c r="W106" s="130">
        <f t="shared" si="18"/>
        <v>37835.14</v>
      </c>
      <c r="X106" s="130">
        <f t="shared" si="16"/>
        <v>1384025.09</v>
      </c>
    </row>
    <row r="107" spans="1:24" s="131" customFormat="1" ht="15" customHeight="1" x14ac:dyDescent="0.25">
      <c r="A107" s="138">
        <v>5151</v>
      </c>
      <c r="B107" s="146" t="s">
        <v>86</v>
      </c>
      <c r="C107" s="135">
        <f>215800+825000-52192.3+250000</f>
        <v>1238607.7</v>
      </c>
      <c r="D107" s="135">
        <v>0</v>
      </c>
      <c r="E107" s="135">
        <f t="shared" si="21"/>
        <v>1238607.7</v>
      </c>
      <c r="F107" s="135"/>
      <c r="G107" s="135"/>
      <c r="H107" s="130"/>
      <c r="I107" s="130"/>
      <c r="J107" s="130">
        <f t="shared" si="19"/>
        <v>1238607.7</v>
      </c>
      <c r="K107" s="130"/>
      <c r="L107" s="130"/>
      <c r="M107" s="130"/>
      <c r="N107" s="130"/>
      <c r="O107" s="130">
        <v>68050</v>
      </c>
      <c r="P107" s="231">
        <v>66027.199999999997</v>
      </c>
      <c r="Q107" s="130">
        <f t="shared" si="17"/>
        <v>1172580.5</v>
      </c>
      <c r="R107" s="130"/>
      <c r="S107" s="130"/>
      <c r="T107" s="130"/>
      <c r="U107" s="130"/>
      <c r="V107" s="130">
        <f t="shared" si="24"/>
        <v>1238607.7</v>
      </c>
      <c r="W107" s="130">
        <f t="shared" si="18"/>
        <v>66027.199999999997</v>
      </c>
      <c r="X107" s="130">
        <f t="shared" si="16"/>
        <v>1172580.5</v>
      </c>
    </row>
    <row r="108" spans="1:24" s="131" customFormat="1" x14ac:dyDescent="0.25">
      <c r="A108" s="138">
        <v>5191</v>
      </c>
      <c r="B108" s="146" t="s">
        <v>87</v>
      </c>
      <c r="C108" s="135">
        <v>0</v>
      </c>
      <c r="D108" s="135">
        <v>15000</v>
      </c>
      <c r="E108" s="135">
        <f t="shared" si="21"/>
        <v>15000</v>
      </c>
      <c r="F108" s="135"/>
      <c r="G108" s="135"/>
      <c r="H108" s="130"/>
      <c r="I108" s="130"/>
      <c r="J108" s="130">
        <f t="shared" si="19"/>
        <v>15000</v>
      </c>
      <c r="K108" s="130"/>
      <c r="L108" s="130"/>
      <c r="M108" s="130"/>
      <c r="N108" s="130"/>
      <c r="O108" s="130"/>
      <c r="P108" s="231">
        <v>404631</v>
      </c>
      <c r="Q108" s="130">
        <f t="shared" si="17"/>
        <v>-389631</v>
      </c>
      <c r="R108" s="130"/>
      <c r="S108" s="130">
        <v>389631</v>
      </c>
      <c r="T108" s="130"/>
      <c r="U108" s="130"/>
      <c r="V108" s="130">
        <f t="shared" si="24"/>
        <v>15000</v>
      </c>
      <c r="W108" s="130">
        <f t="shared" si="18"/>
        <v>404631</v>
      </c>
      <c r="X108" s="130">
        <f t="shared" si="16"/>
        <v>0</v>
      </c>
    </row>
    <row r="109" spans="1:24" s="131" customFormat="1" ht="15" customHeight="1" x14ac:dyDescent="0.25">
      <c r="A109" s="138">
        <v>5211</v>
      </c>
      <c r="B109" s="146" t="s">
        <v>88</v>
      </c>
      <c r="C109" s="152"/>
      <c r="D109" s="135">
        <v>0</v>
      </c>
      <c r="E109" s="135">
        <f t="shared" si="21"/>
        <v>0</v>
      </c>
      <c r="F109" s="135"/>
      <c r="G109" s="135"/>
      <c r="H109" s="130"/>
      <c r="I109" s="130"/>
      <c r="J109" s="130">
        <f t="shared" si="19"/>
        <v>0</v>
      </c>
      <c r="K109" s="130"/>
      <c r="L109" s="130"/>
      <c r="M109" s="130"/>
      <c r="N109" s="130"/>
      <c r="O109" s="130"/>
      <c r="P109" s="231"/>
      <c r="Q109" s="130">
        <f t="shared" si="17"/>
        <v>0</v>
      </c>
      <c r="R109" s="130"/>
      <c r="S109" s="130"/>
      <c r="T109" s="130"/>
      <c r="U109" s="130"/>
      <c r="V109" s="130">
        <f t="shared" si="24"/>
        <v>0</v>
      </c>
      <c r="W109" s="130">
        <f t="shared" si="18"/>
        <v>0</v>
      </c>
      <c r="X109" s="130">
        <f t="shared" si="16"/>
        <v>0</v>
      </c>
    </row>
    <row r="110" spans="1:24" s="131" customFormat="1" x14ac:dyDescent="0.25">
      <c r="A110" s="138">
        <v>5291</v>
      </c>
      <c r="B110" s="170" t="s">
        <v>197</v>
      </c>
      <c r="C110" s="152"/>
      <c r="D110" s="135">
        <v>0</v>
      </c>
      <c r="E110" s="135">
        <f t="shared" si="21"/>
        <v>0</v>
      </c>
      <c r="F110" s="135"/>
      <c r="G110" s="135"/>
      <c r="H110" s="130"/>
      <c r="I110" s="130"/>
      <c r="J110" s="130">
        <f t="shared" si="19"/>
        <v>0</v>
      </c>
      <c r="K110" s="130"/>
      <c r="L110" s="130"/>
      <c r="M110" s="130"/>
      <c r="N110" s="130"/>
      <c r="O110" s="130"/>
      <c r="P110" s="231"/>
      <c r="Q110" s="130">
        <f t="shared" si="17"/>
        <v>0</v>
      </c>
      <c r="R110" s="130"/>
      <c r="S110" s="130"/>
      <c r="T110" s="130"/>
      <c r="U110" s="130"/>
      <c r="V110" s="130">
        <f t="shared" si="24"/>
        <v>0</v>
      </c>
      <c r="W110" s="130">
        <f t="shared" si="18"/>
        <v>0</v>
      </c>
      <c r="X110" s="130">
        <f t="shared" si="16"/>
        <v>0</v>
      </c>
    </row>
    <row r="111" spans="1:24" s="131" customFormat="1" ht="15" customHeight="1" x14ac:dyDescent="0.25">
      <c r="A111" s="138">
        <v>5311</v>
      </c>
      <c r="B111" s="170" t="s">
        <v>198</v>
      </c>
      <c r="C111" s="135">
        <v>300000</v>
      </c>
      <c r="D111" s="135">
        <f>4814972.24-15600-4099372</f>
        <v>700000.24000000022</v>
      </c>
      <c r="E111" s="135">
        <f t="shared" si="21"/>
        <v>1000000.2400000002</v>
      </c>
      <c r="F111" s="135"/>
      <c r="G111" s="135"/>
      <c r="H111" s="130"/>
      <c r="I111" s="130"/>
      <c r="J111" s="130">
        <f t="shared" si="19"/>
        <v>1000000.2400000002</v>
      </c>
      <c r="K111" s="130"/>
      <c r="L111" s="130"/>
      <c r="M111" s="130"/>
      <c r="N111" s="130"/>
      <c r="O111" s="130"/>
      <c r="P111" s="231"/>
      <c r="Q111" s="130">
        <f t="shared" si="17"/>
        <v>1000000.2400000002</v>
      </c>
      <c r="R111" s="130"/>
      <c r="S111" s="130"/>
      <c r="T111" s="130"/>
      <c r="U111" s="130"/>
      <c r="V111" s="130">
        <f t="shared" si="24"/>
        <v>1000000.2400000002</v>
      </c>
      <c r="W111" s="130">
        <f t="shared" si="18"/>
        <v>0</v>
      </c>
      <c r="X111" s="130">
        <f t="shared" si="16"/>
        <v>1000000.2400000002</v>
      </c>
    </row>
    <row r="112" spans="1:24" s="131" customFormat="1" x14ac:dyDescent="0.25">
      <c r="A112" s="138">
        <v>5621</v>
      </c>
      <c r="B112" s="146" t="s">
        <v>89</v>
      </c>
      <c r="C112" s="135">
        <v>500000</v>
      </c>
      <c r="D112" s="135">
        <v>0</v>
      </c>
      <c r="E112" s="135">
        <f t="shared" si="21"/>
        <v>500000</v>
      </c>
      <c r="F112" s="135"/>
      <c r="G112" s="135"/>
      <c r="H112" s="130"/>
      <c r="I112" s="130"/>
      <c r="J112" s="130">
        <f t="shared" si="19"/>
        <v>500000</v>
      </c>
      <c r="K112" s="130"/>
      <c r="L112" s="130"/>
      <c r="M112" s="130"/>
      <c r="N112" s="130"/>
      <c r="O112" s="130"/>
      <c r="P112" s="231"/>
      <c r="Q112" s="130">
        <f t="shared" si="17"/>
        <v>500000</v>
      </c>
      <c r="R112" s="130"/>
      <c r="S112" s="130"/>
      <c r="T112" s="130"/>
      <c r="U112" s="130"/>
      <c r="V112" s="130">
        <f t="shared" si="24"/>
        <v>500000</v>
      </c>
      <c r="W112" s="130">
        <f t="shared" si="18"/>
        <v>0</v>
      </c>
      <c r="X112" s="130">
        <f t="shared" si="16"/>
        <v>500000</v>
      </c>
    </row>
    <row r="113" spans="1:24" s="131" customFormat="1" ht="15" customHeight="1" x14ac:dyDescent="0.25">
      <c r="A113" s="138">
        <v>5641</v>
      </c>
      <c r="B113" s="146" t="s">
        <v>199</v>
      </c>
      <c r="C113" s="135">
        <f>1500000-291261.22</f>
        <v>1208738.78</v>
      </c>
      <c r="D113" s="135">
        <v>425000</v>
      </c>
      <c r="E113" s="135">
        <f t="shared" si="21"/>
        <v>1633738.78</v>
      </c>
      <c r="F113" s="135"/>
      <c r="G113" s="135"/>
      <c r="H113" s="130"/>
      <c r="I113" s="130"/>
      <c r="J113" s="130">
        <f t="shared" si="19"/>
        <v>1633738.78</v>
      </c>
      <c r="K113" s="130"/>
      <c r="L113" s="130"/>
      <c r="M113" s="130"/>
      <c r="N113" s="130"/>
      <c r="O113" s="130"/>
      <c r="P113" s="231"/>
      <c r="Q113" s="130">
        <f t="shared" si="17"/>
        <v>1633738.78</v>
      </c>
      <c r="R113" s="130"/>
      <c r="S113" s="130"/>
      <c r="T113" s="130"/>
      <c r="U113" s="130"/>
      <c r="V113" s="130">
        <f t="shared" si="24"/>
        <v>1633738.78</v>
      </c>
      <c r="W113" s="130">
        <f t="shared" si="18"/>
        <v>0</v>
      </c>
      <c r="X113" s="130">
        <f t="shared" si="16"/>
        <v>1633738.78</v>
      </c>
    </row>
    <row r="114" spans="1:24" s="131" customFormat="1" x14ac:dyDescent="0.25">
      <c r="A114" s="138">
        <v>5661</v>
      </c>
      <c r="B114" s="146" t="s">
        <v>200</v>
      </c>
      <c r="C114" s="135">
        <v>1200000</v>
      </c>
      <c r="D114" s="135"/>
      <c r="E114" s="135">
        <f t="shared" si="21"/>
        <v>1200000</v>
      </c>
      <c r="F114" s="135"/>
      <c r="G114" s="135"/>
      <c r="H114" s="130"/>
      <c r="I114" s="130"/>
      <c r="J114" s="130">
        <f t="shared" si="19"/>
        <v>1200000</v>
      </c>
      <c r="K114" s="130"/>
      <c r="L114" s="130"/>
      <c r="M114" s="130"/>
      <c r="N114" s="130"/>
      <c r="O114" s="130"/>
      <c r="P114" s="231"/>
      <c r="Q114" s="130">
        <f t="shared" si="17"/>
        <v>1200000</v>
      </c>
      <c r="R114" s="130"/>
      <c r="S114" s="130"/>
      <c r="T114" s="130"/>
      <c r="U114" s="130"/>
      <c r="V114" s="130">
        <f t="shared" si="24"/>
        <v>1200000</v>
      </c>
      <c r="W114" s="130">
        <f t="shared" si="18"/>
        <v>0</v>
      </c>
      <c r="X114" s="130">
        <f t="shared" si="16"/>
        <v>1200000</v>
      </c>
    </row>
    <row r="115" spans="1:24" s="131" customFormat="1" ht="15" customHeight="1" x14ac:dyDescent="0.25">
      <c r="A115" s="138">
        <v>5411</v>
      </c>
      <c r="B115" s="146" t="s">
        <v>201</v>
      </c>
      <c r="C115" s="135">
        <v>565000</v>
      </c>
      <c r="D115" s="135"/>
      <c r="E115" s="135">
        <f t="shared" si="21"/>
        <v>565000</v>
      </c>
      <c r="F115" s="135"/>
      <c r="G115" s="135"/>
      <c r="H115" s="130"/>
      <c r="I115" s="130"/>
      <c r="J115" s="130">
        <f t="shared" si="19"/>
        <v>565000</v>
      </c>
      <c r="K115" s="130"/>
      <c r="L115" s="130"/>
      <c r="M115" s="130"/>
      <c r="N115" s="130"/>
      <c r="O115" s="130"/>
      <c r="P115" s="231"/>
      <c r="Q115" s="130">
        <f t="shared" si="17"/>
        <v>565000</v>
      </c>
      <c r="R115" s="130"/>
      <c r="S115" s="130"/>
      <c r="T115" s="130"/>
      <c r="U115" s="130"/>
      <c r="V115" s="130">
        <f t="shared" si="24"/>
        <v>565000</v>
      </c>
      <c r="W115" s="130">
        <f t="shared" si="18"/>
        <v>0</v>
      </c>
      <c r="X115" s="130">
        <f t="shared" si="16"/>
        <v>565000</v>
      </c>
    </row>
    <row r="116" spans="1:24" s="131" customFormat="1" x14ac:dyDescent="0.25">
      <c r="A116" s="138">
        <v>5911</v>
      </c>
      <c r="B116" s="146" t="s">
        <v>92</v>
      </c>
      <c r="C116" s="135">
        <f>25000+25000</f>
        <v>50000</v>
      </c>
      <c r="D116" s="135">
        <v>0</v>
      </c>
      <c r="E116" s="135">
        <f t="shared" si="21"/>
        <v>50000</v>
      </c>
      <c r="F116" s="135"/>
      <c r="G116" s="135"/>
      <c r="H116" s="130"/>
      <c r="I116" s="130"/>
      <c r="J116" s="130">
        <f t="shared" si="19"/>
        <v>50000</v>
      </c>
      <c r="K116" s="130"/>
      <c r="L116" s="130"/>
      <c r="M116" s="130"/>
      <c r="N116" s="130"/>
      <c r="O116" s="130"/>
      <c r="P116" s="231"/>
      <c r="Q116" s="130">
        <f t="shared" si="17"/>
        <v>50000</v>
      </c>
      <c r="R116" s="130"/>
      <c r="S116" s="130"/>
      <c r="T116" s="130"/>
      <c r="U116" s="130"/>
      <c r="V116" s="130">
        <f t="shared" si="24"/>
        <v>50000</v>
      </c>
      <c r="W116" s="130">
        <f t="shared" si="18"/>
        <v>0</v>
      </c>
      <c r="X116" s="130">
        <f t="shared" si="16"/>
        <v>50000</v>
      </c>
    </row>
    <row r="117" spans="1:24" s="131" customFormat="1" x14ac:dyDescent="0.25">
      <c r="A117" s="138">
        <v>5971</v>
      </c>
      <c r="B117" s="146" t="s">
        <v>93</v>
      </c>
      <c r="C117" s="135">
        <v>350000</v>
      </c>
      <c r="D117" s="135">
        <v>0</v>
      </c>
      <c r="E117" s="135">
        <f t="shared" si="21"/>
        <v>350000</v>
      </c>
      <c r="F117" s="135"/>
      <c r="G117" s="135"/>
      <c r="H117" s="130"/>
      <c r="I117" s="130"/>
      <c r="J117" s="130">
        <f t="shared" si="19"/>
        <v>350000</v>
      </c>
      <c r="K117" s="130"/>
      <c r="L117" s="130"/>
      <c r="M117" s="130"/>
      <c r="N117" s="130"/>
      <c r="O117" s="130"/>
      <c r="P117" s="231"/>
      <c r="Q117" s="130">
        <f t="shared" si="17"/>
        <v>350000</v>
      </c>
      <c r="R117" s="130"/>
      <c r="S117" s="130"/>
      <c r="T117" s="130"/>
      <c r="U117" s="130"/>
      <c r="V117" s="130">
        <f t="shared" si="24"/>
        <v>350000</v>
      </c>
      <c r="W117" s="130">
        <f t="shared" si="18"/>
        <v>0</v>
      </c>
      <c r="X117" s="130">
        <f t="shared" si="16"/>
        <v>350000</v>
      </c>
    </row>
    <row r="118" spans="1:24" s="166" customFormat="1" x14ac:dyDescent="0.25">
      <c r="A118" s="167"/>
      <c r="B118" s="168" t="s">
        <v>202</v>
      </c>
      <c r="C118" s="156">
        <f>SUM(C105:C117)</f>
        <v>6912346.4800000004</v>
      </c>
      <c r="D118" s="156">
        <f>SUM(D105:D117)</f>
        <v>1311860.4700000002</v>
      </c>
      <c r="E118" s="156">
        <f>C118+D118</f>
        <v>8224206.9500000011</v>
      </c>
      <c r="F118" s="156">
        <f t="shared" ref="F118:G118" si="25">SUM(F105:F117)</f>
        <v>0</v>
      </c>
      <c r="G118" s="156">
        <f t="shared" si="25"/>
        <v>0</v>
      </c>
      <c r="H118" s="156">
        <f>SUM(H105:H117)</f>
        <v>6318.02</v>
      </c>
      <c r="I118" s="156"/>
      <c r="J118" s="169">
        <f>SUM(J105:J117)</f>
        <v>8218072.8700000001</v>
      </c>
      <c r="K118" s="169">
        <f t="shared" ref="K118:X118" si="26">SUM(K105:K117)</f>
        <v>0</v>
      </c>
      <c r="L118" s="169">
        <f t="shared" si="26"/>
        <v>0</v>
      </c>
      <c r="M118" s="169">
        <f t="shared" si="26"/>
        <v>0</v>
      </c>
      <c r="N118" s="169">
        <f t="shared" si="26"/>
        <v>0</v>
      </c>
      <c r="O118" s="169">
        <f t="shared" si="26"/>
        <v>101557</v>
      </c>
      <c r="P118" s="156">
        <f t="shared" si="26"/>
        <v>502359.26</v>
      </c>
      <c r="Q118" s="169">
        <f t="shared" si="26"/>
        <v>7715713.6100000003</v>
      </c>
      <c r="R118" s="169">
        <f t="shared" si="26"/>
        <v>0</v>
      </c>
      <c r="S118" s="169">
        <f t="shared" si="26"/>
        <v>389631</v>
      </c>
      <c r="T118" s="169">
        <f t="shared" si="26"/>
        <v>0</v>
      </c>
      <c r="U118" s="169">
        <f t="shared" si="26"/>
        <v>0</v>
      </c>
      <c r="V118" s="169">
        <f>SUM(V105:V117)</f>
        <v>8224206.9500000002</v>
      </c>
      <c r="W118" s="169">
        <f t="shared" si="26"/>
        <v>508493.33999999997</v>
      </c>
      <c r="X118" s="169">
        <f t="shared" si="26"/>
        <v>8105344.6100000003</v>
      </c>
    </row>
    <row r="119" spans="1:24" s="166" customFormat="1" x14ac:dyDescent="0.25">
      <c r="A119" s="171">
        <v>6171</v>
      </c>
      <c r="B119" s="159" t="s">
        <v>203</v>
      </c>
      <c r="C119" s="160"/>
      <c r="D119" s="172"/>
      <c r="E119" s="164">
        <f t="shared" si="21"/>
        <v>0</v>
      </c>
      <c r="F119" s="164"/>
      <c r="G119" s="164"/>
      <c r="H119" s="130">
        <f t="shared" si="22"/>
        <v>0</v>
      </c>
      <c r="I119" s="165"/>
      <c r="J119" s="130">
        <f t="shared" si="19"/>
        <v>0</v>
      </c>
      <c r="K119" s="165"/>
      <c r="L119" s="165"/>
      <c r="M119" s="165"/>
      <c r="N119" s="165"/>
      <c r="O119" s="165"/>
      <c r="P119" s="232"/>
      <c r="Q119" s="130">
        <f t="shared" si="17"/>
        <v>0</v>
      </c>
      <c r="R119" s="165"/>
      <c r="S119" s="165"/>
      <c r="T119" s="165"/>
      <c r="U119" s="165"/>
      <c r="V119" s="130">
        <f>C119+D119</f>
        <v>0</v>
      </c>
      <c r="W119" s="130">
        <f t="shared" si="18"/>
        <v>0</v>
      </c>
      <c r="X119" s="130">
        <f t="shared" si="16"/>
        <v>0</v>
      </c>
    </row>
    <row r="120" spans="1:24" s="166" customFormat="1" x14ac:dyDescent="0.25">
      <c r="A120" s="171">
        <v>6211</v>
      </c>
      <c r="B120" s="159" t="s">
        <v>204</v>
      </c>
      <c r="C120" s="160"/>
      <c r="D120" s="135"/>
      <c r="E120" s="164">
        <f t="shared" si="21"/>
        <v>0</v>
      </c>
      <c r="F120" s="164"/>
      <c r="G120" s="164"/>
      <c r="H120" s="130">
        <f t="shared" si="22"/>
        <v>0</v>
      </c>
      <c r="I120" s="165"/>
      <c r="J120" s="130">
        <f t="shared" si="19"/>
        <v>0</v>
      </c>
      <c r="K120" s="165"/>
      <c r="L120" s="165"/>
      <c r="M120" s="165"/>
      <c r="N120" s="165"/>
      <c r="O120" s="165"/>
      <c r="P120" s="232"/>
      <c r="Q120" s="130">
        <f t="shared" si="17"/>
        <v>0</v>
      </c>
      <c r="R120" s="165"/>
      <c r="S120" s="165"/>
      <c r="T120" s="165"/>
      <c r="U120" s="165"/>
      <c r="V120" s="130">
        <f>C120+D120</f>
        <v>0</v>
      </c>
      <c r="W120" s="130">
        <f t="shared" si="18"/>
        <v>0</v>
      </c>
      <c r="X120" s="130">
        <f t="shared" si="16"/>
        <v>0</v>
      </c>
    </row>
    <row r="121" spans="1:24" s="166" customFormat="1" x14ac:dyDescent="0.25">
      <c r="A121" s="167"/>
      <c r="B121" s="168" t="s">
        <v>205</v>
      </c>
      <c r="C121" s="173"/>
      <c r="D121" s="173">
        <f>SUM(D119:D120)</f>
        <v>0</v>
      </c>
      <c r="E121" s="173">
        <f t="shared" si="21"/>
        <v>0</v>
      </c>
      <c r="F121" s="173"/>
      <c r="G121" s="173"/>
      <c r="H121" s="156">
        <f>SUM(H119:H120)</f>
        <v>0</v>
      </c>
      <c r="I121" s="173">
        <f t="shared" ref="I121" si="27">E121+H121</f>
        <v>0</v>
      </c>
      <c r="J121" s="173">
        <f t="shared" ref="J121" si="28">H121+I121</f>
        <v>0</v>
      </c>
      <c r="K121" s="173">
        <f>SUM(K119:K120)</f>
        <v>0</v>
      </c>
      <c r="L121" s="173">
        <f t="shared" ref="L121:U121" si="29">SUM(L119:L120)</f>
        <v>0</v>
      </c>
      <c r="M121" s="173">
        <f t="shared" si="29"/>
        <v>0</v>
      </c>
      <c r="N121" s="173">
        <f t="shared" si="29"/>
        <v>0</v>
      </c>
      <c r="O121" s="173">
        <f t="shared" si="29"/>
        <v>0</v>
      </c>
      <c r="P121" s="173">
        <f t="shared" ref="P121" si="30">SUM(P119:P120)</f>
        <v>0</v>
      </c>
      <c r="Q121" s="173">
        <f t="shared" si="29"/>
        <v>0</v>
      </c>
      <c r="R121" s="173">
        <f t="shared" si="29"/>
        <v>0</v>
      </c>
      <c r="S121" s="173">
        <f t="shared" si="29"/>
        <v>0</v>
      </c>
      <c r="T121" s="173">
        <f t="shared" si="29"/>
        <v>0</v>
      </c>
      <c r="U121" s="173">
        <f t="shared" si="29"/>
        <v>0</v>
      </c>
      <c r="V121" s="169">
        <f>SUM(V119:V120)</f>
        <v>0</v>
      </c>
      <c r="W121" s="173">
        <f t="shared" ref="W121" si="31">N121+V121</f>
        <v>0</v>
      </c>
      <c r="X121" s="169">
        <f>SUM(X119:X120)</f>
        <v>0</v>
      </c>
    </row>
    <row r="122" spans="1:24" s="166" customFormat="1" x14ac:dyDescent="0.25">
      <c r="A122" s="161"/>
      <c r="B122" s="162"/>
      <c r="C122" s="163"/>
      <c r="D122" s="135"/>
      <c r="E122" s="164">
        <f t="shared" si="21"/>
        <v>0</v>
      </c>
      <c r="F122" s="164"/>
      <c r="G122" s="164"/>
      <c r="H122" s="165"/>
      <c r="I122" s="165"/>
      <c r="J122" s="130">
        <f t="shared" si="19"/>
        <v>0</v>
      </c>
      <c r="K122" s="165"/>
      <c r="L122" s="165"/>
      <c r="M122" s="165"/>
      <c r="N122" s="165"/>
      <c r="O122" s="165"/>
      <c r="P122" s="232"/>
      <c r="Q122" s="130">
        <f t="shared" si="17"/>
        <v>0</v>
      </c>
      <c r="R122" s="165"/>
      <c r="S122" s="165"/>
      <c r="T122" s="165"/>
      <c r="U122" s="165"/>
      <c r="V122" s="130">
        <f>C122+D122</f>
        <v>0</v>
      </c>
      <c r="W122" s="130">
        <f t="shared" si="18"/>
        <v>0</v>
      </c>
      <c r="X122" s="130">
        <f t="shared" si="16"/>
        <v>0</v>
      </c>
    </row>
    <row r="123" spans="1:24" s="166" customFormat="1" x14ac:dyDescent="0.25">
      <c r="A123" s="161"/>
      <c r="B123" s="162"/>
      <c r="C123" s="163"/>
      <c r="D123" s="135"/>
      <c r="E123" s="164">
        <f t="shared" si="21"/>
        <v>0</v>
      </c>
      <c r="F123" s="164"/>
      <c r="G123" s="164"/>
      <c r="H123" s="165"/>
      <c r="I123" s="165"/>
      <c r="J123" s="130">
        <f t="shared" si="19"/>
        <v>0</v>
      </c>
      <c r="K123" s="165"/>
      <c r="L123" s="165"/>
      <c r="M123" s="165"/>
      <c r="N123" s="165"/>
      <c r="O123" s="165"/>
      <c r="P123" s="232"/>
      <c r="Q123" s="130">
        <f t="shared" si="17"/>
        <v>0</v>
      </c>
      <c r="R123" s="165"/>
      <c r="S123" s="165"/>
      <c r="T123" s="165"/>
      <c r="U123" s="165"/>
      <c r="V123" s="130">
        <f>C123+D123</f>
        <v>0</v>
      </c>
      <c r="W123" s="130">
        <f t="shared" si="18"/>
        <v>0</v>
      </c>
      <c r="X123" s="130">
        <f t="shared" si="16"/>
        <v>0</v>
      </c>
    </row>
    <row r="124" spans="1:24" s="166" customFormat="1" x14ac:dyDescent="0.25">
      <c r="A124" s="167"/>
      <c r="B124" s="168"/>
      <c r="C124" s="173"/>
      <c r="D124" s="173">
        <f>SUM(D122:D123)</f>
        <v>0</v>
      </c>
      <c r="E124" s="173">
        <f t="shared" si="21"/>
        <v>0</v>
      </c>
      <c r="F124" s="173"/>
      <c r="G124" s="173"/>
      <c r="H124" s="156">
        <f>SUM(H122:H123)</f>
        <v>0</v>
      </c>
      <c r="I124" s="173">
        <f t="shared" ref="I124" si="32">E124+H124</f>
        <v>0</v>
      </c>
      <c r="J124" s="173">
        <f t="shared" ref="J124" si="33">H124+I124</f>
        <v>0</v>
      </c>
      <c r="K124" s="173">
        <f>SUM(K122:K123)</f>
        <v>0</v>
      </c>
      <c r="L124" s="173">
        <f t="shared" ref="L124:U124" si="34">SUM(L122:L123)</f>
        <v>0</v>
      </c>
      <c r="M124" s="173">
        <f t="shared" si="34"/>
        <v>0</v>
      </c>
      <c r="N124" s="173">
        <f t="shared" si="34"/>
        <v>0</v>
      </c>
      <c r="O124" s="173">
        <f t="shared" si="34"/>
        <v>0</v>
      </c>
      <c r="P124" s="173">
        <f t="shared" ref="P124" si="35">SUM(P122:P123)</f>
        <v>0</v>
      </c>
      <c r="Q124" s="173">
        <f t="shared" si="34"/>
        <v>0</v>
      </c>
      <c r="R124" s="173">
        <f t="shared" si="34"/>
        <v>0</v>
      </c>
      <c r="S124" s="173">
        <f t="shared" si="34"/>
        <v>0</v>
      </c>
      <c r="T124" s="173">
        <f t="shared" si="34"/>
        <v>0</v>
      </c>
      <c r="U124" s="173">
        <f t="shared" si="34"/>
        <v>0</v>
      </c>
      <c r="V124" s="169">
        <f>SUM(V122:V123)</f>
        <v>0</v>
      </c>
      <c r="W124" s="173">
        <f t="shared" ref="W124" si="36">N124+V124</f>
        <v>0</v>
      </c>
      <c r="X124" s="169">
        <f>SUM(X122:X123)</f>
        <v>0</v>
      </c>
    </row>
    <row r="125" spans="1:24" s="166" customFormat="1" ht="30.75" x14ac:dyDescent="0.25">
      <c r="A125" s="161">
        <v>7991</v>
      </c>
      <c r="B125" s="174" t="s">
        <v>207</v>
      </c>
      <c r="C125" s="135"/>
      <c r="D125" s="135">
        <v>1000000</v>
      </c>
      <c r="E125" s="164">
        <f t="shared" si="21"/>
        <v>1000000</v>
      </c>
      <c r="F125" s="164"/>
      <c r="G125" s="164"/>
      <c r="H125" s="165"/>
      <c r="I125" s="165"/>
      <c r="J125" s="130">
        <f t="shared" si="19"/>
        <v>1000000</v>
      </c>
      <c r="K125" s="165"/>
      <c r="L125" s="165"/>
      <c r="M125" s="165"/>
      <c r="N125" s="165"/>
      <c r="O125" s="165"/>
      <c r="P125" s="232"/>
      <c r="Q125" s="130">
        <f t="shared" si="17"/>
        <v>1000000</v>
      </c>
      <c r="R125" s="165">
        <f>389631.05+50808+195868.96</f>
        <v>636308.01</v>
      </c>
      <c r="S125" s="165"/>
      <c r="T125" s="165"/>
      <c r="U125" s="165"/>
      <c r="V125" s="130">
        <f>C125+D125</f>
        <v>1000000</v>
      </c>
      <c r="W125" s="130">
        <f>I125+P125</f>
        <v>0</v>
      </c>
      <c r="X125" s="130">
        <f t="shared" si="16"/>
        <v>363691.99</v>
      </c>
    </row>
    <row r="126" spans="1:24" s="166" customFormat="1" x14ac:dyDescent="0.25">
      <c r="A126" s="161"/>
      <c r="B126" s="162"/>
      <c r="C126" s="163"/>
      <c r="D126" s="135"/>
      <c r="E126" s="164">
        <f t="shared" si="21"/>
        <v>0</v>
      </c>
      <c r="F126" s="164"/>
      <c r="G126" s="164"/>
      <c r="H126" s="165"/>
      <c r="I126" s="165"/>
      <c r="J126" s="130">
        <f t="shared" si="19"/>
        <v>0</v>
      </c>
      <c r="K126" s="165"/>
      <c r="L126" s="165"/>
      <c r="M126" s="165"/>
      <c r="N126" s="165"/>
      <c r="O126" s="165"/>
      <c r="P126" s="232"/>
      <c r="Q126" s="130">
        <f t="shared" si="17"/>
        <v>0</v>
      </c>
      <c r="R126" s="165"/>
      <c r="S126" s="165"/>
      <c r="T126" s="165"/>
      <c r="U126" s="165"/>
      <c r="V126" s="130">
        <f>C126+D126</f>
        <v>0</v>
      </c>
      <c r="W126" s="130">
        <f t="shared" si="18"/>
        <v>0</v>
      </c>
      <c r="X126" s="130">
        <f t="shared" si="16"/>
        <v>0</v>
      </c>
    </row>
    <row r="127" spans="1:24" s="166" customFormat="1" x14ac:dyDescent="0.25">
      <c r="A127" s="167"/>
      <c r="B127" s="168" t="s">
        <v>206</v>
      </c>
      <c r="C127" s="169">
        <f>SUM(C125:C126)</f>
        <v>0</v>
      </c>
      <c r="D127" s="169">
        <f>SUM(D125:D126)</f>
        <v>1000000</v>
      </c>
      <c r="E127" s="169">
        <f t="shared" si="21"/>
        <v>1000000</v>
      </c>
      <c r="F127" s="169">
        <f t="shared" ref="F127:G127" si="37">SUM(F125:F126)</f>
        <v>0</v>
      </c>
      <c r="G127" s="169">
        <f t="shared" si="37"/>
        <v>0</v>
      </c>
      <c r="H127" s="156">
        <f>SUM(H125:H126)</f>
        <v>0</v>
      </c>
      <c r="I127" s="156">
        <f t="shared" ref="I127:K127" si="38">SUM(I125:I126)</f>
        <v>0</v>
      </c>
      <c r="J127" s="156">
        <f t="shared" si="38"/>
        <v>1000000</v>
      </c>
      <c r="K127" s="156">
        <f t="shared" si="38"/>
        <v>0</v>
      </c>
      <c r="L127" s="156">
        <f t="shared" ref="L127" si="39">SUM(L125:L126)</f>
        <v>0</v>
      </c>
      <c r="M127" s="156">
        <f t="shared" ref="M127" si="40">SUM(M125:M126)</f>
        <v>0</v>
      </c>
      <c r="N127" s="156">
        <f t="shared" ref="N127" si="41">SUM(N125:N126)</f>
        <v>0</v>
      </c>
      <c r="O127" s="156">
        <f t="shared" ref="O127:P127" si="42">SUM(O125:O126)</f>
        <v>0</v>
      </c>
      <c r="P127" s="169">
        <f t="shared" si="42"/>
        <v>0</v>
      </c>
      <c r="Q127" s="156">
        <f t="shared" ref="Q127" si="43">SUM(Q125:Q126)</f>
        <v>1000000</v>
      </c>
      <c r="R127" s="156">
        <f t="shared" ref="R127" si="44">SUM(R125:R126)</f>
        <v>636308.01</v>
      </c>
      <c r="S127" s="156">
        <f t="shared" ref="S127" si="45">SUM(S125:S126)</f>
        <v>0</v>
      </c>
      <c r="T127" s="156">
        <f t="shared" ref="T127" si="46">SUM(T125:T126)</f>
        <v>0</v>
      </c>
      <c r="U127" s="156">
        <f t="shared" ref="U127" si="47">SUM(U125:U126)</f>
        <v>0</v>
      </c>
      <c r="V127" s="169">
        <f>SUM(V125:V126)</f>
        <v>1000000</v>
      </c>
      <c r="W127" s="169">
        <f>SUM(W125:W126)</f>
        <v>0</v>
      </c>
      <c r="X127" s="169">
        <f>SUM(X125:X126)</f>
        <v>363691.99</v>
      </c>
    </row>
    <row r="128" spans="1:24" s="166" customFormat="1" x14ac:dyDescent="0.25">
      <c r="A128" s="175"/>
      <c r="B128" s="176"/>
      <c r="C128" s="163"/>
      <c r="D128" s="135"/>
      <c r="E128" s="164"/>
      <c r="F128" s="164"/>
      <c r="G128" s="164"/>
      <c r="H128" s="165"/>
      <c r="I128" s="165"/>
      <c r="J128" s="130"/>
      <c r="K128" s="165"/>
      <c r="L128" s="165"/>
      <c r="M128" s="165"/>
      <c r="N128" s="165"/>
      <c r="O128" s="165"/>
      <c r="P128" s="232"/>
      <c r="Q128" s="165"/>
      <c r="R128" s="165"/>
      <c r="S128" s="165"/>
      <c r="T128" s="165"/>
      <c r="U128" s="165"/>
      <c r="V128" s="165"/>
      <c r="W128" s="165"/>
      <c r="X128" s="165"/>
    </row>
    <row r="129" spans="1:24" s="166" customFormat="1" x14ac:dyDescent="0.25">
      <c r="A129" s="177"/>
      <c r="B129" s="177" t="s">
        <v>226</v>
      </c>
      <c r="C129" s="178"/>
      <c r="D129" s="178"/>
      <c r="E129" s="178"/>
      <c r="F129" s="178"/>
      <c r="G129" s="178"/>
      <c r="H129" s="178"/>
      <c r="I129" s="178"/>
      <c r="J129" s="178"/>
      <c r="K129" s="178"/>
      <c r="L129" s="178"/>
      <c r="M129" s="178"/>
      <c r="N129" s="178"/>
      <c r="O129" s="178"/>
      <c r="P129" s="178"/>
      <c r="Q129" s="178"/>
      <c r="R129" s="178"/>
      <c r="S129" s="178"/>
      <c r="T129" s="178"/>
      <c r="U129" s="178"/>
      <c r="V129" s="178"/>
      <c r="W129" s="178"/>
      <c r="X129" s="178"/>
    </row>
    <row r="130" spans="1:24" s="166" customFormat="1" x14ac:dyDescent="0.25">
      <c r="A130" s="177"/>
      <c r="B130" s="177" t="s">
        <v>209</v>
      </c>
      <c r="C130" s="179">
        <f>C25+C59+C99+C104+C118+C121+C124+C127</f>
        <v>87061207.268828481</v>
      </c>
      <c r="D130" s="179">
        <f>D25+D59+D99+D104+D118+D121+D124+D127</f>
        <v>20076554.469999999</v>
      </c>
      <c r="E130" s="178">
        <f>E25+E59+E99+E104+E118+E121+E124+E127</f>
        <v>107137761.73882848</v>
      </c>
      <c r="F130" s="178">
        <f>F25+F59+F99+F104+F118+F121+F124+F127</f>
        <v>0</v>
      </c>
      <c r="G130" s="178">
        <f>G25+G59+G99+G104+G118+G121+G124+G127</f>
        <v>0</v>
      </c>
      <c r="H130" s="178">
        <f t="shared" ref="H130:X130" si="48">H25+H59+H99+H104+H118+H121+H124+H127</f>
        <v>5762243.8099999996</v>
      </c>
      <c r="I130" s="179">
        <f t="shared" si="48"/>
        <v>4475482.1499999994</v>
      </c>
      <c r="J130" s="179">
        <f t="shared" si="48"/>
        <v>102656145.50882848</v>
      </c>
      <c r="K130" s="178">
        <f t="shared" si="48"/>
        <v>0</v>
      </c>
      <c r="L130" s="178">
        <f t="shared" si="48"/>
        <v>0</v>
      </c>
      <c r="M130" s="178">
        <f t="shared" si="48"/>
        <v>0</v>
      </c>
      <c r="N130" s="178">
        <f t="shared" si="48"/>
        <v>0</v>
      </c>
      <c r="O130" s="178">
        <f t="shared" si="48"/>
        <v>6100732.4398800004</v>
      </c>
      <c r="P130" s="178">
        <f t="shared" si="48"/>
        <v>5159451.43</v>
      </c>
      <c r="Q130" s="178">
        <f t="shared" si="48"/>
        <v>97496694.078828454</v>
      </c>
      <c r="R130" s="178">
        <f t="shared" si="48"/>
        <v>644417.01</v>
      </c>
      <c r="S130" s="178">
        <f t="shared" si="48"/>
        <v>644417</v>
      </c>
      <c r="T130" s="178">
        <f t="shared" si="48"/>
        <v>0</v>
      </c>
      <c r="U130" s="178">
        <f t="shared" si="48"/>
        <v>0</v>
      </c>
      <c r="V130" s="178">
        <f t="shared" si="48"/>
        <v>107137761.73882848</v>
      </c>
      <c r="W130" s="178">
        <f t="shared" si="48"/>
        <v>9641067.6600000001</v>
      </c>
      <c r="X130" s="178">
        <f t="shared" si="48"/>
        <v>97496694.068828464</v>
      </c>
    </row>
    <row r="131" spans="1:24" x14ac:dyDescent="0.25">
      <c r="A131" s="81"/>
      <c r="B131" s="82"/>
      <c r="C131" s="91"/>
      <c r="D131" s="92"/>
      <c r="E131" s="93"/>
      <c r="F131" s="93"/>
      <c r="G131" s="93"/>
    </row>
    <row r="132" spans="1:24" x14ac:dyDescent="0.25">
      <c r="D132" s="94"/>
    </row>
  </sheetData>
  <mergeCells count="9">
    <mergeCell ref="W5:W6"/>
    <mergeCell ref="X5:X6"/>
    <mergeCell ref="R5:S5"/>
    <mergeCell ref="A5:A6"/>
    <mergeCell ref="B5:B6"/>
    <mergeCell ref="C5:C6"/>
    <mergeCell ref="F5:G5"/>
    <mergeCell ref="K5:L5"/>
    <mergeCell ref="V5:V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47" fitToHeight="2" orientation="landscape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N132"/>
  <sheetViews>
    <sheetView view="pageBreakPreview" topLeftCell="H1" zoomScale="90" zoomScaleNormal="100" zoomScaleSheetLayoutView="90" workbookViewId="0">
      <pane ySplit="6" topLeftCell="A118" activePane="bottomLeft" state="frozen"/>
      <selection activeCell="B1" sqref="B1"/>
      <selection pane="bottomLeft" activeCell="V46" sqref="V46"/>
    </sheetView>
  </sheetViews>
  <sheetFormatPr baseColWidth="10" defaultColWidth="9.140625" defaultRowHeight="15" x14ac:dyDescent="0.25"/>
  <cols>
    <col min="1" max="1" width="7.140625" style="58" customWidth="1"/>
    <col min="2" max="2" width="73.140625" style="58" customWidth="1"/>
    <col min="3" max="3" width="13" style="85" customWidth="1"/>
    <col min="4" max="4" width="5" style="85" customWidth="1"/>
    <col min="5" max="5" width="16.85546875" style="85" customWidth="1"/>
    <col min="6" max="7" width="17.7109375" style="85" customWidth="1"/>
    <col min="8" max="8" width="17.5703125" style="85" bestFit="1" customWidth="1"/>
    <col min="9" max="9" width="11.42578125" style="85" bestFit="1" customWidth="1"/>
    <col min="10" max="10" width="4.85546875" style="85" customWidth="1"/>
    <col min="11" max="11" width="6.140625" style="85" customWidth="1"/>
    <col min="12" max="12" width="6.85546875" style="85" customWidth="1"/>
    <col min="13" max="13" width="7.28515625" style="85" customWidth="1"/>
    <col min="14" max="14" width="15.28515625" style="85" customWidth="1"/>
    <col min="15" max="15" width="18.42578125" style="85" customWidth="1"/>
    <col min="16" max="16" width="17.140625" style="58" customWidth="1"/>
    <col min="17" max="21" width="11.42578125" style="58" customWidth="1"/>
    <col min="22" max="22" width="15.85546875" style="58" customWidth="1"/>
    <col min="23" max="23" width="16.5703125" style="58" customWidth="1"/>
    <col min="24" max="212" width="11.42578125" style="58" customWidth="1"/>
    <col min="213" max="16384" width="9.140625" style="58"/>
  </cols>
  <sheetData>
    <row r="2" spans="1:23" ht="18" x14ac:dyDescent="0.25">
      <c r="C2" s="87" t="s">
        <v>225</v>
      </c>
      <c r="D2" s="88"/>
    </row>
    <row r="3" spans="1:23" x14ac:dyDescent="0.25">
      <c r="C3" s="89" t="s">
        <v>224</v>
      </c>
      <c r="D3" s="89"/>
    </row>
    <row r="4" spans="1:23" ht="24.75" customHeight="1" x14ac:dyDescent="0.25">
      <c r="C4" s="244"/>
      <c r="D4" s="244"/>
      <c r="E4" s="244"/>
      <c r="F4" s="244"/>
      <c r="G4" s="244"/>
      <c r="H4" s="245"/>
      <c r="I4" s="245"/>
      <c r="J4" s="245"/>
      <c r="K4" s="245"/>
      <c r="L4" s="245"/>
      <c r="M4" s="245"/>
      <c r="N4" s="245" t="s">
        <v>285</v>
      </c>
      <c r="O4" s="245" t="s">
        <v>286</v>
      </c>
      <c r="P4" s="246"/>
    </row>
    <row r="5" spans="1:23" ht="15" customHeight="1" x14ac:dyDescent="0.25">
      <c r="A5" s="296" t="s">
        <v>99</v>
      </c>
      <c r="B5" s="298" t="s">
        <v>100</v>
      </c>
      <c r="C5" s="313" t="s">
        <v>210</v>
      </c>
      <c r="D5" s="240" t="s">
        <v>19</v>
      </c>
      <c r="E5" s="240" t="s">
        <v>101</v>
      </c>
      <c r="F5" s="314" t="s">
        <v>227</v>
      </c>
      <c r="G5" s="315"/>
      <c r="H5" s="243" t="s">
        <v>211</v>
      </c>
      <c r="I5" s="243" t="s">
        <v>212</v>
      </c>
      <c r="J5" s="311" t="s">
        <v>213</v>
      </c>
      <c r="K5" s="312"/>
      <c r="L5" s="243"/>
      <c r="M5" s="243"/>
      <c r="N5" s="243" t="s">
        <v>274</v>
      </c>
      <c r="O5" s="243" t="s">
        <v>276</v>
      </c>
      <c r="P5" s="243" t="s">
        <v>211</v>
      </c>
      <c r="Q5" s="243" t="s">
        <v>212</v>
      </c>
      <c r="R5" s="311" t="s">
        <v>213</v>
      </c>
      <c r="S5" s="312"/>
      <c r="T5" s="243"/>
      <c r="U5" s="243"/>
      <c r="V5" s="243" t="s">
        <v>274</v>
      </c>
      <c r="W5" s="243" t="s">
        <v>276</v>
      </c>
    </row>
    <row r="6" spans="1:23" ht="45" customHeight="1" x14ac:dyDescent="0.25">
      <c r="A6" s="297"/>
      <c r="B6" s="298"/>
      <c r="C6" s="303"/>
      <c r="D6" s="235" t="s">
        <v>222</v>
      </c>
      <c r="E6" s="236" t="s">
        <v>264</v>
      </c>
      <c r="F6" s="236" t="s">
        <v>218</v>
      </c>
      <c r="G6" s="236" t="s">
        <v>219</v>
      </c>
      <c r="H6" s="84" t="s">
        <v>33</v>
      </c>
      <c r="I6" s="84" t="s">
        <v>33</v>
      </c>
      <c r="J6" s="84" t="s">
        <v>218</v>
      </c>
      <c r="K6" s="84" t="s">
        <v>219</v>
      </c>
      <c r="L6" s="84" t="s">
        <v>220</v>
      </c>
      <c r="M6" s="84" t="s">
        <v>221</v>
      </c>
      <c r="N6" s="84" t="s">
        <v>275</v>
      </c>
      <c r="O6" s="84" t="s">
        <v>216</v>
      </c>
      <c r="P6" s="84" t="s">
        <v>247</v>
      </c>
      <c r="Q6" s="84" t="s">
        <v>247</v>
      </c>
      <c r="R6" s="84" t="s">
        <v>218</v>
      </c>
      <c r="S6" s="84" t="s">
        <v>219</v>
      </c>
      <c r="T6" s="84" t="s">
        <v>220</v>
      </c>
      <c r="U6" s="84" t="s">
        <v>221</v>
      </c>
      <c r="V6" s="84" t="s">
        <v>275</v>
      </c>
      <c r="W6" s="84" t="s">
        <v>216</v>
      </c>
    </row>
    <row r="7" spans="1:23" ht="19.5" customHeight="1" x14ac:dyDescent="0.25">
      <c r="A7" s="234"/>
      <c r="B7" s="238"/>
      <c r="C7" s="239" t="s">
        <v>278</v>
      </c>
      <c r="D7" s="239" t="s">
        <v>279</v>
      </c>
      <c r="E7" s="241" t="s">
        <v>288</v>
      </c>
      <c r="F7" s="240"/>
      <c r="G7" s="240"/>
      <c r="H7" s="84" t="s">
        <v>280</v>
      </c>
      <c r="I7" s="84" t="s">
        <v>289</v>
      </c>
      <c r="J7" s="84" t="s">
        <v>281</v>
      </c>
      <c r="K7" s="84" t="s">
        <v>282</v>
      </c>
      <c r="L7" s="84" t="s">
        <v>283</v>
      </c>
      <c r="M7" s="84" t="s">
        <v>284</v>
      </c>
      <c r="N7" s="242" t="s">
        <v>287</v>
      </c>
      <c r="O7" s="242" t="s">
        <v>290</v>
      </c>
      <c r="P7" s="84" t="s">
        <v>291</v>
      </c>
      <c r="Q7" s="84" t="s">
        <v>292</v>
      </c>
      <c r="R7" s="84" t="s">
        <v>293</v>
      </c>
      <c r="S7" s="84" t="s">
        <v>294</v>
      </c>
      <c r="T7" s="84" t="s">
        <v>295</v>
      </c>
      <c r="U7" s="84" t="s">
        <v>296</v>
      </c>
      <c r="V7" s="242" t="s">
        <v>297</v>
      </c>
      <c r="W7" s="242" t="s">
        <v>298</v>
      </c>
    </row>
    <row r="8" spans="1:23" s="131" customFormat="1" ht="15" customHeight="1" x14ac:dyDescent="0.25">
      <c r="A8" s="126">
        <v>1131</v>
      </c>
      <c r="B8" s="127" t="s">
        <v>102</v>
      </c>
      <c r="C8" s="128">
        <f>29378510.336+2561872.56+53797.14</f>
        <v>31994180.035999998</v>
      </c>
      <c r="D8" s="129"/>
      <c r="E8" s="129">
        <f>C8+D8</f>
        <v>31994180.035999998</v>
      </c>
      <c r="F8" s="129"/>
      <c r="G8" s="129"/>
      <c r="H8" s="130">
        <v>2675467</v>
      </c>
      <c r="I8" s="130">
        <v>2401012.83</v>
      </c>
      <c r="J8" s="130"/>
      <c r="K8" s="130"/>
      <c r="L8" s="130"/>
      <c r="M8" s="130"/>
      <c r="N8" s="130">
        <f>+E8-J8+K8-L8+M8</f>
        <v>31994180.035999998</v>
      </c>
      <c r="O8" s="130">
        <f>+N8-I8</f>
        <v>29593167.206</v>
      </c>
      <c r="P8" s="226">
        <v>2416550.92</v>
      </c>
      <c r="Q8" s="231">
        <v>2168504.21</v>
      </c>
      <c r="R8" s="130"/>
      <c r="S8" s="130"/>
      <c r="T8" s="130"/>
      <c r="U8" s="130"/>
      <c r="V8" s="130">
        <f>+N8-R8+S8-T8+U8</f>
        <v>31994180.035999998</v>
      </c>
      <c r="W8" s="130">
        <f>+V8-Q8</f>
        <v>29825675.825999998</v>
      </c>
    </row>
    <row r="9" spans="1:23" s="131" customFormat="1" ht="30" x14ac:dyDescent="0.25">
      <c r="A9" s="132">
        <v>1311</v>
      </c>
      <c r="B9" s="133" t="s">
        <v>103</v>
      </c>
      <c r="C9" s="134">
        <v>432901.92</v>
      </c>
      <c r="D9" s="135"/>
      <c r="E9" s="135">
        <f t="shared" ref="E9:E24" si="0">C9+D9</f>
        <v>432901.92</v>
      </c>
      <c r="F9" s="135"/>
      <c r="G9" s="135"/>
      <c r="H9" s="130">
        <v>35681</v>
      </c>
      <c r="I9" s="130">
        <v>30266.55</v>
      </c>
      <c r="J9" s="130"/>
      <c r="K9" s="130"/>
      <c r="L9" s="130"/>
      <c r="M9" s="130"/>
      <c r="N9" s="130">
        <f t="shared" ref="N9:N73" si="1">+E9-J9+K9-L9+M9</f>
        <v>432901.92</v>
      </c>
      <c r="O9" s="130">
        <f t="shared" ref="O9:O58" si="2">+N9-I9</f>
        <v>402635.37</v>
      </c>
      <c r="P9" s="226">
        <v>35845.159880000007</v>
      </c>
      <c r="Q9" s="231">
        <v>36340.06</v>
      </c>
      <c r="R9" s="130"/>
      <c r="S9" s="130"/>
      <c r="T9" s="130"/>
      <c r="U9" s="130"/>
      <c r="V9" s="130">
        <f t="shared" ref="V9:V58" si="3">+N9-R9+S9-T9+U9</f>
        <v>432901.92</v>
      </c>
      <c r="W9" s="130">
        <f t="shared" ref="W9:W25" si="4">+V9-Q9</f>
        <v>396561.86</v>
      </c>
    </row>
    <row r="10" spans="1:23" s="131" customFormat="1" ht="15" customHeight="1" x14ac:dyDescent="0.25">
      <c r="A10" s="132">
        <v>1321</v>
      </c>
      <c r="B10" s="136" t="s">
        <v>104</v>
      </c>
      <c r="C10" s="134">
        <f>402160.408000001+35581.56</f>
        <v>437741.96800000098</v>
      </c>
      <c r="D10" s="135"/>
      <c r="E10" s="135">
        <f t="shared" si="0"/>
        <v>437741.96800000098</v>
      </c>
      <c r="F10" s="135"/>
      <c r="G10" s="135"/>
      <c r="H10" s="130">
        <v>4377</v>
      </c>
      <c r="I10" s="130">
        <v>252.09</v>
      </c>
      <c r="J10" s="130"/>
      <c r="K10" s="130"/>
      <c r="L10" s="130"/>
      <c r="M10" s="130"/>
      <c r="N10" s="130">
        <f t="shared" si="1"/>
        <v>437741.96800000098</v>
      </c>
      <c r="O10" s="130">
        <f t="shared" si="2"/>
        <v>437489.87800000096</v>
      </c>
      <c r="P10" s="226">
        <v>4377.42</v>
      </c>
      <c r="Q10" s="231">
        <v>1660.72</v>
      </c>
      <c r="R10" s="130"/>
      <c r="S10" s="130"/>
      <c r="T10" s="130"/>
      <c r="U10" s="130"/>
      <c r="V10" s="130">
        <f t="shared" si="3"/>
        <v>437741.96800000098</v>
      </c>
      <c r="W10" s="130">
        <f t="shared" si="4"/>
        <v>436081.24800000101</v>
      </c>
    </row>
    <row r="11" spans="1:23" s="131" customFormat="1" ht="15.75" x14ac:dyDescent="0.25">
      <c r="A11" s="132">
        <v>1322</v>
      </c>
      <c r="B11" s="136" t="s">
        <v>105</v>
      </c>
      <c r="C11" s="134">
        <f>4021604.08+355815.63</f>
        <v>4377419.71</v>
      </c>
      <c r="D11" s="135"/>
      <c r="E11" s="135">
        <f t="shared" si="0"/>
        <v>4377419.71</v>
      </c>
      <c r="F11" s="135"/>
      <c r="G11" s="135"/>
      <c r="H11" s="130">
        <v>44692</v>
      </c>
      <c r="I11" s="130">
        <v>645.99</v>
      </c>
      <c r="J11" s="130"/>
      <c r="K11" s="130"/>
      <c r="L11" s="130"/>
      <c r="M11" s="130"/>
      <c r="N11" s="130">
        <f t="shared" si="1"/>
        <v>4377419.71</v>
      </c>
      <c r="O11" s="130">
        <f t="shared" si="2"/>
        <v>4376773.72</v>
      </c>
      <c r="P11" s="226">
        <v>40366.480000000003</v>
      </c>
      <c r="Q11" s="231">
        <v>5625.07</v>
      </c>
      <c r="R11" s="130"/>
      <c r="S11" s="130"/>
      <c r="T11" s="130"/>
      <c r="U11" s="130"/>
      <c r="V11" s="130">
        <f t="shared" si="3"/>
        <v>4377419.71</v>
      </c>
      <c r="W11" s="130">
        <f t="shared" si="4"/>
        <v>4371794.6399999997</v>
      </c>
    </row>
    <row r="12" spans="1:23" s="131" customFormat="1" ht="15" customHeight="1" x14ac:dyDescent="0.25">
      <c r="A12" s="132">
        <v>1332</v>
      </c>
      <c r="B12" s="136" t="s">
        <v>106</v>
      </c>
      <c r="C12" s="134">
        <v>1388969</v>
      </c>
      <c r="D12" s="135"/>
      <c r="E12" s="135">
        <f t="shared" si="0"/>
        <v>1388969</v>
      </c>
      <c r="F12" s="135"/>
      <c r="G12" s="135"/>
      <c r="H12" s="130">
        <v>118210</v>
      </c>
      <c r="I12" s="130">
        <v>20629.509999999998</v>
      </c>
      <c r="J12" s="130"/>
      <c r="K12" s="130"/>
      <c r="L12" s="130"/>
      <c r="M12" s="130"/>
      <c r="N12" s="130">
        <f t="shared" si="1"/>
        <v>1388969</v>
      </c>
      <c r="O12" s="130">
        <f t="shared" si="2"/>
        <v>1368339.49</v>
      </c>
      <c r="P12" s="227">
        <v>107127.91</v>
      </c>
      <c r="Q12" s="231">
        <v>7644.57</v>
      </c>
      <c r="R12" s="130"/>
      <c r="S12" s="130"/>
      <c r="T12" s="130"/>
      <c r="U12" s="130"/>
      <c r="V12" s="130">
        <f t="shared" si="3"/>
        <v>1388969</v>
      </c>
      <c r="W12" s="130">
        <f t="shared" si="4"/>
        <v>1381324.43</v>
      </c>
    </row>
    <row r="13" spans="1:23" s="131" customFormat="1" ht="15.75" x14ac:dyDescent="0.25">
      <c r="A13" s="132">
        <v>1347</v>
      </c>
      <c r="B13" s="136" t="s">
        <v>107</v>
      </c>
      <c r="C13" s="134">
        <v>350000</v>
      </c>
      <c r="D13" s="135"/>
      <c r="E13" s="135">
        <f t="shared" si="0"/>
        <v>350000</v>
      </c>
      <c r="F13" s="135"/>
      <c r="G13" s="135"/>
      <c r="H13" s="130">
        <v>29167</v>
      </c>
      <c r="I13" s="130"/>
      <c r="J13" s="130"/>
      <c r="K13" s="130"/>
      <c r="L13" s="130"/>
      <c r="M13" s="130"/>
      <c r="N13" s="130">
        <f t="shared" si="1"/>
        <v>350000</v>
      </c>
      <c r="O13" s="130">
        <f t="shared" si="2"/>
        <v>350000</v>
      </c>
      <c r="P13" s="226">
        <v>29166.66</v>
      </c>
      <c r="Q13" s="231"/>
      <c r="R13" s="130"/>
      <c r="S13" s="130"/>
      <c r="T13" s="130"/>
      <c r="U13" s="130"/>
      <c r="V13" s="130">
        <f t="shared" si="3"/>
        <v>350000</v>
      </c>
      <c r="W13" s="130">
        <f t="shared" si="4"/>
        <v>350000</v>
      </c>
    </row>
    <row r="14" spans="1:23" s="131" customFormat="1" ht="15" customHeight="1" x14ac:dyDescent="0.25">
      <c r="A14" s="132">
        <v>1411</v>
      </c>
      <c r="B14" s="136" t="s">
        <v>108</v>
      </c>
      <c r="C14" s="134">
        <f>1739434.94666845+153581.18</f>
        <v>1893016.12666845</v>
      </c>
      <c r="D14" s="135"/>
      <c r="E14" s="135">
        <f t="shared" si="0"/>
        <v>1893016.12666845</v>
      </c>
      <c r="F14" s="135"/>
      <c r="G14" s="135"/>
      <c r="H14" s="130">
        <v>155590</v>
      </c>
      <c r="I14" s="130">
        <v>146649.09</v>
      </c>
      <c r="J14" s="130"/>
      <c r="K14" s="130"/>
      <c r="L14" s="130"/>
      <c r="M14" s="130"/>
      <c r="N14" s="130">
        <f t="shared" si="1"/>
        <v>1893016.12666845</v>
      </c>
      <c r="O14" s="130">
        <f t="shared" si="2"/>
        <v>1746367.0366684499</v>
      </c>
      <c r="P14" s="226">
        <v>155590.35</v>
      </c>
      <c r="Q14" s="231">
        <v>133497.51999999999</v>
      </c>
      <c r="R14" s="130"/>
      <c r="S14" s="130"/>
      <c r="T14" s="130"/>
      <c r="U14" s="130"/>
      <c r="V14" s="130">
        <f t="shared" si="3"/>
        <v>1893016.12666845</v>
      </c>
      <c r="W14" s="130">
        <f t="shared" si="4"/>
        <v>1759518.6066684499</v>
      </c>
    </row>
    <row r="15" spans="1:23" s="131" customFormat="1" ht="15.75" x14ac:dyDescent="0.25">
      <c r="A15" s="132">
        <v>1421</v>
      </c>
      <c r="B15" s="136" t="s">
        <v>109</v>
      </c>
      <c r="C15" s="134">
        <f>880731.291280002+76856.18</f>
        <v>957587.47128000204</v>
      </c>
      <c r="D15" s="135"/>
      <c r="E15" s="135">
        <f t="shared" si="0"/>
        <v>957587.47128000204</v>
      </c>
      <c r="F15" s="135"/>
      <c r="G15" s="135"/>
      <c r="H15" s="130">
        <v>78706</v>
      </c>
      <c r="I15" s="130">
        <v>62022.53</v>
      </c>
      <c r="J15" s="130"/>
      <c r="K15" s="130"/>
      <c r="L15" s="130"/>
      <c r="M15" s="130"/>
      <c r="N15" s="130">
        <f t="shared" si="1"/>
        <v>957587.47128000204</v>
      </c>
      <c r="O15" s="130">
        <f t="shared" si="2"/>
        <v>895564.94128000201</v>
      </c>
      <c r="P15" s="226">
        <v>78705.78</v>
      </c>
      <c r="Q15" s="231">
        <v>62498.04</v>
      </c>
      <c r="R15" s="130"/>
      <c r="S15" s="130"/>
      <c r="T15" s="130"/>
      <c r="U15" s="130"/>
      <c r="V15" s="130">
        <f t="shared" si="3"/>
        <v>957587.47128000204</v>
      </c>
      <c r="W15" s="130">
        <f t="shared" si="4"/>
        <v>895089.431280002</v>
      </c>
    </row>
    <row r="16" spans="1:23" s="131" customFormat="1" ht="15" customHeight="1" x14ac:dyDescent="0.25">
      <c r="A16" s="132">
        <v>1431</v>
      </c>
      <c r="B16" s="136" t="s">
        <v>110</v>
      </c>
      <c r="C16" s="134">
        <f>5137599.2108+384280.88</f>
        <v>5521880.0907999994</v>
      </c>
      <c r="D16" s="135"/>
      <c r="E16" s="135">
        <f t="shared" si="0"/>
        <v>5521880.0907999994</v>
      </c>
      <c r="F16" s="135"/>
      <c r="G16" s="135"/>
      <c r="H16" s="130">
        <v>453853</v>
      </c>
      <c r="I16" s="130">
        <v>361792.83</v>
      </c>
      <c r="J16" s="130"/>
      <c r="K16" s="130"/>
      <c r="L16" s="130"/>
      <c r="M16" s="130"/>
      <c r="N16" s="130">
        <f t="shared" si="1"/>
        <v>5521880.0907999994</v>
      </c>
      <c r="O16" s="130">
        <f t="shared" si="2"/>
        <v>5160087.2607999993</v>
      </c>
      <c r="P16" s="226">
        <v>453853.14</v>
      </c>
      <c r="Q16" s="231">
        <v>364566.67</v>
      </c>
      <c r="R16" s="130"/>
      <c r="S16" s="130"/>
      <c r="T16" s="130"/>
      <c r="U16" s="130"/>
      <c r="V16" s="130">
        <f t="shared" si="3"/>
        <v>5521880.0907999994</v>
      </c>
      <c r="W16" s="130">
        <f t="shared" si="4"/>
        <v>5157313.4207999995</v>
      </c>
    </row>
    <row r="17" spans="1:23" s="131" customFormat="1" ht="15.75" x14ac:dyDescent="0.25">
      <c r="A17" s="132">
        <v>1432</v>
      </c>
      <c r="B17" s="136" t="s">
        <v>111</v>
      </c>
      <c r="C17" s="134">
        <f>587154.197520001+51237.45</f>
        <v>638391.64752000093</v>
      </c>
      <c r="D17" s="135"/>
      <c r="E17" s="135">
        <f t="shared" si="0"/>
        <v>638391.64752000093</v>
      </c>
      <c r="F17" s="135"/>
      <c r="G17" s="135"/>
      <c r="H17" s="130">
        <v>52471</v>
      </c>
      <c r="I17" s="130">
        <v>41347.74</v>
      </c>
      <c r="J17" s="130"/>
      <c r="K17" s="130"/>
      <c r="L17" s="130"/>
      <c r="M17" s="130"/>
      <c r="N17" s="130">
        <f t="shared" si="1"/>
        <v>638391.64752000093</v>
      </c>
      <c r="O17" s="130">
        <f t="shared" si="2"/>
        <v>597043.90752000094</v>
      </c>
      <c r="P17" s="226">
        <v>52470.57</v>
      </c>
      <c r="Q17" s="231">
        <v>41664.75</v>
      </c>
      <c r="R17" s="130"/>
      <c r="S17" s="130"/>
      <c r="T17" s="130"/>
      <c r="U17" s="130"/>
      <c r="V17" s="130">
        <f t="shared" si="3"/>
        <v>638391.64752000093</v>
      </c>
      <c r="W17" s="130">
        <f t="shared" si="4"/>
        <v>596726.89752000093</v>
      </c>
    </row>
    <row r="18" spans="1:23" s="131" customFormat="1" ht="15" customHeight="1" x14ac:dyDescent="0.25">
      <c r="A18" s="132">
        <v>1441</v>
      </c>
      <c r="B18" s="136" t="s">
        <v>112</v>
      </c>
      <c r="C18" s="135">
        <v>25000</v>
      </c>
      <c r="D18" s="137"/>
      <c r="E18" s="135">
        <f>+C18+D18</f>
        <v>25000</v>
      </c>
      <c r="F18" s="135"/>
      <c r="G18" s="135"/>
      <c r="H18" s="130">
        <v>2123</v>
      </c>
      <c r="I18" s="130"/>
      <c r="J18" s="130"/>
      <c r="K18" s="130"/>
      <c r="L18" s="130"/>
      <c r="M18" s="130"/>
      <c r="N18" s="130">
        <f t="shared" si="1"/>
        <v>25000</v>
      </c>
      <c r="O18" s="130">
        <f t="shared" si="2"/>
        <v>25000</v>
      </c>
      <c r="P18" s="226">
        <v>1917.72</v>
      </c>
      <c r="Q18" s="231"/>
      <c r="R18" s="130"/>
      <c r="S18" s="130"/>
      <c r="T18" s="130"/>
      <c r="U18" s="130"/>
      <c r="V18" s="130">
        <f t="shared" si="3"/>
        <v>25000</v>
      </c>
      <c r="W18" s="130">
        <f t="shared" si="4"/>
        <v>25000</v>
      </c>
    </row>
    <row r="19" spans="1:23" s="131" customFormat="1" ht="15.75" x14ac:dyDescent="0.25">
      <c r="A19" s="132">
        <v>1521</v>
      </c>
      <c r="B19" s="136" t="s">
        <v>113</v>
      </c>
      <c r="C19" s="135">
        <v>540000</v>
      </c>
      <c r="D19" s="137"/>
      <c r="E19" s="135">
        <f>+C19+D19</f>
        <v>540000</v>
      </c>
      <c r="F19" s="135"/>
      <c r="G19" s="135"/>
      <c r="H19" s="130">
        <v>45000</v>
      </c>
      <c r="I19" s="130"/>
      <c r="J19" s="130"/>
      <c r="K19" s="130"/>
      <c r="L19" s="130"/>
      <c r="M19" s="130"/>
      <c r="N19" s="130">
        <f t="shared" si="1"/>
        <v>540000</v>
      </c>
      <c r="O19" s="130">
        <f t="shared" si="2"/>
        <v>540000</v>
      </c>
      <c r="P19" s="226">
        <v>45000</v>
      </c>
      <c r="Q19" s="231">
        <v>45428.79</v>
      </c>
      <c r="R19" s="130"/>
      <c r="S19" s="130"/>
      <c r="T19" s="130"/>
      <c r="U19" s="130"/>
      <c r="V19" s="130">
        <f t="shared" si="3"/>
        <v>540000</v>
      </c>
      <c r="W19" s="130">
        <f t="shared" si="4"/>
        <v>494571.21</v>
      </c>
    </row>
    <row r="20" spans="1:23" s="131" customFormat="1" ht="15" customHeight="1" x14ac:dyDescent="0.25">
      <c r="A20" s="132">
        <v>1543</v>
      </c>
      <c r="B20" s="136" t="s">
        <v>114</v>
      </c>
      <c r="C20" s="134">
        <v>711880</v>
      </c>
      <c r="D20" s="135"/>
      <c r="E20" s="135">
        <f t="shared" si="0"/>
        <v>711880</v>
      </c>
      <c r="F20" s="135"/>
      <c r="G20" s="135"/>
      <c r="H20" s="130">
        <v>167440</v>
      </c>
      <c r="I20" s="130">
        <v>42700</v>
      </c>
      <c r="J20" s="130"/>
      <c r="K20" s="130"/>
      <c r="L20" s="130"/>
      <c r="M20" s="130"/>
      <c r="N20" s="130">
        <f t="shared" si="1"/>
        <v>711880</v>
      </c>
      <c r="O20" s="130">
        <f t="shared" si="2"/>
        <v>669180</v>
      </c>
      <c r="P20" s="226">
        <v>37700</v>
      </c>
      <c r="Q20" s="231">
        <v>31900</v>
      </c>
      <c r="R20" s="130"/>
      <c r="S20" s="130"/>
      <c r="T20" s="130"/>
      <c r="U20" s="130"/>
      <c r="V20" s="130">
        <f t="shared" si="3"/>
        <v>711880</v>
      </c>
      <c r="W20" s="130">
        <f t="shared" si="4"/>
        <v>679980</v>
      </c>
    </row>
    <row r="21" spans="1:23" s="131" customFormat="1" ht="15.75" x14ac:dyDescent="0.25">
      <c r="A21" s="132">
        <v>1611</v>
      </c>
      <c r="B21" s="136" t="s">
        <v>115</v>
      </c>
      <c r="C21" s="134">
        <f>1650000+985000</f>
        <v>2635000</v>
      </c>
      <c r="D21" s="134"/>
      <c r="E21" s="135">
        <f t="shared" si="0"/>
        <v>2635000</v>
      </c>
      <c r="F21" s="135"/>
      <c r="G21" s="135"/>
      <c r="H21" s="130">
        <v>219583</v>
      </c>
      <c r="I21" s="130"/>
      <c r="J21" s="130"/>
      <c r="K21" s="130"/>
      <c r="L21" s="130"/>
      <c r="M21" s="130"/>
      <c r="N21" s="130">
        <f t="shared" si="1"/>
        <v>2635000</v>
      </c>
      <c r="O21" s="130">
        <f t="shared" si="2"/>
        <v>2635000</v>
      </c>
      <c r="P21" s="226">
        <v>219583.33</v>
      </c>
      <c r="Q21" s="231"/>
      <c r="R21" s="130"/>
      <c r="S21" s="130"/>
      <c r="T21" s="130"/>
      <c r="U21" s="130"/>
      <c r="V21" s="130">
        <f t="shared" si="3"/>
        <v>2635000</v>
      </c>
      <c r="W21" s="130">
        <f t="shared" si="4"/>
        <v>2635000</v>
      </c>
    </row>
    <row r="22" spans="1:23" s="131" customFormat="1" ht="15" customHeight="1" x14ac:dyDescent="0.25">
      <c r="A22" s="132">
        <v>1712</v>
      </c>
      <c r="B22" s="136" t="s">
        <v>116</v>
      </c>
      <c r="C22" s="134">
        <f>2380261.47840001+217453.56</f>
        <v>2597715.0384000102</v>
      </c>
      <c r="D22" s="135"/>
      <c r="E22" s="135">
        <f t="shared" si="0"/>
        <v>2597715.0384000102</v>
      </c>
      <c r="F22" s="135"/>
      <c r="G22" s="135"/>
      <c r="H22" s="130">
        <v>216476</v>
      </c>
      <c r="I22" s="130">
        <v>183499</v>
      </c>
      <c r="J22" s="130"/>
      <c r="K22" s="130"/>
      <c r="L22" s="130"/>
      <c r="M22" s="130"/>
      <c r="N22" s="130">
        <f t="shared" si="1"/>
        <v>2597715.0384000102</v>
      </c>
      <c r="O22" s="130">
        <f t="shared" si="2"/>
        <v>2414216.0384000102</v>
      </c>
      <c r="P22" s="226">
        <v>216476</v>
      </c>
      <c r="Q22" s="231">
        <v>185545.61</v>
      </c>
      <c r="R22" s="130"/>
      <c r="S22" s="130"/>
      <c r="T22" s="130"/>
      <c r="U22" s="130"/>
      <c r="V22" s="130">
        <f t="shared" si="3"/>
        <v>2597715.0384000102</v>
      </c>
      <c r="W22" s="130">
        <f t="shared" si="4"/>
        <v>2412169.4284000103</v>
      </c>
    </row>
    <row r="23" spans="1:23" s="131" customFormat="1" ht="15.75" x14ac:dyDescent="0.25">
      <c r="A23" s="138">
        <v>1713</v>
      </c>
      <c r="B23" s="139" t="s">
        <v>117</v>
      </c>
      <c r="C23" s="134">
        <f>141036+1512570</f>
        <v>1653606</v>
      </c>
      <c r="D23" s="135"/>
      <c r="E23" s="135">
        <f>C23+D23</f>
        <v>1653606</v>
      </c>
      <c r="F23" s="135"/>
      <c r="G23" s="135"/>
      <c r="H23" s="130">
        <v>137800</v>
      </c>
      <c r="I23" s="130">
        <v>114369.44</v>
      </c>
      <c r="J23" s="130"/>
      <c r="K23" s="130"/>
      <c r="L23" s="130"/>
      <c r="M23" s="130"/>
      <c r="N23" s="130">
        <f t="shared" si="1"/>
        <v>1653606</v>
      </c>
      <c r="O23" s="130">
        <f t="shared" si="2"/>
        <v>1539236.56</v>
      </c>
      <c r="P23" s="226">
        <v>137800</v>
      </c>
      <c r="Q23" s="231">
        <v>116422.03</v>
      </c>
      <c r="R23" s="130"/>
      <c r="S23" s="130"/>
      <c r="T23" s="130"/>
      <c r="U23" s="130"/>
      <c r="V23" s="130">
        <f t="shared" si="3"/>
        <v>1653606</v>
      </c>
      <c r="W23" s="130">
        <f t="shared" si="4"/>
        <v>1537183.97</v>
      </c>
    </row>
    <row r="24" spans="1:23" s="131" customFormat="1" ht="15" customHeight="1" x14ac:dyDescent="0.25">
      <c r="A24" s="132">
        <v>1715</v>
      </c>
      <c r="B24" s="136" t="s">
        <v>118</v>
      </c>
      <c r="C24" s="140">
        <f>0+106744.69+1181986</f>
        <v>1288730.69</v>
      </c>
      <c r="D24" s="135"/>
      <c r="E24" s="135">
        <f t="shared" si="0"/>
        <v>1288730.69</v>
      </c>
      <c r="F24" s="135"/>
      <c r="G24" s="135"/>
      <c r="H24" s="130"/>
      <c r="I24" s="130"/>
      <c r="J24" s="130"/>
      <c r="K24" s="130"/>
      <c r="L24" s="130"/>
      <c r="M24" s="130"/>
      <c r="N24" s="130">
        <f t="shared" si="1"/>
        <v>1288730.69</v>
      </c>
      <c r="O24" s="130">
        <f t="shared" si="2"/>
        <v>1288730.69</v>
      </c>
      <c r="P24" s="226">
        <v>0</v>
      </c>
      <c r="Q24" s="231"/>
      <c r="R24" s="130"/>
      <c r="S24" s="130"/>
      <c r="T24" s="130"/>
      <c r="U24" s="130"/>
      <c r="V24" s="130">
        <f t="shared" si="3"/>
        <v>1288730.69</v>
      </c>
      <c r="W24" s="130">
        <f t="shared" si="4"/>
        <v>1288730.69</v>
      </c>
    </row>
    <row r="25" spans="1:23" s="131" customFormat="1" ht="15.75" x14ac:dyDescent="0.25">
      <c r="A25" s="132">
        <v>1716</v>
      </c>
      <c r="B25" s="136" t="s">
        <v>119</v>
      </c>
      <c r="C25" s="135">
        <v>514800</v>
      </c>
      <c r="D25" s="137"/>
      <c r="E25" s="135">
        <f>+C25+D25</f>
        <v>514800</v>
      </c>
      <c r="F25" s="135"/>
      <c r="G25" s="135"/>
      <c r="H25" s="130">
        <v>42900</v>
      </c>
      <c r="I25" s="130"/>
      <c r="J25" s="130"/>
      <c r="K25" s="130"/>
      <c r="L25" s="130"/>
      <c r="M25" s="130"/>
      <c r="N25" s="130">
        <f t="shared" si="1"/>
        <v>514800</v>
      </c>
      <c r="O25" s="130">
        <f t="shared" si="2"/>
        <v>514800</v>
      </c>
      <c r="P25" s="226">
        <v>42900</v>
      </c>
      <c r="Q25" s="231"/>
      <c r="R25" s="130"/>
      <c r="S25" s="130"/>
      <c r="T25" s="130"/>
      <c r="U25" s="130"/>
      <c r="V25" s="130">
        <f t="shared" si="3"/>
        <v>514800</v>
      </c>
      <c r="W25" s="130">
        <f t="shared" si="4"/>
        <v>514800</v>
      </c>
    </row>
    <row r="26" spans="1:23" s="145" customFormat="1" ht="15" customHeight="1" x14ac:dyDescent="0.25">
      <c r="A26" s="141"/>
      <c r="B26" s="142" t="s">
        <v>120</v>
      </c>
      <c r="C26" s="143">
        <f>SUM(C8:C25)</f>
        <v>57958819.698668465</v>
      </c>
      <c r="D26" s="143">
        <f>SUM(D8:D25)</f>
        <v>0</v>
      </c>
      <c r="E26" s="144">
        <f t="shared" ref="E26:E59" si="5">C26+D26</f>
        <v>57958819.698668465</v>
      </c>
      <c r="F26" s="143">
        <f t="shared" ref="F26:G26" si="6">SUM(F8:F25)</f>
        <v>0</v>
      </c>
      <c r="G26" s="143">
        <f t="shared" si="6"/>
        <v>0</v>
      </c>
      <c r="H26" s="144">
        <f>SUM(H8:H25)</f>
        <v>4479536</v>
      </c>
      <c r="I26" s="144">
        <f>SUM(I8:I25)</f>
        <v>3405187.5999999996</v>
      </c>
      <c r="J26" s="144">
        <f t="shared" ref="J26:M26" si="7">SUM(J8:J25)</f>
        <v>0</v>
      </c>
      <c r="K26" s="144">
        <f t="shared" si="7"/>
        <v>0</v>
      </c>
      <c r="L26" s="144">
        <f t="shared" si="7"/>
        <v>0</v>
      </c>
      <c r="M26" s="144">
        <f t="shared" si="7"/>
        <v>0</v>
      </c>
      <c r="N26" s="144">
        <f>SUM(N8:N25)</f>
        <v>57958819.698668465</v>
      </c>
      <c r="O26" s="144">
        <f>SUM(O8:O25)</f>
        <v>54553632.098668464</v>
      </c>
      <c r="P26" s="144">
        <f>SUM(P8:P25)</f>
        <v>4075431.4398800004</v>
      </c>
      <c r="Q26" s="144">
        <f>SUM(Q8:Q25)</f>
        <v>3201298.0399999996</v>
      </c>
      <c r="R26" s="144">
        <f t="shared" ref="R26" si="8">SUM(R8:R25)</f>
        <v>0</v>
      </c>
      <c r="S26" s="144">
        <f t="shared" ref="S26" si="9">SUM(S8:S25)</f>
        <v>0</v>
      </c>
      <c r="T26" s="144">
        <f t="shared" ref="T26" si="10">SUM(T8:T25)</f>
        <v>0</v>
      </c>
      <c r="U26" s="144">
        <f t="shared" ref="U26" si="11">SUM(U8:U25)</f>
        <v>0</v>
      </c>
      <c r="V26" s="144">
        <f>SUM(V8:V25)</f>
        <v>57958819.698668465</v>
      </c>
      <c r="W26" s="144">
        <f>SUM(W8:W25)</f>
        <v>54757521.658668451</v>
      </c>
    </row>
    <row r="27" spans="1:23" s="131" customFormat="1" ht="15.75" x14ac:dyDescent="0.25">
      <c r="A27" s="138">
        <v>2111</v>
      </c>
      <c r="B27" s="146" t="s">
        <v>121</v>
      </c>
      <c r="C27" s="135">
        <v>100182.24320000001</v>
      </c>
      <c r="D27" s="135"/>
      <c r="E27" s="135">
        <f t="shared" si="5"/>
        <v>100182.24320000001</v>
      </c>
      <c r="F27" s="135"/>
      <c r="G27" s="135"/>
      <c r="H27" s="130">
        <v>8349</v>
      </c>
      <c r="I27" s="130">
        <v>9912.9699999999993</v>
      </c>
      <c r="J27" s="130"/>
      <c r="K27" s="130"/>
      <c r="L27" s="130"/>
      <c r="M27" s="130"/>
      <c r="N27" s="130">
        <f t="shared" si="1"/>
        <v>100182.24320000001</v>
      </c>
      <c r="O27" s="130">
        <f t="shared" si="2"/>
        <v>90269.273200000011</v>
      </c>
      <c r="P27" s="130">
        <v>7255</v>
      </c>
      <c r="Q27" s="130">
        <v>7559.94</v>
      </c>
      <c r="R27" s="130"/>
      <c r="S27" s="130"/>
      <c r="T27" s="130"/>
      <c r="U27" s="130"/>
      <c r="V27" s="130">
        <f t="shared" si="3"/>
        <v>100182.24320000001</v>
      </c>
      <c r="W27" s="130">
        <f t="shared" ref="W27:W58" si="12">+V27-Q27</f>
        <v>92622.303200000009</v>
      </c>
    </row>
    <row r="28" spans="1:23" s="131" customFormat="1" ht="30.75" x14ac:dyDescent="0.25">
      <c r="A28" s="138">
        <v>2141</v>
      </c>
      <c r="B28" s="147" t="s">
        <v>122</v>
      </c>
      <c r="C28" s="135">
        <v>25000</v>
      </c>
      <c r="D28" s="135"/>
      <c r="E28" s="135">
        <f t="shared" si="5"/>
        <v>25000</v>
      </c>
      <c r="F28" s="135"/>
      <c r="G28" s="135"/>
      <c r="H28" s="130"/>
      <c r="I28" s="130"/>
      <c r="J28" s="130"/>
      <c r="K28" s="130"/>
      <c r="L28" s="130"/>
      <c r="M28" s="130"/>
      <c r="N28" s="130">
        <f t="shared" si="1"/>
        <v>25000</v>
      </c>
      <c r="O28" s="130">
        <f t="shared" si="2"/>
        <v>25000</v>
      </c>
      <c r="P28" s="130"/>
      <c r="Q28" s="130"/>
      <c r="R28" s="130"/>
      <c r="S28" s="130"/>
      <c r="T28" s="130"/>
      <c r="U28" s="130"/>
      <c r="V28" s="130">
        <f t="shared" si="3"/>
        <v>25000</v>
      </c>
      <c r="W28" s="130">
        <f t="shared" si="12"/>
        <v>25000</v>
      </c>
    </row>
    <row r="29" spans="1:23" s="131" customFormat="1" ht="15.75" x14ac:dyDescent="0.25">
      <c r="A29" s="138">
        <v>2161</v>
      </c>
      <c r="B29" s="146" t="s">
        <v>123</v>
      </c>
      <c r="C29" s="135">
        <v>899616.66080000007</v>
      </c>
      <c r="D29" s="135"/>
      <c r="E29" s="135">
        <f t="shared" si="5"/>
        <v>899616.66080000007</v>
      </c>
      <c r="F29" s="135"/>
      <c r="G29" s="135"/>
      <c r="H29" s="130">
        <v>64686.06</v>
      </c>
      <c r="I29" s="130">
        <v>62801.919999999998</v>
      </c>
      <c r="J29" s="130"/>
      <c r="K29" s="130"/>
      <c r="L29" s="130"/>
      <c r="M29" s="130"/>
      <c r="N29" s="130">
        <f t="shared" si="1"/>
        <v>899616.66080000007</v>
      </c>
      <c r="O29" s="130">
        <f t="shared" si="2"/>
        <v>836814.74080000003</v>
      </c>
      <c r="P29" s="130">
        <v>60025</v>
      </c>
      <c r="Q29" s="130">
        <v>59924.28</v>
      </c>
      <c r="R29" s="130"/>
      <c r="S29" s="130"/>
      <c r="T29" s="130"/>
      <c r="U29" s="130"/>
      <c r="V29" s="130">
        <f t="shared" si="3"/>
        <v>899616.66080000007</v>
      </c>
      <c r="W29" s="130">
        <f t="shared" si="12"/>
        <v>839692.38080000004</v>
      </c>
    </row>
    <row r="30" spans="1:23" s="131" customFormat="1" ht="15" customHeight="1" x14ac:dyDescent="0.25">
      <c r="A30" s="138">
        <v>2171</v>
      </c>
      <c r="B30" s="146" t="s">
        <v>124</v>
      </c>
      <c r="C30" s="135">
        <v>243450</v>
      </c>
      <c r="D30" s="135">
        <v>10000</v>
      </c>
      <c r="E30" s="135">
        <f t="shared" si="5"/>
        <v>253450</v>
      </c>
      <c r="F30" s="135"/>
      <c r="G30" s="135"/>
      <c r="H30" s="130">
        <f t="shared" ref="H30" si="13">C30/12</f>
        <v>20287.5</v>
      </c>
      <c r="I30" s="130">
        <v>24423.87</v>
      </c>
      <c r="J30" s="130"/>
      <c r="K30" s="130"/>
      <c r="L30" s="130"/>
      <c r="M30" s="130"/>
      <c r="N30" s="130">
        <f t="shared" si="1"/>
        <v>253450</v>
      </c>
      <c r="O30" s="130">
        <f t="shared" si="2"/>
        <v>229026.13</v>
      </c>
      <c r="P30" s="130">
        <v>16512</v>
      </c>
      <c r="Q30" s="130">
        <v>15380.63</v>
      </c>
      <c r="R30" s="130"/>
      <c r="S30" s="130"/>
      <c r="T30" s="130"/>
      <c r="U30" s="130"/>
      <c r="V30" s="130">
        <f t="shared" si="3"/>
        <v>253450</v>
      </c>
      <c r="W30" s="130">
        <f t="shared" si="12"/>
        <v>238069.37</v>
      </c>
    </row>
    <row r="31" spans="1:23" s="131" customFormat="1" ht="45.75" x14ac:dyDescent="0.25">
      <c r="A31" s="138">
        <v>2212</v>
      </c>
      <c r="B31" s="147" t="s">
        <v>125</v>
      </c>
      <c r="C31" s="140">
        <v>5305045.78</v>
      </c>
      <c r="D31" s="135">
        <v>1000000</v>
      </c>
      <c r="E31" s="135">
        <f t="shared" si="5"/>
        <v>6305045.7800000003</v>
      </c>
      <c r="F31" s="135"/>
      <c r="G31" s="135"/>
      <c r="H31" s="130">
        <v>442087.16</v>
      </c>
      <c r="I31" s="130">
        <v>269517.18</v>
      </c>
      <c r="J31" s="130"/>
      <c r="K31" s="130"/>
      <c r="L31" s="130"/>
      <c r="M31" s="130"/>
      <c r="N31" s="130">
        <f t="shared" si="1"/>
        <v>6305045.7800000003</v>
      </c>
      <c r="O31" s="130">
        <f t="shared" si="2"/>
        <v>6035528.6000000006</v>
      </c>
      <c r="P31" s="130">
        <v>286915</v>
      </c>
      <c r="Q31" s="130">
        <v>284219.88</v>
      </c>
      <c r="R31" s="130"/>
      <c r="S31" s="130"/>
      <c r="T31" s="130"/>
      <c r="U31" s="130"/>
      <c r="V31" s="130">
        <f t="shared" si="3"/>
        <v>6305045.7800000003</v>
      </c>
      <c r="W31" s="130">
        <f t="shared" si="12"/>
        <v>6020825.9000000004</v>
      </c>
    </row>
    <row r="32" spans="1:23" s="131" customFormat="1" ht="30.75" x14ac:dyDescent="0.25">
      <c r="A32" s="138">
        <v>2214</v>
      </c>
      <c r="B32" s="147" t="s">
        <v>126</v>
      </c>
      <c r="C32" s="135">
        <f>1076260.9312</f>
        <v>1076260.9312</v>
      </c>
      <c r="D32" s="148"/>
      <c r="E32" s="135">
        <f t="shared" si="5"/>
        <v>1076260.9312</v>
      </c>
      <c r="F32" s="135"/>
      <c r="G32" s="135"/>
      <c r="H32" s="130">
        <v>69400.37</v>
      </c>
      <c r="I32" s="130">
        <v>67379.3</v>
      </c>
      <c r="J32" s="130"/>
      <c r="K32" s="130"/>
      <c r="L32" s="130"/>
      <c r="M32" s="130"/>
      <c r="N32" s="130">
        <f t="shared" si="1"/>
        <v>1076260.9312</v>
      </c>
      <c r="O32" s="130">
        <f t="shared" si="2"/>
        <v>1008881.6311999999</v>
      </c>
      <c r="P32" s="130">
        <v>73515</v>
      </c>
      <c r="Q32" s="130">
        <v>71054.97</v>
      </c>
      <c r="R32" s="130"/>
      <c r="S32" s="130"/>
      <c r="T32" s="130"/>
      <c r="U32" s="130"/>
      <c r="V32" s="130">
        <f t="shared" si="3"/>
        <v>1076260.9312</v>
      </c>
      <c r="W32" s="130">
        <f t="shared" si="12"/>
        <v>1005205.9612</v>
      </c>
    </row>
    <row r="33" spans="1:23" s="131" customFormat="1" ht="15.75" x14ac:dyDescent="0.25">
      <c r="A33" s="138">
        <v>2231</v>
      </c>
      <c r="B33" s="146" t="s">
        <v>127</v>
      </c>
      <c r="C33" s="135">
        <v>155673</v>
      </c>
      <c r="D33" s="148"/>
      <c r="E33" s="135">
        <f t="shared" si="5"/>
        <v>155673</v>
      </c>
      <c r="F33" s="135"/>
      <c r="G33" s="135"/>
      <c r="H33" s="130">
        <v>4482.5600000000004</v>
      </c>
      <c r="I33" s="130">
        <v>4352.1499999999996</v>
      </c>
      <c r="J33" s="130"/>
      <c r="K33" s="130"/>
      <c r="L33" s="130"/>
      <c r="M33" s="130"/>
      <c r="N33" s="130">
        <f t="shared" si="1"/>
        <v>155673</v>
      </c>
      <c r="O33" s="130">
        <f t="shared" si="2"/>
        <v>151320.85</v>
      </c>
      <c r="P33" s="130">
        <v>15708</v>
      </c>
      <c r="Q33" s="130">
        <v>13771.87</v>
      </c>
      <c r="R33" s="130"/>
      <c r="S33" s="130"/>
      <c r="T33" s="130"/>
      <c r="U33" s="130"/>
      <c r="V33" s="130">
        <f t="shared" si="3"/>
        <v>155673</v>
      </c>
      <c r="W33" s="130">
        <f t="shared" si="12"/>
        <v>141901.13</v>
      </c>
    </row>
    <row r="34" spans="1:23" s="131" customFormat="1" ht="15" customHeight="1" x14ac:dyDescent="0.25">
      <c r="A34" s="138">
        <v>2411</v>
      </c>
      <c r="B34" s="146" t="s">
        <v>128</v>
      </c>
      <c r="C34" s="135">
        <v>112500</v>
      </c>
      <c r="D34" s="135"/>
      <c r="E34" s="135">
        <f t="shared" si="5"/>
        <v>112500</v>
      </c>
      <c r="F34" s="135"/>
      <c r="G34" s="135"/>
      <c r="H34" s="130"/>
      <c r="I34" s="130">
        <f>17643.78+708.26</f>
        <v>18352.039999999997</v>
      </c>
      <c r="J34" s="130"/>
      <c r="K34" s="130"/>
      <c r="L34" s="130"/>
      <c r="M34" s="130"/>
      <c r="N34" s="130">
        <f t="shared" si="1"/>
        <v>112500</v>
      </c>
      <c r="O34" s="130">
        <f t="shared" si="2"/>
        <v>94147.96</v>
      </c>
      <c r="P34" s="130"/>
      <c r="Q34" s="130">
        <v>5299.98</v>
      </c>
      <c r="R34" s="130"/>
      <c r="S34" s="130"/>
      <c r="T34" s="130"/>
      <c r="U34" s="130"/>
      <c r="V34" s="130">
        <f t="shared" si="3"/>
        <v>112500</v>
      </c>
      <c r="W34" s="130">
        <f t="shared" si="12"/>
        <v>107200.02</v>
      </c>
    </row>
    <row r="35" spans="1:23" s="131" customFormat="1" ht="15.75" x14ac:dyDescent="0.25">
      <c r="A35" s="138">
        <v>2421</v>
      </c>
      <c r="B35" s="146" t="s">
        <v>129</v>
      </c>
      <c r="C35" s="135">
        <v>125000</v>
      </c>
      <c r="D35" s="135"/>
      <c r="E35" s="135">
        <f t="shared" si="5"/>
        <v>125000</v>
      </c>
      <c r="F35" s="135"/>
      <c r="G35" s="135"/>
      <c r="H35" s="130"/>
      <c r="I35" s="130">
        <v>2517.4499999999998</v>
      </c>
      <c r="J35" s="130"/>
      <c r="K35" s="130"/>
      <c r="L35" s="130"/>
      <c r="M35" s="130"/>
      <c r="N35" s="130">
        <f t="shared" si="1"/>
        <v>125000</v>
      </c>
      <c r="O35" s="130">
        <f t="shared" si="2"/>
        <v>122482.55</v>
      </c>
      <c r="P35" s="130"/>
      <c r="Q35" s="130"/>
      <c r="R35" s="130"/>
      <c r="S35" s="130"/>
      <c r="T35" s="130"/>
      <c r="U35" s="130"/>
      <c r="V35" s="130">
        <f t="shared" si="3"/>
        <v>125000</v>
      </c>
      <c r="W35" s="130">
        <f t="shared" si="12"/>
        <v>125000</v>
      </c>
    </row>
    <row r="36" spans="1:23" s="131" customFormat="1" ht="15" customHeight="1" x14ac:dyDescent="0.25">
      <c r="A36" s="138">
        <v>2431</v>
      </c>
      <c r="B36" s="146" t="s">
        <v>130</v>
      </c>
      <c r="C36" s="135">
        <v>95000</v>
      </c>
      <c r="D36" s="135"/>
      <c r="E36" s="135">
        <f t="shared" si="5"/>
        <v>95000</v>
      </c>
      <c r="F36" s="135"/>
      <c r="G36" s="135"/>
      <c r="H36" s="130"/>
      <c r="I36" s="130"/>
      <c r="J36" s="130"/>
      <c r="K36" s="130"/>
      <c r="L36" s="130"/>
      <c r="M36" s="130"/>
      <c r="N36" s="130">
        <f t="shared" si="1"/>
        <v>95000</v>
      </c>
      <c r="O36" s="130">
        <f t="shared" si="2"/>
        <v>95000</v>
      </c>
      <c r="P36" s="130"/>
      <c r="Q36" s="130"/>
      <c r="R36" s="130"/>
      <c r="S36" s="130"/>
      <c r="T36" s="130"/>
      <c r="U36" s="130"/>
      <c r="V36" s="130">
        <f t="shared" si="3"/>
        <v>95000</v>
      </c>
      <c r="W36" s="130">
        <f t="shared" si="12"/>
        <v>95000</v>
      </c>
    </row>
    <row r="37" spans="1:23" s="131" customFormat="1" ht="15.75" x14ac:dyDescent="0.25">
      <c r="A37" s="138">
        <v>2441</v>
      </c>
      <c r="B37" s="146" t="s">
        <v>131</v>
      </c>
      <c r="C37" s="135">
        <v>85000</v>
      </c>
      <c r="D37" s="135"/>
      <c r="E37" s="135">
        <f t="shared" si="5"/>
        <v>85000</v>
      </c>
      <c r="F37" s="135"/>
      <c r="G37" s="135"/>
      <c r="H37" s="130"/>
      <c r="I37" s="130">
        <v>11535.94</v>
      </c>
      <c r="J37" s="130"/>
      <c r="K37" s="130"/>
      <c r="L37" s="130"/>
      <c r="M37" s="130"/>
      <c r="N37" s="130">
        <f t="shared" si="1"/>
        <v>85000</v>
      </c>
      <c r="O37" s="130">
        <f t="shared" si="2"/>
        <v>73464.06</v>
      </c>
      <c r="P37" s="130"/>
      <c r="Q37" s="130"/>
      <c r="R37" s="130"/>
      <c r="S37" s="130"/>
      <c r="T37" s="130"/>
      <c r="U37" s="130"/>
      <c r="V37" s="130">
        <f t="shared" si="3"/>
        <v>85000</v>
      </c>
      <c r="W37" s="130">
        <f t="shared" si="12"/>
        <v>85000</v>
      </c>
    </row>
    <row r="38" spans="1:23" s="131" customFormat="1" ht="15" customHeight="1" x14ac:dyDescent="0.25">
      <c r="A38" s="138">
        <v>2451</v>
      </c>
      <c r="B38" s="146" t="s">
        <v>132</v>
      </c>
      <c r="C38" s="135">
        <v>105000</v>
      </c>
      <c r="D38" s="148"/>
      <c r="E38" s="135">
        <f t="shared" si="5"/>
        <v>105000</v>
      </c>
      <c r="F38" s="135"/>
      <c r="G38" s="135"/>
      <c r="H38" s="130"/>
      <c r="I38" s="130"/>
      <c r="J38" s="130"/>
      <c r="K38" s="130"/>
      <c r="L38" s="130"/>
      <c r="M38" s="130"/>
      <c r="N38" s="130">
        <f t="shared" si="1"/>
        <v>105000</v>
      </c>
      <c r="O38" s="130">
        <f t="shared" si="2"/>
        <v>105000</v>
      </c>
      <c r="P38" s="130"/>
      <c r="Q38" s="130"/>
      <c r="R38" s="130"/>
      <c r="S38" s="130"/>
      <c r="T38" s="130"/>
      <c r="U38" s="130"/>
      <c r="V38" s="130">
        <f t="shared" si="3"/>
        <v>105000</v>
      </c>
      <c r="W38" s="130">
        <f t="shared" si="12"/>
        <v>105000</v>
      </c>
    </row>
    <row r="39" spans="1:23" s="131" customFormat="1" ht="15.75" x14ac:dyDescent="0.25">
      <c r="A39" s="138">
        <v>2461</v>
      </c>
      <c r="B39" s="146" t="s">
        <v>133</v>
      </c>
      <c r="C39" s="135">
        <f>229928*1.2</f>
        <v>275913.59999999998</v>
      </c>
      <c r="D39" s="148"/>
      <c r="E39" s="135">
        <f t="shared" si="5"/>
        <v>275913.59999999998</v>
      </c>
      <c r="F39" s="135"/>
      <c r="G39" s="135"/>
      <c r="H39" s="130">
        <v>6106.87</v>
      </c>
      <c r="I39" s="130">
        <v>5929.22</v>
      </c>
      <c r="J39" s="130"/>
      <c r="K39" s="130"/>
      <c r="L39" s="130"/>
      <c r="M39" s="130"/>
      <c r="N39" s="130">
        <f t="shared" si="1"/>
        <v>275913.59999999998</v>
      </c>
      <c r="O39" s="130">
        <f t="shared" si="2"/>
        <v>269984.38</v>
      </c>
      <c r="P39" s="130">
        <v>7380</v>
      </c>
      <c r="Q39" s="130">
        <v>7261.92</v>
      </c>
      <c r="R39" s="130"/>
      <c r="S39" s="130"/>
      <c r="T39" s="130"/>
      <c r="U39" s="130"/>
      <c r="V39" s="130">
        <f t="shared" si="3"/>
        <v>275913.59999999998</v>
      </c>
      <c r="W39" s="130">
        <f t="shared" si="12"/>
        <v>268651.68</v>
      </c>
    </row>
    <row r="40" spans="1:23" s="131" customFormat="1" ht="15" customHeight="1" x14ac:dyDescent="0.25">
      <c r="A40" s="138">
        <v>2471</v>
      </c>
      <c r="B40" s="146" t="s">
        <v>134</v>
      </c>
      <c r="C40" s="135">
        <f>29110.37+1.2</f>
        <v>29111.57</v>
      </c>
      <c r="D40" s="135"/>
      <c r="E40" s="135">
        <f t="shared" si="5"/>
        <v>29111.57</v>
      </c>
      <c r="F40" s="135"/>
      <c r="G40" s="135"/>
      <c r="H40" s="130">
        <v>47290.39</v>
      </c>
      <c r="I40" s="130">
        <f>9806.64+3701.22</f>
        <v>13507.859999999999</v>
      </c>
      <c r="J40" s="130"/>
      <c r="K40" s="130"/>
      <c r="L40" s="130"/>
      <c r="M40" s="130"/>
      <c r="N40" s="130">
        <f t="shared" si="1"/>
        <v>29111.57</v>
      </c>
      <c r="O40" s="130">
        <f t="shared" si="2"/>
        <v>15603.710000000001</v>
      </c>
      <c r="P40" s="130">
        <v>8795</v>
      </c>
      <c r="Q40" s="130">
        <v>3234.71</v>
      </c>
      <c r="R40" s="130"/>
      <c r="S40" s="130"/>
      <c r="T40" s="130"/>
      <c r="U40" s="130"/>
      <c r="V40" s="130">
        <f t="shared" si="3"/>
        <v>29111.57</v>
      </c>
      <c r="W40" s="130">
        <f t="shared" si="12"/>
        <v>25876.86</v>
      </c>
    </row>
    <row r="41" spans="1:23" s="131" customFormat="1" ht="15.75" x14ac:dyDescent="0.25">
      <c r="A41" s="138">
        <v>2481</v>
      </c>
      <c r="B41" s="146" t="s">
        <v>135</v>
      </c>
      <c r="C41" s="135">
        <v>25000</v>
      </c>
      <c r="D41" s="148"/>
      <c r="E41" s="135">
        <f t="shared" si="5"/>
        <v>25000</v>
      </c>
      <c r="F41" s="135"/>
      <c r="G41" s="135"/>
      <c r="H41" s="130"/>
      <c r="I41" s="130"/>
      <c r="J41" s="130"/>
      <c r="K41" s="130"/>
      <c r="L41" s="130"/>
      <c r="M41" s="130"/>
      <c r="N41" s="130">
        <f t="shared" si="1"/>
        <v>25000</v>
      </c>
      <c r="O41" s="130">
        <f t="shared" si="2"/>
        <v>25000</v>
      </c>
      <c r="P41" s="130"/>
      <c r="Q41" s="130"/>
      <c r="R41" s="130"/>
      <c r="S41" s="130"/>
      <c r="T41" s="130"/>
      <c r="U41" s="130"/>
      <c r="V41" s="130">
        <f t="shared" si="3"/>
        <v>25000</v>
      </c>
      <c r="W41" s="130">
        <f t="shared" si="12"/>
        <v>25000</v>
      </c>
    </row>
    <row r="42" spans="1:23" s="131" customFormat="1" ht="30.75" x14ac:dyDescent="0.25">
      <c r="A42" s="138">
        <v>2491</v>
      </c>
      <c r="B42" s="147" t="s">
        <v>136</v>
      </c>
      <c r="C42" s="135">
        <v>25000</v>
      </c>
      <c r="D42" s="148"/>
      <c r="E42" s="135">
        <f t="shared" si="5"/>
        <v>25000</v>
      </c>
      <c r="F42" s="135"/>
      <c r="G42" s="135"/>
      <c r="H42" s="130"/>
      <c r="I42" s="130"/>
      <c r="J42" s="130"/>
      <c r="K42" s="130"/>
      <c r="L42" s="130"/>
      <c r="M42" s="130"/>
      <c r="N42" s="130">
        <f t="shared" si="1"/>
        <v>25000</v>
      </c>
      <c r="O42" s="130">
        <f t="shared" si="2"/>
        <v>25000</v>
      </c>
      <c r="P42" s="130"/>
      <c r="Q42" s="130"/>
      <c r="R42" s="130"/>
      <c r="S42" s="130"/>
      <c r="T42" s="130"/>
      <c r="U42" s="130"/>
      <c r="V42" s="130">
        <f t="shared" si="3"/>
        <v>25000</v>
      </c>
      <c r="W42" s="130">
        <f t="shared" si="12"/>
        <v>25000</v>
      </c>
    </row>
    <row r="43" spans="1:23" s="131" customFormat="1" ht="15.75" x14ac:dyDescent="0.25">
      <c r="A43" s="138">
        <v>2521</v>
      </c>
      <c r="B43" s="146" t="s">
        <v>137</v>
      </c>
      <c r="C43" s="135">
        <v>0</v>
      </c>
      <c r="D43" s="135">
        <v>20000</v>
      </c>
      <c r="E43" s="135">
        <f t="shared" si="5"/>
        <v>20000</v>
      </c>
      <c r="F43" s="135"/>
      <c r="G43" s="135"/>
      <c r="H43" s="130"/>
      <c r="I43" s="130"/>
      <c r="J43" s="130"/>
      <c r="K43" s="130"/>
      <c r="L43" s="130"/>
      <c r="M43" s="130"/>
      <c r="N43" s="130">
        <f t="shared" si="1"/>
        <v>20000</v>
      </c>
      <c r="O43" s="130">
        <f t="shared" si="2"/>
        <v>20000</v>
      </c>
      <c r="P43" s="130"/>
      <c r="Q43" s="130"/>
      <c r="R43" s="130"/>
      <c r="S43" s="130"/>
      <c r="T43" s="130"/>
      <c r="U43" s="130"/>
      <c r="V43" s="130">
        <f t="shared" si="3"/>
        <v>20000</v>
      </c>
      <c r="W43" s="130">
        <f t="shared" si="12"/>
        <v>20000</v>
      </c>
    </row>
    <row r="44" spans="1:23" s="131" customFormat="1" ht="15" customHeight="1" x14ac:dyDescent="0.25">
      <c r="A44" s="138">
        <v>2531</v>
      </c>
      <c r="B44" s="146" t="s">
        <v>138</v>
      </c>
      <c r="C44" s="135">
        <f>2189939.44</f>
        <v>2189939.44</v>
      </c>
      <c r="D44" s="135">
        <f>350000+25000</f>
        <v>375000</v>
      </c>
      <c r="E44" s="135">
        <f t="shared" si="5"/>
        <v>2564939.44</v>
      </c>
      <c r="F44" s="135"/>
      <c r="G44" s="135"/>
      <c r="H44" s="130">
        <v>123251.86</v>
      </c>
      <c r="I44" s="130">
        <v>119661.78</v>
      </c>
      <c r="J44" s="130"/>
      <c r="K44" s="130"/>
      <c r="L44" s="130"/>
      <c r="M44" s="130"/>
      <c r="N44" s="130">
        <f t="shared" si="1"/>
        <v>2564939.44</v>
      </c>
      <c r="O44" s="130">
        <f t="shared" si="2"/>
        <v>2445277.66</v>
      </c>
      <c r="P44" s="130">
        <v>115892</v>
      </c>
      <c r="Q44" s="130">
        <v>109267.17</v>
      </c>
      <c r="R44" s="130"/>
      <c r="S44" s="130"/>
      <c r="T44" s="130"/>
      <c r="U44" s="130"/>
      <c r="V44" s="130">
        <f t="shared" si="3"/>
        <v>2564939.44</v>
      </c>
      <c r="W44" s="130">
        <f t="shared" si="12"/>
        <v>2455672.27</v>
      </c>
    </row>
    <row r="45" spans="1:23" s="131" customFormat="1" ht="15.75" x14ac:dyDescent="0.25">
      <c r="A45" s="138">
        <v>2541</v>
      </c>
      <c r="B45" s="146" t="s">
        <v>139</v>
      </c>
      <c r="C45" s="135">
        <v>173372.78399999999</v>
      </c>
      <c r="D45" s="148"/>
      <c r="E45" s="135">
        <f t="shared" si="5"/>
        <v>173372.78399999999</v>
      </c>
      <c r="F45" s="135"/>
      <c r="G45" s="135"/>
      <c r="H45" s="130">
        <v>12137.52</v>
      </c>
      <c r="I45" s="130">
        <v>11784.32</v>
      </c>
      <c r="J45" s="130"/>
      <c r="K45" s="130"/>
      <c r="L45" s="130"/>
      <c r="M45" s="130"/>
      <c r="N45" s="130">
        <f t="shared" si="1"/>
        <v>173372.78399999999</v>
      </c>
      <c r="O45" s="130">
        <f t="shared" si="2"/>
        <v>161588.46399999998</v>
      </c>
      <c r="P45" s="130">
        <v>35801</v>
      </c>
      <c r="Q45" s="130">
        <v>38378.53</v>
      </c>
      <c r="R45" s="130"/>
      <c r="S45" s="130"/>
      <c r="T45" s="130"/>
      <c r="U45" s="130"/>
      <c r="V45" s="130">
        <f t="shared" si="3"/>
        <v>173372.78399999999</v>
      </c>
      <c r="W45" s="130">
        <f t="shared" si="12"/>
        <v>134994.25399999999</v>
      </c>
    </row>
    <row r="46" spans="1:23" s="131" customFormat="1" ht="15" customHeight="1" x14ac:dyDescent="0.25">
      <c r="A46" s="138">
        <v>2551</v>
      </c>
      <c r="B46" s="146" t="s">
        <v>140</v>
      </c>
      <c r="C46" s="135">
        <v>0</v>
      </c>
      <c r="D46" s="148"/>
      <c r="E46" s="135">
        <f t="shared" si="5"/>
        <v>0</v>
      </c>
      <c r="F46" s="135"/>
      <c r="G46" s="135"/>
      <c r="H46" s="130"/>
      <c r="I46" s="130"/>
      <c r="J46" s="130"/>
      <c r="K46" s="130"/>
      <c r="L46" s="130"/>
      <c r="M46" s="130"/>
      <c r="N46" s="130">
        <f t="shared" si="1"/>
        <v>0</v>
      </c>
      <c r="O46" s="130">
        <f t="shared" si="2"/>
        <v>0</v>
      </c>
      <c r="P46" s="130"/>
      <c r="Q46" s="130">
        <v>6655.03</v>
      </c>
      <c r="R46" s="130"/>
      <c r="S46" s="130">
        <v>6655</v>
      </c>
      <c r="T46" s="130"/>
      <c r="U46" s="130"/>
      <c r="V46" s="130">
        <f t="shared" si="3"/>
        <v>6655</v>
      </c>
      <c r="W46" s="130">
        <f t="shared" si="12"/>
        <v>-2.9999999999745341E-2</v>
      </c>
    </row>
    <row r="47" spans="1:23" s="131" customFormat="1" ht="45.75" x14ac:dyDescent="0.25">
      <c r="A47" s="138">
        <v>2611</v>
      </c>
      <c r="B47" s="147" t="s">
        <v>141</v>
      </c>
      <c r="C47" s="135">
        <f>(1149164.2368*36.27/100)*1.2</f>
        <v>500162.24242483207</v>
      </c>
      <c r="D47" s="148"/>
      <c r="E47" s="135">
        <f t="shared" si="5"/>
        <v>500162.24242483207</v>
      </c>
      <c r="F47" s="135"/>
      <c r="G47" s="135"/>
      <c r="H47" s="130">
        <v>26016.77</v>
      </c>
      <c r="I47" s="130">
        <v>25259.02</v>
      </c>
      <c r="J47" s="130"/>
      <c r="K47" s="130"/>
      <c r="L47" s="130"/>
      <c r="M47" s="130"/>
      <c r="N47" s="130">
        <f t="shared" si="1"/>
        <v>500162.24242483207</v>
      </c>
      <c r="O47" s="130">
        <f t="shared" si="2"/>
        <v>474903.22242483206</v>
      </c>
      <c r="P47" s="130">
        <v>0</v>
      </c>
      <c r="Q47" s="130">
        <v>50808</v>
      </c>
      <c r="R47" s="130"/>
      <c r="S47" s="130">
        <v>50808</v>
      </c>
      <c r="T47" s="130"/>
      <c r="U47" s="130"/>
      <c r="V47" s="130">
        <f t="shared" si="3"/>
        <v>550970.24242483207</v>
      </c>
      <c r="W47" s="130">
        <f t="shared" si="12"/>
        <v>500162.24242483207</v>
      </c>
    </row>
    <row r="48" spans="1:23" s="131" customFormat="1" ht="30.75" x14ac:dyDescent="0.25">
      <c r="A48" s="138">
        <v>2614</v>
      </c>
      <c r="B48" s="147" t="s">
        <v>142</v>
      </c>
      <c r="C48" s="135">
        <f>(1149164.2368*63.73/100)*1.2</f>
        <v>878834.84173516813</v>
      </c>
      <c r="D48" s="148"/>
      <c r="E48" s="135">
        <f t="shared" si="5"/>
        <v>878834.84173516813</v>
      </c>
      <c r="F48" s="135"/>
      <c r="G48" s="135"/>
      <c r="H48" s="130">
        <v>71111.199999999997</v>
      </c>
      <c r="I48" s="130">
        <v>69040.02</v>
      </c>
      <c r="J48" s="130"/>
      <c r="K48" s="130"/>
      <c r="L48" s="130"/>
      <c r="M48" s="130"/>
      <c r="N48" s="130">
        <f t="shared" si="1"/>
        <v>878834.84173516813</v>
      </c>
      <c r="O48" s="130">
        <f t="shared" si="2"/>
        <v>809794.82173516811</v>
      </c>
      <c r="P48" s="130">
        <v>29617</v>
      </c>
      <c r="Q48" s="130">
        <v>28570.959999999999</v>
      </c>
      <c r="R48" s="130"/>
      <c r="S48" s="130"/>
      <c r="T48" s="130"/>
      <c r="U48" s="130"/>
      <c r="V48" s="130">
        <f t="shared" si="3"/>
        <v>878834.84173516813</v>
      </c>
      <c r="W48" s="130">
        <f t="shared" si="12"/>
        <v>850263.88173516816</v>
      </c>
    </row>
    <row r="49" spans="1:23" s="131" customFormat="1" ht="15.75" x14ac:dyDescent="0.25">
      <c r="A49" s="138">
        <v>2711</v>
      </c>
      <c r="B49" s="146" t="s">
        <v>143</v>
      </c>
      <c r="C49" s="135">
        <v>449879.47680000006</v>
      </c>
      <c r="D49" s="148">
        <f>107000+982372</f>
        <v>1089372</v>
      </c>
      <c r="E49" s="135">
        <f t="shared" si="5"/>
        <v>1539251.4768000001</v>
      </c>
      <c r="F49" s="135"/>
      <c r="G49" s="135"/>
      <c r="H49" s="130">
        <v>93579.62</v>
      </c>
      <c r="I49" s="130">
        <v>90854.080000000002</v>
      </c>
      <c r="J49" s="130"/>
      <c r="K49" s="130"/>
      <c r="L49" s="130"/>
      <c r="M49" s="130"/>
      <c r="N49" s="130">
        <f t="shared" si="1"/>
        <v>1539251.4768000001</v>
      </c>
      <c r="O49" s="130">
        <f t="shared" si="2"/>
        <v>1448397.3968</v>
      </c>
      <c r="P49" s="130">
        <v>70601</v>
      </c>
      <c r="Q49" s="130">
        <v>69596.009999999995</v>
      </c>
      <c r="R49" s="130"/>
      <c r="S49" s="130"/>
      <c r="T49" s="130"/>
      <c r="U49" s="130"/>
      <c r="V49" s="130">
        <f t="shared" si="3"/>
        <v>1539251.4768000001</v>
      </c>
      <c r="W49" s="130">
        <f t="shared" si="12"/>
        <v>1469655.4668000001</v>
      </c>
    </row>
    <row r="50" spans="1:23" s="131" customFormat="1" ht="15" customHeight="1" x14ac:dyDescent="0.25">
      <c r="A50" s="138">
        <v>2721</v>
      </c>
      <c r="B50" s="146" t="s">
        <v>144</v>
      </c>
      <c r="C50" s="135">
        <v>30462.329600000001</v>
      </c>
      <c r="D50" s="148"/>
      <c r="E50" s="135">
        <f t="shared" si="5"/>
        <v>30462.329600000001</v>
      </c>
      <c r="F50" s="135"/>
      <c r="G50" s="135"/>
      <c r="H50" s="130">
        <v>1234.97</v>
      </c>
      <c r="I50" s="130">
        <v>1199.44</v>
      </c>
      <c r="J50" s="130"/>
      <c r="K50" s="130"/>
      <c r="L50" s="130"/>
      <c r="M50" s="130"/>
      <c r="N50" s="130">
        <f t="shared" si="1"/>
        <v>30462.329600000001</v>
      </c>
      <c r="O50" s="130">
        <f t="shared" si="2"/>
        <v>29262.889600000002</v>
      </c>
      <c r="P50" s="130">
        <v>32151</v>
      </c>
      <c r="Q50" s="130">
        <v>31095.42</v>
      </c>
      <c r="R50" s="130">
        <v>6655</v>
      </c>
      <c r="S50" s="130"/>
      <c r="T50" s="130"/>
      <c r="U50" s="130"/>
      <c r="V50" s="130">
        <f t="shared" si="3"/>
        <v>23807.329600000001</v>
      </c>
      <c r="W50" s="130">
        <f t="shared" si="12"/>
        <v>-7288.0903999999973</v>
      </c>
    </row>
    <row r="51" spans="1:23" s="131" customFormat="1" ht="15.75" x14ac:dyDescent="0.25">
      <c r="A51" s="138">
        <v>2731</v>
      </c>
      <c r="B51" s="146" t="s">
        <v>145</v>
      </c>
      <c r="C51" s="135">
        <v>69957.659200000009</v>
      </c>
      <c r="D51" s="135">
        <v>200000</v>
      </c>
      <c r="E51" s="135">
        <f t="shared" si="5"/>
        <v>269957.65919999999</v>
      </c>
      <c r="F51" s="135"/>
      <c r="G51" s="135"/>
      <c r="H51" s="130">
        <v>36180.81</v>
      </c>
      <c r="I51" s="130">
        <v>35127.26</v>
      </c>
      <c r="J51" s="130"/>
      <c r="K51" s="130"/>
      <c r="L51" s="130"/>
      <c r="M51" s="130"/>
      <c r="N51" s="130">
        <f t="shared" si="1"/>
        <v>269957.65919999999</v>
      </c>
      <c r="O51" s="130">
        <f t="shared" si="2"/>
        <v>234830.39919999999</v>
      </c>
      <c r="P51" s="130">
        <v>54120</v>
      </c>
      <c r="Q51" s="130">
        <v>1859.48</v>
      </c>
      <c r="R51" s="130"/>
      <c r="S51" s="130"/>
      <c r="T51" s="130"/>
      <c r="U51" s="130"/>
      <c r="V51" s="130">
        <f t="shared" si="3"/>
        <v>269957.65919999999</v>
      </c>
      <c r="W51" s="130">
        <f t="shared" si="12"/>
        <v>268098.17920000001</v>
      </c>
    </row>
    <row r="52" spans="1:23" s="131" customFormat="1" ht="15" customHeight="1" x14ac:dyDescent="0.25">
      <c r="A52" s="138">
        <v>2741</v>
      </c>
      <c r="B52" s="146" t="s">
        <v>146</v>
      </c>
      <c r="C52" s="135">
        <v>41777.486400000002</v>
      </c>
      <c r="D52" s="148"/>
      <c r="E52" s="135">
        <f t="shared" si="5"/>
        <v>41777.486400000002</v>
      </c>
      <c r="F52" s="135"/>
      <c r="G52" s="135"/>
      <c r="H52" s="130">
        <v>1512.04</v>
      </c>
      <c r="I52" s="130">
        <v>1467.54</v>
      </c>
      <c r="J52" s="130"/>
      <c r="K52" s="130"/>
      <c r="L52" s="130"/>
      <c r="M52" s="130"/>
      <c r="N52" s="130">
        <f t="shared" si="1"/>
        <v>41777.486400000002</v>
      </c>
      <c r="O52" s="130">
        <f t="shared" si="2"/>
        <v>40309.946400000001</v>
      </c>
      <c r="P52" s="130">
        <v>83530</v>
      </c>
      <c r="Q52" s="130">
        <v>81636.679999999993</v>
      </c>
      <c r="R52" s="130"/>
      <c r="S52" s="130"/>
      <c r="T52" s="130"/>
      <c r="U52" s="130"/>
      <c r="V52" s="130">
        <f t="shared" si="3"/>
        <v>41777.486400000002</v>
      </c>
      <c r="W52" s="130">
        <f t="shared" si="12"/>
        <v>-39859.193599999991</v>
      </c>
    </row>
    <row r="53" spans="1:23" s="131" customFormat="1" ht="15.75" x14ac:dyDescent="0.25">
      <c r="A53" s="138">
        <v>2751</v>
      </c>
      <c r="B53" s="146" t="s">
        <v>147</v>
      </c>
      <c r="C53" s="135">
        <v>342927.31199999998</v>
      </c>
      <c r="D53" s="148"/>
      <c r="E53" s="135">
        <f t="shared" si="5"/>
        <v>342927.31199999998</v>
      </c>
      <c r="F53" s="135"/>
      <c r="G53" s="135"/>
      <c r="H53" s="130">
        <v>128.75</v>
      </c>
      <c r="I53" s="130">
        <v>125</v>
      </c>
      <c r="J53" s="130"/>
      <c r="K53" s="130"/>
      <c r="L53" s="130"/>
      <c r="M53" s="130"/>
      <c r="N53" s="130">
        <f t="shared" si="1"/>
        <v>342927.31199999998</v>
      </c>
      <c r="O53" s="130">
        <f t="shared" si="2"/>
        <v>342802.31199999998</v>
      </c>
      <c r="P53" s="130">
        <v>1501</v>
      </c>
      <c r="Q53" s="130">
        <v>1224.29</v>
      </c>
      <c r="R53" s="130"/>
      <c r="S53" s="130"/>
      <c r="T53" s="130"/>
      <c r="U53" s="130"/>
      <c r="V53" s="130">
        <f t="shared" si="3"/>
        <v>342927.31199999998</v>
      </c>
      <c r="W53" s="130">
        <f t="shared" si="12"/>
        <v>341703.022</v>
      </c>
    </row>
    <row r="54" spans="1:23" s="131" customFormat="1" ht="15" customHeight="1" x14ac:dyDescent="0.25">
      <c r="A54" s="138">
        <v>2911</v>
      </c>
      <c r="B54" s="146" t="s">
        <v>148</v>
      </c>
      <c r="C54" s="135">
        <v>34403.200000000004</v>
      </c>
      <c r="D54" s="148"/>
      <c r="E54" s="135">
        <f t="shared" si="5"/>
        <v>34403.200000000004</v>
      </c>
      <c r="F54" s="135"/>
      <c r="G54" s="135"/>
      <c r="H54" s="130"/>
      <c r="I54" s="130"/>
      <c r="J54" s="130"/>
      <c r="K54" s="130"/>
      <c r="L54" s="130"/>
      <c r="M54" s="130"/>
      <c r="N54" s="130">
        <f t="shared" si="1"/>
        <v>34403.200000000004</v>
      </c>
      <c r="O54" s="130">
        <f t="shared" si="2"/>
        <v>34403.200000000004</v>
      </c>
      <c r="P54" s="130">
        <v>1089</v>
      </c>
      <c r="Q54" s="130">
        <v>957</v>
      </c>
      <c r="R54" s="130"/>
      <c r="S54" s="130"/>
      <c r="T54" s="130"/>
      <c r="U54" s="130"/>
      <c r="V54" s="130">
        <f t="shared" si="3"/>
        <v>34403.200000000004</v>
      </c>
      <c r="W54" s="130">
        <f t="shared" si="12"/>
        <v>33446.200000000004</v>
      </c>
    </row>
    <row r="55" spans="1:23" s="131" customFormat="1" ht="15.75" x14ac:dyDescent="0.25">
      <c r="A55" s="138">
        <v>2921</v>
      </c>
      <c r="B55" s="146" t="s">
        <v>149</v>
      </c>
      <c r="C55" s="135">
        <v>100000</v>
      </c>
      <c r="D55" s="148"/>
      <c r="E55" s="135">
        <f t="shared" si="5"/>
        <v>100000</v>
      </c>
      <c r="F55" s="135"/>
      <c r="G55" s="135"/>
      <c r="H55" s="130"/>
      <c r="I55" s="130"/>
      <c r="J55" s="130"/>
      <c r="K55" s="130"/>
      <c r="L55" s="130"/>
      <c r="M55" s="130"/>
      <c r="N55" s="130">
        <f t="shared" si="1"/>
        <v>100000</v>
      </c>
      <c r="O55" s="130">
        <f t="shared" si="2"/>
        <v>100000</v>
      </c>
      <c r="P55" s="130"/>
      <c r="Q55" s="130"/>
      <c r="R55" s="130"/>
      <c r="S55" s="130"/>
      <c r="T55" s="130"/>
      <c r="U55" s="130"/>
      <c r="V55" s="130">
        <f t="shared" si="3"/>
        <v>100000</v>
      </c>
      <c r="W55" s="130">
        <f t="shared" si="12"/>
        <v>100000</v>
      </c>
    </row>
    <row r="56" spans="1:23" s="131" customFormat="1" ht="15" customHeight="1" x14ac:dyDescent="0.25">
      <c r="A56" s="138">
        <v>2931</v>
      </c>
      <c r="B56" s="146" t="s">
        <v>150</v>
      </c>
      <c r="C56" s="135">
        <v>10000</v>
      </c>
      <c r="D56" s="148"/>
      <c r="E56" s="135">
        <f t="shared" si="5"/>
        <v>10000</v>
      </c>
      <c r="F56" s="135"/>
      <c r="G56" s="135"/>
      <c r="H56" s="130"/>
      <c r="I56" s="130"/>
      <c r="J56" s="130"/>
      <c r="K56" s="130"/>
      <c r="L56" s="130"/>
      <c r="M56" s="130"/>
      <c r="N56" s="130">
        <f t="shared" si="1"/>
        <v>10000</v>
      </c>
      <c r="O56" s="130">
        <f t="shared" si="2"/>
        <v>10000</v>
      </c>
      <c r="P56" s="130"/>
      <c r="Q56" s="130"/>
      <c r="R56" s="130"/>
      <c r="S56" s="130"/>
      <c r="T56" s="130"/>
      <c r="U56" s="130"/>
      <c r="V56" s="130">
        <f t="shared" si="3"/>
        <v>10000</v>
      </c>
      <c r="W56" s="130">
        <f t="shared" si="12"/>
        <v>10000</v>
      </c>
    </row>
    <row r="57" spans="1:23" s="131" customFormat="1" ht="15.75" x14ac:dyDescent="0.25">
      <c r="A57" s="138">
        <v>2941</v>
      </c>
      <c r="B57" s="146" t="s">
        <v>151</v>
      </c>
      <c r="C57" s="135">
        <v>15000</v>
      </c>
      <c r="D57" s="148"/>
      <c r="E57" s="135">
        <f t="shared" si="5"/>
        <v>15000</v>
      </c>
      <c r="F57" s="135"/>
      <c r="G57" s="135"/>
      <c r="H57" s="130"/>
      <c r="I57" s="130"/>
      <c r="J57" s="130"/>
      <c r="K57" s="130"/>
      <c r="L57" s="130"/>
      <c r="M57" s="130"/>
      <c r="N57" s="130">
        <f t="shared" si="1"/>
        <v>15000</v>
      </c>
      <c r="O57" s="130">
        <f t="shared" si="2"/>
        <v>15000</v>
      </c>
      <c r="P57" s="130"/>
      <c r="Q57" s="130"/>
      <c r="R57" s="130"/>
      <c r="S57" s="130"/>
      <c r="T57" s="130"/>
      <c r="U57" s="130"/>
      <c r="V57" s="130">
        <f t="shared" si="3"/>
        <v>15000</v>
      </c>
      <c r="W57" s="130">
        <f t="shared" si="12"/>
        <v>15000</v>
      </c>
    </row>
    <row r="58" spans="1:23" s="131" customFormat="1" ht="15" customHeight="1" x14ac:dyDescent="0.25">
      <c r="A58" s="138">
        <v>2961</v>
      </c>
      <c r="B58" s="146" t="s">
        <v>152</v>
      </c>
      <c r="C58" s="135">
        <v>25000</v>
      </c>
      <c r="D58" s="148"/>
      <c r="E58" s="135">
        <f t="shared" si="5"/>
        <v>25000</v>
      </c>
      <c r="F58" s="135"/>
      <c r="G58" s="135"/>
      <c r="H58" s="130"/>
      <c r="I58" s="130"/>
      <c r="J58" s="130"/>
      <c r="K58" s="130"/>
      <c r="L58" s="130"/>
      <c r="M58" s="130"/>
      <c r="N58" s="130">
        <f t="shared" si="1"/>
        <v>25000</v>
      </c>
      <c r="O58" s="130">
        <f t="shared" si="2"/>
        <v>25000</v>
      </c>
      <c r="P58" s="130"/>
      <c r="Q58" s="130"/>
      <c r="R58" s="130"/>
      <c r="S58" s="130"/>
      <c r="T58" s="130"/>
      <c r="U58" s="130"/>
      <c r="V58" s="130">
        <f t="shared" si="3"/>
        <v>25000</v>
      </c>
      <c r="W58" s="130">
        <f t="shared" si="12"/>
        <v>25000</v>
      </c>
    </row>
    <row r="59" spans="1:23" s="145" customFormat="1" ht="15.75" x14ac:dyDescent="0.25">
      <c r="A59" s="149"/>
      <c r="B59" s="149" t="s">
        <v>153</v>
      </c>
      <c r="C59" s="143">
        <f>SUM(C27:C58)</f>
        <v>13544470.557360001</v>
      </c>
      <c r="D59" s="143">
        <f>SUM(D27:D58)</f>
        <v>2694372</v>
      </c>
      <c r="E59" s="144">
        <f t="shared" si="5"/>
        <v>16238842.557360001</v>
      </c>
      <c r="F59" s="143">
        <f t="shared" ref="F59:G59" si="14">SUM(F27:F58)</f>
        <v>0</v>
      </c>
      <c r="G59" s="143">
        <f t="shared" si="14"/>
        <v>0</v>
      </c>
      <c r="H59" s="144">
        <f>SUM(H27:H58)</f>
        <v>1027843.45</v>
      </c>
      <c r="I59" s="144">
        <f>SUM(I27:I58)</f>
        <v>844748.35999999987</v>
      </c>
      <c r="J59" s="144">
        <f t="shared" ref="J59:M59" si="15">SUM(J27:J58)</f>
        <v>0</v>
      </c>
      <c r="K59" s="144">
        <f t="shared" si="15"/>
        <v>0</v>
      </c>
      <c r="L59" s="144">
        <f t="shared" si="15"/>
        <v>0</v>
      </c>
      <c r="M59" s="144">
        <f t="shared" si="15"/>
        <v>0</v>
      </c>
      <c r="N59" s="144">
        <f>SUM(N27:N58)</f>
        <v>16238842.557360001</v>
      </c>
      <c r="O59" s="144">
        <f>SUM(O27:O58)</f>
        <v>15394094.197360002</v>
      </c>
      <c r="P59" s="144">
        <f>SUM(P27:P58)</f>
        <v>900407</v>
      </c>
      <c r="Q59" s="144">
        <f>SUM(Q27:Q58)</f>
        <v>887756.75</v>
      </c>
      <c r="R59" s="144">
        <f t="shared" ref="R59" si="16">SUM(R27:R58)</f>
        <v>6655</v>
      </c>
      <c r="S59" s="144">
        <f t="shared" ref="S59" si="17">SUM(S27:S58)</f>
        <v>57463</v>
      </c>
      <c r="T59" s="144">
        <f t="shared" ref="T59" si="18">SUM(T27:T58)</f>
        <v>0</v>
      </c>
      <c r="U59" s="144">
        <f t="shared" ref="U59" si="19">SUM(U27:U58)</f>
        <v>0</v>
      </c>
      <c r="V59" s="144">
        <f>SUM(V27:V58)</f>
        <v>16289650.557360001</v>
      </c>
      <c r="W59" s="144">
        <f>SUM(W27:W58)</f>
        <v>15401893.807359999</v>
      </c>
    </row>
    <row r="60" spans="1:23" s="131" customFormat="1" ht="15" customHeight="1" x14ac:dyDescent="0.25">
      <c r="A60" s="138">
        <v>3111</v>
      </c>
      <c r="B60" s="150" t="s">
        <v>154</v>
      </c>
      <c r="C60" s="151">
        <v>461469.80000000005</v>
      </c>
      <c r="D60" s="152"/>
      <c r="E60" s="135">
        <f>D60+C60</f>
        <v>461469.80000000005</v>
      </c>
      <c r="F60" s="135"/>
      <c r="G60" s="135"/>
      <c r="H60" s="130">
        <v>38456</v>
      </c>
      <c r="I60" s="130">
        <v>46820</v>
      </c>
      <c r="J60" s="130"/>
      <c r="K60" s="130"/>
      <c r="L60" s="130"/>
      <c r="M60" s="130"/>
      <c r="N60" s="130">
        <f t="shared" si="1"/>
        <v>461469.80000000005</v>
      </c>
      <c r="O60" s="130">
        <f>+N60-I60</f>
        <v>414649.80000000005</v>
      </c>
      <c r="P60" s="130">
        <v>53940</v>
      </c>
      <c r="Q60" s="130">
        <v>51949</v>
      </c>
      <c r="R60" s="130"/>
      <c r="S60" s="130"/>
      <c r="T60" s="130"/>
      <c r="U60" s="130"/>
      <c r="V60" s="130">
        <f t="shared" ref="V60:V98" si="20">+M60-R60+S60-T60+U60</f>
        <v>0</v>
      </c>
      <c r="W60" s="130">
        <f>+V60-Q60</f>
        <v>-51949</v>
      </c>
    </row>
    <row r="61" spans="1:23" s="131" customFormat="1" ht="15.75" x14ac:dyDescent="0.25">
      <c r="A61" s="138">
        <v>3121</v>
      </c>
      <c r="B61" s="150" t="s">
        <v>155</v>
      </c>
      <c r="C61" s="151">
        <v>159510.72799999997</v>
      </c>
      <c r="D61" s="152"/>
      <c r="E61" s="135">
        <f t="shared" ref="E61:E98" si="21">D61+C61</f>
        <v>159510.72799999997</v>
      </c>
      <c r="F61" s="135"/>
      <c r="G61" s="135"/>
      <c r="H61" s="130">
        <v>13293</v>
      </c>
      <c r="I61" s="130">
        <v>13999.48</v>
      </c>
      <c r="J61" s="130"/>
      <c r="K61" s="130"/>
      <c r="L61" s="130"/>
      <c r="M61" s="130"/>
      <c r="N61" s="130">
        <f t="shared" si="1"/>
        <v>159510.72799999997</v>
      </c>
      <c r="O61" s="130">
        <f t="shared" ref="O61:O98" si="22">+N61-I61</f>
        <v>145511.24799999996</v>
      </c>
      <c r="P61" s="130">
        <v>15210</v>
      </c>
      <c r="Q61" s="130">
        <v>13128.88</v>
      </c>
      <c r="R61" s="130"/>
      <c r="S61" s="130"/>
      <c r="T61" s="130"/>
      <c r="U61" s="130"/>
      <c r="V61" s="130">
        <f t="shared" si="20"/>
        <v>0</v>
      </c>
      <c r="W61" s="130">
        <f t="shared" ref="W61:W98" si="23">+V61-Q61</f>
        <v>-13128.88</v>
      </c>
    </row>
    <row r="62" spans="1:23" s="131" customFormat="1" ht="15" customHeight="1" x14ac:dyDescent="0.25">
      <c r="A62" s="138">
        <v>3131</v>
      </c>
      <c r="B62" s="150" t="s">
        <v>156</v>
      </c>
      <c r="C62" s="151">
        <v>10860.48</v>
      </c>
      <c r="D62" s="152"/>
      <c r="E62" s="135">
        <f t="shared" si="21"/>
        <v>10860.48</v>
      </c>
      <c r="F62" s="135"/>
      <c r="G62" s="135"/>
      <c r="H62" s="130"/>
      <c r="I62" s="130"/>
      <c r="J62" s="130"/>
      <c r="K62" s="130"/>
      <c r="L62" s="130"/>
      <c r="M62" s="130"/>
      <c r="N62" s="130">
        <f t="shared" si="1"/>
        <v>10860.48</v>
      </c>
      <c r="O62" s="130">
        <f t="shared" si="22"/>
        <v>10860.48</v>
      </c>
      <c r="P62" s="130"/>
      <c r="Q62" s="130"/>
      <c r="R62" s="130"/>
      <c r="S62" s="130"/>
      <c r="T62" s="130"/>
      <c r="U62" s="130"/>
      <c r="V62" s="130">
        <f t="shared" si="20"/>
        <v>0</v>
      </c>
      <c r="W62" s="130">
        <f t="shared" si="23"/>
        <v>0</v>
      </c>
    </row>
    <row r="63" spans="1:23" s="131" customFormat="1" ht="15.75" x14ac:dyDescent="0.25">
      <c r="A63" s="138">
        <v>3141</v>
      </c>
      <c r="B63" s="150" t="s">
        <v>157</v>
      </c>
      <c r="C63" s="151">
        <f>149034.7664+18133</f>
        <v>167167.76639999999</v>
      </c>
      <c r="D63" s="152"/>
      <c r="E63" s="135">
        <f t="shared" si="21"/>
        <v>167167.76639999999</v>
      </c>
      <c r="F63" s="135"/>
      <c r="G63" s="135"/>
      <c r="H63" s="130">
        <v>11735.82</v>
      </c>
      <c r="I63" s="130">
        <v>11393.96</v>
      </c>
      <c r="J63" s="130"/>
      <c r="K63" s="130"/>
      <c r="L63" s="130"/>
      <c r="M63" s="130"/>
      <c r="N63" s="130">
        <f t="shared" si="1"/>
        <v>167167.76639999999</v>
      </c>
      <c r="O63" s="130">
        <f t="shared" si="22"/>
        <v>155773.8064</v>
      </c>
      <c r="P63" s="130">
        <v>12402</v>
      </c>
      <c r="Q63" s="130">
        <v>11293</v>
      </c>
      <c r="R63" s="130"/>
      <c r="S63" s="130"/>
      <c r="T63" s="130"/>
      <c r="U63" s="130"/>
      <c r="V63" s="130">
        <f t="shared" si="20"/>
        <v>0</v>
      </c>
      <c r="W63" s="130">
        <f t="shared" si="23"/>
        <v>-11293</v>
      </c>
    </row>
    <row r="64" spans="1:23" s="131" customFormat="1" ht="15" customHeight="1" x14ac:dyDescent="0.25">
      <c r="A64" s="138">
        <v>3171</v>
      </c>
      <c r="B64" s="150" t="s">
        <v>158</v>
      </c>
      <c r="C64" s="151">
        <v>6500</v>
      </c>
      <c r="D64" s="152"/>
      <c r="E64" s="135">
        <f t="shared" si="21"/>
        <v>6500</v>
      </c>
      <c r="F64" s="135"/>
      <c r="G64" s="135"/>
      <c r="H64" s="130"/>
      <c r="I64" s="130"/>
      <c r="J64" s="130"/>
      <c r="K64" s="130"/>
      <c r="L64" s="130"/>
      <c r="M64" s="130"/>
      <c r="N64" s="130">
        <f t="shared" si="1"/>
        <v>6500</v>
      </c>
      <c r="O64" s="130">
        <f t="shared" si="22"/>
        <v>6500</v>
      </c>
      <c r="P64" s="130"/>
      <c r="Q64" s="130"/>
      <c r="R64" s="130"/>
      <c r="S64" s="130"/>
      <c r="T64" s="130"/>
      <c r="U64" s="130"/>
      <c r="V64" s="130">
        <f t="shared" si="20"/>
        <v>0</v>
      </c>
      <c r="W64" s="130">
        <f t="shared" si="23"/>
        <v>0</v>
      </c>
    </row>
    <row r="65" spans="1:23" s="131" customFormat="1" ht="15.75" x14ac:dyDescent="0.25">
      <c r="A65" s="138">
        <v>3181</v>
      </c>
      <c r="B65" s="150" t="s">
        <v>159</v>
      </c>
      <c r="C65" s="151">
        <v>3112.2208000000001</v>
      </c>
      <c r="D65" s="152"/>
      <c r="E65" s="135">
        <f t="shared" si="21"/>
        <v>3112.2208000000001</v>
      </c>
      <c r="F65" s="135"/>
      <c r="G65" s="135"/>
      <c r="H65" s="130">
        <v>259</v>
      </c>
      <c r="I65" s="130">
        <v>346.43</v>
      </c>
      <c r="J65" s="130"/>
      <c r="K65" s="130"/>
      <c r="L65" s="130"/>
      <c r="M65" s="130"/>
      <c r="N65" s="130">
        <f t="shared" si="1"/>
        <v>3112.2208000000001</v>
      </c>
      <c r="O65" s="130">
        <f t="shared" si="22"/>
        <v>2765.7908000000002</v>
      </c>
      <c r="P65" s="130"/>
      <c r="Q65" s="130"/>
      <c r="R65" s="130"/>
      <c r="S65" s="130"/>
      <c r="T65" s="130"/>
      <c r="U65" s="130"/>
      <c r="V65" s="130">
        <f t="shared" si="20"/>
        <v>0</v>
      </c>
      <c r="W65" s="130">
        <f t="shared" si="23"/>
        <v>0</v>
      </c>
    </row>
    <row r="66" spans="1:23" s="131" customFormat="1" ht="15" customHeight="1" x14ac:dyDescent="0.25">
      <c r="A66" s="138">
        <v>3232</v>
      </c>
      <c r="B66" s="150" t="s">
        <v>160</v>
      </c>
      <c r="C66" s="151">
        <v>40000</v>
      </c>
      <c r="D66" s="152"/>
      <c r="E66" s="135">
        <f t="shared" si="21"/>
        <v>40000</v>
      </c>
      <c r="F66" s="135"/>
      <c r="G66" s="135"/>
      <c r="H66" s="130"/>
      <c r="I66" s="130"/>
      <c r="J66" s="130"/>
      <c r="K66" s="130"/>
      <c r="L66" s="130"/>
      <c r="M66" s="130"/>
      <c r="N66" s="130">
        <f t="shared" si="1"/>
        <v>40000</v>
      </c>
      <c r="O66" s="130">
        <f t="shared" si="22"/>
        <v>40000</v>
      </c>
      <c r="P66" s="130"/>
      <c r="Q66" s="130"/>
      <c r="R66" s="130"/>
      <c r="S66" s="130"/>
      <c r="T66" s="130"/>
      <c r="U66" s="130"/>
      <c r="V66" s="130">
        <f t="shared" si="20"/>
        <v>0</v>
      </c>
      <c r="W66" s="130">
        <f t="shared" si="23"/>
        <v>0</v>
      </c>
    </row>
    <row r="67" spans="1:23" s="131" customFormat="1" ht="15.75" x14ac:dyDescent="0.25">
      <c r="A67" s="138">
        <v>3261</v>
      </c>
      <c r="B67" s="150" t="s">
        <v>161</v>
      </c>
      <c r="C67" s="151">
        <v>30000</v>
      </c>
      <c r="D67" s="152"/>
      <c r="E67" s="135">
        <f t="shared" si="21"/>
        <v>30000</v>
      </c>
      <c r="F67" s="135"/>
      <c r="G67" s="135"/>
      <c r="H67" s="130"/>
      <c r="I67" s="130"/>
      <c r="J67" s="130"/>
      <c r="K67" s="130"/>
      <c r="L67" s="130"/>
      <c r="M67" s="130"/>
      <c r="N67" s="130">
        <f t="shared" si="1"/>
        <v>30000</v>
      </c>
      <c r="O67" s="130">
        <f t="shared" si="22"/>
        <v>30000</v>
      </c>
      <c r="P67" s="130"/>
      <c r="Q67" s="130"/>
      <c r="R67" s="130"/>
      <c r="S67" s="130"/>
      <c r="T67" s="130"/>
      <c r="U67" s="130"/>
      <c r="V67" s="130">
        <f t="shared" si="20"/>
        <v>0</v>
      </c>
      <c r="W67" s="130">
        <f t="shared" si="23"/>
        <v>0</v>
      </c>
    </row>
    <row r="68" spans="1:23" s="131" customFormat="1" ht="15" customHeight="1" x14ac:dyDescent="0.25">
      <c r="A68" s="138">
        <v>3311</v>
      </c>
      <c r="B68" s="150" t="s">
        <v>162</v>
      </c>
      <c r="C68" s="151">
        <f>45000+240000+237600+83520</f>
        <v>606120</v>
      </c>
      <c r="D68" s="153"/>
      <c r="E68" s="135">
        <f t="shared" si="21"/>
        <v>606120</v>
      </c>
      <c r="F68" s="135"/>
      <c r="G68" s="135"/>
      <c r="H68" s="130">
        <v>5829.8</v>
      </c>
      <c r="I68" s="130">
        <v>5660.38</v>
      </c>
      <c r="J68" s="130"/>
      <c r="K68" s="130"/>
      <c r="L68" s="130"/>
      <c r="M68" s="130"/>
      <c r="N68" s="130">
        <f t="shared" si="1"/>
        <v>606120</v>
      </c>
      <c r="O68" s="130">
        <f t="shared" si="22"/>
        <v>600459.62</v>
      </c>
      <c r="P68" s="130">
        <v>5801</v>
      </c>
      <c r="Q68" s="130">
        <v>5660.38</v>
      </c>
      <c r="R68" s="130"/>
      <c r="S68" s="130"/>
      <c r="T68" s="130"/>
      <c r="U68" s="130"/>
      <c r="V68" s="130">
        <f t="shared" si="20"/>
        <v>0</v>
      </c>
      <c r="W68" s="130">
        <f t="shared" si="23"/>
        <v>-5660.38</v>
      </c>
    </row>
    <row r="69" spans="1:23" s="131" customFormat="1" ht="15" customHeight="1" x14ac:dyDescent="0.25">
      <c r="A69" s="138">
        <v>3321</v>
      </c>
      <c r="B69" s="150" t="s">
        <v>269</v>
      </c>
      <c r="C69" s="151"/>
      <c r="D69" s="153"/>
      <c r="E69" s="135"/>
      <c r="F69" s="135"/>
      <c r="G69" s="135"/>
      <c r="H69" s="130"/>
      <c r="I69" s="130"/>
      <c r="J69" s="130"/>
      <c r="K69" s="130"/>
      <c r="L69" s="130"/>
      <c r="M69" s="130"/>
      <c r="N69" s="130"/>
      <c r="O69" s="130"/>
      <c r="P69" s="130"/>
      <c r="Q69" s="130">
        <v>195868.96</v>
      </c>
      <c r="R69" s="130"/>
      <c r="S69" s="130">
        <v>195869</v>
      </c>
      <c r="T69" s="130"/>
      <c r="U69" s="130"/>
      <c r="V69" s="130"/>
      <c r="W69" s="130"/>
    </row>
    <row r="70" spans="1:23" s="131" customFormat="1" ht="15.75" x14ac:dyDescent="0.25">
      <c r="A70" s="138">
        <v>3331</v>
      </c>
      <c r="B70" s="150" t="s">
        <v>163</v>
      </c>
      <c r="C70" s="151">
        <f>170000+30000</f>
        <v>200000</v>
      </c>
      <c r="D70" s="153"/>
      <c r="E70" s="135">
        <f t="shared" si="21"/>
        <v>200000</v>
      </c>
      <c r="F70" s="135"/>
      <c r="G70" s="135"/>
      <c r="H70" s="130"/>
      <c r="I70" s="130"/>
      <c r="J70" s="130"/>
      <c r="K70" s="130"/>
      <c r="L70" s="130"/>
      <c r="M70" s="130"/>
      <c r="N70" s="130">
        <f t="shared" si="1"/>
        <v>200000</v>
      </c>
      <c r="O70" s="130">
        <f t="shared" si="22"/>
        <v>200000</v>
      </c>
      <c r="P70" s="130"/>
      <c r="Q70" s="130"/>
      <c r="R70" s="130"/>
      <c r="S70" s="130"/>
      <c r="T70" s="130"/>
      <c r="U70" s="130"/>
      <c r="V70" s="130">
        <f t="shared" si="20"/>
        <v>0</v>
      </c>
      <c r="W70" s="130">
        <f t="shared" si="23"/>
        <v>0</v>
      </c>
    </row>
    <row r="71" spans="1:23" s="131" customFormat="1" ht="15" customHeight="1" x14ac:dyDescent="0.25">
      <c r="A71" s="138">
        <v>3341</v>
      </c>
      <c r="B71" s="150" t="s">
        <v>164</v>
      </c>
      <c r="C71" s="151">
        <v>50000</v>
      </c>
      <c r="D71" s="152"/>
      <c r="E71" s="135">
        <f t="shared" si="21"/>
        <v>50000</v>
      </c>
      <c r="F71" s="135"/>
      <c r="G71" s="135"/>
      <c r="H71" s="130">
        <v>27841.93</v>
      </c>
      <c r="I71" s="130">
        <v>27030.5</v>
      </c>
      <c r="J71" s="130"/>
      <c r="K71" s="130"/>
      <c r="L71" s="130"/>
      <c r="M71" s="130"/>
      <c r="N71" s="130">
        <f t="shared" si="1"/>
        <v>50000</v>
      </c>
      <c r="O71" s="130">
        <f t="shared" si="22"/>
        <v>22969.5</v>
      </c>
      <c r="P71" s="130">
        <v>28601</v>
      </c>
      <c r="Q71" s="130"/>
      <c r="R71" s="130"/>
      <c r="S71" s="130"/>
      <c r="T71" s="130"/>
      <c r="U71" s="130"/>
      <c r="V71" s="130">
        <f t="shared" si="20"/>
        <v>0</v>
      </c>
      <c r="W71" s="130">
        <f t="shared" si="23"/>
        <v>0</v>
      </c>
    </row>
    <row r="72" spans="1:23" s="131" customFormat="1" ht="15.75" x14ac:dyDescent="0.25">
      <c r="A72" s="138">
        <v>3342</v>
      </c>
      <c r="B72" s="150" t="s">
        <v>165</v>
      </c>
      <c r="C72" s="151">
        <f>15000+240000</f>
        <v>255000</v>
      </c>
      <c r="D72" s="152"/>
      <c r="E72" s="135">
        <f t="shared" si="21"/>
        <v>255000</v>
      </c>
      <c r="F72" s="135"/>
      <c r="G72" s="135"/>
      <c r="H72" s="130">
        <v>2389.6</v>
      </c>
      <c r="I72" s="130">
        <v>2320</v>
      </c>
      <c r="J72" s="130"/>
      <c r="K72" s="130"/>
      <c r="L72" s="130"/>
      <c r="M72" s="130"/>
      <c r="N72" s="130">
        <f t="shared" si="1"/>
        <v>255000</v>
      </c>
      <c r="O72" s="130">
        <f t="shared" si="22"/>
        <v>252680</v>
      </c>
      <c r="P72" s="130">
        <v>197800</v>
      </c>
      <c r="Q72" s="130"/>
      <c r="R72" s="130"/>
      <c r="S72" s="130"/>
      <c r="T72" s="130"/>
      <c r="U72" s="130"/>
      <c r="V72" s="130">
        <f t="shared" si="20"/>
        <v>0</v>
      </c>
      <c r="W72" s="130">
        <f t="shared" si="23"/>
        <v>0</v>
      </c>
    </row>
    <row r="73" spans="1:23" s="131" customFormat="1" ht="15" customHeight="1" x14ac:dyDescent="0.25">
      <c r="A73" s="138">
        <v>3351</v>
      </c>
      <c r="B73" s="150" t="s">
        <v>166</v>
      </c>
      <c r="C73" s="151">
        <f>90000+124976</f>
        <v>214976</v>
      </c>
      <c r="D73" s="152"/>
      <c r="E73" s="135">
        <f t="shared" si="21"/>
        <v>214976</v>
      </c>
      <c r="F73" s="135"/>
      <c r="G73" s="135"/>
      <c r="H73" s="130"/>
      <c r="I73" s="130"/>
      <c r="J73" s="130"/>
      <c r="K73" s="130"/>
      <c r="L73" s="130"/>
      <c r="M73" s="130"/>
      <c r="N73" s="130">
        <f t="shared" si="1"/>
        <v>214976</v>
      </c>
      <c r="O73" s="130">
        <f t="shared" si="22"/>
        <v>214976</v>
      </c>
      <c r="P73" s="130">
        <v>5600</v>
      </c>
      <c r="Q73" s="130">
        <v>4800</v>
      </c>
      <c r="R73" s="130"/>
      <c r="S73" s="130"/>
      <c r="T73" s="130"/>
      <c r="U73" s="130"/>
      <c r="V73" s="130">
        <f t="shared" si="20"/>
        <v>0</v>
      </c>
      <c r="W73" s="130">
        <f t="shared" si="23"/>
        <v>-4800</v>
      </c>
    </row>
    <row r="74" spans="1:23" s="131" customFormat="1" ht="15.75" x14ac:dyDescent="0.25">
      <c r="A74" s="138">
        <v>3362</v>
      </c>
      <c r="B74" s="150" t="s">
        <v>167</v>
      </c>
      <c r="C74" s="151">
        <v>45668.001600000011</v>
      </c>
      <c r="D74" s="152"/>
      <c r="E74" s="135">
        <f t="shared" si="21"/>
        <v>45668.001600000011</v>
      </c>
      <c r="F74" s="135"/>
      <c r="G74" s="135"/>
      <c r="H74" s="130">
        <v>3225.96</v>
      </c>
      <c r="I74" s="130">
        <v>3132</v>
      </c>
      <c r="J74" s="130"/>
      <c r="K74" s="130"/>
      <c r="L74" s="130"/>
      <c r="M74" s="130"/>
      <c r="N74" s="130">
        <f t="shared" ref="N74:N126" si="24">+E74-J74+K74-L74+M74</f>
        <v>45668.001600000011</v>
      </c>
      <c r="O74" s="130">
        <f t="shared" si="22"/>
        <v>42536.001600000011</v>
      </c>
      <c r="P74" s="130">
        <v>24740</v>
      </c>
      <c r="Q74" s="130">
        <v>23248.720000000001</v>
      </c>
      <c r="R74" s="130"/>
      <c r="S74" s="130"/>
      <c r="T74" s="130"/>
      <c r="U74" s="130"/>
      <c r="V74" s="130">
        <f t="shared" si="20"/>
        <v>0</v>
      </c>
      <c r="W74" s="130">
        <f t="shared" si="23"/>
        <v>-23248.720000000001</v>
      </c>
    </row>
    <row r="75" spans="1:23" s="131" customFormat="1" ht="15" customHeight="1" x14ac:dyDescent="0.25">
      <c r="A75" s="138">
        <v>3363</v>
      </c>
      <c r="B75" s="150" t="s">
        <v>168</v>
      </c>
      <c r="C75" s="151">
        <v>50000</v>
      </c>
      <c r="D75" s="152"/>
      <c r="E75" s="135">
        <f t="shared" si="21"/>
        <v>50000</v>
      </c>
      <c r="F75" s="135"/>
      <c r="G75" s="135"/>
      <c r="H75" s="130"/>
      <c r="I75" s="130"/>
      <c r="J75" s="130"/>
      <c r="K75" s="130"/>
      <c r="L75" s="130"/>
      <c r="M75" s="130"/>
      <c r="N75" s="130">
        <f t="shared" si="24"/>
        <v>50000</v>
      </c>
      <c r="O75" s="130">
        <f t="shared" si="22"/>
        <v>50000</v>
      </c>
      <c r="P75" s="130"/>
      <c r="Q75" s="130"/>
      <c r="R75" s="130"/>
      <c r="S75" s="130"/>
      <c r="T75" s="130"/>
      <c r="U75" s="130"/>
      <c r="V75" s="130">
        <f t="shared" si="20"/>
        <v>0</v>
      </c>
      <c r="W75" s="130">
        <f t="shared" si="23"/>
        <v>0</v>
      </c>
    </row>
    <row r="76" spans="1:23" s="131" customFormat="1" ht="15.75" x14ac:dyDescent="0.25">
      <c r="A76" s="138">
        <v>3391</v>
      </c>
      <c r="B76" s="150" t="s">
        <v>169</v>
      </c>
      <c r="C76" s="135">
        <f>83520+120000+15000+170000</f>
        <v>388520</v>
      </c>
      <c r="D76" s="151">
        <v>638000</v>
      </c>
      <c r="E76" s="135">
        <f t="shared" si="21"/>
        <v>1026520</v>
      </c>
      <c r="F76" s="135"/>
      <c r="G76" s="135"/>
      <c r="H76" s="130">
        <v>24734.42</v>
      </c>
      <c r="I76" s="130">
        <f>16058.04+2296</f>
        <v>18354.04</v>
      </c>
      <c r="J76" s="130"/>
      <c r="K76" s="130"/>
      <c r="L76" s="130"/>
      <c r="M76" s="130"/>
      <c r="N76" s="130">
        <f t="shared" si="24"/>
        <v>1026520</v>
      </c>
      <c r="O76" s="130">
        <f t="shared" si="22"/>
        <v>1008165.96</v>
      </c>
      <c r="P76" s="130">
        <v>34205</v>
      </c>
      <c r="Q76" s="130">
        <v>32825.78</v>
      </c>
      <c r="R76" s="130"/>
      <c r="S76" s="130"/>
      <c r="T76" s="130"/>
      <c r="U76" s="130"/>
      <c r="V76" s="130">
        <f t="shared" si="20"/>
        <v>0</v>
      </c>
      <c r="W76" s="130">
        <f t="shared" si="23"/>
        <v>-32825.78</v>
      </c>
    </row>
    <row r="77" spans="1:23" s="131" customFormat="1" ht="15" customHeight="1" x14ac:dyDescent="0.25">
      <c r="A77" s="138">
        <v>3411</v>
      </c>
      <c r="B77" s="150" t="s">
        <v>170</v>
      </c>
      <c r="C77" s="151">
        <v>3567.4495999999999</v>
      </c>
      <c r="D77" s="152"/>
      <c r="E77" s="135">
        <f t="shared" si="21"/>
        <v>3567.4495999999999</v>
      </c>
      <c r="F77" s="135"/>
      <c r="G77" s="135"/>
      <c r="H77" s="130">
        <v>25476.02</v>
      </c>
      <c r="I77" s="130">
        <v>264.88</v>
      </c>
      <c r="J77" s="130"/>
      <c r="K77" s="130"/>
      <c r="L77" s="130"/>
      <c r="M77" s="130"/>
      <c r="N77" s="130">
        <f t="shared" si="24"/>
        <v>3567.4495999999999</v>
      </c>
      <c r="O77" s="130">
        <f t="shared" si="22"/>
        <v>3302.5695999999998</v>
      </c>
      <c r="P77" s="130">
        <v>64012</v>
      </c>
      <c r="Q77" s="130">
        <v>206.19</v>
      </c>
      <c r="R77" s="130"/>
      <c r="S77" s="130"/>
      <c r="T77" s="130"/>
      <c r="U77" s="130"/>
      <c r="V77" s="130">
        <f t="shared" si="20"/>
        <v>0</v>
      </c>
      <c r="W77" s="130">
        <f t="shared" si="23"/>
        <v>-206.19</v>
      </c>
    </row>
    <row r="78" spans="1:23" s="131" customFormat="1" ht="15.75" x14ac:dyDescent="0.25">
      <c r="A78" s="138">
        <v>3451</v>
      </c>
      <c r="B78" s="150" t="s">
        <v>171</v>
      </c>
      <c r="C78" s="151">
        <v>101437</v>
      </c>
      <c r="D78" s="152"/>
      <c r="E78" s="135">
        <f t="shared" si="21"/>
        <v>101437</v>
      </c>
      <c r="F78" s="135"/>
      <c r="G78" s="135"/>
      <c r="H78" s="130"/>
      <c r="I78" s="130"/>
      <c r="J78" s="130"/>
      <c r="K78" s="130"/>
      <c r="L78" s="130"/>
      <c r="M78" s="130"/>
      <c r="N78" s="130">
        <f t="shared" si="24"/>
        <v>101437</v>
      </c>
      <c r="O78" s="130">
        <f t="shared" si="22"/>
        <v>101437</v>
      </c>
      <c r="P78" s="130"/>
      <c r="Q78" s="130">
        <v>61747.75</v>
      </c>
      <c r="R78" s="130"/>
      <c r="S78" s="130"/>
      <c r="T78" s="130"/>
      <c r="U78" s="130"/>
      <c r="V78" s="130">
        <f t="shared" si="20"/>
        <v>0</v>
      </c>
      <c r="W78" s="130">
        <f t="shared" si="23"/>
        <v>-61747.75</v>
      </c>
    </row>
    <row r="79" spans="1:23" s="131" customFormat="1" ht="15" customHeight="1" x14ac:dyDescent="0.25">
      <c r="A79" s="138">
        <v>3471</v>
      </c>
      <c r="B79" s="150" t="s">
        <v>172</v>
      </c>
      <c r="C79" s="151">
        <v>8686.08</v>
      </c>
      <c r="D79" s="152"/>
      <c r="E79" s="135">
        <f t="shared" si="21"/>
        <v>8686.08</v>
      </c>
      <c r="F79" s="135"/>
      <c r="G79" s="135"/>
      <c r="H79" s="130">
        <v>716.88</v>
      </c>
      <c r="I79" s="130">
        <v>696</v>
      </c>
      <c r="J79" s="130"/>
      <c r="K79" s="130"/>
      <c r="L79" s="130"/>
      <c r="M79" s="130"/>
      <c r="N79" s="130">
        <f t="shared" si="24"/>
        <v>8686.08</v>
      </c>
      <c r="O79" s="130">
        <f t="shared" si="22"/>
        <v>7990.08</v>
      </c>
      <c r="P79" s="130"/>
      <c r="Q79" s="130"/>
      <c r="R79" s="130"/>
      <c r="S79" s="130"/>
      <c r="T79" s="130"/>
      <c r="U79" s="130"/>
      <c r="V79" s="130">
        <f t="shared" si="20"/>
        <v>0</v>
      </c>
      <c r="W79" s="130">
        <f t="shared" si="23"/>
        <v>0</v>
      </c>
    </row>
    <row r="80" spans="1:23" s="131" customFormat="1" ht="15.75" x14ac:dyDescent="0.25">
      <c r="A80" s="138">
        <v>3481</v>
      </c>
      <c r="B80" s="150" t="s">
        <v>173</v>
      </c>
      <c r="C80" s="151">
        <v>0</v>
      </c>
      <c r="D80" s="152"/>
      <c r="E80" s="135">
        <f t="shared" si="21"/>
        <v>0</v>
      </c>
      <c r="F80" s="135"/>
      <c r="G80" s="135"/>
      <c r="H80" s="130"/>
      <c r="I80" s="130"/>
      <c r="J80" s="130"/>
      <c r="K80" s="130"/>
      <c r="L80" s="130"/>
      <c r="M80" s="130"/>
      <c r="N80" s="130">
        <f t="shared" si="24"/>
        <v>0</v>
      </c>
      <c r="O80" s="130">
        <f t="shared" si="22"/>
        <v>0</v>
      </c>
      <c r="P80" s="130"/>
      <c r="Q80" s="130"/>
      <c r="R80" s="130"/>
      <c r="S80" s="130"/>
      <c r="T80" s="130"/>
      <c r="U80" s="130"/>
      <c r="V80" s="130">
        <f t="shared" si="20"/>
        <v>0</v>
      </c>
      <c r="W80" s="130">
        <f t="shared" si="23"/>
        <v>0</v>
      </c>
    </row>
    <row r="81" spans="1:23" s="131" customFormat="1" ht="15" customHeight="1" x14ac:dyDescent="0.25">
      <c r="A81" s="138">
        <v>3512</v>
      </c>
      <c r="B81" s="150" t="s">
        <v>174</v>
      </c>
      <c r="C81" s="151">
        <f>500000+150000+300000</f>
        <v>950000</v>
      </c>
      <c r="D81" s="151">
        <f>5735172-3+100000</f>
        <v>5835169</v>
      </c>
      <c r="E81" s="135">
        <f t="shared" si="21"/>
        <v>6785169</v>
      </c>
      <c r="F81" s="135"/>
      <c r="G81" s="135"/>
      <c r="H81" s="130">
        <v>17220.57</v>
      </c>
      <c r="I81" s="130">
        <v>16719.18</v>
      </c>
      <c r="J81" s="130"/>
      <c r="K81" s="130"/>
      <c r="L81" s="130"/>
      <c r="M81" s="130"/>
      <c r="N81" s="130">
        <f t="shared" si="24"/>
        <v>6785169</v>
      </c>
      <c r="O81" s="130">
        <f t="shared" si="22"/>
        <v>6768449.8200000003</v>
      </c>
      <c r="P81" s="130">
        <v>3904</v>
      </c>
      <c r="Q81" s="130">
        <v>3765.36</v>
      </c>
      <c r="R81" s="130"/>
      <c r="S81" s="130"/>
      <c r="T81" s="130"/>
      <c r="U81" s="130"/>
      <c r="V81" s="130">
        <f t="shared" si="20"/>
        <v>0</v>
      </c>
      <c r="W81" s="130">
        <f t="shared" si="23"/>
        <v>-3765.36</v>
      </c>
    </row>
    <row r="82" spans="1:23" s="131" customFormat="1" ht="15.75" x14ac:dyDescent="0.25">
      <c r="A82" s="138">
        <v>3521</v>
      </c>
      <c r="B82" s="150" t="s">
        <v>175</v>
      </c>
      <c r="C82" s="151">
        <v>250000</v>
      </c>
      <c r="D82" s="152"/>
      <c r="E82" s="135">
        <f t="shared" si="21"/>
        <v>250000</v>
      </c>
      <c r="F82" s="135"/>
      <c r="G82" s="135"/>
      <c r="H82" s="130"/>
      <c r="I82" s="130"/>
      <c r="J82" s="130"/>
      <c r="K82" s="130"/>
      <c r="L82" s="130"/>
      <c r="M82" s="130"/>
      <c r="N82" s="130">
        <f t="shared" si="24"/>
        <v>250000</v>
      </c>
      <c r="O82" s="130">
        <f t="shared" si="22"/>
        <v>250000</v>
      </c>
      <c r="P82" s="130"/>
      <c r="Q82" s="130"/>
      <c r="R82" s="130"/>
      <c r="S82" s="130"/>
      <c r="T82" s="130"/>
      <c r="U82" s="130"/>
      <c r="V82" s="130">
        <f t="shared" si="20"/>
        <v>0</v>
      </c>
      <c r="W82" s="130">
        <f t="shared" si="23"/>
        <v>0</v>
      </c>
    </row>
    <row r="83" spans="1:23" s="131" customFormat="1" ht="15" customHeight="1" x14ac:dyDescent="0.25">
      <c r="A83" s="138">
        <v>3531</v>
      </c>
      <c r="B83" s="150" t="s">
        <v>176</v>
      </c>
      <c r="C83" s="151">
        <v>1650000</v>
      </c>
      <c r="D83" s="152"/>
      <c r="E83" s="135">
        <f t="shared" si="21"/>
        <v>1650000</v>
      </c>
      <c r="F83" s="135"/>
      <c r="G83" s="135"/>
      <c r="H83" s="130">
        <v>5669.12</v>
      </c>
      <c r="I83" s="130">
        <v>5504</v>
      </c>
      <c r="J83" s="130"/>
      <c r="K83" s="130"/>
      <c r="L83" s="130"/>
      <c r="M83" s="130"/>
      <c r="N83" s="130">
        <f t="shared" si="24"/>
        <v>1650000</v>
      </c>
      <c r="O83" s="130">
        <f t="shared" si="22"/>
        <v>1644496</v>
      </c>
      <c r="P83" s="130">
        <v>650</v>
      </c>
      <c r="Q83" s="130">
        <v>580</v>
      </c>
      <c r="R83" s="130"/>
      <c r="S83" s="130"/>
      <c r="T83" s="130"/>
      <c r="U83" s="130"/>
      <c r="V83" s="130">
        <f t="shared" si="20"/>
        <v>0</v>
      </c>
      <c r="W83" s="130">
        <f t="shared" si="23"/>
        <v>-580</v>
      </c>
    </row>
    <row r="84" spans="1:23" s="131" customFormat="1" ht="15.75" x14ac:dyDescent="0.25">
      <c r="A84" s="138">
        <v>3551</v>
      </c>
      <c r="B84" s="150" t="s">
        <v>177</v>
      </c>
      <c r="C84" s="151">
        <v>213722</v>
      </c>
      <c r="D84" s="152"/>
      <c r="E84" s="135">
        <f t="shared" si="21"/>
        <v>213722</v>
      </c>
      <c r="F84" s="135"/>
      <c r="G84" s="135"/>
      <c r="H84" s="130">
        <v>1252.48</v>
      </c>
      <c r="I84" s="130">
        <v>1216.04</v>
      </c>
      <c r="J84" s="130"/>
      <c r="K84" s="130"/>
      <c r="L84" s="130"/>
      <c r="M84" s="130"/>
      <c r="N84" s="130">
        <f t="shared" si="24"/>
        <v>213722</v>
      </c>
      <c r="O84" s="130">
        <f t="shared" si="22"/>
        <v>212505.96</v>
      </c>
      <c r="P84" s="130">
        <v>14801</v>
      </c>
      <c r="Q84" s="130">
        <v>13650.08</v>
      </c>
      <c r="R84" s="130"/>
      <c r="S84" s="130"/>
      <c r="T84" s="130"/>
      <c r="U84" s="130"/>
      <c r="V84" s="130">
        <f t="shared" si="20"/>
        <v>0</v>
      </c>
      <c r="W84" s="130">
        <f t="shared" si="23"/>
        <v>-13650.08</v>
      </c>
    </row>
    <row r="85" spans="1:23" s="131" customFormat="1" ht="15" customHeight="1" x14ac:dyDescent="0.25">
      <c r="A85" s="138">
        <v>3571</v>
      </c>
      <c r="B85" s="150" t="s">
        <v>178</v>
      </c>
      <c r="C85" s="151">
        <v>250000</v>
      </c>
      <c r="D85" s="152"/>
      <c r="E85" s="135">
        <f t="shared" si="21"/>
        <v>250000</v>
      </c>
      <c r="F85" s="135"/>
      <c r="G85" s="135"/>
      <c r="H85" s="130"/>
      <c r="I85" s="130"/>
      <c r="J85" s="130"/>
      <c r="K85" s="130"/>
      <c r="L85" s="130"/>
      <c r="M85" s="130"/>
      <c r="N85" s="130">
        <f t="shared" si="24"/>
        <v>250000</v>
      </c>
      <c r="O85" s="130">
        <f t="shared" si="22"/>
        <v>250000</v>
      </c>
      <c r="P85" s="130">
        <v>468500</v>
      </c>
      <c r="Q85" s="130">
        <v>32944.639999999999</v>
      </c>
      <c r="R85" s="130"/>
      <c r="S85" s="130"/>
      <c r="T85" s="130"/>
      <c r="U85" s="130"/>
      <c r="V85" s="130">
        <f t="shared" si="20"/>
        <v>0</v>
      </c>
      <c r="W85" s="130">
        <f t="shared" si="23"/>
        <v>-32944.639999999999</v>
      </c>
    </row>
    <row r="86" spans="1:23" s="131" customFormat="1" ht="15.75" x14ac:dyDescent="0.25">
      <c r="A86" s="138">
        <v>3572</v>
      </c>
      <c r="B86" s="150" t="s">
        <v>179</v>
      </c>
      <c r="C86" s="151">
        <v>50000</v>
      </c>
      <c r="D86" s="152"/>
      <c r="E86" s="135">
        <f t="shared" si="21"/>
        <v>50000</v>
      </c>
      <c r="F86" s="135"/>
      <c r="G86" s="135"/>
      <c r="H86" s="130"/>
      <c r="I86" s="130"/>
      <c r="J86" s="130"/>
      <c r="K86" s="130"/>
      <c r="L86" s="130"/>
      <c r="M86" s="130"/>
      <c r="N86" s="130">
        <f t="shared" si="24"/>
        <v>50000</v>
      </c>
      <c r="O86" s="130">
        <f t="shared" si="22"/>
        <v>50000</v>
      </c>
      <c r="P86" s="130"/>
      <c r="Q86" s="130"/>
      <c r="R86" s="130"/>
      <c r="S86" s="130"/>
      <c r="T86" s="130"/>
      <c r="U86" s="130"/>
      <c r="V86" s="130">
        <f t="shared" si="20"/>
        <v>0</v>
      </c>
      <c r="W86" s="130">
        <f t="shared" si="23"/>
        <v>0</v>
      </c>
    </row>
    <row r="87" spans="1:23" s="131" customFormat="1" ht="15" customHeight="1" x14ac:dyDescent="0.25">
      <c r="A87" s="138">
        <v>3581</v>
      </c>
      <c r="B87" s="150" t="s">
        <v>180</v>
      </c>
      <c r="C87" s="151">
        <v>150000</v>
      </c>
      <c r="D87" s="152"/>
      <c r="E87" s="135">
        <f t="shared" si="21"/>
        <v>150000</v>
      </c>
      <c r="F87" s="135"/>
      <c r="G87" s="135"/>
      <c r="H87" s="130">
        <v>12500</v>
      </c>
      <c r="I87" s="130">
        <v>15831.16</v>
      </c>
      <c r="J87" s="130"/>
      <c r="K87" s="130"/>
      <c r="L87" s="130"/>
      <c r="M87" s="130"/>
      <c r="N87" s="130">
        <f t="shared" si="24"/>
        <v>150000</v>
      </c>
      <c r="O87" s="130">
        <f t="shared" si="22"/>
        <v>134168.84</v>
      </c>
      <c r="P87" s="130">
        <v>17200</v>
      </c>
      <c r="Q87" s="130">
        <v>44077.21</v>
      </c>
      <c r="R87" s="130"/>
      <c r="S87" s="130"/>
      <c r="T87" s="130"/>
      <c r="U87" s="130"/>
      <c r="V87" s="130">
        <f t="shared" si="20"/>
        <v>0</v>
      </c>
      <c r="W87" s="130">
        <f t="shared" si="23"/>
        <v>-44077.21</v>
      </c>
    </row>
    <row r="88" spans="1:23" s="131" customFormat="1" ht="15.75" x14ac:dyDescent="0.25">
      <c r="A88" s="138">
        <v>3591</v>
      </c>
      <c r="B88" s="150" t="s">
        <v>181</v>
      </c>
      <c r="C88" s="151">
        <f>15000*12</f>
        <v>180000</v>
      </c>
      <c r="D88" s="152"/>
      <c r="E88" s="135">
        <f t="shared" si="21"/>
        <v>180000</v>
      </c>
      <c r="F88" s="135"/>
      <c r="G88" s="135"/>
      <c r="H88" s="130"/>
      <c r="I88" s="130"/>
      <c r="J88" s="130"/>
      <c r="K88" s="130"/>
      <c r="L88" s="130"/>
      <c r="M88" s="130"/>
      <c r="N88" s="130">
        <f t="shared" si="24"/>
        <v>180000</v>
      </c>
      <c r="O88" s="130">
        <f t="shared" si="22"/>
        <v>180000</v>
      </c>
      <c r="P88" s="130"/>
      <c r="Q88" s="130"/>
      <c r="R88" s="130">
        <v>1454</v>
      </c>
      <c r="S88" s="130"/>
      <c r="T88" s="130"/>
      <c r="U88" s="130"/>
      <c r="V88" s="130">
        <f t="shared" si="20"/>
        <v>-1454</v>
      </c>
      <c r="W88" s="130">
        <f t="shared" si="23"/>
        <v>-1454</v>
      </c>
    </row>
    <row r="89" spans="1:23" s="131" customFormat="1" ht="15" customHeight="1" x14ac:dyDescent="0.25">
      <c r="A89" s="138">
        <v>3721</v>
      </c>
      <c r="B89" s="150" t="s">
        <v>182</v>
      </c>
      <c r="C89" s="151">
        <v>64623.748800000001</v>
      </c>
      <c r="D89" s="152"/>
      <c r="E89" s="135">
        <f t="shared" si="21"/>
        <v>64623.748800000001</v>
      </c>
      <c r="F89" s="135"/>
      <c r="G89" s="135"/>
      <c r="H89" s="130">
        <v>20598.97</v>
      </c>
      <c r="I89" s="130">
        <v>19998.759999999998</v>
      </c>
      <c r="J89" s="130"/>
      <c r="K89" s="130"/>
      <c r="L89" s="130"/>
      <c r="M89" s="130"/>
      <c r="N89" s="130">
        <f t="shared" si="24"/>
        <v>64623.748800000001</v>
      </c>
      <c r="O89" s="130">
        <f t="shared" si="22"/>
        <v>44624.988800000006</v>
      </c>
      <c r="P89" s="130">
        <v>4820</v>
      </c>
      <c r="Q89" s="130">
        <v>4694.95</v>
      </c>
      <c r="R89" s="130"/>
      <c r="S89" s="130"/>
      <c r="T89" s="130"/>
      <c r="U89" s="130"/>
      <c r="V89" s="130">
        <f t="shared" si="20"/>
        <v>0</v>
      </c>
      <c r="W89" s="130">
        <f t="shared" si="23"/>
        <v>-4694.95</v>
      </c>
    </row>
    <row r="90" spans="1:23" s="131" customFormat="1" ht="15.75" x14ac:dyDescent="0.25">
      <c r="A90" s="138">
        <v>3751</v>
      </c>
      <c r="B90" s="150" t="s">
        <v>183</v>
      </c>
      <c r="C90" s="151">
        <f>8371.68+25000</f>
        <v>33371.68</v>
      </c>
      <c r="D90" s="152"/>
      <c r="E90" s="135">
        <f t="shared" si="21"/>
        <v>33371.68</v>
      </c>
      <c r="F90" s="135"/>
      <c r="G90" s="135"/>
      <c r="H90" s="130">
        <v>1827.22</v>
      </c>
      <c r="I90" s="130">
        <v>1774</v>
      </c>
      <c r="J90" s="130"/>
      <c r="K90" s="130"/>
      <c r="L90" s="130"/>
      <c r="M90" s="130"/>
      <c r="N90" s="130">
        <f t="shared" si="24"/>
        <v>33371.68</v>
      </c>
      <c r="O90" s="130">
        <f t="shared" si="22"/>
        <v>31597.68</v>
      </c>
      <c r="P90" s="130"/>
      <c r="Q90" s="130"/>
      <c r="R90" s="130"/>
      <c r="S90" s="130"/>
      <c r="T90" s="130"/>
      <c r="U90" s="130"/>
      <c r="V90" s="130">
        <f t="shared" si="20"/>
        <v>0</v>
      </c>
      <c r="W90" s="130">
        <f t="shared" si="23"/>
        <v>0</v>
      </c>
    </row>
    <row r="91" spans="1:23" s="131" customFormat="1" ht="15" customHeight="1" x14ac:dyDescent="0.25">
      <c r="A91" s="138">
        <v>3791</v>
      </c>
      <c r="B91" s="150" t="s">
        <v>184</v>
      </c>
      <c r="C91" s="151">
        <v>6000</v>
      </c>
      <c r="D91" s="152"/>
      <c r="E91" s="135">
        <f t="shared" si="21"/>
        <v>6000</v>
      </c>
      <c r="F91" s="135"/>
      <c r="G91" s="135"/>
      <c r="H91" s="130"/>
      <c r="I91" s="130"/>
      <c r="J91" s="130"/>
      <c r="K91" s="130"/>
      <c r="L91" s="130"/>
      <c r="M91" s="130"/>
      <c r="N91" s="130">
        <f t="shared" si="24"/>
        <v>6000</v>
      </c>
      <c r="O91" s="130">
        <f t="shared" si="22"/>
        <v>6000</v>
      </c>
      <c r="P91" s="130"/>
      <c r="Q91" s="130"/>
      <c r="R91" s="130"/>
      <c r="S91" s="130"/>
      <c r="T91" s="130"/>
      <c r="U91" s="130"/>
      <c r="V91" s="130">
        <f t="shared" si="20"/>
        <v>0</v>
      </c>
      <c r="W91" s="130">
        <f t="shared" si="23"/>
        <v>0</v>
      </c>
    </row>
    <row r="92" spans="1:23" s="131" customFormat="1" ht="15.75" x14ac:dyDescent="0.25">
      <c r="A92" s="138">
        <v>3821</v>
      </c>
      <c r="B92" s="150" t="s">
        <v>185</v>
      </c>
      <c r="C92" s="151">
        <v>14400</v>
      </c>
      <c r="D92" s="152"/>
      <c r="E92" s="135">
        <f t="shared" si="21"/>
        <v>14400</v>
      </c>
      <c r="F92" s="135"/>
      <c r="G92" s="135"/>
      <c r="H92" s="130"/>
      <c r="I92" s="130"/>
      <c r="J92" s="130"/>
      <c r="K92" s="130"/>
      <c r="L92" s="130"/>
      <c r="M92" s="130"/>
      <c r="N92" s="130">
        <f t="shared" si="24"/>
        <v>14400</v>
      </c>
      <c r="O92" s="130">
        <f t="shared" si="22"/>
        <v>14400</v>
      </c>
      <c r="P92" s="130"/>
      <c r="Q92" s="130">
        <v>1200</v>
      </c>
      <c r="R92" s="130"/>
      <c r="S92" s="130"/>
      <c r="T92" s="130"/>
      <c r="U92" s="130"/>
      <c r="V92" s="130">
        <f t="shared" si="20"/>
        <v>0</v>
      </c>
      <c r="W92" s="130">
        <f t="shared" si="23"/>
        <v>-1200</v>
      </c>
    </row>
    <row r="93" spans="1:23" s="131" customFormat="1" ht="15" customHeight="1" x14ac:dyDescent="0.25">
      <c r="A93" s="138">
        <v>3822</v>
      </c>
      <c r="B93" s="150" t="s">
        <v>186</v>
      </c>
      <c r="C93" s="151">
        <v>15000</v>
      </c>
      <c r="D93" s="152"/>
      <c r="E93" s="135">
        <f t="shared" si="21"/>
        <v>15000</v>
      </c>
      <c r="F93" s="135"/>
      <c r="G93" s="135"/>
      <c r="H93" s="130">
        <v>15330.52</v>
      </c>
      <c r="I93" s="130">
        <v>14884</v>
      </c>
      <c r="J93" s="130"/>
      <c r="K93" s="130"/>
      <c r="L93" s="130"/>
      <c r="M93" s="130"/>
      <c r="N93" s="130">
        <f t="shared" si="24"/>
        <v>15000</v>
      </c>
      <c r="O93" s="130">
        <f t="shared" si="22"/>
        <v>116</v>
      </c>
      <c r="P93" s="130">
        <v>1850</v>
      </c>
      <c r="Q93" s="130">
        <v>1570</v>
      </c>
      <c r="R93" s="130"/>
      <c r="S93" s="130">
        <v>1454</v>
      </c>
      <c r="T93" s="130"/>
      <c r="U93" s="130"/>
      <c r="V93" s="130">
        <f t="shared" si="20"/>
        <v>1454</v>
      </c>
      <c r="W93" s="130">
        <f t="shared" si="23"/>
        <v>-116</v>
      </c>
    </row>
    <row r="94" spans="1:23" s="131" customFormat="1" ht="15.75" x14ac:dyDescent="0.25">
      <c r="A94" s="138">
        <v>3921</v>
      </c>
      <c r="B94" s="150" t="s">
        <v>187</v>
      </c>
      <c r="C94" s="151">
        <v>226398.22399999999</v>
      </c>
      <c r="D94" s="152"/>
      <c r="E94" s="135">
        <f t="shared" si="21"/>
        <v>226398.22399999999</v>
      </c>
      <c r="F94" s="135"/>
      <c r="G94" s="135"/>
      <c r="H94" s="130">
        <v>18863.419999999998</v>
      </c>
      <c r="I94" s="130">
        <v>18314.23</v>
      </c>
      <c r="J94" s="130"/>
      <c r="K94" s="130"/>
      <c r="L94" s="130"/>
      <c r="M94" s="130"/>
      <c r="N94" s="130">
        <f t="shared" si="24"/>
        <v>226398.22399999999</v>
      </c>
      <c r="O94" s="130">
        <f t="shared" si="22"/>
        <v>208083.99399999998</v>
      </c>
      <c r="P94" s="130">
        <v>38050</v>
      </c>
      <c r="Q94" s="130">
        <v>37026.79</v>
      </c>
      <c r="R94" s="130"/>
      <c r="S94" s="130"/>
      <c r="T94" s="130"/>
      <c r="U94" s="130"/>
      <c r="V94" s="130">
        <f t="shared" si="20"/>
        <v>0</v>
      </c>
      <c r="W94" s="130">
        <f t="shared" si="23"/>
        <v>-37026.79</v>
      </c>
    </row>
    <row r="95" spans="1:23" s="131" customFormat="1" ht="15" customHeight="1" x14ac:dyDescent="0.25">
      <c r="A95" s="138">
        <v>3941</v>
      </c>
      <c r="B95" s="150" t="s">
        <v>188</v>
      </c>
      <c r="C95" s="151">
        <v>500000</v>
      </c>
      <c r="D95" s="152"/>
      <c r="E95" s="135">
        <f t="shared" si="21"/>
        <v>500000</v>
      </c>
      <c r="F95" s="135"/>
      <c r="G95" s="135"/>
      <c r="H95" s="130"/>
      <c r="I95" s="130"/>
      <c r="J95" s="130"/>
      <c r="K95" s="130"/>
      <c r="L95" s="130"/>
      <c r="M95" s="130"/>
      <c r="N95" s="130">
        <f t="shared" si="24"/>
        <v>500000</v>
      </c>
      <c r="O95" s="130">
        <f t="shared" si="22"/>
        <v>500000</v>
      </c>
      <c r="P95" s="130"/>
      <c r="Q95" s="130"/>
      <c r="R95" s="130"/>
      <c r="S95" s="130"/>
      <c r="T95" s="130"/>
      <c r="U95" s="130"/>
      <c r="V95" s="130">
        <f t="shared" si="20"/>
        <v>0</v>
      </c>
      <c r="W95" s="130">
        <f t="shared" si="23"/>
        <v>0</v>
      </c>
    </row>
    <row r="96" spans="1:23" s="131" customFormat="1" ht="15.75" x14ac:dyDescent="0.25">
      <c r="A96" s="138">
        <v>3944</v>
      </c>
      <c r="B96" s="150" t="s">
        <v>189</v>
      </c>
      <c r="C96" s="151">
        <v>50000</v>
      </c>
      <c r="D96" s="152"/>
      <c r="E96" s="135">
        <f t="shared" si="21"/>
        <v>50000</v>
      </c>
      <c r="F96" s="135"/>
      <c r="G96" s="135"/>
      <c r="H96" s="130"/>
      <c r="I96" s="130"/>
      <c r="J96" s="130"/>
      <c r="K96" s="130"/>
      <c r="L96" s="130"/>
      <c r="M96" s="130"/>
      <c r="N96" s="130">
        <f t="shared" si="24"/>
        <v>50000</v>
      </c>
      <c r="O96" s="130">
        <f t="shared" si="22"/>
        <v>50000</v>
      </c>
      <c r="P96" s="130"/>
      <c r="Q96" s="130"/>
      <c r="R96" s="130"/>
      <c r="S96" s="130"/>
      <c r="T96" s="130"/>
      <c r="U96" s="130"/>
      <c r="V96" s="130">
        <f t="shared" si="20"/>
        <v>0</v>
      </c>
      <c r="W96" s="130">
        <f t="shared" si="23"/>
        <v>0</v>
      </c>
    </row>
    <row r="97" spans="1:23" s="131" customFormat="1" ht="15" customHeight="1" x14ac:dyDescent="0.25">
      <c r="A97" s="138">
        <v>3981</v>
      </c>
      <c r="B97" s="150" t="s">
        <v>190</v>
      </c>
      <c r="C97" s="151">
        <v>750000</v>
      </c>
      <c r="D97" s="152"/>
      <c r="E97" s="135">
        <f t="shared" si="21"/>
        <v>750000</v>
      </c>
      <c r="F97" s="135"/>
      <c r="G97" s="135"/>
      <c r="H97" s="130"/>
      <c r="I97" s="130"/>
      <c r="J97" s="130"/>
      <c r="K97" s="130"/>
      <c r="L97" s="130"/>
      <c r="M97" s="130"/>
      <c r="N97" s="130">
        <f t="shared" si="24"/>
        <v>750000</v>
      </c>
      <c r="O97" s="130">
        <f t="shared" si="22"/>
        <v>750000</v>
      </c>
      <c r="P97" s="130"/>
      <c r="Q97" s="130"/>
      <c r="R97" s="130"/>
      <c r="S97" s="130"/>
      <c r="T97" s="130"/>
      <c r="U97" s="130"/>
      <c r="V97" s="130">
        <f t="shared" si="20"/>
        <v>0</v>
      </c>
      <c r="W97" s="130">
        <f t="shared" si="23"/>
        <v>0</v>
      </c>
    </row>
    <row r="98" spans="1:23" s="131" customFormat="1" ht="15.75" x14ac:dyDescent="0.25">
      <c r="A98" s="138">
        <v>3993</v>
      </c>
      <c r="B98" s="150" t="s">
        <v>191</v>
      </c>
      <c r="C98" s="151">
        <f>53859.3536-14400</f>
        <v>39459.353600000002</v>
      </c>
      <c r="D98" s="152"/>
      <c r="E98" s="135">
        <f t="shared" si="21"/>
        <v>39459.353600000002</v>
      </c>
      <c r="F98" s="135"/>
      <c r="G98" s="135"/>
      <c r="H98" s="130">
        <v>1325.61</v>
      </c>
      <c r="I98" s="130">
        <v>1286.6500000000001</v>
      </c>
      <c r="J98" s="130"/>
      <c r="K98" s="130"/>
      <c r="L98" s="130"/>
      <c r="M98" s="130"/>
      <c r="N98" s="130">
        <f t="shared" si="24"/>
        <v>39459.353600000002</v>
      </c>
      <c r="O98" s="130">
        <f t="shared" si="22"/>
        <v>38172.703600000001</v>
      </c>
      <c r="P98" s="130">
        <v>2650</v>
      </c>
      <c r="Q98" s="130">
        <v>1285.99</v>
      </c>
      <c r="R98" s="130"/>
      <c r="S98" s="130"/>
      <c r="T98" s="130"/>
      <c r="U98" s="130"/>
      <c r="V98" s="130">
        <f t="shared" si="20"/>
        <v>0</v>
      </c>
      <c r="W98" s="130">
        <f t="shared" si="23"/>
        <v>-1285.99</v>
      </c>
    </row>
    <row r="99" spans="1:23" s="157" customFormat="1" ht="15" customHeight="1" x14ac:dyDescent="0.25">
      <c r="A99" s="154"/>
      <c r="B99" s="154" t="s">
        <v>192</v>
      </c>
      <c r="C99" s="155">
        <f>SUM(C60:C98)</f>
        <v>8195570.5328000002</v>
      </c>
      <c r="D99" s="155">
        <f>SUM(D60:D98)</f>
        <v>6473169</v>
      </c>
      <c r="E99" s="155">
        <f t="shared" ref="E99:H99" si="25">SUM(E60:E98)</f>
        <v>14668739.532799998</v>
      </c>
      <c r="F99" s="155">
        <f t="shared" si="25"/>
        <v>0</v>
      </c>
      <c r="G99" s="155">
        <f t="shared" si="25"/>
        <v>0</v>
      </c>
      <c r="H99" s="155">
        <f t="shared" si="25"/>
        <v>248546.33999999997</v>
      </c>
      <c r="I99" s="155">
        <f>SUM(I60:I98)</f>
        <v>225545.69000000003</v>
      </c>
      <c r="J99" s="155">
        <f t="shared" ref="J99:M99" si="26">SUM(J60:J98)</f>
        <v>0</v>
      </c>
      <c r="K99" s="155">
        <f t="shared" si="26"/>
        <v>0</v>
      </c>
      <c r="L99" s="155">
        <f t="shared" si="26"/>
        <v>0</v>
      </c>
      <c r="M99" s="155">
        <f t="shared" si="26"/>
        <v>0</v>
      </c>
      <c r="N99" s="155">
        <f>SUM(N60:N98)</f>
        <v>14668739.532799998</v>
      </c>
      <c r="O99" s="144">
        <f>SUM(O60:O98)</f>
        <v>14443193.842800003</v>
      </c>
      <c r="P99" s="155">
        <f t="shared" ref="P99" si="27">SUM(P60:P98)</f>
        <v>994736</v>
      </c>
      <c r="Q99" s="155">
        <f>SUM(Q60:Q98)</f>
        <v>541523.68000000005</v>
      </c>
      <c r="R99" s="155">
        <f t="shared" ref="R99" si="28">SUM(R60:R98)</f>
        <v>1454</v>
      </c>
      <c r="S99" s="155">
        <f t="shared" ref="S99" si="29">SUM(S60:S98)</f>
        <v>197323</v>
      </c>
      <c r="T99" s="155">
        <f t="shared" ref="T99" si="30">SUM(T60:T98)</f>
        <v>0</v>
      </c>
      <c r="U99" s="155">
        <f t="shared" ref="U99" si="31">SUM(U60:U98)</f>
        <v>0</v>
      </c>
      <c r="V99" s="155">
        <f>SUM(V60:V98)</f>
        <v>0</v>
      </c>
      <c r="W99" s="144">
        <f>SUM(W60:W98)</f>
        <v>-345654.72</v>
      </c>
    </row>
    <row r="100" spans="1:23" s="131" customFormat="1" ht="30" x14ac:dyDescent="0.25">
      <c r="A100" s="158">
        <v>4412</v>
      </c>
      <c r="B100" s="159" t="s">
        <v>193</v>
      </c>
      <c r="C100" s="160">
        <v>100000</v>
      </c>
      <c r="D100" s="135">
        <v>0</v>
      </c>
      <c r="E100" s="148">
        <f t="shared" ref="E100:E127" si="32">C100+D100</f>
        <v>100000</v>
      </c>
      <c r="F100" s="148"/>
      <c r="G100" s="148"/>
      <c r="H100" s="130"/>
      <c r="I100" s="130"/>
      <c r="J100" s="130"/>
      <c r="K100" s="130"/>
      <c r="L100" s="130"/>
      <c r="M100" s="130"/>
      <c r="N100" s="130">
        <f t="shared" si="24"/>
        <v>100000</v>
      </c>
      <c r="O100" s="130">
        <f t="shared" ref="O100:O126" si="33">+N100-I100</f>
        <v>100000</v>
      </c>
      <c r="P100" s="130"/>
      <c r="Q100" s="130"/>
      <c r="R100" s="130"/>
      <c r="S100" s="130"/>
      <c r="T100" s="130"/>
      <c r="U100" s="130"/>
      <c r="V100" s="130">
        <f t="shared" ref="V100:V103" si="34">+M100-R100+S100-T100+U100</f>
        <v>0</v>
      </c>
      <c r="W100" s="130">
        <f t="shared" ref="W100:W103" si="35">+V100-Q100</f>
        <v>0</v>
      </c>
    </row>
    <row r="101" spans="1:23" s="131" customFormat="1" ht="15.75" x14ac:dyDescent="0.25">
      <c r="A101" s="158">
        <v>4413</v>
      </c>
      <c r="B101" s="159" t="s">
        <v>194</v>
      </c>
      <c r="C101" s="160"/>
      <c r="D101" s="135">
        <v>2700000</v>
      </c>
      <c r="E101" s="148">
        <f t="shared" si="32"/>
        <v>2700000</v>
      </c>
      <c r="F101" s="148"/>
      <c r="G101" s="148"/>
      <c r="H101" s="130"/>
      <c r="I101" s="130"/>
      <c r="J101" s="130"/>
      <c r="K101" s="130"/>
      <c r="L101" s="130"/>
      <c r="M101" s="130"/>
      <c r="N101" s="130">
        <f t="shared" si="24"/>
        <v>2700000</v>
      </c>
      <c r="O101" s="130">
        <f t="shared" si="33"/>
        <v>2700000</v>
      </c>
      <c r="P101" s="130"/>
      <c r="Q101" s="130"/>
      <c r="R101" s="130"/>
      <c r="S101" s="130"/>
      <c r="T101" s="130"/>
      <c r="U101" s="130"/>
      <c r="V101" s="130">
        <f t="shared" si="34"/>
        <v>0</v>
      </c>
      <c r="W101" s="130">
        <f t="shared" si="35"/>
        <v>0</v>
      </c>
    </row>
    <row r="102" spans="1:23" s="131" customFormat="1" ht="15.75" x14ac:dyDescent="0.25">
      <c r="A102" s="158">
        <v>4421</v>
      </c>
      <c r="B102" s="159" t="s">
        <v>195</v>
      </c>
      <c r="C102" s="160">
        <f>150000+200000</f>
        <v>350000</v>
      </c>
      <c r="D102" s="135">
        <f>6897153-1000000</f>
        <v>5897153</v>
      </c>
      <c r="E102" s="148">
        <f t="shared" si="32"/>
        <v>6247153</v>
      </c>
      <c r="F102" s="148"/>
      <c r="G102" s="148"/>
      <c r="H102" s="130"/>
      <c r="I102" s="130"/>
      <c r="J102" s="130"/>
      <c r="K102" s="130"/>
      <c r="L102" s="130"/>
      <c r="M102" s="130"/>
      <c r="N102" s="130">
        <f t="shared" si="24"/>
        <v>6247153</v>
      </c>
      <c r="O102" s="130">
        <f t="shared" si="33"/>
        <v>6247153</v>
      </c>
      <c r="P102" s="130">
        <v>28601</v>
      </c>
      <c r="Q102" s="130">
        <v>26513.7</v>
      </c>
      <c r="R102" s="130"/>
      <c r="S102" s="130"/>
      <c r="T102" s="130"/>
      <c r="U102" s="130"/>
      <c r="V102" s="130">
        <f t="shared" si="34"/>
        <v>0</v>
      </c>
      <c r="W102" s="130">
        <f t="shared" si="35"/>
        <v>-26513.7</v>
      </c>
    </row>
    <row r="103" spans="1:23" s="166" customFormat="1" ht="15" customHeight="1" x14ac:dyDescent="0.25">
      <c r="A103" s="161"/>
      <c r="B103" s="162"/>
      <c r="C103" s="163"/>
      <c r="D103" s="135"/>
      <c r="E103" s="164">
        <f t="shared" si="32"/>
        <v>0</v>
      </c>
      <c r="F103" s="164"/>
      <c r="G103" s="164"/>
      <c r="H103" s="130">
        <f t="shared" ref="H103:H120" si="36">E103/12</f>
        <v>0</v>
      </c>
      <c r="I103" s="165"/>
      <c r="J103" s="130"/>
      <c r="K103" s="130"/>
      <c r="L103" s="130"/>
      <c r="M103" s="130"/>
      <c r="N103" s="130">
        <f t="shared" si="24"/>
        <v>0</v>
      </c>
      <c r="O103" s="130">
        <f t="shared" si="33"/>
        <v>0</v>
      </c>
      <c r="P103" s="130"/>
      <c r="Q103" s="165"/>
      <c r="R103" s="130"/>
      <c r="S103" s="130"/>
      <c r="T103" s="130"/>
      <c r="U103" s="130"/>
      <c r="V103" s="130">
        <f t="shared" si="34"/>
        <v>0</v>
      </c>
      <c r="W103" s="130">
        <f t="shared" si="35"/>
        <v>0</v>
      </c>
    </row>
    <row r="104" spans="1:23" s="166" customFormat="1" ht="15.75" x14ac:dyDescent="0.25">
      <c r="A104" s="167"/>
      <c r="B104" s="168" t="s">
        <v>196</v>
      </c>
      <c r="C104" s="169">
        <f>SUM(C100:C103)</f>
        <v>450000</v>
      </c>
      <c r="D104" s="169">
        <f>SUM(D100:D103)</f>
        <v>8597153</v>
      </c>
      <c r="E104" s="169">
        <f>SUM(E100:E103)</f>
        <v>9047153</v>
      </c>
      <c r="F104" s="169"/>
      <c r="G104" s="169"/>
      <c r="H104" s="169">
        <f t="shared" ref="H104" si="37">SUM(H100:H103)</f>
        <v>0</v>
      </c>
      <c r="I104" s="169">
        <f>SUM(I100:I103)</f>
        <v>0</v>
      </c>
      <c r="J104" s="169">
        <f t="shared" ref="J104:M104" si="38">SUM(J100:J103)</f>
        <v>0</v>
      </c>
      <c r="K104" s="169">
        <f t="shared" si="38"/>
        <v>0</v>
      </c>
      <c r="L104" s="169">
        <f t="shared" si="38"/>
        <v>0</v>
      </c>
      <c r="M104" s="169">
        <f t="shared" si="38"/>
        <v>0</v>
      </c>
      <c r="N104" s="169">
        <f>SUM(N100:N103)</f>
        <v>9047153</v>
      </c>
      <c r="O104" s="144">
        <f>SUM(O100:O103)</f>
        <v>9047153</v>
      </c>
      <c r="P104" s="169">
        <f t="shared" ref="P104" si="39">SUM(P100:P103)</f>
        <v>28601</v>
      </c>
      <c r="Q104" s="169">
        <f>SUM(Q100:Q103)</f>
        <v>26513.7</v>
      </c>
      <c r="R104" s="169">
        <f t="shared" ref="R104" si="40">SUM(R100:R103)</f>
        <v>0</v>
      </c>
      <c r="S104" s="169">
        <f t="shared" ref="S104" si="41">SUM(S100:S103)</f>
        <v>0</v>
      </c>
      <c r="T104" s="169">
        <f t="shared" ref="T104" si="42">SUM(T100:T103)</f>
        <v>0</v>
      </c>
      <c r="U104" s="169">
        <f t="shared" ref="U104" si="43">SUM(U100:U103)</f>
        <v>0</v>
      </c>
      <c r="V104" s="169">
        <f>SUM(V100:V103)</f>
        <v>0</v>
      </c>
      <c r="W104" s="144">
        <f>SUM(W100:W103)</f>
        <v>-26513.7</v>
      </c>
    </row>
    <row r="105" spans="1:23" s="131" customFormat="1" ht="15" customHeight="1" x14ac:dyDescent="0.25">
      <c r="A105" s="138">
        <v>5111</v>
      </c>
      <c r="B105" s="146" t="s">
        <v>84</v>
      </c>
      <c r="C105" s="135">
        <v>250000</v>
      </c>
      <c r="D105" s="135"/>
      <c r="E105" s="135">
        <f t="shared" si="32"/>
        <v>250000</v>
      </c>
      <c r="F105" s="135"/>
      <c r="G105" s="135"/>
      <c r="H105" s="130"/>
      <c r="I105" s="130"/>
      <c r="J105" s="130"/>
      <c r="K105" s="130"/>
      <c r="L105" s="130"/>
      <c r="M105" s="130"/>
      <c r="N105" s="130">
        <f t="shared" si="24"/>
        <v>250000</v>
      </c>
      <c r="O105" s="130">
        <f t="shared" si="33"/>
        <v>250000</v>
      </c>
      <c r="P105" s="130"/>
      <c r="Q105" s="130"/>
      <c r="R105" s="130"/>
      <c r="S105" s="130"/>
      <c r="T105" s="130"/>
      <c r="U105" s="130"/>
      <c r="V105" s="130">
        <f t="shared" ref="V105:V117" si="44">+M105-R105+S105-T105+U105</f>
        <v>0</v>
      </c>
      <c r="W105" s="130">
        <f t="shared" ref="W105:W116" si="45">+V105-Q105</f>
        <v>0</v>
      </c>
    </row>
    <row r="106" spans="1:23" s="131" customFormat="1" ht="15.75" x14ac:dyDescent="0.25">
      <c r="A106" s="138">
        <v>5121</v>
      </c>
      <c r="B106" s="146" t="s">
        <v>85</v>
      </c>
      <c r="C106" s="135">
        <f>1000000+250000</f>
        <v>1250000</v>
      </c>
      <c r="D106" s="135">
        <f>350000-178139.77</f>
        <v>171860.23</v>
      </c>
      <c r="E106" s="135">
        <f t="shared" si="32"/>
        <v>1421860.23</v>
      </c>
      <c r="F106" s="135"/>
      <c r="G106" s="135"/>
      <c r="H106" s="130">
        <v>6318.02</v>
      </c>
      <c r="I106" s="130">
        <v>6134.08</v>
      </c>
      <c r="J106" s="130"/>
      <c r="K106" s="130"/>
      <c r="L106" s="130"/>
      <c r="M106" s="130"/>
      <c r="N106" s="130">
        <f t="shared" si="24"/>
        <v>1421860.23</v>
      </c>
      <c r="O106" s="130">
        <f t="shared" si="33"/>
        <v>1415726.15</v>
      </c>
      <c r="P106" s="130">
        <v>33507</v>
      </c>
      <c r="Q106" s="130">
        <v>31701.06</v>
      </c>
      <c r="R106" s="130"/>
      <c r="S106" s="130"/>
      <c r="T106" s="130"/>
      <c r="U106" s="130"/>
      <c r="V106" s="130">
        <f t="shared" si="44"/>
        <v>0</v>
      </c>
      <c r="W106" s="130">
        <f t="shared" si="45"/>
        <v>-31701.06</v>
      </c>
    </row>
    <row r="107" spans="1:23" s="131" customFormat="1" ht="15" customHeight="1" x14ac:dyDescent="0.25">
      <c r="A107" s="138">
        <v>5151</v>
      </c>
      <c r="B107" s="146" t="s">
        <v>86</v>
      </c>
      <c r="C107" s="135">
        <f>215800+825000-52192.3+250000</f>
        <v>1238607.7</v>
      </c>
      <c r="D107" s="135">
        <v>0</v>
      </c>
      <c r="E107" s="135">
        <f t="shared" si="32"/>
        <v>1238607.7</v>
      </c>
      <c r="F107" s="135"/>
      <c r="G107" s="135"/>
      <c r="H107" s="130"/>
      <c r="I107" s="130"/>
      <c r="J107" s="130"/>
      <c r="K107" s="130"/>
      <c r="L107" s="130"/>
      <c r="M107" s="130"/>
      <c r="N107" s="130">
        <f t="shared" si="24"/>
        <v>1238607.7</v>
      </c>
      <c r="O107" s="130">
        <f t="shared" si="33"/>
        <v>1238607.7</v>
      </c>
      <c r="P107" s="130">
        <v>68050</v>
      </c>
      <c r="Q107" s="130">
        <v>66027.199999999997</v>
      </c>
      <c r="R107" s="130"/>
      <c r="S107" s="130"/>
      <c r="T107" s="130"/>
      <c r="U107" s="130"/>
      <c r="V107" s="130">
        <f t="shared" si="44"/>
        <v>0</v>
      </c>
      <c r="W107" s="130">
        <f t="shared" si="45"/>
        <v>-66027.199999999997</v>
      </c>
    </row>
    <row r="108" spans="1:23" s="131" customFormat="1" ht="15.75" x14ac:dyDescent="0.25">
      <c r="A108" s="138">
        <v>5191</v>
      </c>
      <c r="B108" s="146" t="s">
        <v>87</v>
      </c>
      <c r="C108" s="135">
        <v>0</v>
      </c>
      <c r="D108" s="135">
        <v>15000</v>
      </c>
      <c r="E108" s="135">
        <f t="shared" si="32"/>
        <v>15000</v>
      </c>
      <c r="F108" s="135"/>
      <c r="G108" s="135"/>
      <c r="H108" s="130"/>
      <c r="I108" s="130"/>
      <c r="J108" s="130"/>
      <c r="K108" s="130"/>
      <c r="L108" s="130"/>
      <c r="M108" s="130"/>
      <c r="N108" s="130">
        <f t="shared" si="24"/>
        <v>15000</v>
      </c>
      <c r="O108" s="130">
        <f t="shared" si="33"/>
        <v>15000</v>
      </c>
      <c r="P108" s="130"/>
      <c r="Q108" s="130">
        <v>404631</v>
      </c>
      <c r="R108" s="130"/>
      <c r="S108" s="130">
        <v>389631</v>
      </c>
      <c r="T108" s="130"/>
      <c r="U108" s="130"/>
      <c r="V108" s="130">
        <f t="shared" si="44"/>
        <v>389631</v>
      </c>
      <c r="W108" s="130">
        <f t="shared" si="45"/>
        <v>-15000</v>
      </c>
    </row>
    <row r="109" spans="1:23" s="131" customFormat="1" ht="15" customHeight="1" x14ac:dyDescent="0.25">
      <c r="A109" s="138">
        <v>5211</v>
      </c>
      <c r="B109" s="146" t="s">
        <v>88</v>
      </c>
      <c r="C109" s="152"/>
      <c r="D109" s="135">
        <v>0</v>
      </c>
      <c r="E109" s="135">
        <f t="shared" si="32"/>
        <v>0</v>
      </c>
      <c r="F109" s="135"/>
      <c r="G109" s="135"/>
      <c r="H109" s="130"/>
      <c r="I109" s="130"/>
      <c r="J109" s="130"/>
      <c r="K109" s="130"/>
      <c r="L109" s="130"/>
      <c r="M109" s="130"/>
      <c r="N109" s="130">
        <f t="shared" si="24"/>
        <v>0</v>
      </c>
      <c r="O109" s="130">
        <f t="shared" si="33"/>
        <v>0</v>
      </c>
      <c r="P109" s="130"/>
      <c r="Q109" s="130"/>
      <c r="R109" s="130"/>
      <c r="S109" s="130"/>
      <c r="T109" s="130"/>
      <c r="U109" s="130"/>
      <c r="V109" s="130">
        <f t="shared" si="44"/>
        <v>0</v>
      </c>
      <c r="W109" s="130">
        <f t="shared" si="45"/>
        <v>0</v>
      </c>
    </row>
    <row r="110" spans="1:23" s="131" customFormat="1" ht="15.75" x14ac:dyDescent="0.25">
      <c r="A110" s="138">
        <v>5291</v>
      </c>
      <c r="B110" s="170" t="s">
        <v>197</v>
      </c>
      <c r="C110" s="152"/>
      <c r="D110" s="135">
        <v>0</v>
      </c>
      <c r="E110" s="135">
        <f t="shared" si="32"/>
        <v>0</v>
      </c>
      <c r="F110" s="135"/>
      <c r="G110" s="135"/>
      <c r="H110" s="130"/>
      <c r="I110" s="130"/>
      <c r="J110" s="130"/>
      <c r="K110" s="130"/>
      <c r="L110" s="130"/>
      <c r="M110" s="130"/>
      <c r="N110" s="130">
        <f t="shared" si="24"/>
        <v>0</v>
      </c>
      <c r="O110" s="130">
        <f t="shared" si="33"/>
        <v>0</v>
      </c>
      <c r="P110" s="130"/>
      <c r="Q110" s="130"/>
      <c r="R110" s="130"/>
      <c r="S110" s="130"/>
      <c r="T110" s="130"/>
      <c r="U110" s="130"/>
      <c r="V110" s="130">
        <f t="shared" si="44"/>
        <v>0</v>
      </c>
      <c r="W110" s="130">
        <f t="shared" si="45"/>
        <v>0</v>
      </c>
    </row>
    <row r="111" spans="1:23" s="131" customFormat="1" ht="15" customHeight="1" x14ac:dyDescent="0.25">
      <c r="A111" s="138">
        <v>5311</v>
      </c>
      <c r="B111" s="170" t="s">
        <v>198</v>
      </c>
      <c r="C111" s="135">
        <v>300000</v>
      </c>
      <c r="D111" s="135">
        <f>4814972.24-15600-4099372</f>
        <v>700000.24000000022</v>
      </c>
      <c r="E111" s="135">
        <f t="shared" si="32"/>
        <v>1000000.2400000002</v>
      </c>
      <c r="F111" s="135"/>
      <c r="G111" s="135"/>
      <c r="H111" s="130"/>
      <c r="I111" s="130"/>
      <c r="J111" s="130"/>
      <c r="K111" s="130"/>
      <c r="L111" s="130"/>
      <c r="M111" s="130"/>
      <c r="N111" s="130">
        <f t="shared" si="24"/>
        <v>1000000.2400000002</v>
      </c>
      <c r="O111" s="130">
        <f t="shared" si="33"/>
        <v>1000000.2400000002</v>
      </c>
      <c r="P111" s="130"/>
      <c r="Q111" s="130"/>
      <c r="R111" s="130"/>
      <c r="S111" s="130"/>
      <c r="T111" s="130"/>
      <c r="U111" s="130"/>
      <c r="V111" s="130">
        <f t="shared" si="44"/>
        <v>0</v>
      </c>
      <c r="W111" s="130">
        <f t="shared" si="45"/>
        <v>0</v>
      </c>
    </row>
    <row r="112" spans="1:23" s="131" customFormat="1" ht="15.75" x14ac:dyDescent="0.25">
      <c r="A112" s="138">
        <v>5621</v>
      </c>
      <c r="B112" s="146" t="s">
        <v>89</v>
      </c>
      <c r="C112" s="135">
        <v>500000</v>
      </c>
      <c r="D112" s="135">
        <v>0</v>
      </c>
      <c r="E112" s="135">
        <f t="shared" si="32"/>
        <v>500000</v>
      </c>
      <c r="F112" s="135"/>
      <c r="G112" s="135"/>
      <c r="H112" s="130"/>
      <c r="I112" s="130"/>
      <c r="J112" s="130"/>
      <c r="K112" s="130"/>
      <c r="L112" s="130"/>
      <c r="M112" s="130"/>
      <c r="N112" s="130">
        <f t="shared" si="24"/>
        <v>500000</v>
      </c>
      <c r="O112" s="130">
        <f t="shared" si="33"/>
        <v>500000</v>
      </c>
      <c r="P112" s="130"/>
      <c r="Q112" s="130"/>
      <c r="R112" s="130"/>
      <c r="S112" s="130"/>
      <c r="T112" s="130"/>
      <c r="U112" s="130"/>
      <c r="V112" s="130">
        <f t="shared" si="44"/>
        <v>0</v>
      </c>
      <c r="W112" s="130">
        <f t="shared" si="45"/>
        <v>0</v>
      </c>
    </row>
    <row r="113" spans="1:23" s="131" customFormat="1" ht="15" customHeight="1" x14ac:dyDescent="0.25">
      <c r="A113" s="138">
        <v>5641</v>
      </c>
      <c r="B113" s="146" t="s">
        <v>199</v>
      </c>
      <c r="C113" s="135">
        <f>1500000-291261.22</f>
        <v>1208738.78</v>
      </c>
      <c r="D113" s="135">
        <v>425000</v>
      </c>
      <c r="E113" s="135">
        <f t="shared" si="32"/>
        <v>1633738.78</v>
      </c>
      <c r="F113" s="135"/>
      <c r="G113" s="135"/>
      <c r="H113" s="130"/>
      <c r="I113" s="130"/>
      <c r="J113" s="130"/>
      <c r="K113" s="130"/>
      <c r="L113" s="130"/>
      <c r="M113" s="130"/>
      <c r="N113" s="130">
        <f t="shared" si="24"/>
        <v>1633738.78</v>
      </c>
      <c r="O113" s="130">
        <f t="shared" si="33"/>
        <v>1633738.78</v>
      </c>
      <c r="P113" s="130"/>
      <c r="Q113" s="130"/>
      <c r="R113" s="130"/>
      <c r="S113" s="130"/>
      <c r="T113" s="130"/>
      <c r="U113" s="130"/>
      <c r="V113" s="130">
        <f t="shared" si="44"/>
        <v>0</v>
      </c>
      <c r="W113" s="130">
        <f t="shared" si="45"/>
        <v>0</v>
      </c>
    </row>
    <row r="114" spans="1:23" s="131" customFormat="1" ht="15.75" x14ac:dyDescent="0.25">
      <c r="A114" s="138">
        <v>5661</v>
      </c>
      <c r="B114" s="146" t="s">
        <v>200</v>
      </c>
      <c r="C114" s="135">
        <v>1200000</v>
      </c>
      <c r="D114" s="135"/>
      <c r="E114" s="135">
        <f t="shared" si="32"/>
        <v>1200000</v>
      </c>
      <c r="F114" s="135"/>
      <c r="G114" s="135"/>
      <c r="H114" s="130"/>
      <c r="I114" s="130"/>
      <c r="J114" s="130"/>
      <c r="K114" s="130"/>
      <c r="L114" s="130"/>
      <c r="M114" s="130"/>
      <c r="N114" s="130">
        <f t="shared" si="24"/>
        <v>1200000</v>
      </c>
      <c r="O114" s="130">
        <f t="shared" si="33"/>
        <v>1200000</v>
      </c>
      <c r="P114" s="130"/>
      <c r="Q114" s="130"/>
      <c r="R114" s="130"/>
      <c r="S114" s="130"/>
      <c r="T114" s="130"/>
      <c r="U114" s="130"/>
      <c r="V114" s="130">
        <f t="shared" si="44"/>
        <v>0</v>
      </c>
      <c r="W114" s="130">
        <f t="shared" si="45"/>
        <v>0</v>
      </c>
    </row>
    <row r="115" spans="1:23" s="131" customFormat="1" ht="15" customHeight="1" x14ac:dyDescent="0.25">
      <c r="A115" s="138">
        <v>5411</v>
      </c>
      <c r="B115" s="146" t="s">
        <v>201</v>
      </c>
      <c r="C115" s="135">
        <v>565000</v>
      </c>
      <c r="D115" s="135"/>
      <c r="E115" s="135">
        <f t="shared" si="32"/>
        <v>565000</v>
      </c>
      <c r="F115" s="135"/>
      <c r="G115" s="135"/>
      <c r="H115" s="130"/>
      <c r="I115" s="130"/>
      <c r="J115" s="130"/>
      <c r="K115" s="130"/>
      <c r="L115" s="130"/>
      <c r="M115" s="130"/>
      <c r="N115" s="130">
        <f t="shared" si="24"/>
        <v>565000</v>
      </c>
      <c r="O115" s="130">
        <f t="shared" si="33"/>
        <v>565000</v>
      </c>
      <c r="P115" s="130"/>
      <c r="Q115" s="130"/>
      <c r="R115" s="130"/>
      <c r="S115" s="130"/>
      <c r="T115" s="130"/>
      <c r="U115" s="130"/>
      <c r="V115" s="130">
        <f t="shared" si="44"/>
        <v>0</v>
      </c>
      <c r="W115" s="130">
        <f t="shared" si="45"/>
        <v>0</v>
      </c>
    </row>
    <row r="116" spans="1:23" s="131" customFormat="1" ht="15.75" x14ac:dyDescent="0.25">
      <c r="A116" s="138">
        <v>5911</v>
      </c>
      <c r="B116" s="146" t="s">
        <v>92</v>
      </c>
      <c r="C116" s="135">
        <f>25000+25000</f>
        <v>50000</v>
      </c>
      <c r="D116" s="135">
        <v>0</v>
      </c>
      <c r="E116" s="135">
        <f t="shared" si="32"/>
        <v>50000</v>
      </c>
      <c r="F116" s="135"/>
      <c r="G116" s="135"/>
      <c r="H116" s="130"/>
      <c r="I116" s="130"/>
      <c r="J116" s="130"/>
      <c r="K116" s="130"/>
      <c r="L116" s="130"/>
      <c r="M116" s="130"/>
      <c r="N116" s="130">
        <f t="shared" si="24"/>
        <v>50000</v>
      </c>
      <c r="O116" s="130">
        <f t="shared" si="33"/>
        <v>50000</v>
      </c>
      <c r="P116" s="130"/>
      <c r="Q116" s="130"/>
      <c r="R116" s="130"/>
      <c r="S116" s="130"/>
      <c r="T116" s="130"/>
      <c r="U116" s="130"/>
      <c r="V116" s="130">
        <f t="shared" si="44"/>
        <v>0</v>
      </c>
      <c r="W116" s="130">
        <f t="shared" si="45"/>
        <v>0</v>
      </c>
    </row>
    <row r="117" spans="1:23" s="131" customFormat="1" ht="15.75" x14ac:dyDescent="0.25">
      <c r="A117" s="138">
        <v>5971</v>
      </c>
      <c r="B117" s="146" t="s">
        <v>93</v>
      </c>
      <c r="C117" s="135">
        <v>350000</v>
      </c>
      <c r="D117" s="135">
        <v>0</v>
      </c>
      <c r="E117" s="135">
        <f t="shared" si="32"/>
        <v>350000</v>
      </c>
      <c r="F117" s="135"/>
      <c r="G117" s="135"/>
      <c r="H117" s="130"/>
      <c r="I117" s="130"/>
      <c r="J117" s="130"/>
      <c r="K117" s="130"/>
      <c r="L117" s="130"/>
      <c r="M117" s="130"/>
      <c r="N117" s="130">
        <f t="shared" si="24"/>
        <v>350000</v>
      </c>
      <c r="O117" s="130">
        <f>+N117-I117</f>
        <v>350000</v>
      </c>
      <c r="P117" s="130"/>
      <c r="Q117" s="130"/>
      <c r="R117" s="130"/>
      <c r="S117" s="130"/>
      <c r="T117" s="130"/>
      <c r="U117" s="130"/>
      <c r="V117" s="130">
        <f t="shared" si="44"/>
        <v>0</v>
      </c>
      <c r="W117" s="130">
        <f>+V117-Q117</f>
        <v>0</v>
      </c>
    </row>
    <row r="118" spans="1:23" s="166" customFormat="1" ht="15.75" x14ac:dyDescent="0.25">
      <c r="A118" s="167"/>
      <c r="B118" s="168" t="s">
        <v>202</v>
      </c>
      <c r="C118" s="156">
        <f>SUM(C105:C117)</f>
        <v>6912346.4800000004</v>
      </c>
      <c r="D118" s="156">
        <f>SUM(D105:D117)</f>
        <v>1311860.4700000002</v>
      </c>
      <c r="E118" s="156">
        <f>C118+D118</f>
        <v>8224206.9500000011</v>
      </c>
      <c r="F118" s="156">
        <f t="shared" ref="F118:G118" si="46">SUM(F105:F117)</f>
        <v>0</v>
      </c>
      <c r="G118" s="156">
        <f t="shared" si="46"/>
        <v>0</v>
      </c>
      <c r="H118" s="156">
        <f>SUM(H105:H117)</f>
        <v>6318.02</v>
      </c>
      <c r="I118" s="156">
        <f t="shared" ref="I118:M118" si="47">SUM(I105:I117)</f>
        <v>6134.08</v>
      </c>
      <c r="J118" s="156">
        <f t="shared" si="47"/>
        <v>0</v>
      </c>
      <c r="K118" s="156">
        <f t="shared" si="47"/>
        <v>0</v>
      </c>
      <c r="L118" s="156">
        <f t="shared" si="47"/>
        <v>0</v>
      </c>
      <c r="M118" s="156">
        <f t="shared" si="47"/>
        <v>0</v>
      </c>
      <c r="N118" s="156">
        <f>SUM(N105:N117)</f>
        <v>8224206.9500000002</v>
      </c>
      <c r="O118" s="144">
        <f>SUM(O105:O117)</f>
        <v>8218072.8700000001</v>
      </c>
      <c r="P118" s="156">
        <f>SUM(P105:P117)</f>
        <v>101557</v>
      </c>
      <c r="Q118" s="156">
        <f t="shared" ref="Q118" si="48">SUM(Q105:Q117)</f>
        <v>502359.26</v>
      </c>
      <c r="R118" s="156">
        <f t="shared" ref="R118" si="49">SUM(R105:R117)</f>
        <v>0</v>
      </c>
      <c r="S118" s="156">
        <f t="shared" ref="S118" si="50">SUM(S105:S117)</f>
        <v>389631</v>
      </c>
      <c r="T118" s="156">
        <f t="shared" ref="T118" si="51">SUM(T105:T117)</f>
        <v>0</v>
      </c>
      <c r="U118" s="156">
        <f t="shared" ref="U118" si="52">SUM(U105:U117)</f>
        <v>0</v>
      </c>
      <c r="V118" s="156">
        <f>SUM(V105:V117)</f>
        <v>389631</v>
      </c>
      <c r="W118" s="144">
        <f>SUM(W105:W117)</f>
        <v>-112728.26</v>
      </c>
    </row>
    <row r="119" spans="1:23" s="166" customFormat="1" ht="15.75" x14ac:dyDescent="0.25">
      <c r="A119" s="171">
        <v>6171</v>
      </c>
      <c r="B119" s="159" t="s">
        <v>203</v>
      </c>
      <c r="C119" s="160"/>
      <c r="D119" s="172"/>
      <c r="E119" s="164">
        <f t="shared" si="32"/>
        <v>0</v>
      </c>
      <c r="F119" s="164"/>
      <c r="G119" s="164"/>
      <c r="H119" s="130">
        <f t="shared" si="36"/>
        <v>0</v>
      </c>
      <c r="I119" s="165"/>
      <c r="J119" s="130"/>
      <c r="K119" s="130"/>
      <c r="L119" s="130"/>
      <c r="M119" s="130"/>
      <c r="N119" s="130">
        <f t="shared" si="24"/>
        <v>0</v>
      </c>
      <c r="O119" s="130">
        <f t="shared" si="33"/>
        <v>0</v>
      </c>
      <c r="P119" s="130">
        <f t="shared" ref="P119:P120" si="53">M119/12</f>
        <v>0</v>
      </c>
      <c r="Q119" s="165"/>
      <c r="R119" s="130"/>
      <c r="S119" s="130"/>
      <c r="T119" s="130"/>
      <c r="U119" s="130"/>
      <c r="V119" s="130">
        <f t="shared" ref="V119:V120" si="54">+M119-R119+S119-T119+U119</f>
        <v>0</v>
      </c>
      <c r="W119" s="130">
        <f t="shared" ref="W119:W123" si="55">+V119-Q119</f>
        <v>0</v>
      </c>
    </row>
    <row r="120" spans="1:23" s="166" customFormat="1" ht="15.75" x14ac:dyDescent="0.25">
      <c r="A120" s="171">
        <v>6211</v>
      </c>
      <c r="B120" s="159" t="s">
        <v>204</v>
      </c>
      <c r="C120" s="160"/>
      <c r="D120" s="135"/>
      <c r="E120" s="164">
        <f t="shared" si="32"/>
        <v>0</v>
      </c>
      <c r="F120" s="164"/>
      <c r="G120" s="164"/>
      <c r="H120" s="130">
        <f t="shared" si="36"/>
        <v>0</v>
      </c>
      <c r="I120" s="165"/>
      <c r="J120" s="130"/>
      <c r="K120" s="130"/>
      <c r="L120" s="130"/>
      <c r="M120" s="130"/>
      <c r="N120" s="130">
        <f t="shared" si="24"/>
        <v>0</v>
      </c>
      <c r="O120" s="130">
        <f t="shared" si="33"/>
        <v>0</v>
      </c>
      <c r="P120" s="130">
        <f t="shared" si="53"/>
        <v>0</v>
      </c>
      <c r="Q120" s="165"/>
      <c r="R120" s="130"/>
      <c r="S120" s="130"/>
      <c r="T120" s="130"/>
      <c r="U120" s="130"/>
      <c r="V120" s="130">
        <f t="shared" si="54"/>
        <v>0</v>
      </c>
      <c r="W120" s="130">
        <f t="shared" si="55"/>
        <v>0</v>
      </c>
    </row>
    <row r="121" spans="1:23" s="166" customFormat="1" ht="15.75" x14ac:dyDescent="0.25">
      <c r="A121" s="167"/>
      <c r="B121" s="168" t="s">
        <v>205</v>
      </c>
      <c r="C121" s="173"/>
      <c r="D121" s="173">
        <f>SUM(D119:D120)</f>
        <v>0</v>
      </c>
      <c r="E121" s="173">
        <f t="shared" si="32"/>
        <v>0</v>
      </c>
      <c r="F121" s="173"/>
      <c r="G121" s="173"/>
      <c r="H121" s="156">
        <f>SUM(H119:H120)</f>
        <v>0</v>
      </c>
      <c r="I121" s="156">
        <f t="shared" ref="I121:M121" si="56">SUM(I119:I120)</f>
        <v>0</v>
      </c>
      <c r="J121" s="156">
        <f t="shared" si="56"/>
        <v>0</v>
      </c>
      <c r="K121" s="156">
        <f t="shared" si="56"/>
        <v>0</v>
      </c>
      <c r="L121" s="156">
        <f t="shared" si="56"/>
        <v>0</v>
      </c>
      <c r="M121" s="156">
        <f t="shared" si="56"/>
        <v>0</v>
      </c>
      <c r="N121" s="156">
        <f>SUM(N119:N120)</f>
        <v>0</v>
      </c>
      <c r="O121" s="130">
        <f t="shared" si="33"/>
        <v>0</v>
      </c>
      <c r="P121" s="156">
        <f>SUM(P119:P120)</f>
        <v>0</v>
      </c>
      <c r="Q121" s="156">
        <f t="shared" ref="Q121" si="57">SUM(Q119:Q120)</f>
        <v>0</v>
      </c>
      <c r="R121" s="156">
        <f t="shared" ref="R121" si="58">SUM(R119:R120)</f>
        <v>0</v>
      </c>
      <c r="S121" s="156">
        <f t="shared" ref="S121" si="59">SUM(S119:S120)</f>
        <v>0</v>
      </c>
      <c r="T121" s="156">
        <f t="shared" ref="T121" si="60">SUM(T119:T120)</f>
        <v>0</v>
      </c>
      <c r="U121" s="156">
        <f t="shared" ref="U121" si="61">SUM(U119:U120)</f>
        <v>0</v>
      </c>
      <c r="V121" s="156">
        <f>SUM(V119:V120)</f>
        <v>0</v>
      </c>
      <c r="W121" s="130">
        <f t="shared" si="55"/>
        <v>0</v>
      </c>
    </row>
    <row r="122" spans="1:23" s="166" customFormat="1" ht="15.75" x14ac:dyDescent="0.25">
      <c r="A122" s="161"/>
      <c r="B122" s="162"/>
      <c r="C122" s="163"/>
      <c r="D122" s="135"/>
      <c r="E122" s="164">
        <f t="shared" si="32"/>
        <v>0</v>
      </c>
      <c r="F122" s="164"/>
      <c r="G122" s="164"/>
      <c r="H122" s="165"/>
      <c r="I122" s="165"/>
      <c r="J122" s="165"/>
      <c r="K122" s="165"/>
      <c r="L122" s="165"/>
      <c r="M122" s="165"/>
      <c r="N122" s="130">
        <f t="shared" si="24"/>
        <v>0</v>
      </c>
      <c r="O122" s="130">
        <f t="shared" si="33"/>
        <v>0</v>
      </c>
      <c r="P122" s="165"/>
      <c r="Q122" s="165"/>
      <c r="R122" s="165"/>
      <c r="S122" s="165"/>
      <c r="T122" s="165"/>
      <c r="U122" s="165"/>
      <c r="V122" s="130">
        <f t="shared" ref="V122:V123" si="62">+M122-R122+S122-T122+U122</f>
        <v>0</v>
      </c>
      <c r="W122" s="130">
        <f t="shared" si="55"/>
        <v>0</v>
      </c>
    </row>
    <row r="123" spans="1:23" s="166" customFormat="1" ht="15.75" x14ac:dyDescent="0.25">
      <c r="A123" s="161"/>
      <c r="B123" s="162"/>
      <c r="C123" s="163"/>
      <c r="D123" s="135"/>
      <c r="E123" s="164">
        <f t="shared" si="32"/>
        <v>0</v>
      </c>
      <c r="F123" s="164"/>
      <c r="G123" s="164"/>
      <c r="H123" s="165"/>
      <c r="I123" s="165"/>
      <c r="J123" s="165"/>
      <c r="K123" s="165"/>
      <c r="L123" s="165"/>
      <c r="M123" s="165"/>
      <c r="N123" s="130">
        <f t="shared" si="24"/>
        <v>0</v>
      </c>
      <c r="O123" s="130">
        <f t="shared" si="33"/>
        <v>0</v>
      </c>
      <c r="P123" s="165"/>
      <c r="Q123" s="165"/>
      <c r="R123" s="165"/>
      <c r="S123" s="165"/>
      <c r="T123" s="165"/>
      <c r="U123" s="165"/>
      <c r="V123" s="130">
        <f t="shared" si="62"/>
        <v>0</v>
      </c>
      <c r="W123" s="130">
        <f t="shared" si="55"/>
        <v>0</v>
      </c>
    </row>
    <row r="124" spans="1:23" s="166" customFormat="1" ht="15.75" x14ac:dyDescent="0.25">
      <c r="A124" s="167"/>
      <c r="B124" s="168"/>
      <c r="C124" s="173"/>
      <c r="D124" s="173">
        <f>SUM(D122:D123)</f>
        <v>0</v>
      </c>
      <c r="E124" s="173">
        <f t="shared" si="32"/>
        <v>0</v>
      </c>
      <c r="F124" s="173"/>
      <c r="G124" s="173"/>
      <c r="H124" s="156">
        <f>SUM(H122:H123)</f>
        <v>0</v>
      </c>
      <c r="I124" s="156">
        <f t="shared" ref="I124:M124" si="63">SUM(I122:I123)</f>
        <v>0</v>
      </c>
      <c r="J124" s="156">
        <f t="shared" si="63"/>
        <v>0</v>
      </c>
      <c r="K124" s="156">
        <f t="shared" si="63"/>
        <v>0</v>
      </c>
      <c r="L124" s="156">
        <f t="shared" si="63"/>
        <v>0</v>
      </c>
      <c r="M124" s="156">
        <f t="shared" si="63"/>
        <v>0</v>
      </c>
      <c r="N124" s="156">
        <f>SUM(N122:N123)</f>
        <v>0</v>
      </c>
      <c r="O124" s="144">
        <f>SUM(O119:O123)</f>
        <v>0</v>
      </c>
      <c r="P124" s="156">
        <f>SUM(P122:P123)</f>
        <v>0</v>
      </c>
      <c r="Q124" s="156">
        <f t="shared" ref="Q124" si="64">SUM(Q122:Q123)</f>
        <v>0</v>
      </c>
      <c r="R124" s="156">
        <f t="shared" ref="R124" si="65">SUM(R122:R123)</f>
        <v>0</v>
      </c>
      <c r="S124" s="156">
        <f t="shared" ref="S124" si="66">SUM(S122:S123)</f>
        <v>0</v>
      </c>
      <c r="T124" s="156">
        <f t="shared" ref="T124" si="67">SUM(T122:T123)</f>
        <v>0</v>
      </c>
      <c r="U124" s="156">
        <f t="shared" ref="U124" si="68">SUM(U122:U123)</f>
        <v>0</v>
      </c>
      <c r="V124" s="156">
        <f>SUM(V122:V123)</f>
        <v>0</v>
      </c>
      <c r="W124" s="144">
        <f>SUM(W119:W123)</f>
        <v>0</v>
      </c>
    </row>
    <row r="125" spans="1:23" s="166" customFormat="1" ht="30.75" x14ac:dyDescent="0.25">
      <c r="A125" s="161">
        <v>7991</v>
      </c>
      <c r="B125" s="174" t="s">
        <v>207</v>
      </c>
      <c r="C125" s="135"/>
      <c r="D125" s="135">
        <v>1000000</v>
      </c>
      <c r="E125" s="164">
        <f t="shared" si="32"/>
        <v>1000000</v>
      </c>
      <c r="F125" s="164"/>
      <c r="G125" s="164"/>
      <c r="H125" s="165"/>
      <c r="I125" s="165"/>
      <c r="J125" s="165"/>
      <c r="K125" s="165"/>
      <c r="L125" s="165"/>
      <c r="M125" s="165"/>
      <c r="N125" s="130">
        <f t="shared" si="24"/>
        <v>1000000</v>
      </c>
      <c r="O125" s="130">
        <f t="shared" si="33"/>
        <v>1000000</v>
      </c>
      <c r="P125" s="165"/>
      <c r="Q125" s="165"/>
      <c r="R125" s="165">
        <v>636308</v>
      </c>
      <c r="S125" s="165"/>
      <c r="T125" s="165"/>
      <c r="U125" s="165"/>
      <c r="V125" s="130">
        <f t="shared" ref="V125:V126" si="69">+M125-R125+S125-T125+U125</f>
        <v>-636308</v>
      </c>
      <c r="W125" s="130">
        <f t="shared" ref="W125:W126" si="70">+V125-Q125</f>
        <v>-636308</v>
      </c>
    </row>
    <row r="126" spans="1:23" s="166" customFormat="1" ht="15.75" x14ac:dyDescent="0.25">
      <c r="A126" s="161"/>
      <c r="B126" s="162"/>
      <c r="C126" s="163"/>
      <c r="D126" s="135"/>
      <c r="E126" s="164">
        <f t="shared" si="32"/>
        <v>0</v>
      </c>
      <c r="F126" s="164"/>
      <c r="G126" s="164"/>
      <c r="H126" s="165"/>
      <c r="I126" s="165"/>
      <c r="J126" s="165"/>
      <c r="K126" s="165"/>
      <c r="L126" s="165"/>
      <c r="M126" s="165"/>
      <c r="N126" s="130">
        <f t="shared" si="24"/>
        <v>0</v>
      </c>
      <c r="O126" s="130">
        <f t="shared" si="33"/>
        <v>0</v>
      </c>
      <c r="P126" s="165"/>
      <c r="Q126" s="165"/>
      <c r="R126" s="165"/>
      <c r="S126" s="165"/>
      <c r="T126" s="165"/>
      <c r="U126" s="165"/>
      <c r="V126" s="130">
        <f t="shared" si="69"/>
        <v>0</v>
      </c>
      <c r="W126" s="130">
        <f t="shared" si="70"/>
        <v>0</v>
      </c>
    </row>
    <row r="127" spans="1:23" s="166" customFormat="1" ht="15.75" x14ac:dyDescent="0.25">
      <c r="A127" s="167"/>
      <c r="B127" s="168" t="s">
        <v>206</v>
      </c>
      <c r="C127" s="169">
        <f>SUM(C125:C126)</f>
        <v>0</v>
      </c>
      <c r="D127" s="169">
        <f>SUM(D125:D126)</f>
        <v>1000000</v>
      </c>
      <c r="E127" s="169">
        <f t="shared" si="32"/>
        <v>1000000</v>
      </c>
      <c r="F127" s="169">
        <f t="shared" ref="F127:G127" si="71">SUM(F125:F126)</f>
        <v>0</v>
      </c>
      <c r="G127" s="169">
        <f t="shared" si="71"/>
        <v>0</v>
      </c>
      <c r="H127" s="156">
        <f>SUM(H125:H126)</f>
        <v>0</v>
      </c>
      <c r="I127" s="156">
        <f>SUM(I125:I126)</f>
        <v>0</v>
      </c>
      <c r="J127" s="156">
        <f t="shared" ref="J127:M127" si="72">SUM(J125:J126)</f>
        <v>0</v>
      </c>
      <c r="K127" s="156">
        <f t="shared" si="72"/>
        <v>0</v>
      </c>
      <c r="L127" s="156">
        <f t="shared" si="72"/>
        <v>0</v>
      </c>
      <c r="M127" s="156">
        <f t="shared" si="72"/>
        <v>0</v>
      </c>
      <c r="N127" s="156">
        <f>SUM(N125:N126)</f>
        <v>1000000</v>
      </c>
      <c r="O127" s="156">
        <f>SUM(O125:O126)</f>
        <v>1000000</v>
      </c>
      <c r="P127" s="156">
        <f>SUM(P125:P126)</f>
        <v>0</v>
      </c>
      <c r="Q127" s="156">
        <f>SUM(Q125:Q126)</f>
        <v>0</v>
      </c>
      <c r="R127" s="156">
        <f t="shared" ref="R127" si="73">SUM(R125:R126)</f>
        <v>636308</v>
      </c>
      <c r="S127" s="156">
        <f t="shared" ref="S127" si="74">SUM(S125:S126)</f>
        <v>0</v>
      </c>
      <c r="T127" s="156">
        <f t="shared" ref="T127" si="75">SUM(T125:T126)</f>
        <v>0</v>
      </c>
      <c r="U127" s="156">
        <f t="shared" ref="U127" si="76">SUM(U125:U126)</f>
        <v>0</v>
      </c>
      <c r="V127" s="156">
        <f>SUM(V125:V126)</f>
        <v>-636308</v>
      </c>
      <c r="W127" s="156">
        <f>SUM(W125:W126)</f>
        <v>-636308</v>
      </c>
    </row>
    <row r="128" spans="1:23" s="166" customFormat="1" ht="15.75" x14ac:dyDescent="0.25">
      <c r="A128" s="175"/>
      <c r="B128" s="176"/>
      <c r="C128" s="163"/>
      <c r="D128" s="135"/>
      <c r="E128" s="164"/>
      <c r="F128" s="164"/>
      <c r="G128" s="164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165"/>
      <c r="S128" s="165"/>
      <c r="T128" s="165"/>
      <c r="U128" s="165"/>
      <c r="V128" s="165"/>
      <c r="W128" s="165"/>
    </row>
    <row r="129" spans="1:222" s="166" customFormat="1" ht="15.75" x14ac:dyDescent="0.25">
      <c r="A129" s="177"/>
      <c r="B129" s="177" t="s">
        <v>226</v>
      </c>
      <c r="C129" s="178"/>
      <c r="D129" s="178"/>
      <c r="E129" s="178"/>
      <c r="F129" s="178"/>
      <c r="G129" s="178"/>
      <c r="H129" s="178"/>
      <c r="I129" s="178"/>
      <c r="J129" s="178"/>
      <c r="K129" s="178"/>
      <c r="L129" s="178"/>
      <c r="M129" s="178"/>
      <c r="N129" s="178"/>
      <c r="O129" s="178"/>
      <c r="P129" s="178"/>
      <c r="Q129" s="178"/>
      <c r="R129" s="178"/>
      <c r="S129" s="178"/>
      <c r="T129" s="178"/>
      <c r="U129" s="178"/>
      <c r="V129" s="178"/>
      <c r="W129" s="178"/>
    </row>
    <row r="130" spans="1:222" s="166" customFormat="1" ht="15.75" x14ac:dyDescent="0.25">
      <c r="A130" s="177"/>
      <c r="B130" s="177" t="s">
        <v>209</v>
      </c>
      <c r="C130" s="179">
        <f>C26+C59+C99+C104+C118+C121+C124+C127</f>
        <v>87061207.268828481</v>
      </c>
      <c r="D130" s="179">
        <f>D26+D59+D99+D104+D118+D121+D124+D127</f>
        <v>20076554.469999999</v>
      </c>
      <c r="E130" s="178">
        <f>E26+E59+E99+E104+E118+E121+E124+E127</f>
        <v>107137761.73882848</v>
      </c>
      <c r="F130" s="178">
        <f>F26+F59+F99+F104+F118+F121+F124+F127</f>
        <v>0</v>
      </c>
      <c r="G130" s="178">
        <f>G26+G59+G99+G104+G118+G121+G124+G127</f>
        <v>0</v>
      </c>
      <c r="H130" s="178">
        <f t="shared" ref="H130" si="77">H26+H59+H99+H104+H118+H121+H124+H127</f>
        <v>5762243.8099999996</v>
      </c>
      <c r="I130" s="179">
        <f>I26+I59+I99+I104+I118+I121+I124+I127</f>
        <v>4481615.7299999995</v>
      </c>
      <c r="J130" s="179">
        <f t="shared" ref="J130:M130" si="78">J26+J59+J99+J104+J118+J121+J124+J127</f>
        <v>0</v>
      </c>
      <c r="K130" s="179">
        <f t="shared" si="78"/>
        <v>0</v>
      </c>
      <c r="L130" s="179">
        <f t="shared" si="78"/>
        <v>0</v>
      </c>
      <c r="M130" s="179">
        <f t="shared" si="78"/>
        <v>0</v>
      </c>
      <c r="N130" s="179">
        <f>N26+N59+N99+N104+N118+N121+N124+N127</f>
        <v>107137761.73882848</v>
      </c>
      <c r="O130" s="179">
        <f>O26+O59+O99+O104+O118+O121+O124+O127</f>
        <v>102656146.00882848</v>
      </c>
      <c r="P130" s="178">
        <f t="shared" ref="P130" si="79">P26+P59+P99+P104+P118+P121+P124+P127</f>
        <v>6100732.4398800004</v>
      </c>
      <c r="Q130" s="179">
        <f>Q26+Q59+Q99+Q104+Q118+Q121+Q124+Q127</f>
        <v>5159451.43</v>
      </c>
      <c r="R130" s="179">
        <f t="shared" ref="R130:U130" si="80">R26+R59+R99+R104+R118+R121+R124+R127</f>
        <v>644417</v>
      </c>
      <c r="S130" s="179">
        <f t="shared" si="80"/>
        <v>644417</v>
      </c>
      <c r="T130" s="179">
        <f t="shared" si="80"/>
        <v>0</v>
      </c>
      <c r="U130" s="179">
        <f t="shared" si="80"/>
        <v>0</v>
      </c>
      <c r="V130" s="179">
        <f>V26+V59+V99+V104+V118+V121+V124+V127</f>
        <v>74001793.256028473</v>
      </c>
      <c r="W130" s="179">
        <f>W26+W59+W99+W104+W118+W121+W124+W127</f>
        <v>69038210.786028445</v>
      </c>
    </row>
    <row r="131" spans="1:222" s="85" customFormat="1" x14ac:dyDescent="0.25">
      <c r="A131" s="81"/>
      <c r="B131" s="82"/>
      <c r="C131" s="91"/>
      <c r="D131" s="92"/>
      <c r="E131" s="93"/>
      <c r="F131" s="93"/>
      <c r="G131" s="93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L131" s="58"/>
      <c r="BM131" s="58"/>
      <c r="BN131" s="58"/>
      <c r="BO131" s="58"/>
      <c r="BP131" s="58"/>
      <c r="BQ131" s="58"/>
      <c r="BR131" s="58"/>
      <c r="BS131" s="58"/>
      <c r="BT131" s="58"/>
      <c r="BU131" s="58"/>
      <c r="BV131" s="58"/>
      <c r="BW131" s="58"/>
      <c r="BX131" s="58"/>
      <c r="BY131" s="58"/>
      <c r="BZ131" s="58"/>
      <c r="CA131" s="58"/>
      <c r="CB131" s="58"/>
      <c r="CC131" s="58"/>
      <c r="CD131" s="58"/>
      <c r="CE131" s="58"/>
      <c r="CF131" s="58"/>
      <c r="CG131" s="58"/>
      <c r="CH131" s="58"/>
      <c r="CI131" s="58"/>
      <c r="CJ131" s="58"/>
      <c r="CK131" s="58"/>
      <c r="CL131" s="58"/>
      <c r="CM131" s="58"/>
      <c r="CN131" s="58"/>
      <c r="CO131" s="58"/>
      <c r="CP131" s="58"/>
      <c r="CQ131" s="58"/>
      <c r="CR131" s="58"/>
      <c r="CS131" s="58"/>
      <c r="CT131" s="58"/>
      <c r="CU131" s="58"/>
      <c r="CV131" s="58"/>
      <c r="CW131" s="58"/>
      <c r="CX131" s="58"/>
      <c r="CY131" s="58"/>
      <c r="CZ131" s="58"/>
      <c r="DA131" s="58"/>
      <c r="DB131" s="58"/>
      <c r="DC131" s="58"/>
      <c r="DD131" s="58"/>
      <c r="DE131" s="58"/>
      <c r="DF131" s="58"/>
      <c r="DG131" s="58"/>
      <c r="DH131" s="58"/>
      <c r="DI131" s="58"/>
      <c r="DJ131" s="58"/>
      <c r="DK131" s="58"/>
      <c r="DL131" s="58"/>
      <c r="DM131" s="58"/>
      <c r="DN131" s="58"/>
      <c r="DO131" s="58"/>
      <c r="DP131" s="58"/>
      <c r="DQ131" s="58"/>
      <c r="DR131" s="58"/>
      <c r="DS131" s="58"/>
      <c r="DT131" s="58"/>
      <c r="DU131" s="58"/>
      <c r="DV131" s="58"/>
      <c r="DW131" s="58"/>
      <c r="DX131" s="58"/>
      <c r="DY131" s="58"/>
      <c r="DZ131" s="58"/>
      <c r="EA131" s="58"/>
      <c r="EB131" s="58"/>
      <c r="EC131" s="58"/>
      <c r="ED131" s="58"/>
      <c r="EE131" s="58"/>
      <c r="EF131" s="58"/>
      <c r="EG131" s="58"/>
      <c r="EH131" s="58"/>
      <c r="EI131" s="58"/>
      <c r="EJ131" s="58"/>
      <c r="EK131" s="58"/>
      <c r="EL131" s="58"/>
      <c r="EM131" s="58"/>
      <c r="EN131" s="58"/>
      <c r="EO131" s="58"/>
      <c r="EP131" s="58"/>
      <c r="EQ131" s="58"/>
      <c r="ER131" s="58"/>
      <c r="ES131" s="58"/>
      <c r="ET131" s="58"/>
      <c r="EU131" s="58"/>
      <c r="EV131" s="58"/>
      <c r="EW131" s="58"/>
      <c r="EX131" s="58"/>
      <c r="EY131" s="58"/>
      <c r="EZ131" s="58"/>
      <c r="FA131" s="58"/>
      <c r="FB131" s="58"/>
      <c r="FC131" s="58"/>
      <c r="FD131" s="58"/>
      <c r="FE131" s="58"/>
      <c r="FF131" s="58"/>
      <c r="FG131" s="58"/>
      <c r="FH131" s="58"/>
      <c r="FI131" s="58"/>
      <c r="FJ131" s="58"/>
      <c r="FK131" s="58"/>
      <c r="FL131" s="58"/>
      <c r="FM131" s="58"/>
      <c r="FN131" s="58"/>
      <c r="FO131" s="58"/>
      <c r="FP131" s="58"/>
      <c r="FQ131" s="58"/>
      <c r="FR131" s="58"/>
      <c r="FS131" s="58"/>
      <c r="FT131" s="58"/>
      <c r="FU131" s="58"/>
      <c r="FV131" s="58"/>
      <c r="FW131" s="58"/>
      <c r="FX131" s="58"/>
      <c r="FY131" s="58"/>
      <c r="FZ131" s="58"/>
      <c r="GA131" s="58"/>
      <c r="GB131" s="58"/>
      <c r="GC131" s="58"/>
      <c r="GD131" s="58"/>
      <c r="GE131" s="58"/>
      <c r="GF131" s="58"/>
      <c r="GG131" s="58"/>
      <c r="GH131" s="58"/>
      <c r="GI131" s="58"/>
      <c r="GJ131" s="58"/>
      <c r="GK131" s="58"/>
      <c r="GL131" s="58"/>
      <c r="GM131" s="58"/>
      <c r="GN131" s="58"/>
      <c r="GO131" s="58"/>
      <c r="GP131" s="58"/>
      <c r="GQ131" s="58"/>
      <c r="GR131" s="58"/>
      <c r="GS131" s="58"/>
      <c r="GT131" s="58"/>
      <c r="GU131" s="58"/>
      <c r="GV131" s="58"/>
      <c r="GW131" s="58"/>
      <c r="GX131" s="58"/>
      <c r="GY131" s="58"/>
      <c r="GZ131" s="58"/>
      <c r="HA131" s="58"/>
      <c r="HB131" s="58"/>
      <c r="HC131" s="58"/>
      <c r="HD131" s="58"/>
      <c r="HE131" s="58"/>
      <c r="HF131" s="58"/>
      <c r="HG131" s="58"/>
      <c r="HH131" s="58"/>
      <c r="HI131" s="58"/>
      <c r="HJ131" s="58"/>
      <c r="HK131" s="58"/>
      <c r="HL131" s="58"/>
      <c r="HM131" s="58"/>
      <c r="HN131" s="58"/>
    </row>
    <row r="132" spans="1:222" s="85" customFormat="1" x14ac:dyDescent="0.25">
      <c r="A132" s="58"/>
      <c r="B132" s="58"/>
      <c r="D132" s="94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8"/>
      <c r="AN132" s="58"/>
      <c r="AO132" s="58"/>
      <c r="AP132" s="58"/>
      <c r="AQ132" s="58"/>
      <c r="AR132" s="58"/>
      <c r="AS132" s="58"/>
      <c r="AT132" s="58"/>
      <c r="AU132" s="58"/>
      <c r="AV132" s="58"/>
      <c r="AW132" s="58"/>
      <c r="AX132" s="58"/>
      <c r="AY132" s="58"/>
      <c r="AZ132" s="58"/>
      <c r="BA132" s="58"/>
      <c r="BB132" s="58"/>
      <c r="BC132" s="58"/>
      <c r="BD132" s="58"/>
      <c r="BE132" s="58"/>
      <c r="BF132" s="58"/>
      <c r="BG132" s="58"/>
      <c r="BH132" s="58"/>
      <c r="BI132" s="58"/>
      <c r="BJ132" s="58"/>
      <c r="BK132" s="58"/>
      <c r="BL132" s="58"/>
      <c r="BM132" s="58"/>
      <c r="BN132" s="58"/>
      <c r="BO132" s="58"/>
      <c r="BP132" s="58"/>
      <c r="BQ132" s="58"/>
      <c r="BR132" s="58"/>
      <c r="BS132" s="58"/>
      <c r="BT132" s="58"/>
      <c r="BU132" s="58"/>
      <c r="BV132" s="58"/>
      <c r="BW132" s="58"/>
      <c r="BX132" s="58"/>
      <c r="BY132" s="58"/>
      <c r="BZ132" s="58"/>
      <c r="CA132" s="58"/>
      <c r="CB132" s="58"/>
      <c r="CC132" s="58"/>
      <c r="CD132" s="58"/>
      <c r="CE132" s="58"/>
      <c r="CF132" s="58"/>
      <c r="CG132" s="58"/>
      <c r="CH132" s="58"/>
      <c r="CI132" s="58"/>
      <c r="CJ132" s="58"/>
      <c r="CK132" s="58"/>
      <c r="CL132" s="58"/>
      <c r="CM132" s="58"/>
      <c r="CN132" s="58"/>
      <c r="CO132" s="58"/>
      <c r="CP132" s="58"/>
      <c r="CQ132" s="58"/>
      <c r="CR132" s="58"/>
      <c r="CS132" s="58"/>
      <c r="CT132" s="58"/>
      <c r="CU132" s="58"/>
      <c r="CV132" s="58"/>
      <c r="CW132" s="58"/>
      <c r="CX132" s="58"/>
      <c r="CY132" s="58"/>
      <c r="CZ132" s="58"/>
      <c r="DA132" s="58"/>
      <c r="DB132" s="58"/>
      <c r="DC132" s="58"/>
      <c r="DD132" s="58"/>
      <c r="DE132" s="58"/>
      <c r="DF132" s="58"/>
      <c r="DG132" s="58"/>
      <c r="DH132" s="58"/>
      <c r="DI132" s="58"/>
      <c r="DJ132" s="58"/>
      <c r="DK132" s="58"/>
      <c r="DL132" s="58"/>
      <c r="DM132" s="58"/>
      <c r="DN132" s="58"/>
      <c r="DO132" s="58"/>
      <c r="DP132" s="58"/>
      <c r="DQ132" s="58"/>
      <c r="DR132" s="58"/>
      <c r="DS132" s="58"/>
      <c r="DT132" s="58"/>
      <c r="DU132" s="58"/>
      <c r="DV132" s="58"/>
      <c r="DW132" s="58"/>
      <c r="DX132" s="58"/>
      <c r="DY132" s="58"/>
      <c r="DZ132" s="58"/>
      <c r="EA132" s="58"/>
      <c r="EB132" s="58"/>
      <c r="EC132" s="58"/>
      <c r="ED132" s="58"/>
      <c r="EE132" s="58"/>
      <c r="EF132" s="58"/>
      <c r="EG132" s="58"/>
      <c r="EH132" s="58"/>
      <c r="EI132" s="58"/>
      <c r="EJ132" s="58"/>
      <c r="EK132" s="58"/>
      <c r="EL132" s="58"/>
      <c r="EM132" s="58"/>
      <c r="EN132" s="58"/>
      <c r="EO132" s="58"/>
      <c r="EP132" s="58"/>
      <c r="EQ132" s="58"/>
      <c r="ER132" s="58"/>
      <c r="ES132" s="58"/>
      <c r="ET132" s="58"/>
      <c r="EU132" s="58"/>
      <c r="EV132" s="58"/>
      <c r="EW132" s="58"/>
      <c r="EX132" s="58"/>
      <c r="EY132" s="58"/>
      <c r="EZ132" s="58"/>
      <c r="FA132" s="58"/>
      <c r="FB132" s="58"/>
      <c r="FC132" s="58"/>
      <c r="FD132" s="58"/>
      <c r="FE132" s="58"/>
      <c r="FF132" s="58"/>
      <c r="FG132" s="58"/>
      <c r="FH132" s="58"/>
      <c r="FI132" s="58"/>
      <c r="FJ132" s="58"/>
      <c r="FK132" s="58"/>
      <c r="FL132" s="58"/>
      <c r="FM132" s="58"/>
      <c r="FN132" s="58"/>
      <c r="FO132" s="58"/>
      <c r="FP132" s="58"/>
      <c r="FQ132" s="58"/>
      <c r="FR132" s="58"/>
      <c r="FS132" s="58"/>
      <c r="FT132" s="58"/>
      <c r="FU132" s="58"/>
      <c r="FV132" s="58"/>
      <c r="FW132" s="58"/>
      <c r="FX132" s="58"/>
      <c r="FY132" s="58"/>
      <c r="FZ132" s="58"/>
      <c r="GA132" s="58"/>
      <c r="GB132" s="58"/>
      <c r="GC132" s="58"/>
      <c r="GD132" s="58"/>
      <c r="GE132" s="58"/>
      <c r="GF132" s="58"/>
      <c r="GG132" s="58"/>
      <c r="GH132" s="58"/>
      <c r="GI132" s="58"/>
      <c r="GJ132" s="58"/>
      <c r="GK132" s="58"/>
      <c r="GL132" s="58"/>
      <c r="GM132" s="58"/>
      <c r="GN132" s="58"/>
      <c r="GO132" s="58"/>
      <c r="GP132" s="58"/>
      <c r="GQ132" s="58"/>
      <c r="GR132" s="58"/>
      <c r="GS132" s="58"/>
      <c r="GT132" s="58"/>
      <c r="GU132" s="58"/>
      <c r="GV132" s="58"/>
      <c r="GW132" s="58"/>
      <c r="GX132" s="58"/>
      <c r="GY132" s="58"/>
      <c r="GZ132" s="58"/>
      <c r="HA132" s="58"/>
      <c r="HB132" s="58"/>
      <c r="HC132" s="58"/>
      <c r="HD132" s="58"/>
      <c r="HE132" s="58"/>
      <c r="HF132" s="58"/>
      <c r="HG132" s="58"/>
      <c r="HH132" s="58"/>
      <c r="HI132" s="58"/>
      <c r="HJ132" s="58"/>
      <c r="HK132" s="58"/>
      <c r="HL132" s="58"/>
      <c r="HM132" s="58"/>
      <c r="HN132" s="58"/>
    </row>
  </sheetData>
  <mergeCells count="6">
    <mergeCell ref="J5:K5"/>
    <mergeCell ref="R5:S5"/>
    <mergeCell ref="A5:A6"/>
    <mergeCell ref="B5:B6"/>
    <mergeCell ref="C5:C6"/>
    <mergeCell ref="F5:G5"/>
  </mergeCells>
  <pageMargins left="0.94488188976377963" right="0.15748031496062992" top="0.15748031496062992" bottom="0.15748031496062992" header="0.31496062992125984" footer="0.31496062992125984"/>
  <pageSetup paperSize="5" scale="65" fitToHeight="2" orientation="landscape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F135"/>
  <sheetViews>
    <sheetView topLeftCell="C1" zoomScale="85" zoomScaleNormal="85" workbookViewId="0">
      <selection activeCell="AB12" sqref="AB12"/>
    </sheetView>
  </sheetViews>
  <sheetFormatPr baseColWidth="10" defaultColWidth="9.140625" defaultRowHeight="15.75" x14ac:dyDescent="0.25"/>
  <cols>
    <col min="1" max="1" width="7.140625" style="58" customWidth="1"/>
    <col min="2" max="2" width="67.42578125" style="58" customWidth="1"/>
    <col min="3" max="3" width="13" style="85" customWidth="1"/>
    <col min="4" max="4" width="13.5703125" style="85" customWidth="1"/>
    <col min="5" max="5" width="17.5703125" style="85" bestFit="1" customWidth="1"/>
    <col min="6" max="6" width="17.7109375" style="85" hidden="1" customWidth="1"/>
    <col min="7" max="7" width="5.5703125" style="85" hidden="1" customWidth="1"/>
    <col min="8" max="8" width="17" style="85" hidden="1" customWidth="1"/>
    <col min="9" max="9" width="14.28515625" style="85" hidden="1" customWidth="1"/>
    <col min="10" max="10" width="16.5703125" style="85" hidden="1" customWidth="1"/>
    <col min="11" max="12" width="11.42578125" style="85" hidden="1" customWidth="1"/>
    <col min="13" max="13" width="12.7109375" style="85" hidden="1" customWidth="1"/>
    <col min="14" max="14" width="11.5703125" style="85" hidden="1" customWidth="1"/>
    <col min="15" max="15" width="14.7109375" style="85" hidden="1" customWidth="1"/>
    <col min="16" max="16" width="14.7109375" style="233" hidden="1" customWidth="1"/>
    <col min="17" max="21" width="14.7109375" style="85" hidden="1" customWidth="1"/>
    <col min="22" max="22" width="16.5703125" style="85" customWidth="1"/>
    <col min="23" max="23" width="14.7109375" style="85" customWidth="1"/>
    <col min="24" max="24" width="14.7109375" style="85" hidden="1" customWidth="1"/>
    <col min="25" max="29" width="14.7109375" style="85" customWidth="1"/>
    <col min="30" max="30" width="16.85546875" style="85" customWidth="1"/>
    <col min="31" max="31" width="18.42578125" style="85" customWidth="1"/>
    <col min="32" max="32" width="15" style="85" customWidth="1"/>
    <col min="33" max="229" width="11.42578125" style="58" customWidth="1"/>
    <col min="230" max="16384" width="9.140625" style="58"/>
  </cols>
  <sheetData>
    <row r="2" spans="1:32" ht="18" x14ac:dyDescent="0.25">
      <c r="C2" s="87" t="s">
        <v>306</v>
      </c>
      <c r="D2" s="88"/>
    </row>
    <row r="3" spans="1:32" x14ac:dyDescent="0.25">
      <c r="C3" s="89" t="s">
        <v>224</v>
      </c>
      <c r="D3" s="89"/>
    </row>
    <row r="4" spans="1:32" ht="24.75" customHeight="1" x14ac:dyDescent="0.25"/>
    <row r="5" spans="1:32" ht="15" customHeight="1" x14ac:dyDescent="0.25">
      <c r="A5" s="296" t="s">
        <v>99</v>
      </c>
      <c r="B5" s="298" t="s">
        <v>100</v>
      </c>
      <c r="C5" s="303" t="s">
        <v>210</v>
      </c>
      <c r="D5" s="262" t="s">
        <v>19</v>
      </c>
      <c r="E5" s="262" t="s">
        <v>101</v>
      </c>
      <c r="F5" s="304" t="s">
        <v>227</v>
      </c>
      <c r="G5" s="305"/>
      <c r="H5" s="263" t="s">
        <v>211</v>
      </c>
      <c r="I5" s="263" t="s">
        <v>212</v>
      </c>
      <c r="J5" s="263"/>
      <c r="K5" s="306" t="s">
        <v>213</v>
      </c>
      <c r="L5" s="307"/>
      <c r="M5" s="263"/>
      <c r="N5" s="263"/>
      <c r="O5" s="263" t="s">
        <v>211</v>
      </c>
      <c r="P5" s="263" t="s">
        <v>212</v>
      </c>
      <c r="Q5" s="263"/>
      <c r="R5" s="306" t="s">
        <v>213</v>
      </c>
      <c r="S5" s="307"/>
      <c r="T5" s="263"/>
      <c r="U5" s="263"/>
      <c r="V5" s="263" t="s">
        <v>211</v>
      </c>
      <c r="W5" s="263" t="s">
        <v>212</v>
      </c>
      <c r="X5" s="316" t="s">
        <v>217</v>
      </c>
      <c r="Y5" s="306" t="s">
        <v>213</v>
      </c>
      <c r="Z5" s="307"/>
      <c r="AA5" s="263"/>
      <c r="AB5" s="263"/>
      <c r="AC5" s="265" t="s">
        <v>274</v>
      </c>
      <c r="AD5" s="308" t="s">
        <v>214</v>
      </c>
      <c r="AE5" s="302" t="s">
        <v>215</v>
      </c>
      <c r="AF5" s="302" t="s">
        <v>216</v>
      </c>
    </row>
    <row r="6" spans="1:32" ht="25.5" x14ac:dyDescent="0.25">
      <c r="A6" s="297"/>
      <c r="B6" s="298"/>
      <c r="C6" s="303"/>
      <c r="D6" s="261" t="s">
        <v>222</v>
      </c>
      <c r="E6" s="262" t="s">
        <v>264</v>
      </c>
      <c r="F6" s="262" t="s">
        <v>218</v>
      </c>
      <c r="G6" s="262" t="s">
        <v>219</v>
      </c>
      <c r="H6" s="84" t="s">
        <v>33</v>
      </c>
      <c r="I6" s="84" t="s">
        <v>33</v>
      </c>
      <c r="J6" s="84" t="s">
        <v>217</v>
      </c>
      <c r="K6" s="84" t="s">
        <v>218</v>
      </c>
      <c r="L6" s="84" t="s">
        <v>219</v>
      </c>
      <c r="M6" s="84" t="s">
        <v>220</v>
      </c>
      <c r="N6" s="84" t="s">
        <v>221</v>
      </c>
      <c r="O6" s="84" t="s">
        <v>247</v>
      </c>
      <c r="P6" s="84" t="s">
        <v>247</v>
      </c>
      <c r="Q6" s="84" t="s">
        <v>217</v>
      </c>
      <c r="R6" s="84" t="s">
        <v>218</v>
      </c>
      <c r="S6" s="84" t="s">
        <v>219</v>
      </c>
      <c r="T6" s="84" t="s">
        <v>220</v>
      </c>
      <c r="U6" s="84" t="s">
        <v>221</v>
      </c>
      <c r="V6" s="84" t="s">
        <v>35</v>
      </c>
      <c r="W6" s="84" t="s">
        <v>35</v>
      </c>
      <c r="X6" s="317"/>
      <c r="Y6" s="84" t="s">
        <v>218</v>
      </c>
      <c r="Z6" s="84" t="s">
        <v>219</v>
      </c>
      <c r="AA6" s="84" t="s">
        <v>220</v>
      </c>
      <c r="AB6" s="84" t="s">
        <v>221</v>
      </c>
      <c r="AC6" s="266" t="s">
        <v>275</v>
      </c>
      <c r="AD6" s="309"/>
      <c r="AE6" s="302"/>
      <c r="AF6" s="302"/>
    </row>
    <row r="7" spans="1:32" s="131" customFormat="1" ht="15" customHeight="1" x14ac:dyDescent="0.25">
      <c r="A7" s="126">
        <v>1131</v>
      </c>
      <c r="B7" s="127" t="s">
        <v>102</v>
      </c>
      <c r="C7" s="128">
        <f>29378510.336+2561872.56+53797.14</f>
        <v>31994180.035999998</v>
      </c>
      <c r="D7" s="129"/>
      <c r="E7" s="129">
        <f>C7+D7</f>
        <v>31994180.035999998</v>
      </c>
      <c r="F7" s="129"/>
      <c r="G7" s="129"/>
      <c r="H7" s="130">
        <v>2675467</v>
      </c>
      <c r="I7" s="130">
        <v>2401012.83</v>
      </c>
      <c r="J7" s="130">
        <f>E7-I7</f>
        <v>29593167.206</v>
      </c>
      <c r="K7" s="130"/>
      <c r="L7" s="130"/>
      <c r="M7" s="130"/>
      <c r="N7" s="130"/>
      <c r="O7" s="226">
        <v>2416550.92</v>
      </c>
      <c r="P7" s="231">
        <v>2168504.21</v>
      </c>
      <c r="Q7" s="130">
        <f>J7-P7</f>
        <v>27424662.995999999</v>
      </c>
      <c r="R7" s="130"/>
      <c r="S7" s="130"/>
      <c r="T7" s="130"/>
      <c r="U7" s="130"/>
      <c r="V7" s="226">
        <v>2675467.2799999998</v>
      </c>
      <c r="W7" s="231">
        <v>2429224.8199999998</v>
      </c>
      <c r="X7" s="130">
        <f>Q7-W7</f>
        <v>24995438.175999999</v>
      </c>
      <c r="Y7" s="130">
        <v>250000</v>
      </c>
      <c r="Z7" s="130"/>
      <c r="AA7" s="130"/>
      <c r="AB7" s="130"/>
      <c r="AC7" s="130">
        <f>E7-R7+S7+T7-U7-Y7+Z7+AA7-AB7</f>
        <v>31744180.035999998</v>
      </c>
      <c r="AD7" s="130">
        <f t="shared" ref="AD7:AD25" si="0">C7+D7</f>
        <v>31994180.035999998</v>
      </c>
      <c r="AE7" s="130">
        <f>I7+P7+W7</f>
        <v>6998741.8599999994</v>
      </c>
      <c r="AF7" s="130">
        <f t="shared" ref="AF7:AF25" si="1">X7-Y7+Z7+AA7-AB7</f>
        <v>24745438.175999999</v>
      </c>
    </row>
    <row r="8" spans="1:32" s="131" customFormat="1" ht="15" customHeight="1" x14ac:dyDescent="0.25">
      <c r="A8" s="126">
        <v>1211</v>
      </c>
      <c r="B8" s="127" t="s">
        <v>322</v>
      </c>
      <c r="C8" s="128">
        <v>0</v>
      </c>
      <c r="D8" s="129"/>
      <c r="E8" s="129">
        <f>C8+D8</f>
        <v>0</v>
      </c>
      <c r="F8" s="129"/>
      <c r="G8" s="129"/>
      <c r="H8" s="130"/>
      <c r="I8" s="130"/>
      <c r="J8" s="130"/>
      <c r="K8" s="130"/>
      <c r="L8" s="130"/>
      <c r="M8" s="130"/>
      <c r="N8" s="130"/>
      <c r="O8" s="226"/>
      <c r="P8" s="231"/>
      <c r="Q8" s="130"/>
      <c r="R8" s="130"/>
      <c r="S8" s="130"/>
      <c r="T8" s="130"/>
      <c r="U8" s="130"/>
      <c r="V8" s="226">
        <v>0</v>
      </c>
      <c r="W8" s="231">
        <v>0</v>
      </c>
      <c r="X8" s="130">
        <f>Q8-W8</f>
        <v>0</v>
      </c>
      <c r="Y8" s="130"/>
      <c r="Z8" s="130">
        <v>250000</v>
      </c>
      <c r="AA8" s="130"/>
      <c r="AB8" s="130"/>
      <c r="AC8" s="130">
        <f t="shared" ref="AC8:AC71" si="2">E8-R8+S8+T8-U8-Y8+Z8+AA8-AB8</f>
        <v>250000</v>
      </c>
      <c r="AD8" s="130">
        <f t="shared" si="0"/>
        <v>0</v>
      </c>
      <c r="AE8" s="130">
        <f>I8+P8+W8</f>
        <v>0</v>
      </c>
      <c r="AF8" s="130">
        <f t="shared" si="1"/>
        <v>250000</v>
      </c>
    </row>
    <row r="9" spans="1:32" s="131" customFormat="1" ht="30" x14ac:dyDescent="0.25">
      <c r="A9" s="132">
        <v>1311</v>
      </c>
      <c r="B9" s="133" t="s">
        <v>103</v>
      </c>
      <c r="C9" s="134">
        <v>432901.92</v>
      </c>
      <c r="D9" s="135"/>
      <c r="E9" s="135">
        <f t="shared" ref="E9:E24" si="3">C9+D9</f>
        <v>432901.92</v>
      </c>
      <c r="F9" s="135"/>
      <c r="G9" s="135"/>
      <c r="H9" s="130">
        <v>35681</v>
      </c>
      <c r="I9" s="130">
        <v>30266.55</v>
      </c>
      <c r="J9" s="130">
        <f t="shared" ref="J9:J25" si="4">E9-I9</f>
        <v>402635.37</v>
      </c>
      <c r="K9" s="130"/>
      <c r="L9" s="130"/>
      <c r="M9" s="130"/>
      <c r="N9" s="130"/>
      <c r="O9" s="226">
        <v>35845.159880000007</v>
      </c>
      <c r="P9" s="231">
        <v>36340.06</v>
      </c>
      <c r="Q9" s="130">
        <f t="shared" ref="Q9:Q75" si="5">J9-P9</f>
        <v>366295.31</v>
      </c>
      <c r="R9" s="130"/>
      <c r="S9" s="130"/>
      <c r="T9" s="130"/>
      <c r="U9" s="130"/>
      <c r="V9" s="226">
        <v>35552.512159999998</v>
      </c>
      <c r="W9" s="231">
        <v>33856.92</v>
      </c>
      <c r="X9" s="130">
        <f t="shared" ref="X9:X45" si="6">Q9-W9</f>
        <v>332438.39</v>
      </c>
      <c r="Y9" s="130"/>
      <c r="Z9" s="130"/>
      <c r="AA9" s="130"/>
      <c r="AB9" s="130"/>
      <c r="AC9" s="130">
        <f t="shared" si="2"/>
        <v>432901.92</v>
      </c>
      <c r="AD9" s="130">
        <f t="shared" si="0"/>
        <v>432901.92</v>
      </c>
      <c r="AE9" s="130">
        <f t="shared" ref="AE9:AE73" si="7">I9+P9+W9</f>
        <v>100463.53</v>
      </c>
      <c r="AF9" s="130">
        <f t="shared" si="1"/>
        <v>332438.39</v>
      </c>
    </row>
    <row r="10" spans="1:32" s="131" customFormat="1" ht="15" customHeight="1" x14ac:dyDescent="0.25">
      <c r="A10" s="132">
        <v>1321</v>
      </c>
      <c r="B10" s="136" t="s">
        <v>104</v>
      </c>
      <c r="C10" s="134">
        <f>402160.408000001+35581.56</f>
        <v>437741.96800000098</v>
      </c>
      <c r="D10" s="135"/>
      <c r="E10" s="135">
        <f t="shared" si="3"/>
        <v>437741.96800000098</v>
      </c>
      <c r="F10" s="135"/>
      <c r="G10" s="135"/>
      <c r="H10" s="130">
        <v>4377</v>
      </c>
      <c r="I10" s="130">
        <v>252.09</v>
      </c>
      <c r="J10" s="130">
        <f t="shared" si="4"/>
        <v>437489.87800000096</v>
      </c>
      <c r="K10" s="130"/>
      <c r="L10" s="130"/>
      <c r="M10" s="130"/>
      <c r="N10" s="130"/>
      <c r="O10" s="226">
        <v>4377.42</v>
      </c>
      <c r="P10" s="231">
        <v>1660.72</v>
      </c>
      <c r="Q10" s="130">
        <f t="shared" si="5"/>
        <v>435829.15800000099</v>
      </c>
      <c r="R10" s="130"/>
      <c r="S10" s="130"/>
      <c r="T10" s="130"/>
      <c r="U10" s="130"/>
      <c r="V10" s="226">
        <v>4377.42</v>
      </c>
      <c r="W10" s="231">
        <v>7041.23</v>
      </c>
      <c r="X10" s="130">
        <f t="shared" si="6"/>
        <v>428787.928000001</v>
      </c>
      <c r="Y10" s="130"/>
      <c r="Z10" s="130"/>
      <c r="AA10" s="130"/>
      <c r="AB10" s="130"/>
      <c r="AC10" s="130">
        <f t="shared" si="2"/>
        <v>437741.96800000098</v>
      </c>
      <c r="AD10" s="130">
        <f t="shared" si="0"/>
        <v>437741.96800000098</v>
      </c>
      <c r="AE10" s="130">
        <f t="shared" si="7"/>
        <v>8954.0399999999991</v>
      </c>
      <c r="AF10" s="130">
        <f t="shared" si="1"/>
        <v>428787.928000001</v>
      </c>
    </row>
    <row r="11" spans="1:32" s="131" customFormat="1" x14ac:dyDescent="0.25">
      <c r="A11" s="132">
        <v>1322</v>
      </c>
      <c r="B11" s="136" t="s">
        <v>105</v>
      </c>
      <c r="C11" s="134">
        <f>4021604.08+355815.63</f>
        <v>4377419.71</v>
      </c>
      <c r="D11" s="135"/>
      <c r="E11" s="135">
        <f t="shared" si="3"/>
        <v>4377419.71</v>
      </c>
      <c r="F11" s="135"/>
      <c r="G11" s="135"/>
      <c r="H11" s="130">
        <v>44692</v>
      </c>
      <c r="I11" s="130">
        <v>645.99</v>
      </c>
      <c r="J11" s="130">
        <f t="shared" si="4"/>
        <v>4376773.72</v>
      </c>
      <c r="K11" s="130"/>
      <c r="L11" s="130"/>
      <c r="M11" s="130"/>
      <c r="N11" s="130"/>
      <c r="O11" s="226">
        <v>40366.480000000003</v>
      </c>
      <c r="P11" s="231">
        <v>5625.07</v>
      </c>
      <c r="Q11" s="130">
        <f t="shared" si="5"/>
        <v>4371148.6499999994</v>
      </c>
      <c r="R11" s="130"/>
      <c r="S11" s="130"/>
      <c r="T11" s="130"/>
      <c r="U11" s="130"/>
      <c r="V11" s="226">
        <v>44691.6</v>
      </c>
      <c r="W11" s="231">
        <v>22683.27</v>
      </c>
      <c r="X11" s="130">
        <f t="shared" si="6"/>
        <v>4348465.38</v>
      </c>
      <c r="Y11" s="130"/>
      <c r="Z11" s="130"/>
      <c r="AA11" s="130"/>
      <c r="AB11" s="130"/>
      <c r="AC11" s="130">
        <f t="shared" si="2"/>
        <v>4377419.71</v>
      </c>
      <c r="AD11" s="130">
        <f t="shared" si="0"/>
        <v>4377419.71</v>
      </c>
      <c r="AE11" s="130">
        <f t="shared" si="7"/>
        <v>28954.33</v>
      </c>
      <c r="AF11" s="130">
        <f t="shared" si="1"/>
        <v>4348465.38</v>
      </c>
    </row>
    <row r="12" spans="1:32" s="131" customFormat="1" ht="15" customHeight="1" x14ac:dyDescent="0.25">
      <c r="A12" s="132">
        <v>1332</v>
      </c>
      <c r="B12" s="136" t="s">
        <v>106</v>
      </c>
      <c r="C12" s="134">
        <v>1388969</v>
      </c>
      <c r="D12" s="135"/>
      <c r="E12" s="135">
        <f t="shared" si="3"/>
        <v>1388969</v>
      </c>
      <c r="F12" s="135"/>
      <c r="G12" s="135"/>
      <c r="H12" s="130">
        <v>118210</v>
      </c>
      <c r="I12" s="130">
        <v>20629.509999999998</v>
      </c>
      <c r="J12" s="130">
        <f t="shared" si="4"/>
        <v>1368339.49</v>
      </c>
      <c r="K12" s="130"/>
      <c r="L12" s="130"/>
      <c r="M12" s="130"/>
      <c r="N12" s="130"/>
      <c r="O12" s="227">
        <v>107127.91</v>
      </c>
      <c r="P12" s="231">
        <v>7644.57</v>
      </c>
      <c r="Q12" s="130">
        <f t="shared" si="5"/>
        <v>1360694.92</v>
      </c>
      <c r="R12" s="130"/>
      <c r="S12" s="130"/>
      <c r="T12" s="130"/>
      <c r="U12" s="130"/>
      <c r="V12" s="227">
        <v>118210.12480000001</v>
      </c>
      <c r="W12" s="231">
        <v>14248.06</v>
      </c>
      <c r="X12" s="130">
        <f t="shared" si="6"/>
        <v>1346446.8599999999</v>
      </c>
      <c r="Y12" s="130"/>
      <c r="Z12" s="130"/>
      <c r="AA12" s="130"/>
      <c r="AB12" s="130"/>
      <c r="AC12" s="130">
        <f t="shared" si="2"/>
        <v>1388969</v>
      </c>
      <c r="AD12" s="130">
        <f t="shared" si="0"/>
        <v>1388969</v>
      </c>
      <c r="AE12" s="130">
        <f t="shared" si="7"/>
        <v>42522.14</v>
      </c>
      <c r="AF12" s="130">
        <f t="shared" si="1"/>
        <v>1346446.8599999999</v>
      </c>
    </row>
    <row r="13" spans="1:32" s="131" customFormat="1" x14ac:dyDescent="0.25">
      <c r="A13" s="132">
        <v>1347</v>
      </c>
      <c r="B13" s="136" t="s">
        <v>107</v>
      </c>
      <c r="C13" s="134">
        <v>350000</v>
      </c>
      <c r="D13" s="135"/>
      <c r="E13" s="135">
        <f t="shared" si="3"/>
        <v>350000</v>
      </c>
      <c r="F13" s="135"/>
      <c r="G13" s="135"/>
      <c r="H13" s="130">
        <v>29167</v>
      </c>
      <c r="I13" s="130"/>
      <c r="J13" s="130">
        <f t="shared" si="4"/>
        <v>350000</v>
      </c>
      <c r="K13" s="130"/>
      <c r="L13" s="130"/>
      <c r="M13" s="130"/>
      <c r="N13" s="130"/>
      <c r="O13" s="226">
        <v>29166.66</v>
      </c>
      <c r="P13" s="231"/>
      <c r="Q13" s="130">
        <f t="shared" si="5"/>
        <v>350000</v>
      </c>
      <c r="R13" s="130"/>
      <c r="S13" s="130"/>
      <c r="T13" s="130"/>
      <c r="U13" s="130"/>
      <c r="V13" s="226">
        <v>29166.66</v>
      </c>
      <c r="W13" s="231"/>
      <c r="X13" s="130">
        <f t="shared" si="6"/>
        <v>350000</v>
      </c>
      <c r="Y13" s="130"/>
      <c r="Z13" s="130"/>
      <c r="AA13" s="130"/>
      <c r="AB13" s="130"/>
      <c r="AC13" s="130">
        <f t="shared" si="2"/>
        <v>350000</v>
      </c>
      <c r="AD13" s="130">
        <f t="shared" si="0"/>
        <v>350000</v>
      </c>
      <c r="AE13" s="130">
        <f t="shared" si="7"/>
        <v>0</v>
      </c>
      <c r="AF13" s="130">
        <f t="shared" si="1"/>
        <v>350000</v>
      </c>
    </row>
    <row r="14" spans="1:32" s="131" customFormat="1" ht="15" customHeight="1" x14ac:dyDescent="0.25">
      <c r="A14" s="132">
        <v>1411</v>
      </c>
      <c r="B14" s="136" t="s">
        <v>108</v>
      </c>
      <c r="C14" s="134">
        <f>1739434.94666845+153581.18</f>
        <v>1893016.12666845</v>
      </c>
      <c r="D14" s="135"/>
      <c r="E14" s="135">
        <f t="shared" si="3"/>
        <v>1893016.12666845</v>
      </c>
      <c r="F14" s="135"/>
      <c r="G14" s="135"/>
      <c r="H14" s="130">
        <v>155590</v>
      </c>
      <c r="I14" s="130">
        <v>146649.09</v>
      </c>
      <c r="J14" s="130">
        <f t="shared" si="4"/>
        <v>1746367.0366684499</v>
      </c>
      <c r="K14" s="130"/>
      <c r="L14" s="130"/>
      <c r="M14" s="130"/>
      <c r="N14" s="130"/>
      <c r="O14" s="226">
        <v>155590.35</v>
      </c>
      <c r="P14" s="231">
        <v>133497.51999999999</v>
      </c>
      <c r="Q14" s="130">
        <f t="shared" si="5"/>
        <v>1612869.5166684499</v>
      </c>
      <c r="R14" s="130"/>
      <c r="S14" s="130"/>
      <c r="T14" s="130"/>
      <c r="U14" s="130"/>
      <c r="V14" s="226">
        <v>155590.35</v>
      </c>
      <c r="W14" s="231">
        <v>147750.31</v>
      </c>
      <c r="X14" s="130">
        <f t="shared" si="6"/>
        <v>1465119.2066684498</v>
      </c>
      <c r="Y14" s="130"/>
      <c r="Z14" s="130"/>
      <c r="AA14" s="130"/>
      <c r="AB14" s="130"/>
      <c r="AC14" s="130">
        <f t="shared" si="2"/>
        <v>1893016.12666845</v>
      </c>
      <c r="AD14" s="130">
        <f t="shared" si="0"/>
        <v>1893016.12666845</v>
      </c>
      <c r="AE14" s="130">
        <f t="shared" si="7"/>
        <v>427896.92</v>
      </c>
      <c r="AF14" s="130">
        <f t="shared" si="1"/>
        <v>1465119.2066684498</v>
      </c>
    </row>
    <row r="15" spans="1:32" s="131" customFormat="1" x14ac:dyDescent="0.25">
      <c r="A15" s="132">
        <v>1421</v>
      </c>
      <c r="B15" s="136" t="s">
        <v>109</v>
      </c>
      <c r="C15" s="134">
        <f>880731.291280002+76856.18</f>
        <v>957587.47128000204</v>
      </c>
      <c r="D15" s="135"/>
      <c r="E15" s="135">
        <f t="shared" si="3"/>
        <v>957587.47128000204</v>
      </c>
      <c r="F15" s="135"/>
      <c r="G15" s="135"/>
      <c r="H15" s="130">
        <v>78706</v>
      </c>
      <c r="I15" s="130">
        <v>62022.53</v>
      </c>
      <c r="J15" s="130">
        <f t="shared" si="4"/>
        <v>895564.94128000201</v>
      </c>
      <c r="K15" s="130"/>
      <c r="L15" s="130"/>
      <c r="M15" s="130"/>
      <c r="N15" s="130"/>
      <c r="O15" s="226">
        <v>78705.78</v>
      </c>
      <c r="P15" s="231">
        <v>62498.04</v>
      </c>
      <c r="Q15" s="130">
        <f t="shared" si="5"/>
        <v>833066.90128000197</v>
      </c>
      <c r="R15" s="130"/>
      <c r="S15" s="130"/>
      <c r="T15" s="130"/>
      <c r="U15" s="130"/>
      <c r="V15" s="226">
        <v>78705.78</v>
      </c>
      <c r="W15" s="231">
        <v>62494.09</v>
      </c>
      <c r="X15" s="130">
        <f t="shared" si="6"/>
        <v>770572.811280002</v>
      </c>
      <c r="Y15" s="130"/>
      <c r="Z15" s="130"/>
      <c r="AA15" s="130"/>
      <c r="AB15" s="130"/>
      <c r="AC15" s="130">
        <f t="shared" si="2"/>
        <v>957587.47128000204</v>
      </c>
      <c r="AD15" s="130">
        <f t="shared" si="0"/>
        <v>957587.47128000204</v>
      </c>
      <c r="AE15" s="130">
        <f t="shared" si="7"/>
        <v>187014.66</v>
      </c>
      <c r="AF15" s="130">
        <f t="shared" si="1"/>
        <v>770572.811280002</v>
      </c>
    </row>
    <row r="16" spans="1:32" s="131" customFormat="1" ht="15" customHeight="1" x14ac:dyDescent="0.25">
      <c r="A16" s="132">
        <v>1431</v>
      </c>
      <c r="B16" s="136" t="s">
        <v>110</v>
      </c>
      <c r="C16" s="134">
        <f>5137599.2108+384280.88</f>
        <v>5521880.0907999994</v>
      </c>
      <c r="D16" s="135"/>
      <c r="E16" s="135">
        <f t="shared" si="3"/>
        <v>5521880.0907999994</v>
      </c>
      <c r="F16" s="135"/>
      <c r="G16" s="135"/>
      <c r="H16" s="130">
        <v>453853</v>
      </c>
      <c r="I16" s="130">
        <v>361792.83</v>
      </c>
      <c r="J16" s="130">
        <f t="shared" si="4"/>
        <v>5160087.2607999993</v>
      </c>
      <c r="K16" s="130"/>
      <c r="L16" s="130"/>
      <c r="M16" s="130"/>
      <c r="N16" s="130"/>
      <c r="O16" s="226">
        <v>453853.14</v>
      </c>
      <c r="P16" s="231">
        <v>364566.67</v>
      </c>
      <c r="Q16" s="130">
        <f t="shared" si="5"/>
        <v>4795520.5907999994</v>
      </c>
      <c r="R16" s="130"/>
      <c r="S16" s="130"/>
      <c r="T16" s="130"/>
      <c r="U16" s="130"/>
      <c r="V16" s="226">
        <v>453853.14</v>
      </c>
      <c r="W16" s="231">
        <v>364543.62</v>
      </c>
      <c r="X16" s="130">
        <f t="shared" si="6"/>
        <v>4430976.9707999993</v>
      </c>
      <c r="Y16" s="130"/>
      <c r="Z16" s="130"/>
      <c r="AA16" s="130"/>
      <c r="AB16" s="130"/>
      <c r="AC16" s="130">
        <f t="shared" si="2"/>
        <v>5521880.0907999994</v>
      </c>
      <c r="AD16" s="130">
        <f t="shared" si="0"/>
        <v>5521880.0907999994</v>
      </c>
      <c r="AE16" s="130">
        <f t="shared" si="7"/>
        <v>1090903.1200000001</v>
      </c>
      <c r="AF16" s="130">
        <f t="shared" si="1"/>
        <v>4430976.9707999993</v>
      </c>
    </row>
    <row r="17" spans="1:32" s="131" customFormat="1" x14ac:dyDescent="0.25">
      <c r="A17" s="132">
        <v>1432</v>
      </c>
      <c r="B17" s="136" t="s">
        <v>111</v>
      </c>
      <c r="C17" s="134">
        <f>587154.197520001+51237.45</f>
        <v>638391.64752000093</v>
      </c>
      <c r="D17" s="135"/>
      <c r="E17" s="135">
        <f t="shared" si="3"/>
        <v>638391.64752000093</v>
      </c>
      <c r="F17" s="135"/>
      <c r="G17" s="135"/>
      <c r="H17" s="130">
        <v>52471</v>
      </c>
      <c r="I17" s="130">
        <v>41347.74</v>
      </c>
      <c r="J17" s="130">
        <f t="shared" si="4"/>
        <v>597043.90752000094</v>
      </c>
      <c r="K17" s="130"/>
      <c r="L17" s="130"/>
      <c r="M17" s="130"/>
      <c r="N17" s="130"/>
      <c r="O17" s="226">
        <v>52470.57</v>
      </c>
      <c r="P17" s="231">
        <v>41664.75</v>
      </c>
      <c r="Q17" s="130">
        <f t="shared" si="5"/>
        <v>555379.15752000094</v>
      </c>
      <c r="R17" s="130"/>
      <c r="S17" s="130"/>
      <c r="T17" s="130"/>
      <c r="U17" s="130"/>
      <c r="V17" s="226">
        <v>52470.57</v>
      </c>
      <c r="W17" s="231">
        <v>41662.120000000003</v>
      </c>
      <c r="X17" s="130">
        <f t="shared" si="6"/>
        <v>513717.03752000094</v>
      </c>
      <c r="Y17" s="130"/>
      <c r="Z17" s="130"/>
      <c r="AA17" s="130"/>
      <c r="AB17" s="130"/>
      <c r="AC17" s="130">
        <f t="shared" si="2"/>
        <v>638391.64752000093</v>
      </c>
      <c r="AD17" s="130">
        <f t="shared" si="0"/>
        <v>638391.64752000093</v>
      </c>
      <c r="AE17" s="130">
        <f t="shared" si="7"/>
        <v>124674.60999999999</v>
      </c>
      <c r="AF17" s="130">
        <f t="shared" si="1"/>
        <v>513717.03752000094</v>
      </c>
    </row>
    <row r="18" spans="1:32" s="131" customFormat="1" ht="15" customHeight="1" x14ac:dyDescent="0.25">
      <c r="A18" s="132">
        <v>1441</v>
      </c>
      <c r="B18" s="136" t="s">
        <v>112</v>
      </c>
      <c r="C18" s="135">
        <v>25000</v>
      </c>
      <c r="D18" s="137"/>
      <c r="E18" s="135">
        <f>+C18+D18</f>
        <v>25000</v>
      </c>
      <c r="F18" s="135"/>
      <c r="G18" s="135"/>
      <c r="H18" s="130">
        <v>2123</v>
      </c>
      <c r="I18" s="130"/>
      <c r="J18" s="130">
        <f t="shared" si="4"/>
        <v>25000</v>
      </c>
      <c r="K18" s="130"/>
      <c r="L18" s="130"/>
      <c r="M18" s="130"/>
      <c r="N18" s="130"/>
      <c r="O18" s="226">
        <v>1917.72</v>
      </c>
      <c r="P18" s="231"/>
      <c r="Q18" s="130">
        <f t="shared" si="5"/>
        <v>25000</v>
      </c>
      <c r="R18" s="130"/>
      <c r="S18" s="130"/>
      <c r="T18" s="130"/>
      <c r="U18" s="130"/>
      <c r="V18" s="226">
        <v>2123.2800000000002</v>
      </c>
      <c r="W18" s="231"/>
      <c r="X18" s="130">
        <f t="shared" si="6"/>
        <v>25000</v>
      </c>
      <c r="Y18" s="130"/>
      <c r="Z18" s="130"/>
      <c r="AA18" s="130"/>
      <c r="AB18" s="130"/>
      <c r="AC18" s="130">
        <f t="shared" si="2"/>
        <v>25000</v>
      </c>
      <c r="AD18" s="130">
        <f t="shared" si="0"/>
        <v>25000</v>
      </c>
      <c r="AE18" s="130">
        <f t="shared" si="7"/>
        <v>0</v>
      </c>
      <c r="AF18" s="130">
        <f t="shared" si="1"/>
        <v>25000</v>
      </c>
    </row>
    <row r="19" spans="1:32" s="131" customFormat="1" x14ac:dyDescent="0.25">
      <c r="A19" s="132">
        <v>1521</v>
      </c>
      <c r="B19" s="136" t="s">
        <v>113</v>
      </c>
      <c r="C19" s="135">
        <v>540000</v>
      </c>
      <c r="D19" s="137"/>
      <c r="E19" s="135">
        <f>+C19+D19</f>
        <v>540000</v>
      </c>
      <c r="F19" s="135"/>
      <c r="G19" s="135"/>
      <c r="H19" s="130">
        <v>45000</v>
      </c>
      <c r="I19" s="130"/>
      <c r="J19" s="130">
        <f t="shared" si="4"/>
        <v>540000</v>
      </c>
      <c r="K19" s="130"/>
      <c r="L19" s="130"/>
      <c r="M19" s="130"/>
      <c r="N19" s="130"/>
      <c r="O19" s="226">
        <v>45000</v>
      </c>
      <c r="P19" s="231">
        <v>45428.79</v>
      </c>
      <c r="Q19" s="130">
        <f t="shared" si="5"/>
        <v>494571.21</v>
      </c>
      <c r="R19" s="130"/>
      <c r="S19" s="130"/>
      <c r="T19" s="130"/>
      <c r="U19" s="130"/>
      <c r="V19" s="226">
        <v>45000</v>
      </c>
      <c r="W19" s="231">
        <v>27081.86</v>
      </c>
      <c r="X19" s="130">
        <f t="shared" si="6"/>
        <v>467489.35000000003</v>
      </c>
      <c r="Y19" s="130"/>
      <c r="Z19" s="130"/>
      <c r="AA19" s="130"/>
      <c r="AB19" s="130"/>
      <c r="AC19" s="130">
        <f t="shared" si="2"/>
        <v>540000</v>
      </c>
      <c r="AD19" s="130">
        <f t="shared" si="0"/>
        <v>540000</v>
      </c>
      <c r="AE19" s="130">
        <f t="shared" si="7"/>
        <v>72510.649999999994</v>
      </c>
      <c r="AF19" s="130">
        <f t="shared" si="1"/>
        <v>467489.35000000003</v>
      </c>
    </row>
    <row r="20" spans="1:32" s="131" customFormat="1" ht="15" customHeight="1" x14ac:dyDescent="0.25">
      <c r="A20" s="132">
        <v>1543</v>
      </c>
      <c r="B20" s="136" t="s">
        <v>114</v>
      </c>
      <c r="C20" s="134">
        <v>711880</v>
      </c>
      <c r="D20" s="135"/>
      <c r="E20" s="135">
        <f t="shared" si="3"/>
        <v>711880</v>
      </c>
      <c r="F20" s="135"/>
      <c r="G20" s="135"/>
      <c r="H20" s="130">
        <v>167440</v>
      </c>
      <c r="I20" s="130">
        <v>42700</v>
      </c>
      <c r="J20" s="130">
        <f t="shared" si="4"/>
        <v>669180</v>
      </c>
      <c r="K20" s="130"/>
      <c r="L20" s="130"/>
      <c r="M20" s="130"/>
      <c r="N20" s="130"/>
      <c r="O20" s="226">
        <v>37700</v>
      </c>
      <c r="P20" s="231">
        <v>31900</v>
      </c>
      <c r="Q20" s="130">
        <f t="shared" si="5"/>
        <v>637280</v>
      </c>
      <c r="R20" s="130"/>
      <c r="S20" s="130"/>
      <c r="T20" s="130"/>
      <c r="U20" s="130"/>
      <c r="V20" s="226">
        <v>37700</v>
      </c>
      <c r="W20" s="231">
        <v>37500</v>
      </c>
      <c r="X20" s="130">
        <f t="shared" si="6"/>
        <v>599780</v>
      </c>
      <c r="Y20" s="130"/>
      <c r="Z20" s="130"/>
      <c r="AA20" s="130"/>
      <c r="AB20" s="130"/>
      <c r="AC20" s="130">
        <f t="shared" si="2"/>
        <v>711880</v>
      </c>
      <c r="AD20" s="130">
        <f t="shared" si="0"/>
        <v>711880</v>
      </c>
      <c r="AE20" s="130">
        <f t="shared" si="7"/>
        <v>112100</v>
      </c>
      <c r="AF20" s="130">
        <f t="shared" si="1"/>
        <v>599780</v>
      </c>
    </row>
    <row r="21" spans="1:32" s="131" customFormat="1" x14ac:dyDescent="0.25">
      <c r="A21" s="132">
        <v>1611</v>
      </c>
      <c r="B21" s="136" t="s">
        <v>115</v>
      </c>
      <c r="C21" s="134">
        <f>1650000+985000</f>
        <v>2635000</v>
      </c>
      <c r="D21" s="134"/>
      <c r="E21" s="135">
        <f t="shared" si="3"/>
        <v>2635000</v>
      </c>
      <c r="F21" s="135"/>
      <c r="G21" s="135"/>
      <c r="H21" s="130">
        <v>219583</v>
      </c>
      <c r="I21" s="130"/>
      <c r="J21" s="130">
        <f t="shared" si="4"/>
        <v>2635000</v>
      </c>
      <c r="K21" s="130"/>
      <c r="L21" s="130"/>
      <c r="M21" s="130"/>
      <c r="N21" s="130"/>
      <c r="O21" s="226">
        <v>219583.33</v>
      </c>
      <c r="P21" s="231"/>
      <c r="Q21" s="130">
        <f t="shared" si="5"/>
        <v>2635000</v>
      </c>
      <c r="R21" s="130"/>
      <c r="S21" s="130"/>
      <c r="T21" s="130"/>
      <c r="U21" s="130"/>
      <c r="V21" s="226">
        <v>219583.33</v>
      </c>
      <c r="W21" s="231"/>
      <c r="X21" s="130">
        <f t="shared" si="6"/>
        <v>2635000</v>
      </c>
      <c r="Y21" s="130"/>
      <c r="Z21" s="130"/>
      <c r="AA21" s="130"/>
      <c r="AB21" s="130"/>
      <c r="AC21" s="130">
        <f t="shared" si="2"/>
        <v>2635000</v>
      </c>
      <c r="AD21" s="130">
        <f t="shared" si="0"/>
        <v>2635000</v>
      </c>
      <c r="AE21" s="130">
        <f t="shared" si="7"/>
        <v>0</v>
      </c>
      <c r="AF21" s="130">
        <f t="shared" si="1"/>
        <v>2635000</v>
      </c>
    </row>
    <row r="22" spans="1:32" s="131" customFormat="1" ht="15" customHeight="1" x14ac:dyDescent="0.25">
      <c r="A22" s="132">
        <v>1712</v>
      </c>
      <c r="B22" s="136" t="s">
        <v>116</v>
      </c>
      <c r="C22" s="134">
        <f>2380261.47840001+217453.56</f>
        <v>2597715.0384000102</v>
      </c>
      <c r="D22" s="135"/>
      <c r="E22" s="135">
        <f t="shared" si="3"/>
        <v>2597715.0384000102</v>
      </c>
      <c r="F22" s="135"/>
      <c r="G22" s="135"/>
      <c r="H22" s="130">
        <v>216476</v>
      </c>
      <c r="I22" s="130">
        <v>183499</v>
      </c>
      <c r="J22" s="130">
        <f t="shared" si="4"/>
        <v>2414216.0384000102</v>
      </c>
      <c r="K22" s="130"/>
      <c r="L22" s="130"/>
      <c r="M22" s="130"/>
      <c r="N22" s="130"/>
      <c r="O22" s="226">
        <v>216476</v>
      </c>
      <c r="P22" s="231">
        <v>185545.61</v>
      </c>
      <c r="Q22" s="130">
        <f t="shared" si="5"/>
        <v>2228670.4284000103</v>
      </c>
      <c r="R22" s="130"/>
      <c r="S22" s="130"/>
      <c r="T22" s="130"/>
      <c r="U22" s="130"/>
      <c r="V22" s="226">
        <v>216476</v>
      </c>
      <c r="W22" s="231">
        <v>185850.58</v>
      </c>
      <c r="X22" s="130">
        <f t="shared" si="6"/>
        <v>2042819.8484000103</v>
      </c>
      <c r="Y22" s="130"/>
      <c r="Z22" s="130"/>
      <c r="AA22" s="130"/>
      <c r="AB22" s="130"/>
      <c r="AC22" s="130">
        <f t="shared" si="2"/>
        <v>2597715.0384000102</v>
      </c>
      <c r="AD22" s="130">
        <f t="shared" si="0"/>
        <v>2597715.0384000102</v>
      </c>
      <c r="AE22" s="130">
        <f t="shared" si="7"/>
        <v>554895.18999999994</v>
      </c>
      <c r="AF22" s="130">
        <f t="shared" si="1"/>
        <v>2042819.8484000103</v>
      </c>
    </row>
    <row r="23" spans="1:32" s="131" customFormat="1" x14ac:dyDescent="0.25">
      <c r="A23" s="138">
        <v>1713</v>
      </c>
      <c r="B23" s="139" t="s">
        <v>117</v>
      </c>
      <c r="C23" s="134">
        <f>141036+1512570</f>
        <v>1653606</v>
      </c>
      <c r="D23" s="135"/>
      <c r="E23" s="135">
        <f>C23+D23</f>
        <v>1653606</v>
      </c>
      <c r="F23" s="135"/>
      <c r="G23" s="135"/>
      <c r="H23" s="130">
        <v>137800</v>
      </c>
      <c r="I23" s="130">
        <v>114369.44</v>
      </c>
      <c r="J23" s="130">
        <f t="shared" si="4"/>
        <v>1539236.56</v>
      </c>
      <c r="K23" s="130"/>
      <c r="L23" s="130"/>
      <c r="M23" s="130"/>
      <c r="N23" s="130"/>
      <c r="O23" s="226">
        <v>137800</v>
      </c>
      <c r="P23" s="231">
        <v>116422.03</v>
      </c>
      <c r="Q23" s="130">
        <f t="shared" si="5"/>
        <v>1422814.53</v>
      </c>
      <c r="R23" s="130"/>
      <c r="S23" s="130"/>
      <c r="T23" s="130"/>
      <c r="U23" s="130"/>
      <c r="V23" s="226">
        <v>137800</v>
      </c>
      <c r="W23" s="231">
        <v>116176.94</v>
      </c>
      <c r="X23" s="130">
        <f t="shared" si="6"/>
        <v>1306637.5900000001</v>
      </c>
      <c r="Y23" s="130"/>
      <c r="Z23" s="130"/>
      <c r="AA23" s="130"/>
      <c r="AB23" s="130"/>
      <c r="AC23" s="130">
        <f t="shared" si="2"/>
        <v>1653606</v>
      </c>
      <c r="AD23" s="130">
        <f t="shared" si="0"/>
        <v>1653606</v>
      </c>
      <c r="AE23" s="130">
        <f t="shared" si="7"/>
        <v>346968.41000000003</v>
      </c>
      <c r="AF23" s="130">
        <f t="shared" si="1"/>
        <v>1306637.5900000001</v>
      </c>
    </row>
    <row r="24" spans="1:32" s="131" customFormat="1" ht="15" customHeight="1" x14ac:dyDescent="0.25">
      <c r="A24" s="132">
        <v>1715</v>
      </c>
      <c r="B24" s="136" t="s">
        <v>118</v>
      </c>
      <c r="C24" s="140">
        <f>0+106744.69+1181986</f>
        <v>1288730.69</v>
      </c>
      <c r="D24" s="135"/>
      <c r="E24" s="135">
        <f t="shared" si="3"/>
        <v>1288730.69</v>
      </c>
      <c r="F24" s="135"/>
      <c r="G24" s="135"/>
      <c r="H24" s="130"/>
      <c r="I24" s="130"/>
      <c r="J24" s="130">
        <f t="shared" si="4"/>
        <v>1288730.69</v>
      </c>
      <c r="K24" s="130"/>
      <c r="L24" s="130"/>
      <c r="M24" s="130"/>
      <c r="N24" s="130"/>
      <c r="O24" s="226">
        <v>0</v>
      </c>
      <c r="P24" s="231"/>
      <c r="Q24" s="130">
        <f t="shared" si="5"/>
        <v>1288730.69</v>
      </c>
      <c r="R24" s="130"/>
      <c r="S24" s="130"/>
      <c r="T24" s="130"/>
      <c r="U24" s="130"/>
      <c r="V24" s="226">
        <v>0</v>
      </c>
      <c r="W24" s="231"/>
      <c r="X24" s="130">
        <f t="shared" si="6"/>
        <v>1288730.69</v>
      </c>
      <c r="Y24" s="130"/>
      <c r="Z24" s="130"/>
      <c r="AA24" s="130"/>
      <c r="AB24" s="130"/>
      <c r="AC24" s="130">
        <f t="shared" si="2"/>
        <v>1288730.69</v>
      </c>
      <c r="AD24" s="130">
        <f t="shared" si="0"/>
        <v>1288730.69</v>
      </c>
      <c r="AE24" s="130">
        <f t="shared" si="7"/>
        <v>0</v>
      </c>
      <c r="AF24" s="130">
        <f t="shared" si="1"/>
        <v>1288730.69</v>
      </c>
    </row>
    <row r="25" spans="1:32" s="131" customFormat="1" x14ac:dyDescent="0.25">
      <c r="A25" s="132">
        <v>1716</v>
      </c>
      <c r="B25" s="136" t="s">
        <v>119</v>
      </c>
      <c r="C25" s="135">
        <v>514800</v>
      </c>
      <c r="D25" s="137"/>
      <c r="E25" s="135">
        <f>+C25+D25</f>
        <v>514800</v>
      </c>
      <c r="F25" s="135"/>
      <c r="G25" s="135"/>
      <c r="H25" s="130">
        <v>42900</v>
      </c>
      <c r="I25" s="130"/>
      <c r="J25" s="130">
        <f t="shared" si="4"/>
        <v>514800</v>
      </c>
      <c r="K25" s="130"/>
      <c r="L25" s="130"/>
      <c r="M25" s="130"/>
      <c r="N25" s="130"/>
      <c r="O25" s="226">
        <v>42900</v>
      </c>
      <c r="P25" s="231"/>
      <c r="Q25" s="130">
        <f t="shared" si="5"/>
        <v>514800</v>
      </c>
      <c r="R25" s="130"/>
      <c r="S25" s="130"/>
      <c r="T25" s="130"/>
      <c r="U25" s="130"/>
      <c r="V25" s="226">
        <v>42900</v>
      </c>
      <c r="W25" s="231"/>
      <c r="X25" s="130">
        <f t="shared" si="6"/>
        <v>514800</v>
      </c>
      <c r="Y25" s="130"/>
      <c r="Z25" s="130"/>
      <c r="AA25" s="130"/>
      <c r="AB25" s="130"/>
      <c r="AC25" s="130">
        <f t="shared" si="2"/>
        <v>514800</v>
      </c>
      <c r="AD25" s="130">
        <f t="shared" si="0"/>
        <v>514800</v>
      </c>
      <c r="AE25" s="130">
        <f t="shared" si="7"/>
        <v>0</v>
      </c>
      <c r="AF25" s="130">
        <f t="shared" si="1"/>
        <v>514800</v>
      </c>
    </row>
    <row r="26" spans="1:32" s="145" customFormat="1" ht="15" customHeight="1" x14ac:dyDescent="0.25">
      <c r="A26" s="141"/>
      <c r="B26" s="142" t="s">
        <v>120</v>
      </c>
      <c r="C26" s="143">
        <f>SUM(C7:C25)</f>
        <v>57958819.698668465</v>
      </c>
      <c r="D26" s="143">
        <f>SUM(D7:D25)</f>
        <v>0</v>
      </c>
      <c r="E26" s="144">
        <f t="shared" ref="E26:E60" si="8">C26+D26</f>
        <v>57958819.698668465</v>
      </c>
      <c r="F26" s="143">
        <f t="shared" ref="F26:G26" si="9">SUM(F7:F25)</f>
        <v>0</v>
      </c>
      <c r="G26" s="143">
        <f t="shared" si="9"/>
        <v>0</v>
      </c>
      <c r="H26" s="144">
        <f>SUM(H7:H25)</f>
        <v>4479536</v>
      </c>
      <c r="I26" s="144">
        <f t="shared" ref="I26:AF26" si="10">SUM(I7:I25)</f>
        <v>3405187.5999999996</v>
      </c>
      <c r="J26" s="144">
        <f t="shared" si="10"/>
        <v>54553632.098668464</v>
      </c>
      <c r="K26" s="144">
        <f t="shared" si="10"/>
        <v>0</v>
      </c>
      <c r="L26" s="144">
        <f t="shared" si="10"/>
        <v>0</v>
      </c>
      <c r="M26" s="144">
        <f t="shared" si="10"/>
        <v>0</v>
      </c>
      <c r="N26" s="144">
        <f t="shared" si="10"/>
        <v>0</v>
      </c>
      <c r="O26" s="144">
        <f>SUM(O7:O25)</f>
        <v>4075431.4398800004</v>
      </c>
      <c r="P26" s="144">
        <f t="shared" si="10"/>
        <v>3201298.0399999996</v>
      </c>
      <c r="Q26" s="144">
        <f t="shared" si="10"/>
        <v>51352334.058668457</v>
      </c>
      <c r="R26" s="144">
        <f t="shared" si="10"/>
        <v>0</v>
      </c>
      <c r="S26" s="144">
        <f t="shared" si="10"/>
        <v>0</v>
      </c>
      <c r="T26" s="144">
        <f t="shared" si="10"/>
        <v>0</v>
      </c>
      <c r="U26" s="144">
        <f t="shared" si="10"/>
        <v>0</v>
      </c>
      <c r="V26" s="144">
        <f t="shared" si="10"/>
        <v>4349668.0469599999</v>
      </c>
      <c r="W26" s="144">
        <f>SUM(W7:W25)</f>
        <v>3490113.82</v>
      </c>
      <c r="X26" s="144">
        <f>SUM(X7:X25)</f>
        <v>47862220.238668464</v>
      </c>
      <c r="Y26" s="144">
        <f t="shared" ref="Y26:AB26" si="11">SUM(Y7:Y25)</f>
        <v>250000</v>
      </c>
      <c r="Z26" s="144">
        <f t="shared" si="11"/>
        <v>250000</v>
      </c>
      <c r="AA26" s="144">
        <f t="shared" si="11"/>
        <v>0</v>
      </c>
      <c r="AB26" s="144">
        <f t="shared" si="11"/>
        <v>0</v>
      </c>
      <c r="AC26" s="144">
        <f t="shared" si="10"/>
        <v>57958819.698668465</v>
      </c>
      <c r="AD26" s="144">
        <f t="shared" si="10"/>
        <v>57958819.698668465</v>
      </c>
      <c r="AE26" s="144">
        <f t="shared" si="10"/>
        <v>10096599.459999999</v>
      </c>
      <c r="AF26" s="144">
        <f t="shared" si="10"/>
        <v>47862220.238668464</v>
      </c>
    </row>
    <row r="27" spans="1:32" s="131" customFormat="1" x14ac:dyDescent="0.25">
      <c r="A27" s="138">
        <v>2111</v>
      </c>
      <c r="B27" s="146" t="s">
        <v>121</v>
      </c>
      <c r="C27" s="135">
        <v>100182.24320000001</v>
      </c>
      <c r="D27" s="135"/>
      <c r="E27" s="135">
        <f t="shared" si="8"/>
        <v>100182.24320000001</v>
      </c>
      <c r="F27" s="135"/>
      <c r="G27" s="135"/>
      <c r="H27" s="130">
        <v>8349</v>
      </c>
      <c r="I27" s="130">
        <v>9912.9699999999993</v>
      </c>
      <c r="J27" s="130">
        <f>E27-I27</f>
        <v>90269.273200000011</v>
      </c>
      <c r="K27" s="130"/>
      <c r="L27" s="130"/>
      <c r="M27" s="130"/>
      <c r="N27" s="130"/>
      <c r="O27" s="130">
        <v>7255</v>
      </c>
      <c r="P27" s="231">
        <v>7559.94</v>
      </c>
      <c r="Q27" s="130">
        <f t="shared" si="5"/>
        <v>82709.333200000008</v>
      </c>
      <c r="R27" s="130"/>
      <c r="S27" s="130"/>
      <c r="T27" s="130"/>
      <c r="U27" s="130"/>
      <c r="V27" s="130">
        <v>15650</v>
      </c>
      <c r="W27" s="130">
        <v>12240.1</v>
      </c>
      <c r="X27" s="130">
        <f t="shared" si="6"/>
        <v>70469.233200000002</v>
      </c>
      <c r="Y27" s="130"/>
      <c r="Z27" s="130"/>
      <c r="AA27" s="130"/>
      <c r="AB27" s="130"/>
      <c r="AC27" s="130">
        <f t="shared" si="2"/>
        <v>100182.24320000001</v>
      </c>
      <c r="AD27" s="130">
        <f t="shared" ref="AD27:AD59" si="12">C27+D27</f>
        <v>100182.24320000001</v>
      </c>
      <c r="AE27" s="130">
        <f t="shared" si="7"/>
        <v>29713.010000000002</v>
      </c>
      <c r="AF27" s="130">
        <f t="shared" ref="AF27:AF59" si="13">X27-Y27+Z27+AA27-AB27</f>
        <v>70469.233200000002</v>
      </c>
    </row>
    <row r="28" spans="1:32" s="131" customFormat="1" ht="30.75" x14ac:dyDescent="0.25">
      <c r="A28" s="138">
        <v>2141</v>
      </c>
      <c r="B28" s="147" t="s">
        <v>122</v>
      </c>
      <c r="C28" s="135">
        <v>25000</v>
      </c>
      <c r="D28" s="135"/>
      <c r="E28" s="135">
        <f t="shared" si="8"/>
        <v>25000</v>
      </c>
      <c r="F28" s="135"/>
      <c r="G28" s="135"/>
      <c r="H28" s="130"/>
      <c r="I28" s="130"/>
      <c r="J28" s="130">
        <f t="shared" ref="J28:J95" si="14">E28-I28</f>
        <v>25000</v>
      </c>
      <c r="K28" s="130"/>
      <c r="L28" s="130"/>
      <c r="M28" s="130"/>
      <c r="N28" s="130"/>
      <c r="O28" s="130"/>
      <c r="P28" s="231"/>
      <c r="Q28" s="130">
        <f t="shared" si="5"/>
        <v>25000</v>
      </c>
      <c r="R28" s="130"/>
      <c r="S28" s="130"/>
      <c r="T28" s="130"/>
      <c r="U28" s="130"/>
      <c r="V28" s="130">
        <v>0</v>
      </c>
      <c r="W28" s="130"/>
      <c r="X28" s="130">
        <f t="shared" si="6"/>
        <v>25000</v>
      </c>
      <c r="Y28" s="130"/>
      <c r="Z28" s="130"/>
      <c r="AA28" s="130"/>
      <c r="AB28" s="130"/>
      <c r="AC28" s="130">
        <f t="shared" si="2"/>
        <v>25000</v>
      </c>
      <c r="AD28" s="130">
        <f t="shared" si="12"/>
        <v>25000</v>
      </c>
      <c r="AE28" s="130">
        <f t="shared" si="7"/>
        <v>0</v>
      </c>
      <c r="AF28" s="130">
        <f t="shared" si="13"/>
        <v>25000</v>
      </c>
    </row>
    <row r="29" spans="1:32" s="131" customFormat="1" x14ac:dyDescent="0.25">
      <c r="A29" s="138">
        <v>2161</v>
      </c>
      <c r="B29" s="146" t="s">
        <v>123</v>
      </c>
      <c r="C29" s="135">
        <v>899616.66080000007</v>
      </c>
      <c r="D29" s="135"/>
      <c r="E29" s="135">
        <f t="shared" si="8"/>
        <v>899616.66080000007</v>
      </c>
      <c r="F29" s="135"/>
      <c r="G29" s="135"/>
      <c r="H29" s="130">
        <v>64686.06</v>
      </c>
      <c r="I29" s="130">
        <v>62801.919999999998</v>
      </c>
      <c r="J29" s="130">
        <f t="shared" si="14"/>
        <v>836814.74080000003</v>
      </c>
      <c r="K29" s="130"/>
      <c r="L29" s="130"/>
      <c r="M29" s="130"/>
      <c r="N29" s="130"/>
      <c r="O29" s="130">
        <v>60025</v>
      </c>
      <c r="P29" s="231">
        <v>59924.28</v>
      </c>
      <c r="Q29" s="130">
        <f t="shared" si="5"/>
        <v>776890.4608</v>
      </c>
      <c r="R29" s="130"/>
      <c r="S29" s="130"/>
      <c r="T29" s="130"/>
      <c r="U29" s="130"/>
      <c r="V29" s="130">
        <v>88501</v>
      </c>
      <c r="W29" s="130">
        <v>86493.52</v>
      </c>
      <c r="X29" s="130">
        <f t="shared" si="6"/>
        <v>690396.94079999998</v>
      </c>
      <c r="Y29" s="130"/>
      <c r="Z29" s="130"/>
      <c r="AA29" s="130"/>
      <c r="AB29" s="130"/>
      <c r="AC29" s="130">
        <f t="shared" si="2"/>
        <v>899616.66080000007</v>
      </c>
      <c r="AD29" s="130">
        <f t="shared" si="12"/>
        <v>899616.66080000007</v>
      </c>
      <c r="AE29" s="130">
        <f t="shared" si="7"/>
        <v>209219.72</v>
      </c>
      <c r="AF29" s="130">
        <f t="shared" si="13"/>
        <v>690396.94079999998</v>
      </c>
    </row>
    <row r="30" spans="1:32" s="131" customFormat="1" ht="15" customHeight="1" x14ac:dyDescent="0.25">
      <c r="A30" s="138">
        <v>2171</v>
      </c>
      <c r="B30" s="146" t="s">
        <v>124</v>
      </c>
      <c r="C30" s="135">
        <v>243450</v>
      </c>
      <c r="D30" s="135">
        <v>10000</v>
      </c>
      <c r="E30" s="135">
        <f t="shared" si="8"/>
        <v>253450</v>
      </c>
      <c r="F30" s="135"/>
      <c r="G30" s="135"/>
      <c r="H30" s="130">
        <f t="shared" ref="H30" si="15">C30/12</f>
        <v>20287.5</v>
      </c>
      <c r="I30" s="130">
        <v>24423.87</v>
      </c>
      <c r="J30" s="130">
        <f t="shared" si="14"/>
        <v>229026.13</v>
      </c>
      <c r="K30" s="130"/>
      <c r="L30" s="130"/>
      <c r="M30" s="130"/>
      <c r="N30" s="130"/>
      <c r="O30" s="130">
        <v>16512</v>
      </c>
      <c r="P30" s="231">
        <v>15380.63</v>
      </c>
      <c r="Q30" s="130">
        <f t="shared" si="5"/>
        <v>213645.5</v>
      </c>
      <c r="R30" s="130"/>
      <c r="S30" s="130"/>
      <c r="T30" s="130"/>
      <c r="U30" s="130"/>
      <c r="V30" s="130">
        <v>49210</v>
      </c>
      <c r="W30" s="130">
        <v>47775.08</v>
      </c>
      <c r="X30" s="130">
        <f t="shared" si="6"/>
        <v>165870.41999999998</v>
      </c>
      <c r="Y30" s="130"/>
      <c r="Z30" s="130"/>
      <c r="AA30" s="130"/>
      <c r="AB30" s="130"/>
      <c r="AC30" s="130">
        <f t="shared" si="2"/>
        <v>253450</v>
      </c>
      <c r="AD30" s="130">
        <f t="shared" si="12"/>
        <v>253450</v>
      </c>
      <c r="AE30" s="130">
        <f t="shared" si="7"/>
        <v>87579.58</v>
      </c>
      <c r="AF30" s="130">
        <f t="shared" si="13"/>
        <v>165870.41999999998</v>
      </c>
    </row>
    <row r="31" spans="1:32" s="131" customFormat="1" ht="60.75" x14ac:dyDescent="0.25">
      <c r="A31" s="138">
        <v>2212</v>
      </c>
      <c r="B31" s="147" t="s">
        <v>125</v>
      </c>
      <c r="C31" s="140">
        <v>5305045.78</v>
      </c>
      <c r="D31" s="135">
        <v>1000000</v>
      </c>
      <c r="E31" s="135">
        <f t="shared" si="8"/>
        <v>6305045.7800000003</v>
      </c>
      <c r="F31" s="135"/>
      <c r="G31" s="135"/>
      <c r="H31" s="130">
        <v>442087.16</v>
      </c>
      <c r="I31" s="130">
        <v>269517.18</v>
      </c>
      <c r="J31" s="130">
        <f t="shared" si="14"/>
        <v>6035528.6000000006</v>
      </c>
      <c r="K31" s="130"/>
      <c r="L31" s="130"/>
      <c r="M31" s="130"/>
      <c r="N31" s="130"/>
      <c r="O31" s="130">
        <v>286915</v>
      </c>
      <c r="P31" s="231">
        <v>284219.88</v>
      </c>
      <c r="Q31" s="130">
        <f t="shared" si="5"/>
        <v>5751308.7200000007</v>
      </c>
      <c r="R31" s="130"/>
      <c r="S31" s="130"/>
      <c r="T31" s="130"/>
      <c r="U31" s="130"/>
      <c r="V31" s="130">
        <v>341017</v>
      </c>
      <c r="W31" s="130">
        <v>337908.13</v>
      </c>
      <c r="X31" s="130">
        <f t="shared" si="6"/>
        <v>5413400.5900000008</v>
      </c>
      <c r="Y31" s="130"/>
      <c r="Z31" s="130"/>
      <c r="AA31" s="130"/>
      <c r="AB31" s="130"/>
      <c r="AC31" s="130">
        <f t="shared" si="2"/>
        <v>6305045.7800000003</v>
      </c>
      <c r="AD31" s="130">
        <f t="shared" si="12"/>
        <v>6305045.7800000003</v>
      </c>
      <c r="AE31" s="130">
        <f t="shared" si="7"/>
        <v>891645.19000000006</v>
      </c>
      <c r="AF31" s="130">
        <f t="shared" si="13"/>
        <v>5413400.5900000008</v>
      </c>
    </row>
    <row r="32" spans="1:32" s="131" customFormat="1" ht="30.75" x14ac:dyDescent="0.25">
      <c r="A32" s="138">
        <v>2214</v>
      </c>
      <c r="B32" s="147" t="s">
        <v>126</v>
      </c>
      <c r="C32" s="135">
        <f>1076260.9312</f>
        <v>1076260.9312</v>
      </c>
      <c r="D32" s="148"/>
      <c r="E32" s="135">
        <f t="shared" si="8"/>
        <v>1076260.9312</v>
      </c>
      <c r="F32" s="135"/>
      <c r="G32" s="135"/>
      <c r="H32" s="130">
        <v>69400.37</v>
      </c>
      <c r="I32" s="130">
        <v>67379.3</v>
      </c>
      <c r="J32" s="130">
        <f t="shared" si="14"/>
        <v>1008881.6311999999</v>
      </c>
      <c r="K32" s="130"/>
      <c r="L32" s="130"/>
      <c r="M32" s="130"/>
      <c r="N32" s="130"/>
      <c r="O32" s="130">
        <v>73515</v>
      </c>
      <c r="P32" s="231">
        <v>71054.97</v>
      </c>
      <c r="Q32" s="130">
        <f t="shared" si="5"/>
        <v>937826.66119999997</v>
      </c>
      <c r="R32" s="130"/>
      <c r="S32" s="130"/>
      <c r="T32" s="130"/>
      <c r="U32" s="130"/>
      <c r="V32" s="130">
        <v>86508</v>
      </c>
      <c r="W32" s="130">
        <v>84477.03</v>
      </c>
      <c r="X32" s="130">
        <f t="shared" si="6"/>
        <v>853349.63119999995</v>
      </c>
      <c r="Y32" s="130"/>
      <c r="Z32" s="130"/>
      <c r="AA32" s="130"/>
      <c r="AB32" s="130"/>
      <c r="AC32" s="130">
        <f t="shared" si="2"/>
        <v>1076260.9312</v>
      </c>
      <c r="AD32" s="130">
        <f t="shared" si="12"/>
        <v>1076260.9312</v>
      </c>
      <c r="AE32" s="130">
        <f t="shared" si="7"/>
        <v>222911.30000000002</v>
      </c>
      <c r="AF32" s="130">
        <f t="shared" si="13"/>
        <v>853349.63119999995</v>
      </c>
    </row>
    <row r="33" spans="1:32" s="131" customFormat="1" x14ac:dyDescent="0.25">
      <c r="A33" s="138">
        <v>2231</v>
      </c>
      <c r="B33" s="146" t="s">
        <v>127</v>
      </c>
      <c r="C33" s="135">
        <v>155673</v>
      </c>
      <c r="D33" s="148"/>
      <c r="E33" s="135">
        <f t="shared" si="8"/>
        <v>155673</v>
      </c>
      <c r="F33" s="135"/>
      <c r="G33" s="135"/>
      <c r="H33" s="130">
        <v>4482.5600000000004</v>
      </c>
      <c r="I33" s="130">
        <v>4352.1499999999996</v>
      </c>
      <c r="J33" s="130">
        <f t="shared" si="14"/>
        <v>151320.85</v>
      </c>
      <c r="K33" s="130"/>
      <c r="L33" s="130"/>
      <c r="M33" s="130"/>
      <c r="N33" s="130"/>
      <c r="O33" s="130">
        <v>15708</v>
      </c>
      <c r="P33" s="231">
        <v>13771.87</v>
      </c>
      <c r="Q33" s="130">
        <f t="shared" si="5"/>
        <v>137548.98000000001</v>
      </c>
      <c r="R33" s="130"/>
      <c r="S33" s="130"/>
      <c r="T33" s="130"/>
      <c r="U33" s="130"/>
      <c r="V33" s="130">
        <v>6504</v>
      </c>
      <c r="W33" s="130">
        <v>5571.97</v>
      </c>
      <c r="X33" s="130">
        <f t="shared" si="6"/>
        <v>131977.01</v>
      </c>
      <c r="Y33" s="130"/>
      <c r="Z33" s="130"/>
      <c r="AA33" s="130"/>
      <c r="AB33" s="130"/>
      <c r="AC33" s="130">
        <f t="shared" si="2"/>
        <v>155673</v>
      </c>
      <c r="AD33" s="130">
        <f t="shared" si="12"/>
        <v>155673</v>
      </c>
      <c r="AE33" s="130">
        <f t="shared" si="7"/>
        <v>23695.99</v>
      </c>
      <c r="AF33" s="130">
        <f t="shared" si="13"/>
        <v>131977.01</v>
      </c>
    </row>
    <row r="34" spans="1:32" s="131" customFormat="1" ht="15" customHeight="1" x14ac:dyDescent="0.25">
      <c r="A34" s="138">
        <v>2411</v>
      </c>
      <c r="B34" s="146" t="s">
        <v>128</v>
      </c>
      <c r="C34" s="135">
        <v>112500</v>
      </c>
      <c r="D34" s="135"/>
      <c r="E34" s="135">
        <f t="shared" si="8"/>
        <v>112500</v>
      </c>
      <c r="F34" s="135"/>
      <c r="G34" s="135"/>
      <c r="H34" s="130"/>
      <c r="I34" s="130">
        <f>17643.78+708.26</f>
        <v>18352.039999999997</v>
      </c>
      <c r="J34" s="130">
        <f t="shared" si="14"/>
        <v>94147.96</v>
      </c>
      <c r="K34" s="130"/>
      <c r="L34" s="130"/>
      <c r="M34" s="130"/>
      <c r="N34" s="130"/>
      <c r="O34" s="130"/>
      <c r="P34" s="231">
        <v>5299.98</v>
      </c>
      <c r="Q34" s="130">
        <f t="shared" si="5"/>
        <v>88847.98000000001</v>
      </c>
      <c r="R34" s="130"/>
      <c r="S34" s="130"/>
      <c r="T34" s="130"/>
      <c r="U34" s="130"/>
      <c r="V34" s="130">
        <v>1302</v>
      </c>
      <c r="W34" s="130">
        <v>1175.2</v>
      </c>
      <c r="X34" s="130">
        <f t="shared" si="6"/>
        <v>87672.780000000013</v>
      </c>
      <c r="Y34" s="130"/>
      <c r="Z34" s="130"/>
      <c r="AA34" s="130"/>
      <c r="AB34" s="130"/>
      <c r="AC34" s="130">
        <f t="shared" si="2"/>
        <v>112500</v>
      </c>
      <c r="AD34" s="130">
        <f t="shared" si="12"/>
        <v>112500</v>
      </c>
      <c r="AE34" s="130">
        <f t="shared" si="7"/>
        <v>24827.219999999998</v>
      </c>
      <c r="AF34" s="130">
        <f t="shared" si="13"/>
        <v>87672.780000000013</v>
      </c>
    </row>
    <row r="35" spans="1:32" s="131" customFormat="1" x14ac:dyDescent="0.25">
      <c r="A35" s="138">
        <v>2421</v>
      </c>
      <c r="B35" s="146" t="s">
        <v>129</v>
      </c>
      <c r="C35" s="135">
        <v>125000</v>
      </c>
      <c r="D35" s="135"/>
      <c r="E35" s="135">
        <f t="shared" si="8"/>
        <v>125000</v>
      </c>
      <c r="F35" s="135"/>
      <c r="G35" s="135"/>
      <c r="H35" s="130"/>
      <c r="I35" s="130">
        <v>2517.4499999999998</v>
      </c>
      <c r="J35" s="130">
        <f t="shared" si="14"/>
        <v>122482.55</v>
      </c>
      <c r="K35" s="130"/>
      <c r="L35" s="130"/>
      <c r="M35" s="130"/>
      <c r="N35" s="130"/>
      <c r="O35" s="130"/>
      <c r="P35" s="231"/>
      <c r="Q35" s="130">
        <f t="shared" si="5"/>
        <v>122482.55</v>
      </c>
      <c r="R35" s="130"/>
      <c r="S35" s="130"/>
      <c r="T35" s="130"/>
      <c r="U35" s="130"/>
      <c r="V35" s="130"/>
      <c r="W35" s="130"/>
      <c r="X35" s="130">
        <f t="shared" si="6"/>
        <v>122482.55</v>
      </c>
      <c r="Y35" s="130"/>
      <c r="Z35" s="130"/>
      <c r="AA35" s="130"/>
      <c r="AB35" s="130"/>
      <c r="AC35" s="130">
        <f t="shared" si="2"/>
        <v>125000</v>
      </c>
      <c r="AD35" s="130">
        <f t="shared" si="12"/>
        <v>125000</v>
      </c>
      <c r="AE35" s="130">
        <f t="shared" si="7"/>
        <v>2517.4499999999998</v>
      </c>
      <c r="AF35" s="130">
        <f t="shared" si="13"/>
        <v>122482.55</v>
      </c>
    </row>
    <row r="36" spans="1:32" s="131" customFormat="1" ht="15" customHeight="1" x14ac:dyDescent="0.25">
      <c r="A36" s="138">
        <v>2431</v>
      </c>
      <c r="B36" s="146" t="s">
        <v>130</v>
      </c>
      <c r="C36" s="135">
        <v>95000</v>
      </c>
      <c r="D36" s="135"/>
      <c r="E36" s="135">
        <f t="shared" si="8"/>
        <v>95000</v>
      </c>
      <c r="F36" s="135"/>
      <c r="G36" s="135"/>
      <c r="H36" s="130"/>
      <c r="I36" s="130"/>
      <c r="J36" s="130">
        <f t="shared" si="14"/>
        <v>95000</v>
      </c>
      <c r="K36" s="130"/>
      <c r="L36" s="130"/>
      <c r="M36" s="130"/>
      <c r="N36" s="130"/>
      <c r="O36" s="130"/>
      <c r="P36" s="231"/>
      <c r="Q36" s="130">
        <f t="shared" si="5"/>
        <v>95000</v>
      </c>
      <c r="R36" s="130"/>
      <c r="S36" s="130"/>
      <c r="T36" s="130"/>
      <c r="U36" s="130"/>
      <c r="V36" s="130"/>
      <c r="W36" s="130"/>
      <c r="X36" s="130">
        <f t="shared" si="6"/>
        <v>95000</v>
      </c>
      <c r="Y36" s="130"/>
      <c r="Z36" s="130"/>
      <c r="AA36" s="130"/>
      <c r="AB36" s="130"/>
      <c r="AC36" s="130">
        <f t="shared" si="2"/>
        <v>95000</v>
      </c>
      <c r="AD36" s="130">
        <f t="shared" si="12"/>
        <v>95000</v>
      </c>
      <c r="AE36" s="130">
        <f t="shared" si="7"/>
        <v>0</v>
      </c>
      <c r="AF36" s="130">
        <f t="shared" si="13"/>
        <v>95000</v>
      </c>
    </row>
    <row r="37" spans="1:32" s="131" customFormat="1" x14ac:dyDescent="0.25">
      <c r="A37" s="138">
        <v>2441</v>
      </c>
      <c r="B37" s="146" t="s">
        <v>131</v>
      </c>
      <c r="C37" s="135">
        <v>85000</v>
      </c>
      <c r="D37" s="135"/>
      <c r="E37" s="135">
        <f t="shared" si="8"/>
        <v>85000</v>
      </c>
      <c r="F37" s="135"/>
      <c r="G37" s="135"/>
      <c r="H37" s="130"/>
      <c r="I37" s="130">
        <v>11535.94</v>
      </c>
      <c r="J37" s="130">
        <f t="shared" si="14"/>
        <v>73464.06</v>
      </c>
      <c r="K37" s="130"/>
      <c r="L37" s="130"/>
      <c r="M37" s="130"/>
      <c r="N37" s="130"/>
      <c r="O37" s="130"/>
      <c r="P37" s="231"/>
      <c r="Q37" s="130">
        <f t="shared" si="5"/>
        <v>73464.06</v>
      </c>
      <c r="R37" s="130"/>
      <c r="S37" s="130"/>
      <c r="T37" s="130"/>
      <c r="U37" s="130"/>
      <c r="V37" s="130"/>
      <c r="W37" s="130"/>
      <c r="X37" s="130">
        <f t="shared" si="6"/>
        <v>73464.06</v>
      </c>
      <c r="Y37" s="130"/>
      <c r="Z37" s="130"/>
      <c r="AA37" s="130"/>
      <c r="AB37" s="130"/>
      <c r="AC37" s="130">
        <f t="shared" si="2"/>
        <v>85000</v>
      </c>
      <c r="AD37" s="130">
        <f t="shared" si="12"/>
        <v>85000</v>
      </c>
      <c r="AE37" s="130">
        <f t="shared" si="7"/>
        <v>11535.94</v>
      </c>
      <c r="AF37" s="130">
        <f t="shared" si="13"/>
        <v>73464.06</v>
      </c>
    </row>
    <row r="38" spans="1:32" s="131" customFormat="1" ht="15" customHeight="1" x14ac:dyDescent="0.25">
      <c r="A38" s="138">
        <v>2451</v>
      </c>
      <c r="B38" s="146" t="s">
        <v>132</v>
      </c>
      <c r="C38" s="135">
        <v>105000</v>
      </c>
      <c r="D38" s="148"/>
      <c r="E38" s="135">
        <f t="shared" si="8"/>
        <v>105000</v>
      </c>
      <c r="F38" s="135"/>
      <c r="G38" s="135"/>
      <c r="H38" s="130"/>
      <c r="I38" s="130"/>
      <c r="J38" s="130">
        <f t="shared" si="14"/>
        <v>105000</v>
      </c>
      <c r="K38" s="130"/>
      <c r="L38" s="130"/>
      <c r="M38" s="130"/>
      <c r="N38" s="130"/>
      <c r="O38" s="130"/>
      <c r="P38" s="231"/>
      <c r="Q38" s="130">
        <f t="shared" si="5"/>
        <v>105000</v>
      </c>
      <c r="R38" s="130"/>
      <c r="S38" s="130"/>
      <c r="T38" s="130"/>
      <c r="U38" s="130"/>
      <c r="V38" s="130"/>
      <c r="W38" s="130"/>
      <c r="X38" s="130">
        <f t="shared" si="6"/>
        <v>105000</v>
      </c>
      <c r="Y38" s="130"/>
      <c r="Z38" s="130"/>
      <c r="AA38" s="130"/>
      <c r="AB38" s="130"/>
      <c r="AC38" s="130">
        <f t="shared" si="2"/>
        <v>105000</v>
      </c>
      <c r="AD38" s="130">
        <f t="shared" si="12"/>
        <v>105000</v>
      </c>
      <c r="AE38" s="130">
        <f t="shared" si="7"/>
        <v>0</v>
      </c>
      <c r="AF38" s="130">
        <f t="shared" si="13"/>
        <v>105000</v>
      </c>
    </row>
    <row r="39" spans="1:32" s="131" customFormat="1" x14ac:dyDescent="0.25">
      <c r="A39" s="138">
        <v>2461</v>
      </c>
      <c r="B39" s="146" t="s">
        <v>133</v>
      </c>
      <c r="C39" s="135">
        <f>229928*1.2</f>
        <v>275913.59999999998</v>
      </c>
      <c r="D39" s="148"/>
      <c r="E39" s="135">
        <f t="shared" si="8"/>
        <v>275913.59999999998</v>
      </c>
      <c r="F39" s="135"/>
      <c r="G39" s="135"/>
      <c r="H39" s="130">
        <v>6106.87</v>
      </c>
      <c r="I39" s="130">
        <v>5929.22</v>
      </c>
      <c r="J39" s="130">
        <f t="shared" si="14"/>
        <v>269984.38</v>
      </c>
      <c r="K39" s="130"/>
      <c r="L39" s="130"/>
      <c r="M39" s="130"/>
      <c r="N39" s="130"/>
      <c r="O39" s="130">
        <v>7380</v>
      </c>
      <c r="P39" s="231">
        <v>7261.92</v>
      </c>
      <c r="Q39" s="130">
        <f t="shared" si="5"/>
        <v>262722.46000000002</v>
      </c>
      <c r="R39" s="130"/>
      <c r="S39" s="130"/>
      <c r="T39" s="130"/>
      <c r="U39" s="130"/>
      <c r="V39" s="130">
        <v>21401</v>
      </c>
      <c r="W39" s="130">
        <v>21276.55</v>
      </c>
      <c r="X39" s="130">
        <f t="shared" si="6"/>
        <v>241445.91000000003</v>
      </c>
      <c r="Y39" s="130"/>
      <c r="Z39" s="130"/>
      <c r="AA39" s="130"/>
      <c r="AB39" s="130"/>
      <c r="AC39" s="130">
        <f t="shared" si="2"/>
        <v>275913.59999999998</v>
      </c>
      <c r="AD39" s="130">
        <f t="shared" si="12"/>
        <v>275913.59999999998</v>
      </c>
      <c r="AE39" s="130">
        <f t="shared" si="7"/>
        <v>34467.69</v>
      </c>
      <c r="AF39" s="130">
        <f t="shared" si="13"/>
        <v>241445.91000000003</v>
      </c>
    </row>
    <row r="40" spans="1:32" s="131" customFormat="1" ht="15" customHeight="1" x14ac:dyDescent="0.25">
      <c r="A40" s="138">
        <v>2471</v>
      </c>
      <c r="B40" s="146" t="s">
        <v>134</v>
      </c>
      <c r="C40" s="135">
        <f>29110.37+1.2</f>
        <v>29111.57</v>
      </c>
      <c r="D40" s="135"/>
      <c r="E40" s="135">
        <f t="shared" si="8"/>
        <v>29111.57</v>
      </c>
      <c r="F40" s="135"/>
      <c r="G40" s="135"/>
      <c r="H40" s="130">
        <v>47290.39</v>
      </c>
      <c r="I40" s="130">
        <f>9806.64+3701.22</f>
        <v>13507.859999999999</v>
      </c>
      <c r="J40" s="130">
        <f t="shared" si="14"/>
        <v>15603.710000000001</v>
      </c>
      <c r="K40" s="130"/>
      <c r="L40" s="130"/>
      <c r="M40" s="130"/>
      <c r="N40" s="130"/>
      <c r="O40" s="130">
        <v>8795</v>
      </c>
      <c r="P40" s="231">
        <v>3234.71</v>
      </c>
      <c r="Q40" s="130">
        <f t="shared" si="5"/>
        <v>12369</v>
      </c>
      <c r="R40" s="130"/>
      <c r="S40" s="130"/>
      <c r="T40" s="130"/>
      <c r="U40" s="130"/>
      <c r="V40" s="130">
        <v>1905</v>
      </c>
      <c r="W40" s="130">
        <v>1756.58</v>
      </c>
      <c r="X40" s="130">
        <f t="shared" si="6"/>
        <v>10612.42</v>
      </c>
      <c r="Y40" s="130"/>
      <c r="Z40" s="130"/>
      <c r="AA40" s="130"/>
      <c r="AB40" s="130"/>
      <c r="AC40" s="130">
        <f t="shared" si="2"/>
        <v>29111.57</v>
      </c>
      <c r="AD40" s="130">
        <f t="shared" si="12"/>
        <v>29111.57</v>
      </c>
      <c r="AE40" s="130">
        <f t="shared" si="7"/>
        <v>18499.150000000001</v>
      </c>
      <c r="AF40" s="130">
        <f t="shared" si="13"/>
        <v>10612.42</v>
      </c>
    </row>
    <row r="41" spans="1:32" s="131" customFormat="1" x14ac:dyDescent="0.25">
      <c r="A41" s="138">
        <v>2481</v>
      </c>
      <c r="B41" s="146" t="s">
        <v>135</v>
      </c>
      <c r="C41" s="135">
        <v>25000</v>
      </c>
      <c r="D41" s="148"/>
      <c r="E41" s="135">
        <f t="shared" si="8"/>
        <v>25000</v>
      </c>
      <c r="F41" s="135"/>
      <c r="G41" s="135"/>
      <c r="H41" s="130"/>
      <c r="I41" s="130"/>
      <c r="J41" s="130">
        <f t="shared" si="14"/>
        <v>25000</v>
      </c>
      <c r="K41" s="130"/>
      <c r="L41" s="130"/>
      <c r="M41" s="130"/>
      <c r="N41" s="130"/>
      <c r="O41" s="130"/>
      <c r="P41" s="231"/>
      <c r="Q41" s="130">
        <f t="shared" si="5"/>
        <v>25000</v>
      </c>
      <c r="R41" s="130"/>
      <c r="S41" s="130"/>
      <c r="T41" s="130"/>
      <c r="U41" s="130"/>
      <c r="V41" s="130"/>
      <c r="W41" s="130"/>
      <c r="X41" s="130">
        <f t="shared" si="6"/>
        <v>25000</v>
      </c>
      <c r="Y41" s="130"/>
      <c r="Z41" s="130"/>
      <c r="AA41" s="130"/>
      <c r="AB41" s="130"/>
      <c r="AC41" s="130">
        <f t="shared" si="2"/>
        <v>25000</v>
      </c>
      <c r="AD41" s="130">
        <f t="shared" si="12"/>
        <v>25000</v>
      </c>
      <c r="AE41" s="130">
        <f t="shared" si="7"/>
        <v>0</v>
      </c>
      <c r="AF41" s="130">
        <f t="shared" si="13"/>
        <v>25000</v>
      </c>
    </row>
    <row r="42" spans="1:32" s="131" customFormat="1" ht="30.75" x14ac:dyDescent="0.25">
      <c r="A42" s="138">
        <v>2491</v>
      </c>
      <c r="B42" s="147" t="s">
        <v>136</v>
      </c>
      <c r="C42" s="135">
        <v>25000</v>
      </c>
      <c r="D42" s="148"/>
      <c r="E42" s="135">
        <f t="shared" si="8"/>
        <v>25000</v>
      </c>
      <c r="F42" s="135"/>
      <c r="G42" s="135"/>
      <c r="H42" s="130"/>
      <c r="I42" s="130"/>
      <c r="J42" s="130">
        <f t="shared" si="14"/>
        <v>25000</v>
      </c>
      <c r="K42" s="130"/>
      <c r="L42" s="130"/>
      <c r="M42" s="130"/>
      <c r="N42" s="130"/>
      <c r="O42" s="130"/>
      <c r="P42" s="231"/>
      <c r="Q42" s="130">
        <f t="shared" si="5"/>
        <v>25000</v>
      </c>
      <c r="R42" s="130"/>
      <c r="S42" s="130"/>
      <c r="T42" s="130"/>
      <c r="U42" s="130"/>
      <c r="V42" s="130"/>
      <c r="W42" s="130"/>
      <c r="X42" s="130">
        <f t="shared" si="6"/>
        <v>25000</v>
      </c>
      <c r="Y42" s="130"/>
      <c r="Z42" s="130"/>
      <c r="AA42" s="130"/>
      <c r="AB42" s="130"/>
      <c r="AC42" s="130">
        <f t="shared" si="2"/>
        <v>25000</v>
      </c>
      <c r="AD42" s="130">
        <f t="shared" si="12"/>
        <v>25000</v>
      </c>
      <c r="AE42" s="130">
        <f t="shared" si="7"/>
        <v>0</v>
      </c>
      <c r="AF42" s="130">
        <f t="shared" si="13"/>
        <v>25000</v>
      </c>
    </row>
    <row r="43" spans="1:32" s="131" customFormat="1" x14ac:dyDescent="0.25">
      <c r="A43" s="138">
        <v>2521</v>
      </c>
      <c r="B43" s="146" t="s">
        <v>137</v>
      </c>
      <c r="C43" s="135">
        <v>0</v>
      </c>
      <c r="D43" s="135">
        <v>20000</v>
      </c>
      <c r="E43" s="135">
        <f t="shared" si="8"/>
        <v>20000</v>
      </c>
      <c r="F43" s="135"/>
      <c r="G43" s="135"/>
      <c r="H43" s="130"/>
      <c r="I43" s="130"/>
      <c r="J43" s="130">
        <f t="shared" si="14"/>
        <v>20000</v>
      </c>
      <c r="K43" s="130"/>
      <c r="L43" s="130"/>
      <c r="M43" s="130"/>
      <c r="N43" s="130"/>
      <c r="O43" s="130"/>
      <c r="P43" s="231"/>
      <c r="Q43" s="130">
        <f t="shared" si="5"/>
        <v>20000</v>
      </c>
      <c r="R43" s="130"/>
      <c r="S43" s="130"/>
      <c r="T43" s="130"/>
      <c r="U43" s="130"/>
      <c r="V43" s="130"/>
      <c r="W43" s="130"/>
      <c r="X43" s="130">
        <f t="shared" si="6"/>
        <v>20000</v>
      </c>
      <c r="Y43" s="130"/>
      <c r="Z43" s="130"/>
      <c r="AA43" s="130"/>
      <c r="AB43" s="130"/>
      <c r="AC43" s="130">
        <f t="shared" si="2"/>
        <v>20000</v>
      </c>
      <c r="AD43" s="130">
        <f t="shared" si="12"/>
        <v>20000</v>
      </c>
      <c r="AE43" s="130">
        <f t="shared" si="7"/>
        <v>0</v>
      </c>
      <c r="AF43" s="130">
        <f t="shared" si="13"/>
        <v>20000</v>
      </c>
    </row>
    <row r="44" spans="1:32" s="131" customFormat="1" ht="15" customHeight="1" x14ac:dyDescent="0.25">
      <c r="A44" s="138">
        <v>2531</v>
      </c>
      <c r="B44" s="146" t="s">
        <v>138</v>
      </c>
      <c r="C44" s="135">
        <f>2189939.44</f>
        <v>2189939.44</v>
      </c>
      <c r="D44" s="135">
        <f>350000+25000</f>
        <v>375000</v>
      </c>
      <c r="E44" s="135">
        <f t="shared" si="8"/>
        <v>2564939.44</v>
      </c>
      <c r="F44" s="135"/>
      <c r="G44" s="135"/>
      <c r="H44" s="130">
        <v>123251.86</v>
      </c>
      <c r="I44" s="130">
        <v>119661.78</v>
      </c>
      <c r="J44" s="130">
        <f t="shared" si="14"/>
        <v>2445277.66</v>
      </c>
      <c r="K44" s="130"/>
      <c r="L44" s="130"/>
      <c r="M44" s="130"/>
      <c r="N44" s="130"/>
      <c r="O44" s="130">
        <v>115892</v>
      </c>
      <c r="P44" s="231">
        <v>109267.17</v>
      </c>
      <c r="Q44" s="130">
        <f t="shared" si="5"/>
        <v>2336010.4900000002</v>
      </c>
      <c r="R44" s="130"/>
      <c r="S44" s="130"/>
      <c r="T44" s="130"/>
      <c r="U44" s="130"/>
      <c r="V44" s="130">
        <v>154809</v>
      </c>
      <c r="W44" s="130">
        <v>153512.51</v>
      </c>
      <c r="X44" s="130">
        <f t="shared" si="6"/>
        <v>2182497.9800000004</v>
      </c>
      <c r="Y44" s="130"/>
      <c r="Z44" s="130"/>
      <c r="AA44" s="130"/>
      <c r="AB44" s="130"/>
      <c r="AC44" s="130">
        <f t="shared" si="2"/>
        <v>2564939.44</v>
      </c>
      <c r="AD44" s="130">
        <f t="shared" si="12"/>
        <v>2564939.44</v>
      </c>
      <c r="AE44" s="130">
        <f t="shared" si="7"/>
        <v>382441.46</v>
      </c>
      <c r="AF44" s="130">
        <f t="shared" si="13"/>
        <v>2182497.9800000004</v>
      </c>
    </row>
    <row r="45" spans="1:32" s="131" customFormat="1" x14ac:dyDescent="0.25">
      <c r="A45" s="138">
        <v>2541</v>
      </c>
      <c r="B45" s="146" t="s">
        <v>139</v>
      </c>
      <c r="C45" s="135">
        <v>173372.78399999999</v>
      </c>
      <c r="D45" s="148"/>
      <c r="E45" s="135">
        <f t="shared" si="8"/>
        <v>173372.78399999999</v>
      </c>
      <c r="F45" s="135"/>
      <c r="G45" s="135"/>
      <c r="H45" s="130">
        <v>12137.52</v>
      </c>
      <c r="I45" s="130">
        <v>11784.32</v>
      </c>
      <c r="J45" s="130">
        <f t="shared" si="14"/>
        <v>161588.46399999998</v>
      </c>
      <c r="K45" s="130"/>
      <c r="L45" s="130"/>
      <c r="M45" s="130"/>
      <c r="N45" s="130"/>
      <c r="O45" s="130">
        <v>35801</v>
      </c>
      <c r="P45" s="231">
        <v>38378.53</v>
      </c>
      <c r="Q45" s="130">
        <f t="shared" si="5"/>
        <v>123209.93399999998</v>
      </c>
      <c r="R45" s="130"/>
      <c r="S45" s="130"/>
      <c r="T45" s="130"/>
      <c r="U45" s="130"/>
      <c r="V45" s="130">
        <v>28050</v>
      </c>
      <c r="W45" s="130">
        <v>26035.43</v>
      </c>
      <c r="X45" s="130">
        <f t="shared" si="6"/>
        <v>97174.503999999986</v>
      </c>
      <c r="Y45" s="130"/>
      <c r="Z45" s="130"/>
      <c r="AA45" s="130"/>
      <c r="AB45" s="130"/>
      <c r="AC45" s="130">
        <f t="shared" si="2"/>
        <v>173372.78399999999</v>
      </c>
      <c r="AD45" s="130">
        <f t="shared" si="12"/>
        <v>173372.78399999999</v>
      </c>
      <c r="AE45" s="130">
        <f t="shared" si="7"/>
        <v>76198.28</v>
      </c>
      <c r="AF45" s="130">
        <f t="shared" si="13"/>
        <v>97174.503999999986</v>
      </c>
    </row>
    <row r="46" spans="1:32" s="131" customFormat="1" ht="15" customHeight="1" x14ac:dyDescent="0.25">
      <c r="A46" s="138">
        <v>2551</v>
      </c>
      <c r="B46" s="146" t="s">
        <v>140</v>
      </c>
      <c r="C46" s="135">
        <v>0</v>
      </c>
      <c r="D46" s="148"/>
      <c r="E46" s="135">
        <f t="shared" si="8"/>
        <v>0</v>
      </c>
      <c r="F46" s="135"/>
      <c r="G46" s="135"/>
      <c r="H46" s="130"/>
      <c r="I46" s="130"/>
      <c r="J46" s="130">
        <f t="shared" si="14"/>
        <v>0</v>
      </c>
      <c r="K46" s="130"/>
      <c r="L46" s="130"/>
      <c r="M46" s="130"/>
      <c r="N46" s="130"/>
      <c r="O46" s="130"/>
      <c r="P46" s="231">
        <v>6655.03</v>
      </c>
      <c r="Q46" s="130">
        <f t="shared" si="5"/>
        <v>-6655.03</v>
      </c>
      <c r="R46" s="130"/>
      <c r="S46" s="130">
        <v>6655</v>
      </c>
      <c r="T46" s="130"/>
      <c r="U46" s="130"/>
      <c r="V46" s="130">
        <v>0</v>
      </c>
      <c r="W46" s="130">
        <v>11587.42</v>
      </c>
      <c r="X46" s="130">
        <f>Q46-R46+S46+T46-U46-W46</f>
        <v>-11587.45</v>
      </c>
      <c r="Y46" s="130"/>
      <c r="Z46" s="130">
        <v>11587</v>
      </c>
      <c r="AA46" s="130"/>
      <c r="AB46" s="130"/>
      <c r="AC46" s="130">
        <f t="shared" si="2"/>
        <v>18242</v>
      </c>
      <c r="AD46" s="130">
        <f t="shared" si="12"/>
        <v>0</v>
      </c>
      <c r="AE46" s="130">
        <f t="shared" si="7"/>
        <v>18242.45</v>
      </c>
      <c r="AF46" s="130">
        <f t="shared" si="13"/>
        <v>-0.4500000000007276</v>
      </c>
    </row>
    <row r="47" spans="1:32" s="131" customFormat="1" ht="15" customHeight="1" x14ac:dyDescent="0.25">
      <c r="A47" s="138">
        <v>2561</v>
      </c>
      <c r="B47" s="146" t="s">
        <v>263</v>
      </c>
      <c r="C47" s="135">
        <v>0</v>
      </c>
      <c r="D47" s="148"/>
      <c r="E47" s="135">
        <f t="shared" si="8"/>
        <v>0</v>
      </c>
      <c r="F47" s="135"/>
      <c r="G47" s="135"/>
      <c r="H47" s="130"/>
      <c r="I47" s="130"/>
      <c r="J47" s="130">
        <f t="shared" si="14"/>
        <v>0</v>
      </c>
      <c r="K47" s="130"/>
      <c r="L47" s="130"/>
      <c r="M47" s="130"/>
      <c r="N47" s="130"/>
      <c r="O47" s="130">
        <v>0</v>
      </c>
      <c r="P47" s="231">
        <v>50808</v>
      </c>
      <c r="Q47" s="130">
        <f t="shared" si="5"/>
        <v>-50808</v>
      </c>
      <c r="R47" s="130"/>
      <c r="S47" s="130">
        <v>50808</v>
      </c>
      <c r="T47" s="130"/>
      <c r="U47" s="130"/>
      <c r="V47" s="130">
        <v>0</v>
      </c>
      <c r="W47" s="130">
        <v>69999.34</v>
      </c>
      <c r="X47" s="130">
        <f>Q47-R47+S47+T47-U47-W47</f>
        <v>-69999.34</v>
      </c>
      <c r="Y47" s="130"/>
      <c r="Z47" s="130">
        <v>69999</v>
      </c>
      <c r="AA47" s="130"/>
      <c r="AB47" s="130"/>
      <c r="AC47" s="130">
        <f t="shared" si="2"/>
        <v>120807</v>
      </c>
      <c r="AD47" s="130">
        <f t="shared" si="12"/>
        <v>0</v>
      </c>
      <c r="AE47" s="130">
        <f t="shared" si="7"/>
        <v>120807.34</v>
      </c>
      <c r="AF47" s="130">
        <f t="shared" si="13"/>
        <v>-0.33999999999650754</v>
      </c>
    </row>
    <row r="48" spans="1:32" s="131" customFormat="1" ht="45.75" x14ac:dyDescent="0.25">
      <c r="A48" s="138">
        <v>2611</v>
      </c>
      <c r="B48" s="147" t="s">
        <v>141</v>
      </c>
      <c r="C48" s="135">
        <f>(1149164.2368*36.27/100)*1.2</f>
        <v>500162.24242483207</v>
      </c>
      <c r="D48" s="148"/>
      <c r="E48" s="135">
        <f t="shared" si="8"/>
        <v>500162.24242483207</v>
      </c>
      <c r="F48" s="135"/>
      <c r="G48" s="135"/>
      <c r="H48" s="130">
        <v>26016.77</v>
      </c>
      <c r="I48" s="130">
        <v>25259.02</v>
      </c>
      <c r="J48" s="130">
        <f t="shared" si="14"/>
        <v>474903.22242483206</v>
      </c>
      <c r="K48" s="130"/>
      <c r="L48" s="130"/>
      <c r="M48" s="130"/>
      <c r="N48" s="130"/>
      <c r="O48" s="130">
        <v>29617</v>
      </c>
      <c r="P48" s="231">
        <v>28570.959999999999</v>
      </c>
      <c r="Q48" s="130">
        <f t="shared" si="5"/>
        <v>446332.26242483204</v>
      </c>
      <c r="R48" s="130"/>
      <c r="S48" s="130"/>
      <c r="T48" s="130"/>
      <c r="U48" s="130"/>
      <c r="V48" s="130">
        <v>25800</v>
      </c>
      <c r="W48" s="130">
        <v>24516.880000000001</v>
      </c>
      <c r="X48" s="130">
        <f t="shared" ref="X48:X113" si="16">Q48-R48+S48+T48-U48-W48</f>
        <v>421815.38242483203</v>
      </c>
      <c r="Y48" s="130"/>
      <c r="Z48" s="130"/>
      <c r="AA48" s="130"/>
      <c r="AB48" s="130"/>
      <c r="AC48" s="130">
        <f t="shared" si="2"/>
        <v>500162.24242483207</v>
      </c>
      <c r="AD48" s="130">
        <f t="shared" si="12"/>
        <v>500162.24242483207</v>
      </c>
      <c r="AE48" s="130">
        <f t="shared" si="7"/>
        <v>78346.86</v>
      </c>
      <c r="AF48" s="130">
        <f t="shared" si="13"/>
        <v>421815.38242483203</v>
      </c>
    </row>
    <row r="49" spans="1:32" s="131" customFormat="1" ht="30.75" x14ac:dyDescent="0.25">
      <c r="A49" s="138">
        <v>2614</v>
      </c>
      <c r="B49" s="147" t="s">
        <v>142</v>
      </c>
      <c r="C49" s="135">
        <f>(1149164.2368*63.73/100)*1.2</f>
        <v>878834.84173516813</v>
      </c>
      <c r="D49" s="148"/>
      <c r="E49" s="135">
        <f t="shared" si="8"/>
        <v>878834.84173516813</v>
      </c>
      <c r="F49" s="135"/>
      <c r="G49" s="135"/>
      <c r="H49" s="130">
        <v>71111.199999999997</v>
      </c>
      <c r="I49" s="130">
        <v>69040.02</v>
      </c>
      <c r="J49" s="130">
        <f t="shared" si="14"/>
        <v>809794.82173516811</v>
      </c>
      <c r="K49" s="130"/>
      <c r="L49" s="130"/>
      <c r="M49" s="130"/>
      <c r="N49" s="130"/>
      <c r="O49" s="130">
        <v>70601</v>
      </c>
      <c r="P49" s="231">
        <v>69596.009999999995</v>
      </c>
      <c r="Q49" s="130">
        <f t="shared" si="5"/>
        <v>740198.8117351681</v>
      </c>
      <c r="R49" s="130"/>
      <c r="S49" s="130"/>
      <c r="T49" s="130"/>
      <c r="U49" s="130"/>
      <c r="V49" s="130">
        <v>70110</v>
      </c>
      <c r="W49" s="130">
        <v>68460.009999999995</v>
      </c>
      <c r="X49" s="130">
        <f t="shared" si="16"/>
        <v>671738.80173516809</v>
      </c>
      <c r="Y49" s="130"/>
      <c r="Z49" s="130"/>
      <c r="AA49" s="130"/>
      <c r="AB49" s="130"/>
      <c r="AC49" s="130">
        <f t="shared" si="2"/>
        <v>878834.84173516813</v>
      </c>
      <c r="AD49" s="130">
        <f t="shared" si="12"/>
        <v>878834.84173516813</v>
      </c>
      <c r="AE49" s="130">
        <f t="shared" si="7"/>
        <v>207096.03999999998</v>
      </c>
      <c r="AF49" s="130">
        <f t="shared" si="13"/>
        <v>671738.80173516809</v>
      </c>
    </row>
    <row r="50" spans="1:32" s="131" customFormat="1" x14ac:dyDescent="0.25">
      <c r="A50" s="138">
        <v>2711</v>
      </c>
      <c r="B50" s="146" t="s">
        <v>143</v>
      </c>
      <c r="C50" s="135">
        <v>449879.47680000006</v>
      </c>
      <c r="D50" s="148">
        <f>107000+982372</f>
        <v>1089372</v>
      </c>
      <c r="E50" s="135">
        <f t="shared" si="8"/>
        <v>1539251.4768000001</v>
      </c>
      <c r="F50" s="135"/>
      <c r="G50" s="135"/>
      <c r="H50" s="130">
        <v>93579.62</v>
      </c>
      <c r="I50" s="130">
        <v>90854.080000000002</v>
      </c>
      <c r="J50" s="130">
        <f t="shared" si="14"/>
        <v>1448397.3968</v>
      </c>
      <c r="K50" s="130"/>
      <c r="L50" s="130"/>
      <c r="M50" s="130"/>
      <c r="N50" s="130"/>
      <c r="O50" s="130">
        <v>32151</v>
      </c>
      <c r="P50" s="231">
        <v>31095.42</v>
      </c>
      <c r="Q50" s="130">
        <f t="shared" si="5"/>
        <v>1417301.9768000001</v>
      </c>
      <c r="R50" s="130">
        <v>6655</v>
      </c>
      <c r="S50" s="130"/>
      <c r="T50" s="130"/>
      <c r="U50" s="130"/>
      <c r="V50" s="130">
        <v>55804</v>
      </c>
      <c r="W50" s="130">
        <v>53692.11</v>
      </c>
      <c r="X50" s="130">
        <f t="shared" si="16"/>
        <v>1356954.8668</v>
      </c>
      <c r="Y50" s="130">
        <v>11587</v>
      </c>
      <c r="Z50" s="130"/>
      <c r="AA50" s="130"/>
      <c r="AB50" s="130"/>
      <c r="AC50" s="130">
        <f t="shared" si="2"/>
        <v>1521009.4768000001</v>
      </c>
      <c r="AD50" s="130">
        <f t="shared" si="12"/>
        <v>1539251.4768000001</v>
      </c>
      <c r="AE50" s="130">
        <f t="shared" si="7"/>
        <v>175641.61</v>
      </c>
      <c r="AF50" s="130">
        <f t="shared" si="13"/>
        <v>1345367.8668</v>
      </c>
    </row>
    <row r="51" spans="1:32" s="131" customFormat="1" ht="15" customHeight="1" x14ac:dyDescent="0.25">
      <c r="A51" s="138">
        <v>2721</v>
      </c>
      <c r="B51" s="146" t="s">
        <v>144</v>
      </c>
      <c r="C51" s="135">
        <v>30462.329600000001</v>
      </c>
      <c r="D51" s="148"/>
      <c r="E51" s="135">
        <f t="shared" si="8"/>
        <v>30462.329600000001</v>
      </c>
      <c r="F51" s="135"/>
      <c r="G51" s="135"/>
      <c r="H51" s="130">
        <v>1234.97</v>
      </c>
      <c r="I51" s="130">
        <v>1199.44</v>
      </c>
      <c r="J51" s="130">
        <f t="shared" si="14"/>
        <v>29262.889600000002</v>
      </c>
      <c r="K51" s="130"/>
      <c r="L51" s="130"/>
      <c r="M51" s="130"/>
      <c r="N51" s="130"/>
      <c r="O51" s="130">
        <v>54120</v>
      </c>
      <c r="P51" s="231">
        <v>1859.48</v>
      </c>
      <c r="Q51" s="130">
        <f t="shared" si="5"/>
        <v>27403.409600000003</v>
      </c>
      <c r="R51" s="130"/>
      <c r="S51" s="130"/>
      <c r="T51" s="130"/>
      <c r="U51" s="130"/>
      <c r="V51" s="130"/>
      <c r="W51" s="130"/>
      <c r="X51" s="130">
        <f t="shared" si="16"/>
        <v>27403.409600000003</v>
      </c>
      <c r="Y51" s="130"/>
      <c r="Z51" s="130"/>
      <c r="AA51" s="130"/>
      <c r="AB51" s="130"/>
      <c r="AC51" s="130">
        <f t="shared" si="2"/>
        <v>30462.329600000001</v>
      </c>
      <c r="AD51" s="130">
        <f t="shared" si="12"/>
        <v>30462.329600000001</v>
      </c>
      <c r="AE51" s="130">
        <f t="shared" si="7"/>
        <v>3058.92</v>
      </c>
      <c r="AF51" s="130">
        <f t="shared" si="13"/>
        <v>27403.409600000003</v>
      </c>
    </row>
    <row r="52" spans="1:32" s="131" customFormat="1" x14ac:dyDescent="0.25">
      <c r="A52" s="138">
        <v>2731</v>
      </c>
      <c r="B52" s="146" t="s">
        <v>145</v>
      </c>
      <c r="C52" s="135">
        <v>69957.659200000009</v>
      </c>
      <c r="D52" s="135">
        <v>200000</v>
      </c>
      <c r="E52" s="135">
        <f t="shared" si="8"/>
        <v>269957.65919999999</v>
      </c>
      <c r="F52" s="135"/>
      <c r="G52" s="135"/>
      <c r="H52" s="130">
        <v>36180.81</v>
      </c>
      <c r="I52" s="130">
        <v>35127.26</v>
      </c>
      <c r="J52" s="130">
        <f t="shared" si="14"/>
        <v>234830.39919999999</v>
      </c>
      <c r="K52" s="130"/>
      <c r="L52" s="130"/>
      <c r="M52" s="130"/>
      <c r="N52" s="130"/>
      <c r="O52" s="130">
        <v>83530</v>
      </c>
      <c r="P52" s="231">
        <v>81636.679999999993</v>
      </c>
      <c r="Q52" s="130">
        <f t="shared" si="5"/>
        <v>153193.71919999999</v>
      </c>
      <c r="R52" s="130"/>
      <c r="S52" s="130"/>
      <c r="T52" s="130"/>
      <c r="U52" s="130"/>
      <c r="V52" s="130">
        <v>3420</v>
      </c>
      <c r="W52" s="130">
        <v>3254.63</v>
      </c>
      <c r="X52" s="130">
        <f t="shared" si="16"/>
        <v>149939.08919999999</v>
      </c>
      <c r="Y52" s="130"/>
      <c r="Z52" s="130"/>
      <c r="AA52" s="130"/>
      <c r="AB52" s="130"/>
      <c r="AC52" s="130">
        <f t="shared" si="2"/>
        <v>269957.65919999999</v>
      </c>
      <c r="AD52" s="130">
        <f t="shared" si="12"/>
        <v>269957.65919999999</v>
      </c>
      <c r="AE52" s="130">
        <f t="shared" si="7"/>
        <v>120018.57</v>
      </c>
      <c r="AF52" s="130">
        <f t="shared" si="13"/>
        <v>149939.08919999999</v>
      </c>
    </row>
    <row r="53" spans="1:32" s="131" customFormat="1" ht="15" customHeight="1" x14ac:dyDescent="0.25">
      <c r="A53" s="138">
        <v>2741</v>
      </c>
      <c r="B53" s="146" t="s">
        <v>146</v>
      </c>
      <c r="C53" s="135">
        <v>41777.486400000002</v>
      </c>
      <c r="D53" s="148"/>
      <c r="E53" s="135">
        <f t="shared" si="8"/>
        <v>41777.486400000002</v>
      </c>
      <c r="F53" s="135"/>
      <c r="G53" s="135"/>
      <c r="H53" s="130">
        <v>1512.04</v>
      </c>
      <c r="I53" s="130">
        <v>1467.54</v>
      </c>
      <c r="J53" s="130">
        <f t="shared" si="14"/>
        <v>40309.946400000001</v>
      </c>
      <c r="K53" s="130"/>
      <c r="L53" s="130"/>
      <c r="M53" s="130"/>
      <c r="N53" s="130"/>
      <c r="O53" s="130">
        <v>1501</v>
      </c>
      <c r="P53" s="231">
        <v>1224.29</v>
      </c>
      <c r="Q53" s="130">
        <f t="shared" si="5"/>
        <v>39085.6564</v>
      </c>
      <c r="R53" s="130"/>
      <c r="S53" s="130"/>
      <c r="T53" s="130"/>
      <c r="U53" s="130"/>
      <c r="V53" s="130">
        <v>902</v>
      </c>
      <c r="W53" s="130">
        <v>878.09</v>
      </c>
      <c r="X53" s="130">
        <f t="shared" si="16"/>
        <v>38207.566400000003</v>
      </c>
      <c r="Y53" s="130"/>
      <c r="Z53" s="130"/>
      <c r="AA53" s="130"/>
      <c r="AB53" s="130"/>
      <c r="AC53" s="130">
        <f t="shared" si="2"/>
        <v>41777.486400000002</v>
      </c>
      <c r="AD53" s="130">
        <f t="shared" si="12"/>
        <v>41777.486400000002</v>
      </c>
      <c r="AE53" s="130">
        <f t="shared" si="7"/>
        <v>3569.92</v>
      </c>
      <c r="AF53" s="130">
        <f t="shared" si="13"/>
        <v>38207.566400000003</v>
      </c>
    </row>
    <row r="54" spans="1:32" s="131" customFormat="1" x14ac:dyDescent="0.25">
      <c r="A54" s="138">
        <v>2751</v>
      </c>
      <c r="B54" s="146" t="s">
        <v>147</v>
      </c>
      <c r="C54" s="135">
        <v>342927.31199999998</v>
      </c>
      <c r="D54" s="148"/>
      <c r="E54" s="135">
        <f t="shared" si="8"/>
        <v>342927.31199999998</v>
      </c>
      <c r="F54" s="135"/>
      <c r="G54" s="135"/>
      <c r="H54" s="130">
        <v>128.75</v>
      </c>
      <c r="I54" s="130">
        <v>125</v>
      </c>
      <c r="J54" s="130">
        <f t="shared" si="14"/>
        <v>342802.31199999998</v>
      </c>
      <c r="K54" s="130"/>
      <c r="L54" s="130"/>
      <c r="M54" s="130"/>
      <c r="N54" s="130"/>
      <c r="O54" s="130">
        <v>1089</v>
      </c>
      <c r="P54" s="231">
        <v>957</v>
      </c>
      <c r="Q54" s="130">
        <f t="shared" si="5"/>
        <v>341845.31199999998</v>
      </c>
      <c r="R54" s="130"/>
      <c r="S54" s="130"/>
      <c r="T54" s="130"/>
      <c r="U54" s="130"/>
      <c r="V54" s="130">
        <v>6810</v>
      </c>
      <c r="W54" s="130">
        <v>6623.78</v>
      </c>
      <c r="X54" s="130">
        <f t="shared" si="16"/>
        <v>335221.53199999995</v>
      </c>
      <c r="Y54" s="130"/>
      <c r="Z54" s="130"/>
      <c r="AA54" s="130"/>
      <c r="AB54" s="130"/>
      <c r="AC54" s="130">
        <f t="shared" si="2"/>
        <v>342927.31199999998</v>
      </c>
      <c r="AD54" s="130">
        <f t="shared" si="12"/>
        <v>342927.31199999998</v>
      </c>
      <c r="AE54" s="130">
        <f t="shared" si="7"/>
        <v>7705.78</v>
      </c>
      <c r="AF54" s="130">
        <f t="shared" si="13"/>
        <v>335221.53199999995</v>
      </c>
    </row>
    <row r="55" spans="1:32" s="131" customFormat="1" ht="15" customHeight="1" x14ac:dyDescent="0.25">
      <c r="A55" s="138">
        <v>2911</v>
      </c>
      <c r="B55" s="146" t="s">
        <v>148</v>
      </c>
      <c r="C55" s="135">
        <v>34403.200000000004</v>
      </c>
      <c r="D55" s="148"/>
      <c r="E55" s="135">
        <f t="shared" si="8"/>
        <v>34403.200000000004</v>
      </c>
      <c r="F55" s="135"/>
      <c r="G55" s="135"/>
      <c r="H55" s="130"/>
      <c r="I55" s="130"/>
      <c r="J55" s="130">
        <f t="shared" si="14"/>
        <v>34403.200000000004</v>
      </c>
      <c r="K55" s="130"/>
      <c r="L55" s="130"/>
      <c r="M55" s="130"/>
      <c r="N55" s="130"/>
      <c r="O55" s="130"/>
      <c r="P55" s="231"/>
      <c r="Q55" s="130">
        <f t="shared" si="5"/>
        <v>34403.200000000004</v>
      </c>
      <c r="R55" s="130"/>
      <c r="S55" s="130"/>
      <c r="T55" s="130"/>
      <c r="U55" s="130"/>
      <c r="V55" s="130"/>
      <c r="W55" s="130"/>
      <c r="X55" s="130">
        <f t="shared" si="16"/>
        <v>34403.200000000004</v>
      </c>
      <c r="Y55" s="130"/>
      <c r="Z55" s="130"/>
      <c r="AA55" s="130"/>
      <c r="AB55" s="130"/>
      <c r="AC55" s="130">
        <f t="shared" si="2"/>
        <v>34403.200000000004</v>
      </c>
      <c r="AD55" s="130">
        <f t="shared" si="12"/>
        <v>34403.200000000004</v>
      </c>
      <c r="AE55" s="130">
        <f t="shared" si="7"/>
        <v>0</v>
      </c>
      <c r="AF55" s="130">
        <f t="shared" si="13"/>
        <v>34403.200000000004</v>
      </c>
    </row>
    <row r="56" spans="1:32" s="131" customFormat="1" x14ac:dyDescent="0.25">
      <c r="A56" s="138">
        <v>2921</v>
      </c>
      <c r="B56" s="146" t="s">
        <v>149</v>
      </c>
      <c r="C56" s="135">
        <v>100000</v>
      </c>
      <c r="D56" s="148"/>
      <c r="E56" s="135">
        <f t="shared" si="8"/>
        <v>100000</v>
      </c>
      <c r="F56" s="135"/>
      <c r="G56" s="135"/>
      <c r="H56" s="130"/>
      <c r="I56" s="130"/>
      <c r="J56" s="130">
        <f t="shared" si="14"/>
        <v>100000</v>
      </c>
      <c r="K56" s="130"/>
      <c r="L56" s="130"/>
      <c r="M56" s="130"/>
      <c r="N56" s="130"/>
      <c r="O56" s="130"/>
      <c r="P56" s="231"/>
      <c r="Q56" s="130">
        <f t="shared" si="5"/>
        <v>100000</v>
      </c>
      <c r="R56" s="130"/>
      <c r="S56" s="130"/>
      <c r="T56" s="130"/>
      <c r="U56" s="130"/>
      <c r="V56" s="130">
        <v>20</v>
      </c>
      <c r="W56" s="130">
        <v>15</v>
      </c>
      <c r="X56" s="130">
        <f t="shared" si="16"/>
        <v>99985</v>
      </c>
      <c r="Y56" s="130"/>
      <c r="Z56" s="130"/>
      <c r="AA56" s="130"/>
      <c r="AB56" s="130"/>
      <c r="AC56" s="130">
        <f t="shared" si="2"/>
        <v>100000</v>
      </c>
      <c r="AD56" s="130">
        <f t="shared" si="12"/>
        <v>100000</v>
      </c>
      <c r="AE56" s="130">
        <f t="shared" si="7"/>
        <v>15</v>
      </c>
      <c r="AF56" s="130">
        <f t="shared" si="13"/>
        <v>99985</v>
      </c>
    </row>
    <row r="57" spans="1:32" s="131" customFormat="1" ht="15" customHeight="1" x14ac:dyDescent="0.25">
      <c r="A57" s="138">
        <v>2931</v>
      </c>
      <c r="B57" s="146" t="s">
        <v>150</v>
      </c>
      <c r="C57" s="135">
        <v>10000</v>
      </c>
      <c r="D57" s="148"/>
      <c r="E57" s="135">
        <f t="shared" si="8"/>
        <v>10000</v>
      </c>
      <c r="F57" s="135"/>
      <c r="G57" s="135"/>
      <c r="H57" s="130"/>
      <c r="I57" s="130"/>
      <c r="J57" s="130">
        <f t="shared" si="14"/>
        <v>10000</v>
      </c>
      <c r="K57" s="130"/>
      <c r="L57" s="130"/>
      <c r="M57" s="130"/>
      <c r="N57" s="130"/>
      <c r="O57" s="130"/>
      <c r="P57" s="231"/>
      <c r="Q57" s="130">
        <f t="shared" si="5"/>
        <v>10000</v>
      </c>
      <c r="R57" s="130"/>
      <c r="S57" s="130"/>
      <c r="T57" s="130"/>
      <c r="U57" s="130"/>
      <c r="V57" s="130"/>
      <c r="W57" s="130"/>
      <c r="X57" s="130">
        <f t="shared" si="16"/>
        <v>10000</v>
      </c>
      <c r="Y57" s="130"/>
      <c r="Z57" s="130"/>
      <c r="AA57" s="130"/>
      <c r="AB57" s="130"/>
      <c r="AC57" s="130">
        <f t="shared" si="2"/>
        <v>10000</v>
      </c>
      <c r="AD57" s="130">
        <f t="shared" si="12"/>
        <v>10000</v>
      </c>
      <c r="AE57" s="130">
        <f t="shared" si="7"/>
        <v>0</v>
      </c>
      <c r="AF57" s="130">
        <f t="shared" si="13"/>
        <v>10000</v>
      </c>
    </row>
    <row r="58" spans="1:32" s="131" customFormat="1" x14ac:dyDescent="0.25">
      <c r="A58" s="138">
        <v>2941</v>
      </c>
      <c r="B58" s="146" t="s">
        <v>151</v>
      </c>
      <c r="C58" s="135">
        <v>15000</v>
      </c>
      <c r="D58" s="148"/>
      <c r="E58" s="135">
        <f t="shared" si="8"/>
        <v>15000</v>
      </c>
      <c r="F58" s="135"/>
      <c r="G58" s="135"/>
      <c r="H58" s="130"/>
      <c r="I58" s="130"/>
      <c r="J58" s="130">
        <f t="shared" si="14"/>
        <v>15000</v>
      </c>
      <c r="K58" s="130"/>
      <c r="L58" s="130"/>
      <c r="M58" s="130"/>
      <c r="N58" s="130"/>
      <c r="O58" s="130"/>
      <c r="P58" s="231"/>
      <c r="Q58" s="130">
        <f t="shared" si="5"/>
        <v>15000</v>
      </c>
      <c r="R58" s="130"/>
      <c r="S58" s="130"/>
      <c r="T58" s="130"/>
      <c r="U58" s="130"/>
      <c r="V58" s="130"/>
      <c r="W58" s="130"/>
      <c r="X58" s="130">
        <f t="shared" si="16"/>
        <v>15000</v>
      </c>
      <c r="Y58" s="130"/>
      <c r="Z58" s="130"/>
      <c r="AA58" s="130"/>
      <c r="AB58" s="130"/>
      <c r="AC58" s="130">
        <f t="shared" si="2"/>
        <v>15000</v>
      </c>
      <c r="AD58" s="130">
        <f t="shared" si="12"/>
        <v>15000</v>
      </c>
      <c r="AE58" s="130">
        <f t="shared" si="7"/>
        <v>0</v>
      </c>
      <c r="AF58" s="130">
        <f t="shared" si="13"/>
        <v>15000</v>
      </c>
    </row>
    <row r="59" spans="1:32" s="131" customFormat="1" ht="15" customHeight="1" x14ac:dyDescent="0.25">
      <c r="A59" s="138">
        <v>2961</v>
      </c>
      <c r="B59" s="146" t="s">
        <v>152</v>
      </c>
      <c r="C59" s="135">
        <v>25000</v>
      </c>
      <c r="D59" s="148"/>
      <c r="E59" s="135">
        <f t="shared" si="8"/>
        <v>25000</v>
      </c>
      <c r="F59" s="135"/>
      <c r="G59" s="135"/>
      <c r="H59" s="130"/>
      <c r="I59" s="130"/>
      <c r="J59" s="130">
        <f t="shared" si="14"/>
        <v>25000</v>
      </c>
      <c r="K59" s="130"/>
      <c r="L59" s="130"/>
      <c r="M59" s="130"/>
      <c r="N59" s="130"/>
      <c r="O59" s="130"/>
      <c r="P59" s="231"/>
      <c r="Q59" s="130">
        <f t="shared" si="5"/>
        <v>25000</v>
      </c>
      <c r="R59" s="130"/>
      <c r="S59" s="130"/>
      <c r="T59" s="130"/>
      <c r="U59" s="130"/>
      <c r="V59" s="130"/>
      <c r="W59" s="130"/>
      <c r="X59" s="130">
        <f t="shared" si="16"/>
        <v>25000</v>
      </c>
      <c r="Y59" s="130"/>
      <c r="Z59" s="130"/>
      <c r="AA59" s="130"/>
      <c r="AB59" s="130"/>
      <c r="AC59" s="130">
        <f t="shared" si="2"/>
        <v>25000</v>
      </c>
      <c r="AD59" s="130">
        <f t="shared" si="12"/>
        <v>25000</v>
      </c>
      <c r="AE59" s="130">
        <f t="shared" si="7"/>
        <v>0</v>
      </c>
      <c r="AF59" s="130">
        <f t="shared" si="13"/>
        <v>25000</v>
      </c>
    </row>
    <row r="60" spans="1:32" s="145" customFormat="1" x14ac:dyDescent="0.25">
      <c r="A60" s="149"/>
      <c r="B60" s="149" t="s">
        <v>153</v>
      </c>
      <c r="C60" s="143">
        <f>SUM(C27:C59)</f>
        <v>13544470.557360001</v>
      </c>
      <c r="D60" s="143">
        <f>SUM(D27:D59)</f>
        <v>2694372</v>
      </c>
      <c r="E60" s="144">
        <f t="shared" si="8"/>
        <v>16238842.557360001</v>
      </c>
      <c r="F60" s="143">
        <f t="shared" ref="F60:G60" si="17">SUM(F27:F59)</f>
        <v>0</v>
      </c>
      <c r="G60" s="143">
        <f t="shared" si="17"/>
        <v>0</v>
      </c>
      <c r="H60" s="144">
        <f>SUM(H27:H59)</f>
        <v>1027843.45</v>
      </c>
      <c r="I60" s="144">
        <f t="shared" ref="I60:AF60" si="18">SUM(I27:I59)</f>
        <v>844748.35999999987</v>
      </c>
      <c r="J60" s="144">
        <f t="shared" si="18"/>
        <v>15394094.197360002</v>
      </c>
      <c r="K60" s="144">
        <f t="shared" si="18"/>
        <v>0</v>
      </c>
      <c r="L60" s="144">
        <f t="shared" si="18"/>
        <v>0</v>
      </c>
      <c r="M60" s="144">
        <f t="shared" si="18"/>
        <v>0</v>
      </c>
      <c r="N60" s="144">
        <f t="shared" si="18"/>
        <v>0</v>
      </c>
      <c r="O60" s="144">
        <f t="shared" si="18"/>
        <v>900407</v>
      </c>
      <c r="P60" s="143">
        <f t="shared" si="18"/>
        <v>887756.75</v>
      </c>
      <c r="Q60" s="144">
        <f t="shared" si="18"/>
        <v>14506337.447360005</v>
      </c>
      <c r="R60" s="144">
        <f t="shared" si="18"/>
        <v>6655</v>
      </c>
      <c r="S60" s="144">
        <f t="shared" si="18"/>
        <v>57463</v>
      </c>
      <c r="T60" s="144">
        <f t="shared" si="18"/>
        <v>0</v>
      </c>
      <c r="U60" s="144">
        <f t="shared" si="18"/>
        <v>0</v>
      </c>
      <c r="V60" s="144">
        <f t="shared" si="18"/>
        <v>957723</v>
      </c>
      <c r="W60" s="144">
        <f>SUM(W27:W59)</f>
        <v>1017249.36</v>
      </c>
      <c r="X60" s="144">
        <f>SUM(X27:X59)</f>
        <v>13539896.08736</v>
      </c>
      <c r="Y60" s="144">
        <f t="shared" ref="Y60:AB60" si="19">SUM(Y27:Y59)</f>
        <v>11587</v>
      </c>
      <c r="Z60" s="144">
        <f t="shared" si="19"/>
        <v>81586</v>
      </c>
      <c r="AA60" s="144">
        <f t="shared" si="19"/>
        <v>0</v>
      </c>
      <c r="AB60" s="144">
        <f t="shared" si="19"/>
        <v>0</v>
      </c>
      <c r="AC60" s="144">
        <f t="shared" si="18"/>
        <v>16359649.557360001</v>
      </c>
      <c r="AD60" s="144">
        <f t="shared" si="18"/>
        <v>16238842.557360001</v>
      </c>
      <c r="AE60" s="144">
        <f t="shared" si="18"/>
        <v>2749754.4699999988</v>
      </c>
      <c r="AF60" s="144">
        <f t="shared" si="18"/>
        <v>13609895.08736</v>
      </c>
    </row>
    <row r="61" spans="1:32" s="131" customFormat="1" ht="15" customHeight="1" x14ac:dyDescent="0.25">
      <c r="A61" s="138">
        <v>3111</v>
      </c>
      <c r="B61" s="150" t="s">
        <v>154</v>
      </c>
      <c r="C61" s="151">
        <v>461469.80000000005</v>
      </c>
      <c r="D61" s="152"/>
      <c r="E61" s="135">
        <f>D61+C61</f>
        <v>461469.80000000005</v>
      </c>
      <c r="F61" s="135"/>
      <c r="G61" s="135"/>
      <c r="H61" s="130">
        <v>38456</v>
      </c>
      <c r="I61" s="130">
        <v>46820</v>
      </c>
      <c r="J61" s="130">
        <f t="shared" si="14"/>
        <v>414649.80000000005</v>
      </c>
      <c r="K61" s="130"/>
      <c r="L61" s="130"/>
      <c r="M61" s="130"/>
      <c r="N61" s="130"/>
      <c r="O61" s="130">
        <v>53940</v>
      </c>
      <c r="P61" s="231">
        <v>51949</v>
      </c>
      <c r="Q61" s="130">
        <f t="shared" si="5"/>
        <v>362700.80000000005</v>
      </c>
      <c r="R61" s="130"/>
      <c r="S61" s="130"/>
      <c r="T61" s="130"/>
      <c r="U61" s="130"/>
      <c r="V61" s="130">
        <v>60250</v>
      </c>
      <c r="W61" s="130">
        <v>58637</v>
      </c>
      <c r="X61" s="130">
        <f t="shared" si="16"/>
        <v>304063.80000000005</v>
      </c>
      <c r="Y61" s="130"/>
      <c r="Z61" s="130"/>
      <c r="AA61" s="130"/>
      <c r="AB61" s="130"/>
      <c r="AC61" s="130">
        <f t="shared" si="2"/>
        <v>461469.80000000005</v>
      </c>
      <c r="AD61" s="130">
        <f t="shared" ref="AD61:AD101" si="20">C61+D61</f>
        <v>461469.80000000005</v>
      </c>
      <c r="AE61" s="130">
        <f t="shared" si="7"/>
        <v>157406</v>
      </c>
      <c r="AF61" s="130">
        <f t="shared" ref="AF61:AF101" si="21">X61-Y61+Z61+AA61-AB61</f>
        <v>304063.80000000005</v>
      </c>
    </row>
    <row r="62" spans="1:32" s="131" customFormat="1" x14ac:dyDescent="0.25">
      <c r="A62" s="138">
        <v>3121</v>
      </c>
      <c r="B62" s="150" t="s">
        <v>155</v>
      </c>
      <c r="C62" s="151">
        <v>159510.72799999997</v>
      </c>
      <c r="D62" s="152"/>
      <c r="E62" s="135">
        <f t="shared" ref="E62:E101" si="22">D62+C62</f>
        <v>159510.72799999997</v>
      </c>
      <c r="F62" s="135"/>
      <c r="G62" s="135"/>
      <c r="H62" s="130">
        <v>13293</v>
      </c>
      <c r="I62" s="130">
        <v>13999.48</v>
      </c>
      <c r="J62" s="130">
        <f t="shared" si="14"/>
        <v>145511.24799999996</v>
      </c>
      <c r="K62" s="130"/>
      <c r="L62" s="130"/>
      <c r="M62" s="130"/>
      <c r="N62" s="130"/>
      <c r="O62" s="130">
        <v>15210</v>
      </c>
      <c r="P62" s="231">
        <v>13128.88</v>
      </c>
      <c r="Q62" s="130">
        <f t="shared" si="5"/>
        <v>132382.36799999996</v>
      </c>
      <c r="R62" s="130"/>
      <c r="S62" s="130"/>
      <c r="T62" s="130"/>
      <c r="U62" s="130"/>
      <c r="V62" s="130">
        <v>15100</v>
      </c>
      <c r="W62" s="130">
        <v>13343.43</v>
      </c>
      <c r="X62" s="130">
        <f t="shared" si="16"/>
        <v>119038.93799999997</v>
      </c>
      <c r="Y62" s="130"/>
      <c r="Z62" s="130"/>
      <c r="AA62" s="130"/>
      <c r="AB62" s="130"/>
      <c r="AC62" s="130">
        <f t="shared" si="2"/>
        <v>159510.72799999997</v>
      </c>
      <c r="AD62" s="130">
        <f t="shared" si="20"/>
        <v>159510.72799999997</v>
      </c>
      <c r="AE62" s="130">
        <f t="shared" si="7"/>
        <v>40471.79</v>
      </c>
      <c r="AF62" s="130">
        <f t="shared" si="21"/>
        <v>119038.93799999997</v>
      </c>
    </row>
    <row r="63" spans="1:32" s="131" customFormat="1" ht="15" customHeight="1" x14ac:dyDescent="0.25">
      <c r="A63" s="138">
        <v>3131</v>
      </c>
      <c r="B63" s="150" t="s">
        <v>156</v>
      </c>
      <c r="C63" s="151">
        <v>10860.48</v>
      </c>
      <c r="D63" s="152"/>
      <c r="E63" s="135">
        <f t="shared" si="22"/>
        <v>10860.48</v>
      </c>
      <c r="F63" s="135"/>
      <c r="G63" s="135"/>
      <c r="H63" s="130"/>
      <c r="I63" s="130"/>
      <c r="J63" s="130">
        <f t="shared" si="14"/>
        <v>10860.48</v>
      </c>
      <c r="K63" s="130"/>
      <c r="L63" s="130"/>
      <c r="M63" s="130"/>
      <c r="N63" s="130"/>
      <c r="O63" s="130"/>
      <c r="P63" s="231"/>
      <c r="Q63" s="130">
        <f t="shared" si="5"/>
        <v>10860.48</v>
      </c>
      <c r="R63" s="130"/>
      <c r="S63" s="130"/>
      <c r="T63" s="130"/>
      <c r="U63" s="130"/>
      <c r="V63" s="130"/>
      <c r="W63" s="130"/>
      <c r="X63" s="130">
        <f t="shared" si="16"/>
        <v>10860.48</v>
      </c>
      <c r="Y63" s="130"/>
      <c r="Z63" s="130"/>
      <c r="AA63" s="130"/>
      <c r="AB63" s="130"/>
      <c r="AC63" s="130">
        <f t="shared" si="2"/>
        <v>10860.48</v>
      </c>
      <c r="AD63" s="130">
        <f t="shared" si="20"/>
        <v>10860.48</v>
      </c>
      <c r="AE63" s="130">
        <f t="shared" si="7"/>
        <v>0</v>
      </c>
      <c r="AF63" s="130">
        <f t="shared" si="21"/>
        <v>10860.48</v>
      </c>
    </row>
    <row r="64" spans="1:32" s="131" customFormat="1" x14ac:dyDescent="0.25">
      <c r="A64" s="138">
        <v>3141</v>
      </c>
      <c r="B64" s="150" t="s">
        <v>157</v>
      </c>
      <c r="C64" s="151">
        <f>149034.7664+18133</f>
        <v>167167.76639999999</v>
      </c>
      <c r="D64" s="152"/>
      <c r="E64" s="135">
        <f t="shared" si="22"/>
        <v>167167.76639999999</v>
      </c>
      <c r="F64" s="135"/>
      <c r="G64" s="135"/>
      <c r="H64" s="130">
        <v>11735.82</v>
      </c>
      <c r="I64" s="130">
        <v>11393.96</v>
      </c>
      <c r="J64" s="130">
        <f t="shared" si="14"/>
        <v>155773.8064</v>
      </c>
      <c r="K64" s="130"/>
      <c r="L64" s="130"/>
      <c r="M64" s="130"/>
      <c r="N64" s="130"/>
      <c r="O64" s="130">
        <v>12402</v>
      </c>
      <c r="P64" s="231">
        <v>11293</v>
      </c>
      <c r="Q64" s="130">
        <f t="shared" si="5"/>
        <v>144480.8064</v>
      </c>
      <c r="R64" s="130"/>
      <c r="S64" s="130"/>
      <c r="T64" s="130"/>
      <c r="U64" s="130"/>
      <c r="V64" s="130">
        <v>3120</v>
      </c>
      <c r="W64" s="130">
        <v>2859</v>
      </c>
      <c r="X64" s="130">
        <f t="shared" si="16"/>
        <v>141621.8064</v>
      </c>
      <c r="Y64" s="130"/>
      <c r="Z64" s="130"/>
      <c r="AA64" s="130"/>
      <c r="AB64" s="130"/>
      <c r="AC64" s="130">
        <f t="shared" si="2"/>
        <v>167167.76639999999</v>
      </c>
      <c r="AD64" s="130">
        <f t="shared" si="20"/>
        <v>167167.76639999999</v>
      </c>
      <c r="AE64" s="130">
        <f t="shared" si="7"/>
        <v>25545.96</v>
      </c>
      <c r="AF64" s="130">
        <f t="shared" si="21"/>
        <v>141621.8064</v>
      </c>
    </row>
    <row r="65" spans="1:32" s="131" customFormat="1" ht="15" customHeight="1" x14ac:dyDescent="0.25">
      <c r="A65" s="138">
        <v>3171</v>
      </c>
      <c r="B65" s="150" t="s">
        <v>158</v>
      </c>
      <c r="C65" s="151">
        <v>6500</v>
      </c>
      <c r="D65" s="152"/>
      <c r="E65" s="135">
        <f t="shared" si="22"/>
        <v>6500</v>
      </c>
      <c r="F65" s="135"/>
      <c r="G65" s="135"/>
      <c r="H65" s="130"/>
      <c r="I65" s="130"/>
      <c r="J65" s="130">
        <f t="shared" si="14"/>
        <v>6500</v>
      </c>
      <c r="K65" s="130"/>
      <c r="L65" s="130"/>
      <c r="M65" s="130"/>
      <c r="N65" s="130"/>
      <c r="O65" s="130"/>
      <c r="P65" s="231"/>
      <c r="Q65" s="130">
        <f t="shared" si="5"/>
        <v>6500</v>
      </c>
      <c r="R65" s="130"/>
      <c r="S65" s="130"/>
      <c r="T65" s="130"/>
      <c r="U65" s="130"/>
      <c r="V65" s="130"/>
      <c r="W65" s="130"/>
      <c r="X65" s="130">
        <f t="shared" si="16"/>
        <v>6500</v>
      </c>
      <c r="Y65" s="130"/>
      <c r="Z65" s="130"/>
      <c r="AA65" s="130"/>
      <c r="AB65" s="130"/>
      <c r="AC65" s="130">
        <f t="shared" si="2"/>
        <v>6500</v>
      </c>
      <c r="AD65" s="130">
        <f t="shared" si="20"/>
        <v>6500</v>
      </c>
      <c r="AE65" s="130">
        <f t="shared" si="7"/>
        <v>0</v>
      </c>
      <c r="AF65" s="130">
        <f t="shared" si="21"/>
        <v>6500</v>
      </c>
    </row>
    <row r="66" spans="1:32" s="131" customFormat="1" x14ac:dyDescent="0.25">
      <c r="A66" s="138">
        <v>3181</v>
      </c>
      <c r="B66" s="150" t="s">
        <v>159</v>
      </c>
      <c r="C66" s="151">
        <v>3112.2208000000001</v>
      </c>
      <c r="D66" s="152"/>
      <c r="E66" s="135">
        <f t="shared" si="22"/>
        <v>3112.2208000000001</v>
      </c>
      <c r="F66" s="135"/>
      <c r="G66" s="135"/>
      <c r="H66" s="130">
        <v>259</v>
      </c>
      <c r="I66" s="130">
        <v>346.43</v>
      </c>
      <c r="J66" s="130">
        <f t="shared" si="14"/>
        <v>2765.7908000000002</v>
      </c>
      <c r="K66" s="130"/>
      <c r="L66" s="130"/>
      <c r="M66" s="130"/>
      <c r="N66" s="130"/>
      <c r="O66" s="130"/>
      <c r="P66" s="231"/>
      <c r="Q66" s="130">
        <f t="shared" si="5"/>
        <v>2765.7908000000002</v>
      </c>
      <c r="R66" s="130"/>
      <c r="S66" s="130"/>
      <c r="T66" s="130"/>
      <c r="U66" s="130"/>
      <c r="V66" s="130"/>
      <c r="W66" s="130"/>
      <c r="X66" s="130">
        <f t="shared" si="16"/>
        <v>2765.7908000000002</v>
      </c>
      <c r="Y66" s="130"/>
      <c r="Z66" s="130"/>
      <c r="AA66" s="130"/>
      <c r="AB66" s="130"/>
      <c r="AC66" s="130">
        <f t="shared" si="2"/>
        <v>3112.2208000000001</v>
      </c>
      <c r="AD66" s="130">
        <f t="shared" si="20"/>
        <v>3112.2208000000001</v>
      </c>
      <c r="AE66" s="130">
        <f t="shared" si="7"/>
        <v>346.43</v>
      </c>
      <c r="AF66" s="130">
        <f t="shared" si="21"/>
        <v>2765.7908000000002</v>
      </c>
    </row>
    <row r="67" spans="1:32" s="131" customFormat="1" x14ac:dyDescent="0.25">
      <c r="A67" s="138">
        <v>3231</v>
      </c>
      <c r="B67" s="150" t="s">
        <v>308</v>
      </c>
      <c r="C67" s="151">
        <v>0</v>
      </c>
      <c r="D67" s="152"/>
      <c r="E67" s="135">
        <f t="shared" si="22"/>
        <v>0</v>
      </c>
      <c r="F67" s="135"/>
      <c r="G67" s="135"/>
      <c r="H67" s="130"/>
      <c r="I67" s="130"/>
      <c r="J67" s="130">
        <f t="shared" si="14"/>
        <v>0</v>
      </c>
      <c r="K67" s="130"/>
      <c r="L67" s="130"/>
      <c r="M67" s="130"/>
      <c r="N67" s="130"/>
      <c r="O67" s="130"/>
      <c r="P67" s="231"/>
      <c r="Q67" s="130">
        <f t="shared" si="5"/>
        <v>0</v>
      </c>
      <c r="R67" s="130"/>
      <c r="S67" s="130"/>
      <c r="T67" s="130"/>
      <c r="U67" s="130"/>
      <c r="V67" s="130">
        <v>0</v>
      </c>
      <c r="W67" s="130">
        <v>8120</v>
      </c>
      <c r="X67" s="130">
        <f t="shared" si="16"/>
        <v>-8120</v>
      </c>
      <c r="Y67" s="130"/>
      <c r="Z67" s="130">
        <v>8120</v>
      </c>
      <c r="AA67" s="130"/>
      <c r="AB67" s="130"/>
      <c r="AC67" s="130">
        <f t="shared" si="2"/>
        <v>8120</v>
      </c>
      <c r="AD67" s="130">
        <f t="shared" si="20"/>
        <v>0</v>
      </c>
      <c r="AE67" s="130">
        <f t="shared" si="7"/>
        <v>8120</v>
      </c>
      <c r="AF67" s="130">
        <f t="shared" si="21"/>
        <v>0</v>
      </c>
    </row>
    <row r="68" spans="1:32" s="131" customFormat="1" ht="15" customHeight="1" x14ac:dyDescent="0.25">
      <c r="A68" s="138">
        <v>3232</v>
      </c>
      <c r="B68" s="150" t="s">
        <v>160</v>
      </c>
      <c r="C68" s="151">
        <v>40000</v>
      </c>
      <c r="D68" s="152"/>
      <c r="E68" s="135">
        <f t="shared" si="22"/>
        <v>40000</v>
      </c>
      <c r="F68" s="135"/>
      <c r="G68" s="135"/>
      <c r="H68" s="130"/>
      <c r="I68" s="130"/>
      <c r="J68" s="130">
        <f t="shared" si="14"/>
        <v>40000</v>
      </c>
      <c r="K68" s="130"/>
      <c r="L68" s="130"/>
      <c r="M68" s="130"/>
      <c r="N68" s="130"/>
      <c r="O68" s="130"/>
      <c r="P68" s="231"/>
      <c r="Q68" s="130">
        <f t="shared" si="5"/>
        <v>40000</v>
      </c>
      <c r="R68" s="130"/>
      <c r="S68" s="130"/>
      <c r="T68" s="130"/>
      <c r="U68" s="130"/>
      <c r="V68" s="130"/>
      <c r="W68" s="130"/>
      <c r="X68" s="130">
        <f t="shared" si="16"/>
        <v>40000</v>
      </c>
      <c r="Y68" s="130"/>
      <c r="Z68" s="130"/>
      <c r="AA68" s="130"/>
      <c r="AB68" s="130"/>
      <c r="AC68" s="130">
        <f t="shared" si="2"/>
        <v>40000</v>
      </c>
      <c r="AD68" s="130">
        <f t="shared" si="20"/>
        <v>40000</v>
      </c>
      <c r="AE68" s="130">
        <f t="shared" si="7"/>
        <v>0</v>
      </c>
      <c r="AF68" s="130">
        <f t="shared" si="21"/>
        <v>40000</v>
      </c>
    </row>
    <row r="69" spans="1:32" s="131" customFormat="1" x14ac:dyDescent="0.25">
      <c r="A69" s="138">
        <v>3261</v>
      </c>
      <c r="B69" s="150" t="s">
        <v>161</v>
      </c>
      <c r="C69" s="151">
        <v>30000</v>
      </c>
      <c r="D69" s="152"/>
      <c r="E69" s="135">
        <f t="shared" si="22"/>
        <v>30000</v>
      </c>
      <c r="F69" s="135"/>
      <c r="G69" s="135"/>
      <c r="H69" s="130"/>
      <c r="I69" s="130"/>
      <c r="J69" s="130">
        <f t="shared" si="14"/>
        <v>30000</v>
      </c>
      <c r="K69" s="130"/>
      <c r="L69" s="130"/>
      <c r="M69" s="130"/>
      <c r="N69" s="130"/>
      <c r="O69" s="130"/>
      <c r="P69" s="231"/>
      <c r="Q69" s="130">
        <f t="shared" si="5"/>
        <v>30000</v>
      </c>
      <c r="R69" s="130"/>
      <c r="S69" s="130"/>
      <c r="T69" s="130"/>
      <c r="U69" s="130"/>
      <c r="V69" s="130"/>
      <c r="W69" s="130"/>
      <c r="X69" s="130">
        <f t="shared" si="16"/>
        <v>30000</v>
      </c>
      <c r="Y69" s="130"/>
      <c r="Z69" s="130"/>
      <c r="AA69" s="130"/>
      <c r="AB69" s="130"/>
      <c r="AC69" s="130">
        <f t="shared" si="2"/>
        <v>30000</v>
      </c>
      <c r="AD69" s="130">
        <f t="shared" si="20"/>
        <v>30000</v>
      </c>
      <c r="AE69" s="130">
        <f t="shared" si="7"/>
        <v>0</v>
      </c>
      <c r="AF69" s="130">
        <f t="shared" si="21"/>
        <v>30000</v>
      </c>
    </row>
    <row r="70" spans="1:32" s="131" customFormat="1" ht="15" customHeight="1" x14ac:dyDescent="0.25">
      <c r="A70" s="138">
        <v>3311</v>
      </c>
      <c r="B70" s="150" t="s">
        <v>162</v>
      </c>
      <c r="C70" s="151">
        <f>45000+240000+237600+83520</f>
        <v>606120</v>
      </c>
      <c r="D70" s="153"/>
      <c r="E70" s="135">
        <f t="shared" si="22"/>
        <v>606120</v>
      </c>
      <c r="F70" s="135"/>
      <c r="G70" s="135"/>
      <c r="H70" s="130">
        <v>5829.8</v>
      </c>
      <c r="I70" s="130">
        <v>5660.38</v>
      </c>
      <c r="J70" s="130">
        <f t="shared" si="14"/>
        <v>600459.62</v>
      </c>
      <c r="K70" s="130"/>
      <c r="L70" s="130"/>
      <c r="M70" s="130"/>
      <c r="N70" s="130"/>
      <c r="O70" s="130">
        <v>5801</v>
      </c>
      <c r="P70" s="231">
        <v>5660.38</v>
      </c>
      <c r="Q70" s="130">
        <f t="shared" si="5"/>
        <v>594799.24</v>
      </c>
      <c r="R70" s="130"/>
      <c r="S70" s="130"/>
      <c r="T70" s="130"/>
      <c r="U70" s="130"/>
      <c r="V70" s="130"/>
      <c r="W70" s="130"/>
      <c r="X70" s="130">
        <f t="shared" si="16"/>
        <v>594799.24</v>
      </c>
      <c r="Y70" s="130"/>
      <c r="Z70" s="130"/>
      <c r="AA70" s="130"/>
      <c r="AB70" s="130"/>
      <c r="AC70" s="130">
        <f t="shared" si="2"/>
        <v>606120</v>
      </c>
      <c r="AD70" s="130">
        <f t="shared" si="20"/>
        <v>606120</v>
      </c>
      <c r="AE70" s="130">
        <f t="shared" si="7"/>
        <v>11320.76</v>
      </c>
      <c r="AF70" s="130">
        <f t="shared" si="21"/>
        <v>594799.24</v>
      </c>
    </row>
    <row r="71" spans="1:32" s="131" customFormat="1" ht="15" customHeight="1" x14ac:dyDescent="0.25">
      <c r="A71" s="138">
        <v>3321</v>
      </c>
      <c r="B71" s="150" t="s">
        <v>269</v>
      </c>
      <c r="C71" s="151">
        <v>0</v>
      </c>
      <c r="D71" s="153"/>
      <c r="E71" s="135">
        <v>0</v>
      </c>
      <c r="F71" s="135"/>
      <c r="G71" s="135"/>
      <c r="H71" s="130"/>
      <c r="I71" s="130"/>
      <c r="J71" s="130"/>
      <c r="K71" s="130"/>
      <c r="L71" s="130"/>
      <c r="M71" s="130"/>
      <c r="N71" s="130"/>
      <c r="O71" s="130"/>
      <c r="P71" s="231">
        <v>195868.96</v>
      </c>
      <c r="Q71" s="130">
        <f t="shared" si="5"/>
        <v>-195868.96</v>
      </c>
      <c r="R71" s="130"/>
      <c r="S71" s="130">
        <v>195869</v>
      </c>
      <c r="T71" s="130"/>
      <c r="U71" s="130"/>
      <c r="V71" s="130"/>
      <c r="W71" s="130"/>
      <c r="X71" s="130">
        <f t="shared" si="16"/>
        <v>4.0000000008149073E-2</v>
      </c>
      <c r="Y71" s="130"/>
      <c r="Z71" s="130"/>
      <c r="AA71" s="130"/>
      <c r="AB71" s="130"/>
      <c r="AC71" s="130">
        <f t="shared" si="2"/>
        <v>195869</v>
      </c>
      <c r="AD71" s="130">
        <f t="shared" si="20"/>
        <v>0</v>
      </c>
      <c r="AE71" s="130">
        <f t="shared" si="7"/>
        <v>195868.96</v>
      </c>
      <c r="AF71" s="130">
        <f t="shared" si="21"/>
        <v>4.0000000008149073E-2</v>
      </c>
    </row>
    <row r="72" spans="1:32" s="131" customFormat="1" x14ac:dyDescent="0.25">
      <c r="A72" s="138">
        <v>3331</v>
      </c>
      <c r="B72" s="150" t="s">
        <v>163</v>
      </c>
      <c r="C72" s="151">
        <f>170000+30000</f>
        <v>200000</v>
      </c>
      <c r="D72" s="153"/>
      <c r="E72" s="135">
        <f t="shared" si="22"/>
        <v>200000</v>
      </c>
      <c r="F72" s="135"/>
      <c r="G72" s="135"/>
      <c r="H72" s="130"/>
      <c r="I72" s="130"/>
      <c r="J72" s="130">
        <f t="shared" si="14"/>
        <v>200000</v>
      </c>
      <c r="K72" s="130"/>
      <c r="L72" s="130"/>
      <c r="M72" s="130"/>
      <c r="N72" s="130"/>
      <c r="O72" s="130"/>
      <c r="P72" s="231"/>
      <c r="Q72" s="130">
        <f t="shared" si="5"/>
        <v>200000</v>
      </c>
      <c r="R72" s="130"/>
      <c r="S72" s="130"/>
      <c r="T72" s="130"/>
      <c r="U72" s="130"/>
      <c r="V72" s="130"/>
      <c r="W72" s="130"/>
      <c r="X72" s="130">
        <f t="shared" si="16"/>
        <v>200000</v>
      </c>
      <c r="Y72" s="130"/>
      <c r="Z72" s="130"/>
      <c r="AA72" s="130"/>
      <c r="AB72" s="130"/>
      <c r="AC72" s="130">
        <f t="shared" ref="AC72:AC129" si="23">E72-R72+S72+T72-U72-Y72+Z72+AA72-AB72</f>
        <v>200000</v>
      </c>
      <c r="AD72" s="130">
        <f t="shared" si="20"/>
        <v>200000</v>
      </c>
      <c r="AE72" s="130">
        <f t="shared" si="7"/>
        <v>0</v>
      </c>
      <c r="AF72" s="130">
        <f t="shared" si="21"/>
        <v>200000</v>
      </c>
    </row>
    <row r="73" spans="1:32" s="131" customFormat="1" ht="15" customHeight="1" x14ac:dyDescent="0.25">
      <c r="A73" s="138">
        <v>3341</v>
      </c>
      <c r="B73" s="150" t="s">
        <v>164</v>
      </c>
      <c r="C73" s="151">
        <v>50000</v>
      </c>
      <c r="D73" s="152"/>
      <c r="E73" s="135">
        <f t="shared" si="22"/>
        <v>50000</v>
      </c>
      <c r="F73" s="135"/>
      <c r="G73" s="135"/>
      <c r="H73" s="130">
        <v>27841.93</v>
      </c>
      <c r="I73" s="130">
        <v>27030.5</v>
      </c>
      <c r="J73" s="130">
        <f t="shared" si="14"/>
        <v>22969.5</v>
      </c>
      <c r="K73" s="130"/>
      <c r="L73" s="130"/>
      <c r="M73" s="130"/>
      <c r="N73" s="130"/>
      <c r="O73" s="130">
        <v>28601</v>
      </c>
      <c r="P73" s="231"/>
      <c r="Q73" s="130">
        <f t="shared" si="5"/>
        <v>22969.5</v>
      </c>
      <c r="R73" s="130"/>
      <c r="S73" s="130"/>
      <c r="T73" s="130"/>
      <c r="U73" s="130"/>
      <c r="V73" s="130"/>
      <c r="W73" s="130"/>
      <c r="X73" s="130">
        <f t="shared" si="16"/>
        <v>22969.5</v>
      </c>
      <c r="Y73" s="130"/>
      <c r="Z73" s="130"/>
      <c r="AA73" s="130"/>
      <c r="AB73" s="130"/>
      <c r="AC73" s="130">
        <f t="shared" si="23"/>
        <v>50000</v>
      </c>
      <c r="AD73" s="130">
        <f t="shared" si="20"/>
        <v>50000</v>
      </c>
      <c r="AE73" s="130">
        <f t="shared" si="7"/>
        <v>27030.5</v>
      </c>
      <c r="AF73" s="130">
        <f t="shared" si="21"/>
        <v>22969.5</v>
      </c>
    </row>
    <row r="74" spans="1:32" s="131" customFormat="1" x14ac:dyDescent="0.25">
      <c r="A74" s="138">
        <v>3342</v>
      </c>
      <c r="B74" s="150" t="s">
        <v>165</v>
      </c>
      <c r="C74" s="151">
        <f>15000+240000</f>
        <v>255000</v>
      </c>
      <c r="D74" s="152"/>
      <c r="E74" s="135">
        <f t="shared" si="22"/>
        <v>255000</v>
      </c>
      <c r="F74" s="135"/>
      <c r="G74" s="135"/>
      <c r="H74" s="130">
        <v>2389.6</v>
      </c>
      <c r="I74" s="130">
        <v>2320</v>
      </c>
      <c r="J74" s="130">
        <f t="shared" si="14"/>
        <v>252680</v>
      </c>
      <c r="K74" s="130"/>
      <c r="L74" s="130"/>
      <c r="M74" s="130"/>
      <c r="N74" s="130"/>
      <c r="O74" s="130">
        <v>197800</v>
      </c>
      <c r="P74" s="231"/>
      <c r="Q74" s="130">
        <f t="shared" si="5"/>
        <v>252680</v>
      </c>
      <c r="R74" s="130"/>
      <c r="S74" s="130"/>
      <c r="T74" s="130"/>
      <c r="U74" s="130"/>
      <c r="V74" s="130">
        <v>2015</v>
      </c>
      <c r="W74" s="130">
        <v>1800</v>
      </c>
      <c r="X74" s="130">
        <f t="shared" si="16"/>
        <v>250880</v>
      </c>
      <c r="Y74" s="130"/>
      <c r="Z74" s="130"/>
      <c r="AA74" s="130"/>
      <c r="AB74" s="130"/>
      <c r="AC74" s="130">
        <f t="shared" si="23"/>
        <v>255000</v>
      </c>
      <c r="AD74" s="130">
        <f t="shared" si="20"/>
        <v>255000</v>
      </c>
      <c r="AE74" s="130">
        <f t="shared" ref="AE74:AE129" si="24">I74+P74+W74</f>
        <v>4120</v>
      </c>
      <c r="AF74" s="130">
        <f t="shared" si="21"/>
        <v>250880</v>
      </c>
    </row>
    <row r="75" spans="1:32" s="131" customFormat="1" ht="15" customHeight="1" x14ac:dyDescent="0.25">
      <c r="A75" s="138">
        <v>3351</v>
      </c>
      <c r="B75" s="150" t="s">
        <v>166</v>
      </c>
      <c r="C75" s="151">
        <f>90000+124976</f>
        <v>214976</v>
      </c>
      <c r="D75" s="152"/>
      <c r="E75" s="135">
        <f t="shared" si="22"/>
        <v>214976</v>
      </c>
      <c r="F75" s="135"/>
      <c r="G75" s="135"/>
      <c r="H75" s="130"/>
      <c r="I75" s="130"/>
      <c r="J75" s="130">
        <f t="shared" si="14"/>
        <v>214976</v>
      </c>
      <c r="K75" s="130"/>
      <c r="L75" s="130"/>
      <c r="M75" s="130"/>
      <c r="N75" s="130"/>
      <c r="O75" s="130">
        <v>5600</v>
      </c>
      <c r="P75" s="231">
        <v>4800</v>
      </c>
      <c r="Q75" s="130">
        <f t="shared" si="5"/>
        <v>210176</v>
      </c>
      <c r="R75" s="130"/>
      <c r="S75" s="130"/>
      <c r="T75" s="130"/>
      <c r="U75" s="130"/>
      <c r="V75" s="130">
        <v>5030</v>
      </c>
      <c r="W75" s="130">
        <v>4800</v>
      </c>
      <c r="X75" s="130">
        <f t="shared" si="16"/>
        <v>205376</v>
      </c>
      <c r="Y75" s="130"/>
      <c r="Z75" s="130"/>
      <c r="AA75" s="130"/>
      <c r="AB75" s="130"/>
      <c r="AC75" s="130">
        <f t="shared" si="23"/>
        <v>214976</v>
      </c>
      <c r="AD75" s="130">
        <f t="shared" si="20"/>
        <v>214976</v>
      </c>
      <c r="AE75" s="130">
        <f t="shared" si="24"/>
        <v>9600</v>
      </c>
      <c r="AF75" s="130">
        <f t="shared" si="21"/>
        <v>205376</v>
      </c>
    </row>
    <row r="76" spans="1:32" s="131" customFormat="1" x14ac:dyDescent="0.25">
      <c r="A76" s="138">
        <v>3362</v>
      </c>
      <c r="B76" s="150" t="s">
        <v>167</v>
      </c>
      <c r="C76" s="151">
        <v>45668.001600000011</v>
      </c>
      <c r="D76" s="152"/>
      <c r="E76" s="135">
        <f t="shared" si="22"/>
        <v>45668.001600000011</v>
      </c>
      <c r="F76" s="135"/>
      <c r="G76" s="135"/>
      <c r="H76" s="130">
        <v>3225.96</v>
      </c>
      <c r="I76" s="130">
        <v>3132</v>
      </c>
      <c r="J76" s="130">
        <f t="shared" si="14"/>
        <v>42536.001600000011</v>
      </c>
      <c r="K76" s="130"/>
      <c r="L76" s="130"/>
      <c r="M76" s="130"/>
      <c r="N76" s="130"/>
      <c r="O76" s="130">
        <v>24740</v>
      </c>
      <c r="P76" s="231">
        <v>23248.720000000001</v>
      </c>
      <c r="Q76" s="130">
        <f t="shared" ref="Q76:Q129" si="25">J76-P76</f>
        <v>19287.281600000009</v>
      </c>
      <c r="R76" s="130"/>
      <c r="S76" s="130"/>
      <c r="T76" s="130"/>
      <c r="U76" s="130"/>
      <c r="V76" s="130">
        <v>3650</v>
      </c>
      <c r="W76" s="130">
        <v>3469.6</v>
      </c>
      <c r="X76" s="130">
        <f t="shared" si="16"/>
        <v>15817.681600000009</v>
      </c>
      <c r="Y76" s="130"/>
      <c r="Z76" s="130"/>
      <c r="AA76" s="130"/>
      <c r="AB76" s="130"/>
      <c r="AC76" s="130">
        <f t="shared" si="23"/>
        <v>45668.001600000011</v>
      </c>
      <c r="AD76" s="130">
        <f t="shared" si="20"/>
        <v>45668.001600000011</v>
      </c>
      <c r="AE76" s="130">
        <f t="shared" si="24"/>
        <v>29850.32</v>
      </c>
      <c r="AF76" s="130">
        <f t="shared" si="21"/>
        <v>15817.681600000009</v>
      </c>
    </row>
    <row r="77" spans="1:32" s="131" customFormat="1" ht="15" customHeight="1" x14ac:dyDescent="0.25">
      <c r="A77" s="138">
        <v>3363</v>
      </c>
      <c r="B77" s="150" t="s">
        <v>168</v>
      </c>
      <c r="C77" s="151">
        <v>50000</v>
      </c>
      <c r="D77" s="152"/>
      <c r="E77" s="135">
        <f t="shared" si="22"/>
        <v>50000</v>
      </c>
      <c r="F77" s="135"/>
      <c r="G77" s="135"/>
      <c r="H77" s="130"/>
      <c r="I77" s="130"/>
      <c r="J77" s="130">
        <f t="shared" si="14"/>
        <v>50000</v>
      </c>
      <c r="K77" s="130"/>
      <c r="L77" s="130"/>
      <c r="M77" s="130"/>
      <c r="N77" s="130"/>
      <c r="O77" s="130"/>
      <c r="P77" s="231"/>
      <c r="Q77" s="130">
        <f t="shared" si="25"/>
        <v>50000</v>
      </c>
      <c r="R77" s="130"/>
      <c r="S77" s="130"/>
      <c r="T77" s="130"/>
      <c r="U77" s="130"/>
      <c r="V77" s="130"/>
      <c r="W77" s="130"/>
      <c r="X77" s="130">
        <f t="shared" si="16"/>
        <v>50000</v>
      </c>
      <c r="Y77" s="130"/>
      <c r="Z77" s="130"/>
      <c r="AA77" s="130"/>
      <c r="AB77" s="130"/>
      <c r="AC77" s="130">
        <f t="shared" si="23"/>
        <v>50000</v>
      </c>
      <c r="AD77" s="130">
        <f t="shared" si="20"/>
        <v>50000</v>
      </c>
      <c r="AE77" s="130">
        <f t="shared" si="24"/>
        <v>0</v>
      </c>
      <c r="AF77" s="130">
        <f t="shared" si="21"/>
        <v>50000</v>
      </c>
    </row>
    <row r="78" spans="1:32" s="131" customFormat="1" x14ac:dyDescent="0.25">
      <c r="A78" s="138">
        <v>3391</v>
      </c>
      <c r="B78" s="150" t="s">
        <v>169</v>
      </c>
      <c r="C78" s="135">
        <f>83520+120000+15000+170000</f>
        <v>388520</v>
      </c>
      <c r="D78" s="151">
        <v>638000</v>
      </c>
      <c r="E78" s="135">
        <f t="shared" si="22"/>
        <v>1026520</v>
      </c>
      <c r="F78" s="135"/>
      <c r="G78" s="135"/>
      <c r="H78" s="130">
        <v>24734.42</v>
      </c>
      <c r="I78" s="130">
        <f>16058.04+2296</f>
        <v>18354.04</v>
      </c>
      <c r="J78" s="130">
        <f t="shared" si="14"/>
        <v>1008165.96</v>
      </c>
      <c r="K78" s="130"/>
      <c r="L78" s="130"/>
      <c r="M78" s="130"/>
      <c r="N78" s="130"/>
      <c r="O78" s="130">
        <v>34205</v>
      </c>
      <c r="P78" s="231">
        <v>32825.78</v>
      </c>
      <c r="Q78" s="130">
        <f t="shared" si="25"/>
        <v>975340.17999999993</v>
      </c>
      <c r="R78" s="130"/>
      <c r="S78" s="130"/>
      <c r="T78" s="130"/>
      <c r="U78" s="130"/>
      <c r="V78" s="130">
        <v>60504</v>
      </c>
      <c r="W78" s="130">
        <v>60004.800000000003</v>
      </c>
      <c r="X78" s="130">
        <f t="shared" si="16"/>
        <v>915335.37999999989</v>
      </c>
      <c r="Y78" s="130"/>
      <c r="Z78" s="130"/>
      <c r="AA78" s="130"/>
      <c r="AB78" s="130"/>
      <c r="AC78" s="130">
        <f t="shared" si="23"/>
        <v>1026520</v>
      </c>
      <c r="AD78" s="130">
        <f t="shared" si="20"/>
        <v>1026520</v>
      </c>
      <c r="AE78" s="130">
        <f t="shared" si="24"/>
        <v>111184.62</v>
      </c>
      <c r="AF78" s="130">
        <f t="shared" si="21"/>
        <v>915335.37999999989</v>
      </c>
    </row>
    <row r="79" spans="1:32" s="131" customFormat="1" ht="15" customHeight="1" x14ac:dyDescent="0.25">
      <c r="A79" s="138">
        <v>3411</v>
      </c>
      <c r="B79" s="150" t="s">
        <v>170</v>
      </c>
      <c r="C79" s="151">
        <v>3567.4495999999999</v>
      </c>
      <c r="D79" s="152"/>
      <c r="E79" s="135">
        <f t="shared" si="22"/>
        <v>3567.4495999999999</v>
      </c>
      <c r="F79" s="135"/>
      <c r="G79" s="135"/>
      <c r="H79" s="130">
        <v>25476.02</v>
      </c>
      <c r="I79" s="130">
        <v>264.88</v>
      </c>
      <c r="J79" s="130">
        <f t="shared" si="14"/>
        <v>3302.5695999999998</v>
      </c>
      <c r="K79" s="130"/>
      <c r="L79" s="130"/>
      <c r="M79" s="130"/>
      <c r="N79" s="130"/>
      <c r="O79" s="130">
        <v>64012</v>
      </c>
      <c r="P79" s="231">
        <v>206.19</v>
      </c>
      <c r="Q79" s="130">
        <f t="shared" si="25"/>
        <v>3096.3795999999998</v>
      </c>
      <c r="R79" s="130"/>
      <c r="S79" s="130"/>
      <c r="T79" s="130"/>
      <c r="U79" s="130"/>
      <c r="V79" s="130">
        <v>220</v>
      </c>
      <c r="W79" s="130">
        <v>188.67</v>
      </c>
      <c r="X79" s="130">
        <f t="shared" si="16"/>
        <v>2907.7095999999997</v>
      </c>
      <c r="Y79" s="130"/>
      <c r="Z79" s="130"/>
      <c r="AA79" s="130"/>
      <c r="AB79" s="130"/>
      <c r="AC79" s="130">
        <f t="shared" si="23"/>
        <v>3567.4495999999999</v>
      </c>
      <c r="AD79" s="130">
        <f t="shared" si="20"/>
        <v>3567.4495999999999</v>
      </c>
      <c r="AE79" s="130">
        <f t="shared" si="24"/>
        <v>659.74</v>
      </c>
      <c r="AF79" s="130">
        <f t="shared" si="21"/>
        <v>2907.7095999999997</v>
      </c>
    </row>
    <row r="80" spans="1:32" s="131" customFormat="1" x14ac:dyDescent="0.25">
      <c r="A80" s="138">
        <v>3451</v>
      </c>
      <c r="B80" s="150" t="s">
        <v>171</v>
      </c>
      <c r="C80" s="151">
        <v>101437</v>
      </c>
      <c r="D80" s="152"/>
      <c r="E80" s="135">
        <f t="shared" si="22"/>
        <v>101437</v>
      </c>
      <c r="F80" s="135"/>
      <c r="G80" s="135"/>
      <c r="H80" s="130"/>
      <c r="I80" s="130"/>
      <c r="J80" s="130">
        <f t="shared" si="14"/>
        <v>101437</v>
      </c>
      <c r="K80" s="130"/>
      <c r="L80" s="130"/>
      <c r="M80" s="130"/>
      <c r="N80" s="130"/>
      <c r="O80" s="130"/>
      <c r="P80" s="231">
        <v>61747.75</v>
      </c>
      <c r="Q80" s="130">
        <f t="shared" si="25"/>
        <v>39689.25</v>
      </c>
      <c r="R80" s="130"/>
      <c r="S80" s="130"/>
      <c r="T80" s="130"/>
      <c r="U80" s="130"/>
      <c r="V80" s="130"/>
      <c r="W80" s="130"/>
      <c r="X80" s="130">
        <f t="shared" si="16"/>
        <v>39689.25</v>
      </c>
      <c r="Y80" s="130"/>
      <c r="Z80" s="130"/>
      <c r="AA80" s="130"/>
      <c r="AB80" s="130"/>
      <c r="AC80" s="130">
        <f t="shared" si="23"/>
        <v>101437</v>
      </c>
      <c r="AD80" s="130">
        <f t="shared" si="20"/>
        <v>101437</v>
      </c>
      <c r="AE80" s="130">
        <f t="shared" si="24"/>
        <v>61747.75</v>
      </c>
      <c r="AF80" s="130">
        <f t="shared" si="21"/>
        <v>39689.25</v>
      </c>
    </row>
    <row r="81" spans="1:32" s="131" customFormat="1" ht="15" customHeight="1" x14ac:dyDescent="0.25">
      <c r="A81" s="138">
        <v>3471</v>
      </c>
      <c r="B81" s="150" t="s">
        <v>172</v>
      </c>
      <c r="C81" s="151">
        <v>8686.08</v>
      </c>
      <c r="D81" s="152"/>
      <c r="E81" s="135">
        <f t="shared" si="22"/>
        <v>8686.08</v>
      </c>
      <c r="F81" s="135"/>
      <c r="G81" s="135"/>
      <c r="H81" s="130">
        <v>716.88</v>
      </c>
      <c r="I81" s="130">
        <v>696</v>
      </c>
      <c r="J81" s="130">
        <f t="shared" si="14"/>
        <v>7990.08</v>
      </c>
      <c r="K81" s="130"/>
      <c r="L81" s="130"/>
      <c r="M81" s="130"/>
      <c r="N81" s="130"/>
      <c r="O81" s="130"/>
      <c r="P81" s="231"/>
      <c r="Q81" s="130">
        <f t="shared" si="25"/>
        <v>7990.08</v>
      </c>
      <c r="R81" s="130"/>
      <c r="S81" s="130"/>
      <c r="T81" s="130"/>
      <c r="U81" s="130"/>
      <c r="V81" s="130">
        <v>1510</v>
      </c>
      <c r="W81" s="130">
        <v>1334</v>
      </c>
      <c r="X81" s="130">
        <f t="shared" si="16"/>
        <v>6656.08</v>
      </c>
      <c r="Y81" s="130"/>
      <c r="Z81" s="130"/>
      <c r="AA81" s="130"/>
      <c r="AB81" s="130"/>
      <c r="AC81" s="130">
        <f t="shared" si="23"/>
        <v>8686.08</v>
      </c>
      <c r="AD81" s="130">
        <f t="shared" si="20"/>
        <v>8686.08</v>
      </c>
      <c r="AE81" s="130">
        <f t="shared" si="24"/>
        <v>2030</v>
      </c>
      <c r="AF81" s="130">
        <f t="shared" si="21"/>
        <v>6656.08</v>
      </c>
    </row>
    <row r="82" spans="1:32" s="131" customFormat="1" x14ac:dyDescent="0.25">
      <c r="A82" s="138">
        <v>3481</v>
      </c>
      <c r="B82" s="150" t="s">
        <v>173</v>
      </c>
      <c r="C82" s="151">
        <v>0</v>
      </c>
      <c r="D82" s="152"/>
      <c r="E82" s="135">
        <f t="shared" si="22"/>
        <v>0</v>
      </c>
      <c r="F82" s="135"/>
      <c r="G82" s="135"/>
      <c r="H82" s="130"/>
      <c r="I82" s="130"/>
      <c r="J82" s="130">
        <f t="shared" si="14"/>
        <v>0</v>
      </c>
      <c r="K82" s="130"/>
      <c r="L82" s="130"/>
      <c r="M82" s="130"/>
      <c r="N82" s="130"/>
      <c r="O82" s="130"/>
      <c r="P82" s="231"/>
      <c r="Q82" s="130">
        <f t="shared" si="25"/>
        <v>0</v>
      </c>
      <c r="R82" s="130"/>
      <c r="S82" s="130"/>
      <c r="T82" s="130"/>
      <c r="U82" s="130"/>
      <c r="V82" s="130"/>
      <c r="W82" s="130"/>
      <c r="X82" s="130">
        <f t="shared" si="16"/>
        <v>0</v>
      </c>
      <c r="Y82" s="130"/>
      <c r="Z82" s="130"/>
      <c r="AA82" s="130"/>
      <c r="AB82" s="130"/>
      <c r="AC82" s="130">
        <f t="shared" si="23"/>
        <v>0</v>
      </c>
      <c r="AD82" s="130">
        <f t="shared" si="20"/>
        <v>0</v>
      </c>
      <c r="AE82" s="130">
        <f t="shared" si="24"/>
        <v>0</v>
      </c>
      <c r="AF82" s="130">
        <f t="shared" si="21"/>
        <v>0</v>
      </c>
    </row>
    <row r="83" spans="1:32" s="131" customFormat="1" ht="15" customHeight="1" x14ac:dyDescent="0.25">
      <c r="A83" s="138">
        <v>3512</v>
      </c>
      <c r="B83" s="150" t="s">
        <v>307</v>
      </c>
      <c r="C83" s="151">
        <f>500000+150000+300000</f>
        <v>950000</v>
      </c>
      <c r="D83" s="151">
        <f>5735172-3+100000</f>
        <v>5835169</v>
      </c>
      <c r="E83" s="135">
        <f t="shared" si="22"/>
        <v>6785169</v>
      </c>
      <c r="F83" s="135"/>
      <c r="G83" s="135"/>
      <c r="H83" s="130">
        <v>17220.57</v>
      </c>
      <c r="I83" s="130">
        <v>16719.18</v>
      </c>
      <c r="J83" s="130">
        <f t="shared" si="14"/>
        <v>6768449.8200000003</v>
      </c>
      <c r="K83" s="130"/>
      <c r="L83" s="130"/>
      <c r="M83" s="130"/>
      <c r="N83" s="130"/>
      <c r="O83" s="130">
        <v>3904</v>
      </c>
      <c r="P83" s="231">
        <v>3765.36</v>
      </c>
      <c r="Q83" s="130">
        <f t="shared" si="25"/>
        <v>6764684.46</v>
      </c>
      <c r="R83" s="130"/>
      <c r="S83" s="130"/>
      <c r="T83" s="130"/>
      <c r="U83" s="130"/>
      <c r="V83" s="130">
        <v>36950</v>
      </c>
      <c r="W83" s="130">
        <v>34857.26</v>
      </c>
      <c r="X83" s="130">
        <f t="shared" si="16"/>
        <v>6729827.2000000002</v>
      </c>
      <c r="Y83" s="130">
        <v>17400</v>
      </c>
      <c r="Z83" s="130"/>
      <c r="AA83" s="130"/>
      <c r="AB83" s="130"/>
      <c r="AC83" s="130">
        <f t="shared" si="23"/>
        <v>6767769</v>
      </c>
      <c r="AD83" s="130">
        <f t="shared" si="20"/>
        <v>6785169</v>
      </c>
      <c r="AE83" s="130">
        <f t="shared" si="24"/>
        <v>55341.8</v>
      </c>
      <c r="AF83" s="130">
        <f t="shared" si="21"/>
        <v>6712427.2000000002</v>
      </c>
    </row>
    <row r="84" spans="1:32" s="131" customFormat="1" x14ac:dyDescent="0.25">
      <c r="A84" s="138">
        <v>3521</v>
      </c>
      <c r="B84" s="150" t="s">
        <v>175</v>
      </c>
      <c r="C84" s="151">
        <v>250000</v>
      </c>
      <c r="D84" s="152"/>
      <c r="E84" s="135">
        <f t="shared" si="22"/>
        <v>250000</v>
      </c>
      <c r="F84" s="135"/>
      <c r="G84" s="135"/>
      <c r="H84" s="130"/>
      <c r="I84" s="130"/>
      <c r="J84" s="130">
        <f t="shared" si="14"/>
        <v>250000</v>
      </c>
      <c r="K84" s="130"/>
      <c r="L84" s="130"/>
      <c r="M84" s="130"/>
      <c r="N84" s="130"/>
      <c r="O84" s="130"/>
      <c r="P84" s="231"/>
      <c r="Q84" s="130">
        <f t="shared" si="25"/>
        <v>250000</v>
      </c>
      <c r="R84" s="130"/>
      <c r="S84" s="130"/>
      <c r="T84" s="130"/>
      <c r="U84" s="130"/>
      <c r="V84" s="130"/>
      <c r="W84" s="130"/>
      <c r="X84" s="130">
        <f t="shared" si="16"/>
        <v>250000</v>
      </c>
      <c r="Y84" s="130"/>
      <c r="Z84" s="130"/>
      <c r="AA84" s="130"/>
      <c r="AB84" s="130"/>
      <c r="AC84" s="130">
        <f t="shared" si="23"/>
        <v>250000</v>
      </c>
      <c r="AD84" s="130">
        <f t="shared" si="20"/>
        <v>250000</v>
      </c>
      <c r="AE84" s="130">
        <f t="shared" si="24"/>
        <v>0</v>
      </c>
      <c r="AF84" s="130">
        <f t="shared" si="21"/>
        <v>250000</v>
      </c>
    </row>
    <row r="85" spans="1:32" s="131" customFormat="1" ht="15" customHeight="1" x14ac:dyDescent="0.25">
      <c r="A85" s="138">
        <v>3531</v>
      </c>
      <c r="B85" s="150" t="s">
        <v>176</v>
      </c>
      <c r="C85" s="151">
        <v>1650000</v>
      </c>
      <c r="D85" s="152"/>
      <c r="E85" s="135">
        <f t="shared" si="22"/>
        <v>1650000</v>
      </c>
      <c r="F85" s="135"/>
      <c r="G85" s="135"/>
      <c r="H85" s="130">
        <v>5669.12</v>
      </c>
      <c r="I85" s="130">
        <v>5504</v>
      </c>
      <c r="J85" s="130">
        <f t="shared" si="14"/>
        <v>1644496</v>
      </c>
      <c r="K85" s="130"/>
      <c r="L85" s="130"/>
      <c r="M85" s="130"/>
      <c r="N85" s="130"/>
      <c r="O85" s="130">
        <v>650</v>
      </c>
      <c r="P85" s="231">
        <f>580</f>
        <v>580</v>
      </c>
      <c r="Q85" s="130">
        <f t="shared" si="25"/>
        <v>1643916</v>
      </c>
      <c r="R85" s="130"/>
      <c r="S85" s="130"/>
      <c r="T85" s="130"/>
      <c r="U85" s="130"/>
      <c r="V85" s="130"/>
      <c r="W85" s="130"/>
      <c r="X85" s="130">
        <f t="shared" si="16"/>
        <v>1643916</v>
      </c>
      <c r="Y85" s="130">
        <v>8120</v>
      </c>
      <c r="Z85" s="130"/>
      <c r="AA85" s="130"/>
      <c r="AB85" s="130"/>
      <c r="AC85" s="130">
        <f t="shared" si="23"/>
        <v>1641880</v>
      </c>
      <c r="AD85" s="130">
        <f t="shared" si="20"/>
        <v>1650000</v>
      </c>
      <c r="AE85" s="130">
        <f t="shared" si="24"/>
        <v>6084</v>
      </c>
      <c r="AF85" s="130">
        <f t="shared" si="21"/>
        <v>1635796</v>
      </c>
    </row>
    <row r="86" spans="1:32" s="131" customFormat="1" x14ac:dyDescent="0.25">
      <c r="A86" s="138">
        <v>3551</v>
      </c>
      <c r="B86" s="150" t="s">
        <v>177</v>
      </c>
      <c r="C86" s="151">
        <v>213722</v>
      </c>
      <c r="D86" s="152"/>
      <c r="E86" s="135">
        <f t="shared" si="22"/>
        <v>213722</v>
      </c>
      <c r="F86" s="135"/>
      <c r="G86" s="135"/>
      <c r="H86" s="130">
        <v>1252.48</v>
      </c>
      <c r="I86" s="130">
        <v>1216.04</v>
      </c>
      <c r="J86" s="130">
        <f t="shared" si="14"/>
        <v>212505.96</v>
      </c>
      <c r="K86" s="130"/>
      <c r="L86" s="130"/>
      <c r="M86" s="130"/>
      <c r="N86" s="130"/>
      <c r="O86" s="130">
        <v>14801</v>
      </c>
      <c r="P86" s="231">
        <v>13650.08</v>
      </c>
      <c r="Q86" s="130">
        <f t="shared" si="25"/>
        <v>198855.88</v>
      </c>
      <c r="R86" s="130"/>
      <c r="S86" s="130"/>
      <c r="T86" s="130"/>
      <c r="U86" s="130"/>
      <c r="V86" s="130">
        <v>9820</v>
      </c>
      <c r="W86" s="130">
        <v>8294.4</v>
      </c>
      <c r="X86" s="130">
        <f t="shared" si="16"/>
        <v>190561.48</v>
      </c>
      <c r="Y86" s="130"/>
      <c r="Z86" s="130"/>
      <c r="AA86" s="130"/>
      <c r="AB86" s="130"/>
      <c r="AC86" s="130">
        <f t="shared" si="23"/>
        <v>213722</v>
      </c>
      <c r="AD86" s="130">
        <f t="shared" si="20"/>
        <v>213722</v>
      </c>
      <c r="AE86" s="130">
        <f t="shared" si="24"/>
        <v>23160.519999999997</v>
      </c>
      <c r="AF86" s="130">
        <f t="shared" si="21"/>
        <v>190561.48</v>
      </c>
    </row>
    <row r="87" spans="1:32" s="131" customFormat="1" ht="15" customHeight="1" x14ac:dyDescent="0.25">
      <c r="A87" s="138">
        <v>3571</v>
      </c>
      <c r="B87" s="150" t="s">
        <v>178</v>
      </c>
      <c r="C87" s="151">
        <v>250000</v>
      </c>
      <c r="D87" s="152"/>
      <c r="E87" s="135">
        <f t="shared" si="22"/>
        <v>250000</v>
      </c>
      <c r="F87" s="135"/>
      <c r="G87" s="135"/>
      <c r="H87" s="130"/>
      <c r="I87" s="130"/>
      <c r="J87" s="130">
        <f t="shared" si="14"/>
        <v>250000</v>
      </c>
      <c r="K87" s="130"/>
      <c r="L87" s="130"/>
      <c r="M87" s="130"/>
      <c r="N87" s="130"/>
      <c r="O87" s="130">
        <v>468500</v>
      </c>
      <c r="P87" s="231">
        <v>32944.639999999999</v>
      </c>
      <c r="Q87" s="130">
        <f t="shared" si="25"/>
        <v>217055.35999999999</v>
      </c>
      <c r="R87" s="130"/>
      <c r="S87" s="130"/>
      <c r="T87" s="130"/>
      <c r="U87" s="130"/>
      <c r="V87" s="130">
        <v>210501</v>
      </c>
      <c r="W87" s="130">
        <v>10419.530000000001</v>
      </c>
      <c r="X87" s="130">
        <f t="shared" si="16"/>
        <v>206635.83</v>
      </c>
      <c r="Y87" s="130"/>
      <c r="Z87" s="130"/>
      <c r="AA87" s="130"/>
      <c r="AB87" s="130"/>
      <c r="AC87" s="130">
        <f t="shared" si="23"/>
        <v>250000</v>
      </c>
      <c r="AD87" s="130">
        <f t="shared" si="20"/>
        <v>250000</v>
      </c>
      <c r="AE87" s="130">
        <f t="shared" si="24"/>
        <v>43364.17</v>
      </c>
      <c r="AF87" s="130">
        <f t="shared" si="21"/>
        <v>206635.83</v>
      </c>
    </row>
    <row r="88" spans="1:32" s="131" customFormat="1" x14ac:dyDescent="0.25">
      <c r="A88" s="138">
        <v>3572</v>
      </c>
      <c r="B88" s="150" t="s">
        <v>179</v>
      </c>
      <c r="C88" s="151">
        <v>50000</v>
      </c>
      <c r="D88" s="152"/>
      <c r="E88" s="135">
        <f t="shared" si="22"/>
        <v>50000</v>
      </c>
      <c r="F88" s="135"/>
      <c r="G88" s="135"/>
      <c r="H88" s="130"/>
      <c r="I88" s="130"/>
      <c r="J88" s="130">
        <f t="shared" si="14"/>
        <v>50000</v>
      </c>
      <c r="K88" s="130"/>
      <c r="L88" s="130"/>
      <c r="M88" s="130"/>
      <c r="N88" s="130"/>
      <c r="O88" s="130"/>
      <c r="P88" s="231"/>
      <c r="Q88" s="130">
        <f t="shared" si="25"/>
        <v>50000</v>
      </c>
      <c r="R88" s="130"/>
      <c r="S88" s="130"/>
      <c r="T88" s="130"/>
      <c r="U88" s="130"/>
      <c r="V88" s="130">
        <v>0</v>
      </c>
      <c r="W88" s="130"/>
      <c r="X88" s="130">
        <f t="shared" si="16"/>
        <v>50000</v>
      </c>
      <c r="Y88" s="130"/>
      <c r="Z88" s="130"/>
      <c r="AA88" s="130"/>
      <c r="AB88" s="130"/>
      <c r="AC88" s="130">
        <f t="shared" si="23"/>
        <v>50000</v>
      </c>
      <c r="AD88" s="130">
        <f t="shared" si="20"/>
        <v>50000</v>
      </c>
      <c r="AE88" s="130">
        <f t="shared" si="24"/>
        <v>0</v>
      </c>
      <c r="AF88" s="130">
        <f t="shared" si="21"/>
        <v>50000</v>
      </c>
    </row>
    <row r="89" spans="1:32" s="131" customFormat="1" ht="15" customHeight="1" x14ac:dyDescent="0.25">
      <c r="A89" s="138">
        <v>3581</v>
      </c>
      <c r="B89" s="150" t="s">
        <v>180</v>
      </c>
      <c r="C89" s="151">
        <v>150000</v>
      </c>
      <c r="D89" s="152"/>
      <c r="E89" s="135">
        <f t="shared" si="22"/>
        <v>150000</v>
      </c>
      <c r="F89" s="135"/>
      <c r="G89" s="135"/>
      <c r="H89" s="130">
        <v>12500</v>
      </c>
      <c r="I89" s="130">
        <v>15831.16</v>
      </c>
      <c r="J89" s="130">
        <f t="shared" si="14"/>
        <v>134168.84</v>
      </c>
      <c r="K89" s="130"/>
      <c r="L89" s="130"/>
      <c r="M89" s="130"/>
      <c r="N89" s="130"/>
      <c r="O89" s="130">
        <v>17200</v>
      </c>
      <c r="P89" s="231">
        <f>43671.21+406</f>
        <v>44077.21</v>
      </c>
      <c r="Q89" s="130">
        <f t="shared" si="25"/>
        <v>90091.63</v>
      </c>
      <c r="R89" s="130"/>
      <c r="S89" s="130"/>
      <c r="T89" s="130"/>
      <c r="U89" s="130"/>
      <c r="V89" s="130">
        <v>650</v>
      </c>
      <c r="W89" s="130">
        <v>406</v>
      </c>
      <c r="X89" s="130">
        <f t="shared" si="16"/>
        <v>89685.63</v>
      </c>
      <c r="Y89" s="130"/>
      <c r="Z89" s="130"/>
      <c r="AA89" s="130"/>
      <c r="AB89" s="130"/>
      <c r="AC89" s="130">
        <f t="shared" si="23"/>
        <v>150000</v>
      </c>
      <c r="AD89" s="130">
        <f t="shared" si="20"/>
        <v>150000</v>
      </c>
      <c r="AE89" s="130">
        <f t="shared" si="24"/>
        <v>60314.369999999995</v>
      </c>
      <c r="AF89" s="130">
        <f t="shared" si="21"/>
        <v>89685.63</v>
      </c>
    </row>
    <row r="90" spans="1:32" s="131" customFormat="1" x14ac:dyDescent="0.25">
      <c r="A90" s="138">
        <v>3591</v>
      </c>
      <c r="B90" s="150" t="s">
        <v>181</v>
      </c>
      <c r="C90" s="151">
        <f>15000*12</f>
        <v>180000</v>
      </c>
      <c r="D90" s="152"/>
      <c r="E90" s="135">
        <f t="shared" si="22"/>
        <v>180000</v>
      </c>
      <c r="F90" s="135"/>
      <c r="G90" s="135"/>
      <c r="H90" s="130"/>
      <c r="I90" s="130"/>
      <c r="J90" s="130">
        <f t="shared" si="14"/>
        <v>180000</v>
      </c>
      <c r="K90" s="130"/>
      <c r="L90" s="130"/>
      <c r="M90" s="130"/>
      <c r="N90" s="130"/>
      <c r="O90" s="130"/>
      <c r="P90" s="231"/>
      <c r="Q90" s="130">
        <f t="shared" si="25"/>
        <v>180000</v>
      </c>
      <c r="R90" s="130">
        <v>1454</v>
      </c>
      <c r="S90" s="130"/>
      <c r="T90" s="130"/>
      <c r="U90" s="130"/>
      <c r="V90" s="130">
        <v>17260</v>
      </c>
      <c r="W90" s="130">
        <v>15831.16</v>
      </c>
      <c r="X90" s="130">
        <f t="shared" si="16"/>
        <v>162714.84</v>
      </c>
      <c r="Y90" s="130"/>
      <c r="Z90" s="130"/>
      <c r="AA90" s="130"/>
      <c r="AB90" s="130"/>
      <c r="AC90" s="130">
        <f t="shared" si="23"/>
        <v>178546</v>
      </c>
      <c r="AD90" s="130">
        <f t="shared" si="20"/>
        <v>180000</v>
      </c>
      <c r="AE90" s="130">
        <f t="shared" si="24"/>
        <v>15831.16</v>
      </c>
      <c r="AF90" s="130">
        <f t="shared" si="21"/>
        <v>162714.84</v>
      </c>
    </row>
    <row r="91" spans="1:32" s="131" customFormat="1" x14ac:dyDescent="0.25">
      <c r="A91" s="138">
        <v>3651</v>
      </c>
      <c r="B91" s="150" t="s">
        <v>309</v>
      </c>
      <c r="C91" s="151">
        <v>0</v>
      </c>
      <c r="D91" s="152"/>
      <c r="E91" s="135">
        <f t="shared" si="22"/>
        <v>0</v>
      </c>
      <c r="F91" s="135"/>
      <c r="G91" s="135"/>
      <c r="H91" s="130"/>
      <c r="I91" s="130"/>
      <c r="J91" s="130"/>
      <c r="K91" s="130"/>
      <c r="L91" s="130"/>
      <c r="M91" s="130"/>
      <c r="N91" s="130"/>
      <c r="O91" s="130"/>
      <c r="P91" s="231"/>
      <c r="Q91" s="130"/>
      <c r="R91" s="130"/>
      <c r="S91" s="130"/>
      <c r="T91" s="130"/>
      <c r="U91" s="130"/>
      <c r="V91" s="130"/>
      <c r="W91" s="130">
        <v>17400</v>
      </c>
      <c r="X91" s="130">
        <f t="shared" si="16"/>
        <v>-17400</v>
      </c>
      <c r="Y91" s="130"/>
      <c r="Z91" s="130">
        <v>17400</v>
      </c>
      <c r="AA91" s="130"/>
      <c r="AB91" s="130"/>
      <c r="AC91" s="130">
        <f t="shared" si="23"/>
        <v>17400</v>
      </c>
      <c r="AD91" s="130">
        <f t="shared" si="20"/>
        <v>0</v>
      </c>
      <c r="AE91" s="130">
        <f t="shared" si="24"/>
        <v>17400</v>
      </c>
      <c r="AF91" s="130">
        <f t="shared" si="21"/>
        <v>0</v>
      </c>
    </row>
    <row r="92" spans="1:32" s="131" customFormat="1" ht="15" customHeight="1" x14ac:dyDescent="0.25">
      <c r="A92" s="138">
        <v>3721</v>
      </c>
      <c r="B92" s="150" t="s">
        <v>182</v>
      </c>
      <c r="C92" s="151">
        <v>64623.748800000001</v>
      </c>
      <c r="D92" s="152"/>
      <c r="E92" s="135">
        <f t="shared" si="22"/>
        <v>64623.748800000001</v>
      </c>
      <c r="F92" s="135"/>
      <c r="G92" s="135"/>
      <c r="H92" s="130">
        <v>20598.97</v>
      </c>
      <c r="I92" s="130">
        <v>19998.759999999998</v>
      </c>
      <c r="J92" s="130">
        <f t="shared" si="14"/>
        <v>44624.988800000006</v>
      </c>
      <c r="K92" s="130"/>
      <c r="L92" s="130"/>
      <c r="M92" s="130"/>
      <c r="N92" s="130"/>
      <c r="O92" s="130">
        <v>4820</v>
      </c>
      <c r="P92" s="231">
        <v>4694.95</v>
      </c>
      <c r="Q92" s="130">
        <f t="shared" si="25"/>
        <v>39930.038800000009</v>
      </c>
      <c r="R92" s="130"/>
      <c r="S92" s="130"/>
      <c r="T92" s="130"/>
      <c r="U92" s="130"/>
      <c r="V92" s="130">
        <v>40500</v>
      </c>
      <c r="W92" s="130">
        <v>39393.14</v>
      </c>
      <c r="X92" s="130">
        <f t="shared" si="16"/>
        <v>536.89880000000994</v>
      </c>
      <c r="Y92" s="130"/>
      <c r="Z92" s="130"/>
      <c r="AA92" s="130"/>
      <c r="AB92" s="130"/>
      <c r="AC92" s="130">
        <f t="shared" si="23"/>
        <v>64623.748800000001</v>
      </c>
      <c r="AD92" s="130">
        <f t="shared" si="20"/>
        <v>64623.748800000001</v>
      </c>
      <c r="AE92" s="130">
        <f t="shared" si="24"/>
        <v>64086.85</v>
      </c>
      <c r="AF92" s="130">
        <f t="shared" si="21"/>
        <v>536.89880000000994</v>
      </c>
    </row>
    <row r="93" spans="1:32" s="131" customFormat="1" x14ac:dyDescent="0.25">
      <c r="A93" s="138">
        <v>3751</v>
      </c>
      <c r="B93" s="150" t="s">
        <v>183</v>
      </c>
      <c r="C93" s="151">
        <f>8371.68+25000</f>
        <v>33371.68</v>
      </c>
      <c r="D93" s="152"/>
      <c r="E93" s="135">
        <f t="shared" si="22"/>
        <v>33371.68</v>
      </c>
      <c r="F93" s="135"/>
      <c r="G93" s="135"/>
      <c r="H93" s="130">
        <v>1827.22</v>
      </c>
      <c r="I93" s="130">
        <v>1774</v>
      </c>
      <c r="J93" s="130">
        <f t="shared" si="14"/>
        <v>31597.68</v>
      </c>
      <c r="K93" s="130"/>
      <c r="L93" s="130"/>
      <c r="M93" s="130"/>
      <c r="N93" s="130"/>
      <c r="O93" s="130"/>
      <c r="P93" s="231"/>
      <c r="Q93" s="130">
        <f t="shared" si="25"/>
        <v>31597.68</v>
      </c>
      <c r="R93" s="130"/>
      <c r="S93" s="130"/>
      <c r="T93" s="130"/>
      <c r="U93" s="130"/>
      <c r="V93" s="130">
        <v>450</v>
      </c>
      <c r="W93" s="130">
        <v>376</v>
      </c>
      <c r="X93" s="130">
        <f t="shared" si="16"/>
        <v>31221.68</v>
      </c>
      <c r="Y93" s="130"/>
      <c r="Z93" s="130"/>
      <c r="AA93" s="130"/>
      <c r="AB93" s="130"/>
      <c r="AC93" s="130">
        <f t="shared" si="23"/>
        <v>33371.68</v>
      </c>
      <c r="AD93" s="130">
        <f t="shared" si="20"/>
        <v>33371.68</v>
      </c>
      <c r="AE93" s="130">
        <f t="shared" si="24"/>
        <v>2150</v>
      </c>
      <c r="AF93" s="130">
        <f t="shared" si="21"/>
        <v>31221.68</v>
      </c>
    </row>
    <row r="94" spans="1:32" s="131" customFormat="1" ht="15" customHeight="1" x14ac:dyDescent="0.25">
      <c r="A94" s="138">
        <v>3791</v>
      </c>
      <c r="B94" s="150" t="s">
        <v>184</v>
      </c>
      <c r="C94" s="151">
        <v>6000</v>
      </c>
      <c r="D94" s="152"/>
      <c r="E94" s="135">
        <f t="shared" si="22"/>
        <v>6000</v>
      </c>
      <c r="F94" s="135"/>
      <c r="G94" s="135"/>
      <c r="H94" s="130"/>
      <c r="I94" s="130"/>
      <c r="J94" s="130">
        <f t="shared" si="14"/>
        <v>6000</v>
      </c>
      <c r="K94" s="130"/>
      <c r="L94" s="130"/>
      <c r="M94" s="130"/>
      <c r="N94" s="130"/>
      <c r="O94" s="130"/>
      <c r="P94" s="231"/>
      <c r="Q94" s="130">
        <f t="shared" si="25"/>
        <v>6000</v>
      </c>
      <c r="R94" s="130"/>
      <c r="S94" s="130"/>
      <c r="T94" s="130"/>
      <c r="U94" s="130"/>
      <c r="V94" s="130"/>
      <c r="W94" s="130"/>
      <c r="X94" s="130">
        <f t="shared" si="16"/>
        <v>6000</v>
      </c>
      <c r="Y94" s="130"/>
      <c r="Z94" s="130"/>
      <c r="AA94" s="130"/>
      <c r="AB94" s="130"/>
      <c r="AC94" s="130">
        <f t="shared" si="23"/>
        <v>6000</v>
      </c>
      <c r="AD94" s="130">
        <f t="shared" si="20"/>
        <v>6000</v>
      </c>
      <c r="AE94" s="130">
        <f t="shared" si="24"/>
        <v>0</v>
      </c>
      <c r="AF94" s="130">
        <f t="shared" si="21"/>
        <v>6000</v>
      </c>
    </row>
    <row r="95" spans="1:32" s="131" customFormat="1" x14ac:dyDescent="0.25">
      <c r="A95" s="138">
        <v>3821</v>
      </c>
      <c r="B95" s="150" t="s">
        <v>185</v>
      </c>
      <c r="C95" s="151">
        <v>14400</v>
      </c>
      <c r="D95" s="152"/>
      <c r="E95" s="135">
        <f t="shared" si="22"/>
        <v>14400</v>
      </c>
      <c r="F95" s="135"/>
      <c r="G95" s="135"/>
      <c r="H95" s="130"/>
      <c r="I95" s="130"/>
      <c r="J95" s="130">
        <f t="shared" si="14"/>
        <v>14400</v>
      </c>
      <c r="K95" s="130"/>
      <c r="L95" s="130"/>
      <c r="M95" s="130"/>
      <c r="N95" s="130"/>
      <c r="O95" s="130"/>
      <c r="P95" s="231">
        <v>1200</v>
      </c>
      <c r="Q95" s="130">
        <f t="shared" si="25"/>
        <v>13200</v>
      </c>
      <c r="R95" s="130"/>
      <c r="S95" s="130"/>
      <c r="T95" s="130"/>
      <c r="U95" s="130"/>
      <c r="V95" s="130">
        <v>0</v>
      </c>
      <c r="W95" s="130">
        <f>2386+1200+470</f>
        <v>4056</v>
      </c>
      <c r="X95" s="130">
        <f t="shared" si="16"/>
        <v>9144</v>
      </c>
      <c r="Y95" s="130"/>
      <c r="Z95" s="130"/>
      <c r="AA95" s="130"/>
      <c r="AB95" s="130"/>
      <c r="AC95" s="130">
        <f t="shared" si="23"/>
        <v>14400</v>
      </c>
      <c r="AD95" s="130">
        <f t="shared" si="20"/>
        <v>14400</v>
      </c>
      <c r="AE95" s="130">
        <f t="shared" si="24"/>
        <v>5256</v>
      </c>
      <c r="AF95" s="130">
        <f t="shared" si="21"/>
        <v>9144</v>
      </c>
    </row>
    <row r="96" spans="1:32" s="131" customFormat="1" ht="15" customHeight="1" x14ac:dyDescent="0.25">
      <c r="A96" s="138">
        <v>3822</v>
      </c>
      <c r="B96" s="150" t="s">
        <v>186</v>
      </c>
      <c r="C96" s="151">
        <v>15000</v>
      </c>
      <c r="D96" s="152"/>
      <c r="E96" s="135">
        <f t="shared" si="22"/>
        <v>15000</v>
      </c>
      <c r="F96" s="135"/>
      <c r="G96" s="135"/>
      <c r="H96" s="130">
        <v>15330.52</v>
      </c>
      <c r="I96" s="130">
        <v>14884</v>
      </c>
      <c r="J96" s="130">
        <f t="shared" ref="J96:J129" si="26">E96-I96</f>
        <v>116</v>
      </c>
      <c r="K96" s="130"/>
      <c r="L96" s="130"/>
      <c r="M96" s="130"/>
      <c r="N96" s="130"/>
      <c r="O96" s="130">
        <v>1850</v>
      </c>
      <c r="P96" s="231">
        <v>1570</v>
      </c>
      <c r="Q96" s="130">
        <f t="shared" si="25"/>
        <v>-1454</v>
      </c>
      <c r="R96" s="130"/>
      <c r="S96" s="130">
        <v>1454</v>
      </c>
      <c r="T96" s="130"/>
      <c r="U96" s="130"/>
      <c r="V96" s="130">
        <v>0</v>
      </c>
      <c r="W96" s="130"/>
      <c r="X96" s="130">
        <f t="shared" si="16"/>
        <v>0</v>
      </c>
      <c r="Y96" s="130"/>
      <c r="Z96" s="130"/>
      <c r="AA96" s="130"/>
      <c r="AB96" s="130"/>
      <c r="AC96" s="130">
        <f t="shared" si="23"/>
        <v>16454</v>
      </c>
      <c r="AD96" s="130">
        <f t="shared" si="20"/>
        <v>15000</v>
      </c>
      <c r="AE96" s="130">
        <f t="shared" si="24"/>
        <v>16454</v>
      </c>
      <c r="AF96" s="130">
        <f t="shared" si="21"/>
        <v>0</v>
      </c>
    </row>
    <row r="97" spans="1:32" s="131" customFormat="1" x14ac:dyDescent="0.25">
      <c r="A97" s="138">
        <v>3921</v>
      </c>
      <c r="B97" s="150" t="s">
        <v>187</v>
      </c>
      <c r="C97" s="151">
        <v>226398.22399999999</v>
      </c>
      <c r="D97" s="152"/>
      <c r="E97" s="135">
        <f t="shared" si="22"/>
        <v>226398.22399999999</v>
      </c>
      <c r="F97" s="135"/>
      <c r="G97" s="135"/>
      <c r="H97" s="130">
        <v>18863.419999999998</v>
      </c>
      <c r="I97" s="130">
        <v>18314.23</v>
      </c>
      <c r="J97" s="130">
        <f t="shared" si="26"/>
        <v>208083.99399999998</v>
      </c>
      <c r="K97" s="130"/>
      <c r="L97" s="130"/>
      <c r="M97" s="130"/>
      <c r="N97" s="130"/>
      <c r="O97" s="130">
        <v>38050</v>
      </c>
      <c r="P97" s="231">
        <v>37026.79</v>
      </c>
      <c r="Q97" s="130">
        <f t="shared" si="25"/>
        <v>171057.20399999997</v>
      </c>
      <c r="R97" s="130"/>
      <c r="S97" s="130"/>
      <c r="T97" s="130"/>
      <c r="U97" s="130"/>
      <c r="V97" s="130">
        <v>14550</v>
      </c>
      <c r="W97" s="130">
        <v>12932.37</v>
      </c>
      <c r="X97" s="130">
        <f t="shared" si="16"/>
        <v>158124.83399999997</v>
      </c>
      <c r="Y97" s="130"/>
      <c r="Z97" s="130"/>
      <c r="AA97" s="130"/>
      <c r="AB97" s="130"/>
      <c r="AC97" s="130">
        <f t="shared" si="23"/>
        <v>226398.22399999999</v>
      </c>
      <c r="AD97" s="130">
        <f t="shared" si="20"/>
        <v>226398.22399999999</v>
      </c>
      <c r="AE97" s="130">
        <f t="shared" si="24"/>
        <v>68273.39</v>
      </c>
      <c r="AF97" s="130">
        <f t="shared" si="21"/>
        <v>158124.83399999997</v>
      </c>
    </row>
    <row r="98" spans="1:32" s="131" customFormat="1" ht="15" customHeight="1" x14ac:dyDescent="0.25">
      <c r="A98" s="138">
        <v>3941</v>
      </c>
      <c r="B98" s="150" t="s">
        <v>188</v>
      </c>
      <c r="C98" s="151">
        <v>500000</v>
      </c>
      <c r="D98" s="152"/>
      <c r="E98" s="135">
        <f t="shared" si="22"/>
        <v>500000</v>
      </c>
      <c r="F98" s="135"/>
      <c r="G98" s="135"/>
      <c r="H98" s="130"/>
      <c r="I98" s="130"/>
      <c r="J98" s="130">
        <f t="shared" si="26"/>
        <v>500000</v>
      </c>
      <c r="K98" s="130"/>
      <c r="L98" s="130"/>
      <c r="M98" s="130"/>
      <c r="N98" s="130"/>
      <c r="O98" s="130"/>
      <c r="P98" s="231"/>
      <c r="Q98" s="130">
        <f t="shared" si="25"/>
        <v>500000</v>
      </c>
      <c r="R98" s="130"/>
      <c r="S98" s="130"/>
      <c r="T98" s="130"/>
      <c r="U98" s="130"/>
      <c r="V98" s="130"/>
      <c r="W98" s="130"/>
      <c r="X98" s="130">
        <f t="shared" si="16"/>
        <v>500000</v>
      </c>
      <c r="Y98" s="130"/>
      <c r="Z98" s="130"/>
      <c r="AA98" s="130"/>
      <c r="AB98" s="130"/>
      <c r="AC98" s="130">
        <f t="shared" si="23"/>
        <v>500000</v>
      </c>
      <c r="AD98" s="130">
        <f t="shared" si="20"/>
        <v>500000</v>
      </c>
      <c r="AE98" s="130">
        <f t="shared" si="24"/>
        <v>0</v>
      </c>
      <c r="AF98" s="130">
        <f t="shared" si="21"/>
        <v>500000</v>
      </c>
    </row>
    <row r="99" spans="1:32" s="131" customFormat="1" x14ac:dyDescent="0.25">
      <c r="A99" s="138">
        <v>3944</v>
      </c>
      <c r="B99" s="150" t="s">
        <v>189</v>
      </c>
      <c r="C99" s="151">
        <v>50000</v>
      </c>
      <c r="D99" s="152"/>
      <c r="E99" s="135">
        <f t="shared" si="22"/>
        <v>50000</v>
      </c>
      <c r="F99" s="135"/>
      <c r="G99" s="135"/>
      <c r="H99" s="130"/>
      <c r="I99" s="130"/>
      <c r="J99" s="130">
        <f t="shared" si="26"/>
        <v>50000</v>
      </c>
      <c r="K99" s="130"/>
      <c r="L99" s="130"/>
      <c r="M99" s="130"/>
      <c r="N99" s="130"/>
      <c r="O99" s="130"/>
      <c r="P99" s="231"/>
      <c r="Q99" s="130">
        <f t="shared" si="25"/>
        <v>50000</v>
      </c>
      <c r="R99" s="130"/>
      <c r="S99" s="130"/>
      <c r="T99" s="130"/>
      <c r="U99" s="130"/>
      <c r="V99" s="130"/>
      <c r="W99" s="130"/>
      <c r="X99" s="130">
        <f t="shared" si="16"/>
        <v>50000</v>
      </c>
      <c r="Y99" s="130"/>
      <c r="Z99" s="130"/>
      <c r="AA99" s="130"/>
      <c r="AB99" s="130"/>
      <c r="AC99" s="130">
        <f t="shared" si="23"/>
        <v>50000</v>
      </c>
      <c r="AD99" s="130">
        <f t="shared" si="20"/>
        <v>50000</v>
      </c>
      <c r="AE99" s="130">
        <f t="shared" si="24"/>
        <v>0</v>
      </c>
      <c r="AF99" s="130">
        <f t="shared" si="21"/>
        <v>50000</v>
      </c>
    </row>
    <row r="100" spans="1:32" s="131" customFormat="1" ht="15" customHeight="1" x14ac:dyDescent="0.25">
      <c r="A100" s="138">
        <v>3981</v>
      </c>
      <c r="B100" s="150" t="s">
        <v>190</v>
      </c>
      <c r="C100" s="151">
        <v>750000</v>
      </c>
      <c r="D100" s="152"/>
      <c r="E100" s="135">
        <f t="shared" si="22"/>
        <v>750000</v>
      </c>
      <c r="F100" s="135"/>
      <c r="G100" s="135"/>
      <c r="H100" s="130"/>
      <c r="I100" s="130"/>
      <c r="J100" s="130">
        <f t="shared" si="26"/>
        <v>750000</v>
      </c>
      <c r="K100" s="130"/>
      <c r="L100" s="130"/>
      <c r="M100" s="130"/>
      <c r="N100" s="130"/>
      <c r="O100" s="130"/>
      <c r="P100" s="231"/>
      <c r="Q100" s="130">
        <f t="shared" si="25"/>
        <v>750000</v>
      </c>
      <c r="R100" s="130"/>
      <c r="S100" s="130"/>
      <c r="T100" s="130"/>
      <c r="U100" s="130"/>
      <c r="V100" s="130"/>
      <c r="W100" s="130"/>
      <c r="X100" s="130">
        <f t="shared" si="16"/>
        <v>750000</v>
      </c>
      <c r="Y100" s="130"/>
      <c r="Z100" s="130"/>
      <c r="AA100" s="130"/>
      <c r="AB100" s="130"/>
      <c r="AC100" s="130">
        <f t="shared" si="23"/>
        <v>750000</v>
      </c>
      <c r="AD100" s="130">
        <f t="shared" si="20"/>
        <v>750000</v>
      </c>
      <c r="AE100" s="130">
        <f t="shared" si="24"/>
        <v>0</v>
      </c>
      <c r="AF100" s="130">
        <f t="shared" si="21"/>
        <v>750000</v>
      </c>
    </row>
    <row r="101" spans="1:32" s="131" customFormat="1" x14ac:dyDescent="0.25">
      <c r="A101" s="138">
        <v>3993</v>
      </c>
      <c r="B101" s="150" t="s">
        <v>191</v>
      </c>
      <c r="C101" s="151">
        <f>53859.3536-14400</f>
        <v>39459.353600000002</v>
      </c>
      <c r="D101" s="152"/>
      <c r="E101" s="135">
        <f t="shared" si="22"/>
        <v>39459.353600000002</v>
      </c>
      <c r="F101" s="135"/>
      <c r="G101" s="135"/>
      <c r="H101" s="130">
        <v>1325.61</v>
      </c>
      <c r="I101" s="130">
        <v>1286.6500000000001</v>
      </c>
      <c r="J101" s="130">
        <f t="shared" si="26"/>
        <v>38172.703600000001</v>
      </c>
      <c r="K101" s="130"/>
      <c r="L101" s="130"/>
      <c r="M101" s="130"/>
      <c r="N101" s="130"/>
      <c r="O101" s="130">
        <v>2650</v>
      </c>
      <c r="P101" s="231">
        <v>1285.99</v>
      </c>
      <c r="Q101" s="130">
        <f t="shared" si="25"/>
        <v>36886.713600000003</v>
      </c>
      <c r="R101" s="130"/>
      <c r="S101" s="130"/>
      <c r="T101" s="130"/>
      <c r="U101" s="130"/>
      <c r="V101" s="130">
        <v>1243</v>
      </c>
      <c r="W101" s="130">
        <v>1051.78</v>
      </c>
      <c r="X101" s="130">
        <f t="shared" si="16"/>
        <v>35834.933600000004</v>
      </c>
      <c r="Y101" s="130"/>
      <c r="Z101" s="130"/>
      <c r="AA101" s="130"/>
      <c r="AB101" s="130"/>
      <c r="AC101" s="130">
        <f t="shared" si="23"/>
        <v>39459.353600000002</v>
      </c>
      <c r="AD101" s="130">
        <f t="shared" si="20"/>
        <v>39459.353600000002</v>
      </c>
      <c r="AE101" s="130">
        <f t="shared" si="24"/>
        <v>3624.42</v>
      </c>
      <c r="AF101" s="130">
        <f t="shared" si="21"/>
        <v>35834.933600000004</v>
      </c>
    </row>
    <row r="102" spans="1:32" s="157" customFormat="1" ht="15" customHeight="1" x14ac:dyDescent="0.25">
      <c r="A102" s="154"/>
      <c r="B102" s="154" t="s">
        <v>192</v>
      </c>
      <c r="C102" s="155">
        <f>SUM(C61:C101)</f>
        <v>8195570.5328000002</v>
      </c>
      <c r="D102" s="155">
        <f>SUM(D61:D101)</f>
        <v>6473169</v>
      </c>
      <c r="E102" s="155">
        <f t="shared" ref="E102:AF102" si="27">SUM(E61:E101)</f>
        <v>14668739.532799998</v>
      </c>
      <c r="F102" s="155">
        <f t="shared" si="27"/>
        <v>0</v>
      </c>
      <c r="G102" s="155">
        <f t="shared" si="27"/>
        <v>0</v>
      </c>
      <c r="H102" s="155">
        <f t="shared" si="27"/>
        <v>248546.33999999997</v>
      </c>
      <c r="I102" s="155">
        <f t="shared" si="27"/>
        <v>225545.69000000003</v>
      </c>
      <c r="J102" s="155">
        <f t="shared" si="27"/>
        <v>14443193.842800003</v>
      </c>
      <c r="K102" s="156">
        <f t="shared" si="27"/>
        <v>0</v>
      </c>
      <c r="L102" s="156">
        <f t="shared" si="27"/>
        <v>0</v>
      </c>
      <c r="M102" s="156">
        <f t="shared" si="27"/>
        <v>0</v>
      </c>
      <c r="N102" s="156">
        <f t="shared" si="27"/>
        <v>0</v>
      </c>
      <c r="O102" s="156">
        <f t="shared" si="27"/>
        <v>994736</v>
      </c>
      <c r="P102" s="155">
        <f t="shared" si="27"/>
        <v>541523.68000000005</v>
      </c>
      <c r="Q102" s="156">
        <f t="shared" si="27"/>
        <v>13901670.162800001</v>
      </c>
      <c r="R102" s="156">
        <f t="shared" si="27"/>
        <v>1454</v>
      </c>
      <c r="S102" s="156">
        <f t="shared" si="27"/>
        <v>197323</v>
      </c>
      <c r="T102" s="156">
        <f t="shared" si="27"/>
        <v>0</v>
      </c>
      <c r="U102" s="156">
        <f t="shared" si="27"/>
        <v>0</v>
      </c>
      <c r="V102" s="156">
        <f t="shared" si="27"/>
        <v>483323</v>
      </c>
      <c r="W102" s="155">
        <f>SUM(W61:W101)</f>
        <v>299574.14000000007</v>
      </c>
      <c r="X102" s="155">
        <f>SUM(X61:X101)</f>
        <v>13797965.022800002</v>
      </c>
      <c r="Y102" s="155">
        <f t="shared" ref="Y102:AB102" si="28">SUM(Y61:Y101)</f>
        <v>25520</v>
      </c>
      <c r="Z102" s="155">
        <f t="shared" si="28"/>
        <v>25520</v>
      </c>
      <c r="AA102" s="155">
        <f t="shared" si="28"/>
        <v>0</v>
      </c>
      <c r="AB102" s="155">
        <f t="shared" si="28"/>
        <v>0</v>
      </c>
      <c r="AC102" s="156">
        <f t="shared" si="27"/>
        <v>14864608.532799998</v>
      </c>
      <c r="AD102" s="156">
        <f t="shared" si="27"/>
        <v>14668739.532799998</v>
      </c>
      <c r="AE102" s="156">
        <f t="shared" si="27"/>
        <v>1066643.51</v>
      </c>
      <c r="AF102" s="156">
        <f t="shared" si="27"/>
        <v>13797965.022800002</v>
      </c>
    </row>
    <row r="103" spans="1:32" s="131" customFormat="1" ht="30" x14ac:dyDescent="0.25">
      <c r="A103" s="158">
        <v>4412</v>
      </c>
      <c r="B103" s="159" t="s">
        <v>193</v>
      </c>
      <c r="C103" s="160">
        <v>100000</v>
      </c>
      <c r="D103" s="135">
        <v>0</v>
      </c>
      <c r="E103" s="148">
        <f t="shared" ref="E103:E130" si="29">C103+D103</f>
        <v>100000</v>
      </c>
      <c r="F103" s="148"/>
      <c r="G103" s="148"/>
      <c r="H103" s="130"/>
      <c r="I103" s="130"/>
      <c r="J103" s="130">
        <f t="shared" si="26"/>
        <v>100000</v>
      </c>
      <c r="K103" s="130"/>
      <c r="L103" s="130"/>
      <c r="M103" s="130"/>
      <c r="N103" s="130"/>
      <c r="O103" s="130"/>
      <c r="P103" s="231"/>
      <c r="Q103" s="130">
        <f t="shared" si="25"/>
        <v>100000</v>
      </c>
      <c r="R103" s="130"/>
      <c r="S103" s="130"/>
      <c r="T103" s="130"/>
      <c r="U103" s="130"/>
      <c r="V103" s="130"/>
      <c r="W103" s="130"/>
      <c r="X103" s="130">
        <f t="shared" si="16"/>
        <v>100000</v>
      </c>
      <c r="Y103" s="130"/>
      <c r="Z103" s="130"/>
      <c r="AA103" s="130"/>
      <c r="AB103" s="130"/>
      <c r="AC103" s="130">
        <f t="shared" si="23"/>
        <v>100000</v>
      </c>
      <c r="AD103" s="130">
        <f>C103+D103</f>
        <v>100000</v>
      </c>
      <c r="AE103" s="130">
        <f t="shared" si="24"/>
        <v>0</v>
      </c>
      <c r="AF103" s="130">
        <f>X103-Y103+Z103+AA103-AB103</f>
        <v>100000</v>
      </c>
    </row>
    <row r="104" spans="1:32" s="131" customFormat="1" x14ac:dyDescent="0.25">
      <c r="A104" s="158">
        <v>4413</v>
      </c>
      <c r="B104" s="159" t="s">
        <v>194</v>
      </c>
      <c r="C104" s="160"/>
      <c r="D104" s="135">
        <v>2700000</v>
      </c>
      <c r="E104" s="148">
        <f t="shared" si="29"/>
        <v>2700000</v>
      </c>
      <c r="F104" s="148"/>
      <c r="G104" s="148"/>
      <c r="H104" s="130"/>
      <c r="I104" s="130"/>
      <c r="J104" s="130">
        <f t="shared" si="26"/>
        <v>2700000</v>
      </c>
      <c r="K104" s="130"/>
      <c r="L104" s="130"/>
      <c r="M104" s="130"/>
      <c r="N104" s="130"/>
      <c r="O104" s="130"/>
      <c r="P104" s="231"/>
      <c r="Q104" s="130">
        <f t="shared" si="25"/>
        <v>2700000</v>
      </c>
      <c r="R104" s="130"/>
      <c r="S104" s="130"/>
      <c r="T104" s="130"/>
      <c r="U104" s="130"/>
      <c r="V104" s="130"/>
      <c r="W104" s="130"/>
      <c r="X104" s="130">
        <f t="shared" si="16"/>
        <v>2700000</v>
      </c>
      <c r="Y104" s="130"/>
      <c r="Z104" s="130"/>
      <c r="AA104" s="130"/>
      <c r="AB104" s="130"/>
      <c r="AC104" s="130">
        <f t="shared" si="23"/>
        <v>2700000</v>
      </c>
      <c r="AD104" s="130">
        <f>C104+D104</f>
        <v>2700000</v>
      </c>
      <c r="AE104" s="130">
        <f t="shared" si="24"/>
        <v>0</v>
      </c>
      <c r="AF104" s="130">
        <f>X104-Y104+Z104+AA104-AB104</f>
        <v>2700000</v>
      </c>
    </row>
    <row r="105" spans="1:32" s="131" customFormat="1" x14ac:dyDescent="0.25">
      <c r="A105" s="158">
        <v>4421</v>
      </c>
      <c r="B105" s="159" t="s">
        <v>195</v>
      </c>
      <c r="C105" s="160">
        <f>150000+200000</f>
        <v>350000</v>
      </c>
      <c r="D105" s="135">
        <f>6897153-1000000</f>
        <v>5897153</v>
      </c>
      <c r="E105" s="148">
        <f t="shared" si="29"/>
        <v>6247153</v>
      </c>
      <c r="F105" s="148"/>
      <c r="G105" s="148"/>
      <c r="H105" s="130"/>
      <c r="I105" s="130"/>
      <c r="J105" s="130">
        <f t="shared" si="26"/>
        <v>6247153</v>
      </c>
      <c r="K105" s="130"/>
      <c r="L105" s="130"/>
      <c r="M105" s="130"/>
      <c r="N105" s="130"/>
      <c r="O105" s="130">
        <v>28601</v>
      </c>
      <c r="P105" s="231">
        <v>26513.7</v>
      </c>
      <c r="Q105" s="130">
        <f t="shared" si="25"/>
        <v>6220639.2999999998</v>
      </c>
      <c r="R105" s="130"/>
      <c r="S105" s="130"/>
      <c r="T105" s="130"/>
      <c r="U105" s="130"/>
      <c r="V105" s="130">
        <v>32500</v>
      </c>
      <c r="W105" s="130">
        <v>29850.5</v>
      </c>
      <c r="X105" s="130">
        <f t="shared" si="16"/>
        <v>6190788.7999999998</v>
      </c>
      <c r="Y105" s="130"/>
      <c r="Z105" s="130"/>
      <c r="AA105" s="130"/>
      <c r="AB105" s="130"/>
      <c r="AC105" s="130">
        <f t="shared" si="23"/>
        <v>6247153</v>
      </c>
      <c r="AD105" s="130">
        <f>C105+D105</f>
        <v>6247153</v>
      </c>
      <c r="AE105" s="130">
        <f t="shared" si="24"/>
        <v>56364.2</v>
      </c>
      <c r="AF105" s="130">
        <f>X105-Y105+Z105+AA105-AB105</f>
        <v>6190788.7999999998</v>
      </c>
    </row>
    <row r="106" spans="1:32" s="166" customFormat="1" ht="15" customHeight="1" x14ac:dyDescent="0.25">
      <c r="A106" s="161"/>
      <c r="B106" s="162"/>
      <c r="C106" s="163"/>
      <c r="D106" s="135"/>
      <c r="E106" s="164">
        <f t="shared" si="29"/>
        <v>0</v>
      </c>
      <c r="F106" s="164"/>
      <c r="G106" s="164"/>
      <c r="H106" s="130">
        <f t="shared" ref="H106:H123" si="30">E106/12</f>
        <v>0</v>
      </c>
      <c r="I106" s="165"/>
      <c r="J106" s="130">
        <f t="shared" si="26"/>
        <v>0</v>
      </c>
      <c r="K106" s="165"/>
      <c r="L106" s="165"/>
      <c r="M106" s="165"/>
      <c r="N106" s="165"/>
      <c r="O106" s="165"/>
      <c r="P106" s="232"/>
      <c r="Q106" s="130">
        <f t="shared" si="25"/>
        <v>0</v>
      </c>
      <c r="R106" s="165"/>
      <c r="S106" s="165"/>
      <c r="T106" s="165"/>
      <c r="U106" s="165"/>
      <c r="V106" s="165"/>
      <c r="W106" s="165"/>
      <c r="X106" s="130">
        <f t="shared" si="16"/>
        <v>0</v>
      </c>
      <c r="Y106" s="165"/>
      <c r="Z106" s="165"/>
      <c r="AA106" s="165"/>
      <c r="AB106" s="165"/>
      <c r="AC106" s="130">
        <f t="shared" si="23"/>
        <v>0</v>
      </c>
      <c r="AD106" s="130">
        <f>C106+D106</f>
        <v>0</v>
      </c>
      <c r="AE106" s="130">
        <f t="shared" si="24"/>
        <v>0</v>
      </c>
      <c r="AF106" s="130">
        <f>X106-Y106+Z106+AA106-AB106</f>
        <v>0</v>
      </c>
    </row>
    <row r="107" spans="1:32" s="166" customFormat="1" x14ac:dyDescent="0.25">
      <c r="A107" s="167"/>
      <c r="B107" s="168" t="s">
        <v>196</v>
      </c>
      <c r="C107" s="169">
        <f>SUM(C103:C106)</f>
        <v>450000</v>
      </c>
      <c r="D107" s="169">
        <f>SUM(D103:D106)</f>
        <v>8597153</v>
      </c>
      <c r="E107" s="169">
        <f>SUM(E103:E106)</f>
        <v>9047153</v>
      </c>
      <c r="F107" s="169"/>
      <c r="G107" s="169"/>
      <c r="H107" s="169">
        <f t="shared" ref="H107:AF107" si="31">SUM(H103:H106)</f>
        <v>0</v>
      </c>
      <c r="I107" s="169">
        <f t="shared" si="31"/>
        <v>0</v>
      </c>
      <c r="J107" s="169">
        <f t="shared" si="31"/>
        <v>9047153</v>
      </c>
      <c r="K107" s="169">
        <f t="shared" si="31"/>
        <v>0</v>
      </c>
      <c r="L107" s="169">
        <f t="shared" si="31"/>
        <v>0</v>
      </c>
      <c r="M107" s="169">
        <f t="shared" si="31"/>
        <v>0</v>
      </c>
      <c r="N107" s="169">
        <f t="shared" si="31"/>
        <v>0</v>
      </c>
      <c r="O107" s="169">
        <f t="shared" si="31"/>
        <v>28601</v>
      </c>
      <c r="P107" s="169">
        <f t="shared" si="31"/>
        <v>26513.7</v>
      </c>
      <c r="Q107" s="169">
        <f t="shared" si="31"/>
        <v>9020639.3000000007</v>
      </c>
      <c r="R107" s="169">
        <f t="shared" si="31"/>
        <v>0</v>
      </c>
      <c r="S107" s="169">
        <f t="shared" si="31"/>
        <v>0</v>
      </c>
      <c r="T107" s="169">
        <f t="shared" si="31"/>
        <v>0</v>
      </c>
      <c r="U107" s="169">
        <f t="shared" si="31"/>
        <v>0</v>
      </c>
      <c r="V107" s="169">
        <f t="shared" si="31"/>
        <v>32500</v>
      </c>
      <c r="W107" s="169">
        <f>SUM(W103:W106)</f>
        <v>29850.5</v>
      </c>
      <c r="X107" s="169">
        <f>SUM(X103:X106)</f>
        <v>8990788.8000000007</v>
      </c>
      <c r="Y107" s="169">
        <f t="shared" ref="Y107:AB107" si="32">SUM(Y103:Y106)</f>
        <v>0</v>
      </c>
      <c r="Z107" s="169">
        <f t="shared" si="32"/>
        <v>0</v>
      </c>
      <c r="AA107" s="169">
        <f t="shared" si="32"/>
        <v>0</v>
      </c>
      <c r="AB107" s="169">
        <f t="shared" si="32"/>
        <v>0</v>
      </c>
      <c r="AC107" s="169">
        <f t="shared" si="31"/>
        <v>9047153</v>
      </c>
      <c r="AD107" s="169">
        <f t="shared" si="31"/>
        <v>9047153</v>
      </c>
      <c r="AE107" s="169">
        <f t="shared" si="31"/>
        <v>56364.2</v>
      </c>
      <c r="AF107" s="169">
        <f t="shared" si="31"/>
        <v>8990788.8000000007</v>
      </c>
    </row>
    <row r="108" spans="1:32" s="131" customFormat="1" ht="15" customHeight="1" x14ac:dyDescent="0.25">
      <c r="A108" s="138">
        <v>5111</v>
      </c>
      <c r="B108" s="146" t="s">
        <v>84</v>
      </c>
      <c r="C108" s="135">
        <v>250000</v>
      </c>
      <c r="D108" s="135"/>
      <c r="E108" s="135">
        <f t="shared" si="29"/>
        <v>250000</v>
      </c>
      <c r="F108" s="135"/>
      <c r="G108" s="135"/>
      <c r="H108" s="130"/>
      <c r="I108" s="130"/>
      <c r="J108" s="130">
        <f t="shared" si="26"/>
        <v>250000</v>
      </c>
      <c r="K108" s="130"/>
      <c r="L108" s="130"/>
      <c r="M108" s="130"/>
      <c r="N108" s="130"/>
      <c r="O108" s="130"/>
      <c r="P108" s="231"/>
      <c r="Q108" s="130">
        <f t="shared" si="25"/>
        <v>250000</v>
      </c>
      <c r="R108" s="130"/>
      <c r="S108" s="130"/>
      <c r="T108" s="130"/>
      <c r="U108" s="130"/>
      <c r="V108" s="130"/>
      <c r="W108" s="130"/>
      <c r="X108" s="130">
        <f t="shared" si="16"/>
        <v>250000</v>
      </c>
      <c r="Y108" s="130"/>
      <c r="Z108" s="130"/>
      <c r="AA108" s="130"/>
      <c r="AB108" s="130"/>
      <c r="AC108" s="130">
        <f t="shared" si="23"/>
        <v>250000</v>
      </c>
      <c r="AD108" s="130">
        <f t="shared" ref="AD108:AD120" si="33">C108+D108</f>
        <v>250000</v>
      </c>
      <c r="AE108" s="130">
        <f t="shared" si="24"/>
        <v>0</v>
      </c>
      <c r="AF108" s="130">
        <f t="shared" ref="AF108:AF120" si="34">X108-Y108+Z108+AA108-AB108</f>
        <v>250000</v>
      </c>
    </row>
    <row r="109" spans="1:32" s="131" customFormat="1" x14ac:dyDescent="0.25">
      <c r="A109" s="138">
        <v>5121</v>
      </c>
      <c r="B109" s="146" t="s">
        <v>85</v>
      </c>
      <c r="C109" s="135">
        <f>1000000+250000</f>
        <v>1250000</v>
      </c>
      <c r="D109" s="135">
        <f>350000-178139.77</f>
        <v>171860.23</v>
      </c>
      <c r="E109" s="135">
        <f t="shared" si="29"/>
        <v>1421860.23</v>
      </c>
      <c r="F109" s="135"/>
      <c r="G109" s="135"/>
      <c r="H109" s="130">
        <v>6318.02</v>
      </c>
      <c r="I109" s="130">
        <v>6134.08</v>
      </c>
      <c r="J109" s="130">
        <f t="shared" si="26"/>
        <v>1415726.15</v>
      </c>
      <c r="K109" s="130"/>
      <c r="L109" s="130"/>
      <c r="M109" s="130"/>
      <c r="N109" s="130"/>
      <c r="O109" s="130">
        <v>33507</v>
      </c>
      <c r="P109" s="231">
        <v>31701.06</v>
      </c>
      <c r="Q109" s="130">
        <f t="shared" si="25"/>
        <v>1384025.0899999999</v>
      </c>
      <c r="R109" s="130"/>
      <c r="S109" s="130"/>
      <c r="T109" s="130"/>
      <c r="U109" s="130"/>
      <c r="V109" s="130"/>
      <c r="W109" s="130"/>
      <c r="X109" s="130">
        <f t="shared" si="16"/>
        <v>1384025.0899999999</v>
      </c>
      <c r="Y109" s="130"/>
      <c r="Z109" s="130"/>
      <c r="AA109" s="130"/>
      <c r="AB109" s="130"/>
      <c r="AC109" s="130">
        <f t="shared" si="23"/>
        <v>1421860.23</v>
      </c>
      <c r="AD109" s="130">
        <f t="shared" si="33"/>
        <v>1421860.23</v>
      </c>
      <c r="AE109" s="130">
        <f t="shared" si="24"/>
        <v>37835.14</v>
      </c>
      <c r="AF109" s="130">
        <f t="shared" si="34"/>
        <v>1384025.0899999999</v>
      </c>
    </row>
    <row r="110" spans="1:32" s="131" customFormat="1" ht="15" customHeight="1" x14ac:dyDescent="0.25">
      <c r="A110" s="138">
        <v>5151</v>
      </c>
      <c r="B110" s="146" t="s">
        <v>86</v>
      </c>
      <c r="C110" s="135">
        <f>215800+825000-52192.3+250000</f>
        <v>1238607.7</v>
      </c>
      <c r="D110" s="135">
        <v>0</v>
      </c>
      <c r="E110" s="135">
        <f t="shared" si="29"/>
        <v>1238607.7</v>
      </c>
      <c r="F110" s="135"/>
      <c r="G110" s="135"/>
      <c r="H110" s="130"/>
      <c r="I110" s="130"/>
      <c r="J110" s="130">
        <f t="shared" si="26"/>
        <v>1238607.7</v>
      </c>
      <c r="K110" s="130"/>
      <c r="L110" s="130"/>
      <c r="M110" s="130"/>
      <c r="N110" s="130"/>
      <c r="O110" s="130">
        <v>68050</v>
      </c>
      <c r="P110" s="231">
        <v>66027.199999999997</v>
      </c>
      <c r="Q110" s="130">
        <f t="shared" si="25"/>
        <v>1172580.5</v>
      </c>
      <c r="R110" s="130"/>
      <c r="S110" s="130"/>
      <c r="T110" s="130"/>
      <c r="U110" s="130"/>
      <c r="V110" s="130"/>
      <c r="W110" s="130"/>
      <c r="X110" s="130">
        <f t="shared" si="16"/>
        <v>1172580.5</v>
      </c>
      <c r="Y110" s="130"/>
      <c r="Z110" s="130"/>
      <c r="AA110" s="130"/>
      <c r="AB110" s="130"/>
      <c r="AC110" s="130">
        <f t="shared" si="23"/>
        <v>1238607.7</v>
      </c>
      <c r="AD110" s="130">
        <f t="shared" si="33"/>
        <v>1238607.7</v>
      </c>
      <c r="AE110" s="130">
        <f t="shared" si="24"/>
        <v>66027.199999999997</v>
      </c>
      <c r="AF110" s="130">
        <f t="shared" si="34"/>
        <v>1172580.5</v>
      </c>
    </row>
    <row r="111" spans="1:32" s="131" customFormat="1" x14ac:dyDescent="0.25">
      <c r="A111" s="138">
        <v>5191</v>
      </c>
      <c r="B111" s="146" t="s">
        <v>87</v>
      </c>
      <c r="C111" s="135">
        <v>0</v>
      </c>
      <c r="D111" s="135">
        <v>15000</v>
      </c>
      <c r="E111" s="135">
        <f t="shared" si="29"/>
        <v>15000</v>
      </c>
      <c r="F111" s="135"/>
      <c r="G111" s="135"/>
      <c r="H111" s="130"/>
      <c r="I111" s="130"/>
      <c r="J111" s="130">
        <f t="shared" si="26"/>
        <v>15000</v>
      </c>
      <c r="K111" s="130"/>
      <c r="L111" s="130"/>
      <c r="M111" s="130"/>
      <c r="N111" s="130"/>
      <c r="O111" s="130"/>
      <c r="P111" s="231">
        <v>404631</v>
      </c>
      <c r="Q111" s="130">
        <f t="shared" si="25"/>
        <v>-389631</v>
      </c>
      <c r="R111" s="130"/>
      <c r="S111" s="130">
        <v>389631</v>
      </c>
      <c r="T111" s="130"/>
      <c r="U111" s="130"/>
      <c r="V111" s="130"/>
      <c r="W111" s="130"/>
      <c r="X111" s="130">
        <f t="shared" si="16"/>
        <v>0</v>
      </c>
      <c r="Y111" s="130"/>
      <c r="Z111" s="130"/>
      <c r="AA111" s="130"/>
      <c r="AB111" s="130"/>
      <c r="AC111" s="130">
        <f t="shared" si="23"/>
        <v>404631</v>
      </c>
      <c r="AD111" s="130">
        <f t="shared" si="33"/>
        <v>15000</v>
      </c>
      <c r="AE111" s="130">
        <f t="shared" si="24"/>
        <v>404631</v>
      </c>
      <c r="AF111" s="130">
        <f t="shared" si="34"/>
        <v>0</v>
      </c>
    </row>
    <row r="112" spans="1:32" s="131" customFormat="1" ht="15" customHeight="1" x14ac:dyDescent="0.25">
      <c r="A112" s="138">
        <v>5211</v>
      </c>
      <c r="B112" s="146" t="s">
        <v>88</v>
      </c>
      <c r="C112" s="152"/>
      <c r="D112" s="135">
        <v>0</v>
      </c>
      <c r="E112" s="135">
        <f t="shared" si="29"/>
        <v>0</v>
      </c>
      <c r="F112" s="135"/>
      <c r="G112" s="135"/>
      <c r="H112" s="130"/>
      <c r="I112" s="130"/>
      <c r="J112" s="130">
        <f t="shared" si="26"/>
        <v>0</v>
      </c>
      <c r="K112" s="130"/>
      <c r="L112" s="130"/>
      <c r="M112" s="130"/>
      <c r="N112" s="130"/>
      <c r="O112" s="130"/>
      <c r="P112" s="231"/>
      <c r="Q112" s="130">
        <f t="shared" si="25"/>
        <v>0</v>
      </c>
      <c r="R112" s="130"/>
      <c r="S112" s="130"/>
      <c r="T112" s="130"/>
      <c r="U112" s="130"/>
      <c r="V112" s="130"/>
      <c r="W112" s="130"/>
      <c r="X112" s="130">
        <f t="shared" si="16"/>
        <v>0</v>
      </c>
      <c r="Y112" s="130"/>
      <c r="Z112" s="130"/>
      <c r="AA112" s="130"/>
      <c r="AB112" s="130"/>
      <c r="AC112" s="130">
        <f t="shared" si="23"/>
        <v>0</v>
      </c>
      <c r="AD112" s="130">
        <f t="shared" si="33"/>
        <v>0</v>
      </c>
      <c r="AE112" s="130">
        <f t="shared" si="24"/>
        <v>0</v>
      </c>
      <c r="AF112" s="130">
        <f t="shared" si="34"/>
        <v>0</v>
      </c>
    </row>
    <row r="113" spans="1:32" s="131" customFormat="1" x14ac:dyDescent="0.25">
      <c r="A113" s="138">
        <v>5291</v>
      </c>
      <c r="B113" s="170" t="s">
        <v>197</v>
      </c>
      <c r="C113" s="152"/>
      <c r="D113" s="135">
        <v>0</v>
      </c>
      <c r="E113" s="135">
        <f t="shared" si="29"/>
        <v>0</v>
      </c>
      <c r="F113" s="135"/>
      <c r="G113" s="135"/>
      <c r="H113" s="130"/>
      <c r="I113" s="130"/>
      <c r="J113" s="130">
        <f t="shared" si="26"/>
        <v>0</v>
      </c>
      <c r="K113" s="130"/>
      <c r="L113" s="130"/>
      <c r="M113" s="130"/>
      <c r="N113" s="130"/>
      <c r="O113" s="130"/>
      <c r="P113" s="231"/>
      <c r="Q113" s="130">
        <f t="shared" si="25"/>
        <v>0</v>
      </c>
      <c r="R113" s="130"/>
      <c r="S113" s="130"/>
      <c r="T113" s="130"/>
      <c r="U113" s="130"/>
      <c r="V113" s="130"/>
      <c r="W113" s="130"/>
      <c r="X113" s="130">
        <f t="shared" si="16"/>
        <v>0</v>
      </c>
      <c r="Y113" s="130"/>
      <c r="Z113" s="130"/>
      <c r="AA113" s="130"/>
      <c r="AB113" s="130"/>
      <c r="AC113" s="130">
        <f t="shared" si="23"/>
        <v>0</v>
      </c>
      <c r="AD113" s="130">
        <f t="shared" si="33"/>
        <v>0</v>
      </c>
      <c r="AE113" s="130">
        <f t="shared" si="24"/>
        <v>0</v>
      </c>
      <c r="AF113" s="130">
        <f t="shared" si="34"/>
        <v>0</v>
      </c>
    </row>
    <row r="114" spans="1:32" s="131" customFormat="1" ht="15" customHeight="1" x14ac:dyDescent="0.25">
      <c r="A114" s="138">
        <v>5311</v>
      </c>
      <c r="B114" s="170" t="s">
        <v>198</v>
      </c>
      <c r="C114" s="135">
        <v>300000</v>
      </c>
      <c r="D114" s="135">
        <f>4814972.24-15600-4099372</f>
        <v>700000.24000000022</v>
      </c>
      <c r="E114" s="135">
        <f t="shared" si="29"/>
        <v>1000000.2400000002</v>
      </c>
      <c r="F114" s="135"/>
      <c r="G114" s="135"/>
      <c r="H114" s="130"/>
      <c r="I114" s="130"/>
      <c r="J114" s="130">
        <f t="shared" si="26"/>
        <v>1000000.2400000002</v>
      </c>
      <c r="K114" s="130"/>
      <c r="L114" s="130"/>
      <c r="M114" s="130"/>
      <c r="N114" s="130"/>
      <c r="O114" s="130"/>
      <c r="P114" s="231"/>
      <c r="Q114" s="130">
        <f t="shared" si="25"/>
        <v>1000000.2400000002</v>
      </c>
      <c r="R114" s="130"/>
      <c r="S114" s="130"/>
      <c r="T114" s="130"/>
      <c r="U114" s="130"/>
      <c r="V114" s="130"/>
      <c r="W114" s="130"/>
      <c r="X114" s="130">
        <f t="shared" ref="X114:X129" si="35">Q114-R114+S114+T114-U114-W114</f>
        <v>1000000.2400000002</v>
      </c>
      <c r="Y114" s="130"/>
      <c r="Z114" s="130"/>
      <c r="AA114" s="130"/>
      <c r="AB114" s="130"/>
      <c r="AC114" s="130">
        <f t="shared" si="23"/>
        <v>1000000.2400000002</v>
      </c>
      <c r="AD114" s="130">
        <f t="shared" si="33"/>
        <v>1000000.2400000002</v>
      </c>
      <c r="AE114" s="130">
        <f t="shared" si="24"/>
        <v>0</v>
      </c>
      <c r="AF114" s="130">
        <f t="shared" si="34"/>
        <v>1000000.2400000002</v>
      </c>
    </row>
    <row r="115" spans="1:32" s="131" customFormat="1" x14ac:dyDescent="0.25">
      <c r="A115" s="138">
        <v>5621</v>
      </c>
      <c r="B115" s="146" t="s">
        <v>89</v>
      </c>
      <c r="C115" s="135">
        <v>500000</v>
      </c>
      <c r="D115" s="135">
        <v>0</v>
      </c>
      <c r="E115" s="135">
        <f t="shared" si="29"/>
        <v>500000</v>
      </c>
      <c r="F115" s="135"/>
      <c r="G115" s="135"/>
      <c r="H115" s="130"/>
      <c r="I115" s="130"/>
      <c r="J115" s="130">
        <f t="shared" si="26"/>
        <v>500000</v>
      </c>
      <c r="K115" s="130"/>
      <c r="L115" s="130"/>
      <c r="M115" s="130"/>
      <c r="N115" s="130"/>
      <c r="O115" s="130"/>
      <c r="P115" s="231"/>
      <c r="Q115" s="130">
        <f t="shared" si="25"/>
        <v>500000</v>
      </c>
      <c r="R115" s="130"/>
      <c r="S115" s="130"/>
      <c r="T115" s="130"/>
      <c r="U115" s="130"/>
      <c r="V115" s="130"/>
      <c r="W115" s="130"/>
      <c r="X115" s="130">
        <f t="shared" si="35"/>
        <v>500000</v>
      </c>
      <c r="Y115" s="130"/>
      <c r="Z115" s="130"/>
      <c r="AA115" s="130"/>
      <c r="AB115" s="130"/>
      <c r="AC115" s="130">
        <f t="shared" si="23"/>
        <v>500000</v>
      </c>
      <c r="AD115" s="130">
        <f t="shared" si="33"/>
        <v>500000</v>
      </c>
      <c r="AE115" s="130">
        <f t="shared" si="24"/>
        <v>0</v>
      </c>
      <c r="AF115" s="130">
        <f t="shared" si="34"/>
        <v>500000</v>
      </c>
    </row>
    <row r="116" spans="1:32" s="131" customFormat="1" ht="15" customHeight="1" x14ac:dyDescent="0.25">
      <c r="A116" s="138">
        <v>5641</v>
      </c>
      <c r="B116" s="146" t="s">
        <v>199</v>
      </c>
      <c r="C116" s="135">
        <f>1500000-291261.22</f>
        <v>1208738.78</v>
      </c>
      <c r="D116" s="135">
        <v>425000</v>
      </c>
      <c r="E116" s="135">
        <f t="shared" si="29"/>
        <v>1633738.78</v>
      </c>
      <c r="F116" s="135"/>
      <c r="G116" s="135"/>
      <c r="H116" s="130"/>
      <c r="I116" s="130"/>
      <c r="J116" s="130">
        <f t="shared" si="26"/>
        <v>1633738.78</v>
      </c>
      <c r="K116" s="130"/>
      <c r="L116" s="130"/>
      <c r="M116" s="130"/>
      <c r="N116" s="130"/>
      <c r="O116" s="130"/>
      <c r="P116" s="231"/>
      <c r="Q116" s="130">
        <f t="shared" si="25"/>
        <v>1633738.78</v>
      </c>
      <c r="R116" s="130"/>
      <c r="S116" s="130"/>
      <c r="T116" s="130"/>
      <c r="U116" s="130"/>
      <c r="V116" s="130"/>
      <c r="W116" s="130"/>
      <c r="X116" s="130">
        <f t="shared" si="35"/>
        <v>1633738.78</v>
      </c>
      <c r="Y116" s="130"/>
      <c r="Z116" s="130"/>
      <c r="AA116" s="130"/>
      <c r="AB116" s="130"/>
      <c r="AC116" s="130">
        <f t="shared" si="23"/>
        <v>1633738.78</v>
      </c>
      <c r="AD116" s="130">
        <f t="shared" si="33"/>
        <v>1633738.78</v>
      </c>
      <c r="AE116" s="130">
        <f t="shared" si="24"/>
        <v>0</v>
      </c>
      <c r="AF116" s="130">
        <f t="shared" si="34"/>
        <v>1633738.78</v>
      </c>
    </row>
    <row r="117" spans="1:32" s="131" customFormat="1" x14ac:dyDescent="0.25">
      <c r="A117" s="138">
        <v>5661</v>
      </c>
      <c r="B117" s="146" t="s">
        <v>200</v>
      </c>
      <c r="C117" s="135">
        <v>1200000</v>
      </c>
      <c r="D117" s="135"/>
      <c r="E117" s="135">
        <f t="shared" si="29"/>
        <v>1200000</v>
      </c>
      <c r="F117" s="135"/>
      <c r="G117" s="135"/>
      <c r="H117" s="130"/>
      <c r="I117" s="130"/>
      <c r="J117" s="130">
        <f t="shared" si="26"/>
        <v>1200000</v>
      </c>
      <c r="K117" s="130"/>
      <c r="L117" s="130"/>
      <c r="M117" s="130"/>
      <c r="N117" s="130"/>
      <c r="O117" s="130"/>
      <c r="P117" s="231"/>
      <c r="Q117" s="130">
        <f t="shared" si="25"/>
        <v>1200000</v>
      </c>
      <c r="R117" s="130"/>
      <c r="S117" s="130"/>
      <c r="T117" s="130"/>
      <c r="U117" s="130"/>
      <c r="V117" s="130"/>
      <c r="W117" s="130"/>
      <c r="X117" s="130">
        <f t="shared" si="35"/>
        <v>1200000</v>
      </c>
      <c r="Y117" s="130"/>
      <c r="Z117" s="130"/>
      <c r="AA117" s="130"/>
      <c r="AB117" s="130"/>
      <c r="AC117" s="130">
        <f t="shared" si="23"/>
        <v>1200000</v>
      </c>
      <c r="AD117" s="130">
        <f t="shared" si="33"/>
        <v>1200000</v>
      </c>
      <c r="AE117" s="130">
        <f t="shared" si="24"/>
        <v>0</v>
      </c>
      <c r="AF117" s="130">
        <f t="shared" si="34"/>
        <v>1200000</v>
      </c>
    </row>
    <row r="118" spans="1:32" s="131" customFormat="1" ht="15" customHeight="1" x14ac:dyDescent="0.25">
      <c r="A118" s="138">
        <v>5411</v>
      </c>
      <c r="B118" s="146" t="s">
        <v>201</v>
      </c>
      <c r="C118" s="135">
        <v>565000</v>
      </c>
      <c r="D118" s="135"/>
      <c r="E118" s="135">
        <f t="shared" si="29"/>
        <v>565000</v>
      </c>
      <c r="F118" s="135"/>
      <c r="G118" s="135"/>
      <c r="H118" s="130"/>
      <c r="I118" s="130"/>
      <c r="J118" s="130">
        <f t="shared" si="26"/>
        <v>565000</v>
      </c>
      <c r="K118" s="130"/>
      <c r="L118" s="130"/>
      <c r="M118" s="130"/>
      <c r="N118" s="130"/>
      <c r="O118" s="130"/>
      <c r="P118" s="231"/>
      <c r="Q118" s="130">
        <f t="shared" si="25"/>
        <v>565000</v>
      </c>
      <c r="R118" s="130"/>
      <c r="S118" s="130"/>
      <c r="T118" s="130"/>
      <c r="U118" s="130"/>
      <c r="V118" s="130"/>
      <c r="W118" s="130"/>
      <c r="X118" s="130">
        <f t="shared" si="35"/>
        <v>565000</v>
      </c>
      <c r="Y118" s="130"/>
      <c r="Z118" s="130"/>
      <c r="AA118" s="130"/>
      <c r="AB118" s="130"/>
      <c r="AC118" s="130">
        <f t="shared" si="23"/>
        <v>565000</v>
      </c>
      <c r="AD118" s="130">
        <f t="shared" si="33"/>
        <v>565000</v>
      </c>
      <c r="AE118" s="130">
        <f t="shared" si="24"/>
        <v>0</v>
      </c>
      <c r="AF118" s="130">
        <f t="shared" si="34"/>
        <v>565000</v>
      </c>
    </row>
    <row r="119" spans="1:32" s="131" customFormat="1" x14ac:dyDescent="0.25">
      <c r="A119" s="138">
        <v>5911</v>
      </c>
      <c r="B119" s="146" t="s">
        <v>92</v>
      </c>
      <c r="C119" s="135">
        <f>25000+25000</f>
        <v>50000</v>
      </c>
      <c r="D119" s="135">
        <v>0</v>
      </c>
      <c r="E119" s="135">
        <f t="shared" si="29"/>
        <v>50000</v>
      </c>
      <c r="F119" s="135"/>
      <c r="G119" s="135"/>
      <c r="H119" s="130"/>
      <c r="I119" s="130"/>
      <c r="J119" s="130">
        <f t="shared" si="26"/>
        <v>50000</v>
      </c>
      <c r="K119" s="130"/>
      <c r="L119" s="130"/>
      <c r="M119" s="130"/>
      <c r="N119" s="130"/>
      <c r="O119" s="130"/>
      <c r="P119" s="231"/>
      <c r="Q119" s="130">
        <f t="shared" si="25"/>
        <v>50000</v>
      </c>
      <c r="R119" s="130"/>
      <c r="S119" s="130"/>
      <c r="T119" s="130"/>
      <c r="U119" s="130"/>
      <c r="V119" s="130"/>
      <c r="W119" s="130"/>
      <c r="X119" s="130">
        <f t="shared" si="35"/>
        <v>50000</v>
      </c>
      <c r="Y119" s="130"/>
      <c r="Z119" s="130"/>
      <c r="AA119" s="130"/>
      <c r="AB119" s="130"/>
      <c r="AC119" s="130">
        <f t="shared" si="23"/>
        <v>50000</v>
      </c>
      <c r="AD119" s="130">
        <f t="shared" si="33"/>
        <v>50000</v>
      </c>
      <c r="AE119" s="130">
        <f t="shared" si="24"/>
        <v>0</v>
      </c>
      <c r="AF119" s="130">
        <f t="shared" si="34"/>
        <v>50000</v>
      </c>
    </row>
    <row r="120" spans="1:32" s="131" customFormat="1" x14ac:dyDescent="0.25">
      <c r="A120" s="138">
        <v>5971</v>
      </c>
      <c r="B120" s="146" t="s">
        <v>93</v>
      </c>
      <c r="C120" s="135">
        <v>350000</v>
      </c>
      <c r="D120" s="135">
        <v>0</v>
      </c>
      <c r="E120" s="135">
        <f t="shared" si="29"/>
        <v>350000</v>
      </c>
      <c r="F120" s="135"/>
      <c r="G120" s="135"/>
      <c r="H120" s="130"/>
      <c r="I120" s="130"/>
      <c r="J120" s="130">
        <f t="shared" si="26"/>
        <v>350000</v>
      </c>
      <c r="K120" s="130"/>
      <c r="L120" s="130"/>
      <c r="M120" s="130"/>
      <c r="N120" s="130"/>
      <c r="O120" s="130"/>
      <c r="P120" s="231"/>
      <c r="Q120" s="130">
        <f t="shared" si="25"/>
        <v>350000</v>
      </c>
      <c r="R120" s="130"/>
      <c r="S120" s="130"/>
      <c r="T120" s="130"/>
      <c r="U120" s="130"/>
      <c r="V120" s="130"/>
      <c r="W120" s="130"/>
      <c r="X120" s="130">
        <f t="shared" si="35"/>
        <v>350000</v>
      </c>
      <c r="Y120" s="130"/>
      <c r="Z120" s="130"/>
      <c r="AA120" s="130"/>
      <c r="AB120" s="130"/>
      <c r="AC120" s="130">
        <f t="shared" si="23"/>
        <v>350000</v>
      </c>
      <c r="AD120" s="130">
        <f t="shared" si="33"/>
        <v>350000</v>
      </c>
      <c r="AE120" s="130">
        <f t="shared" si="24"/>
        <v>0</v>
      </c>
      <c r="AF120" s="130">
        <f t="shared" si="34"/>
        <v>350000</v>
      </c>
    </row>
    <row r="121" spans="1:32" s="166" customFormat="1" x14ac:dyDescent="0.25">
      <c r="A121" s="167"/>
      <c r="B121" s="168" t="s">
        <v>202</v>
      </c>
      <c r="C121" s="156">
        <f>SUM(C108:C120)</f>
        <v>6912346.4800000004</v>
      </c>
      <c r="D121" s="156">
        <f>SUM(D108:D120)</f>
        <v>1311860.4700000002</v>
      </c>
      <c r="E121" s="156">
        <f>C121+D121</f>
        <v>8224206.9500000011</v>
      </c>
      <c r="F121" s="156">
        <f t="shared" ref="F121:G121" si="36">SUM(F108:F120)</f>
        <v>0</v>
      </c>
      <c r="G121" s="156">
        <f t="shared" si="36"/>
        <v>0</v>
      </c>
      <c r="H121" s="156">
        <f>SUM(H108:H120)</f>
        <v>6318.02</v>
      </c>
      <c r="I121" s="156"/>
      <c r="J121" s="169">
        <f>SUM(J108:J120)</f>
        <v>8218072.8700000001</v>
      </c>
      <c r="K121" s="169">
        <f t="shared" ref="K121:AF121" si="37">SUM(K108:K120)</f>
        <v>0</v>
      </c>
      <c r="L121" s="169">
        <f t="shared" si="37"/>
        <v>0</v>
      </c>
      <c r="M121" s="169">
        <f t="shared" si="37"/>
        <v>0</v>
      </c>
      <c r="N121" s="169">
        <f t="shared" si="37"/>
        <v>0</v>
      </c>
      <c r="O121" s="169">
        <f t="shared" si="37"/>
        <v>101557</v>
      </c>
      <c r="P121" s="156">
        <f t="shared" si="37"/>
        <v>502359.26</v>
      </c>
      <c r="Q121" s="169">
        <f t="shared" si="37"/>
        <v>7715713.6100000003</v>
      </c>
      <c r="R121" s="169">
        <f t="shared" si="37"/>
        <v>0</v>
      </c>
      <c r="S121" s="169">
        <f t="shared" si="37"/>
        <v>389631</v>
      </c>
      <c r="T121" s="169">
        <f t="shared" si="37"/>
        <v>0</v>
      </c>
      <c r="U121" s="169">
        <f t="shared" si="37"/>
        <v>0</v>
      </c>
      <c r="V121" s="169">
        <f t="shared" si="37"/>
        <v>0</v>
      </c>
      <c r="W121" s="156">
        <f t="shared" si="37"/>
        <v>0</v>
      </c>
      <c r="X121" s="156">
        <f t="shared" si="37"/>
        <v>8105344.6100000003</v>
      </c>
      <c r="Y121" s="156">
        <f t="shared" si="37"/>
        <v>0</v>
      </c>
      <c r="Z121" s="156">
        <f t="shared" si="37"/>
        <v>0</v>
      </c>
      <c r="AA121" s="156">
        <f t="shared" si="37"/>
        <v>0</v>
      </c>
      <c r="AB121" s="156">
        <f t="shared" si="37"/>
        <v>0</v>
      </c>
      <c r="AC121" s="169">
        <f>SUM(AC108:AC120)</f>
        <v>8613837.9499999993</v>
      </c>
      <c r="AD121" s="169">
        <f>SUM(AD108:AD120)</f>
        <v>8224206.9500000002</v>
      </c>
      <c r="AE121" s="169">
        <f t="shared" si="37"/>
        <v>508493.33999999997</v>
      </c>
      <c r="AF121" s="169">
        <f t="shared" si="37"/>
        <v>8105344.6100000003</v>
      </c>
    </row>
    <row r="122" spans="1:32" s="166" customFormat="1" x14ac:dyDescent="0.25">
      <c r="A122" s="171">
        <v>6171</v>
      </c>
      <c r="B122" s="159" t="s">
        <v>203</v>
      </c>
      <c r="C122" s="160"/>
      <c r="D122" s="172"/>
      <c r="E122" s="164">
        <f t="shared" si="29"/>
        <v>0</v>
      </c>
      <c r="F122" s="164"/>
      <c r="G122" s="164"/>
      <c r="H122" s="130">
        <f t="shared" si="30"/>
        <v>0</v>
      </c>
      <c r="I122" s="165"/>
      <c r="J122" s="130">
        <f t="shared" si="26"/>
        <v>0</v>
      </c>
      <c r="K122" s="165"/>
      <c r="L122" s="165"/>
      <c r="M122" s="165"/>
      <c r="N122" s="165"/>
      <c r="O122" s="165"/>
      <c r="P122" s="232"/>
      <c r="Q122" s="130">
        <f t="shared" si="25"/>
        <v>0</v>
      </c>
      <c r="R122" s="165"/>
      <c r="S122" s="165"/>
      <c r="T122" s="165"/>
      <c r="U122" s="165"/>
      <c r="V122" s="165"/>
      <c r="W122" s="165"/>
      <c r="X122" s="130">
        <f t="shared" si="35"/>
        <v>0</v>
      </c>
      <c r="Y122" s="165"/>
      <c r="Z122" s="165"/>
      <c r="AA122" s="165"/>
      <c r="AB122" s="165"/>
      <c r="AC122" s="130">
        <f t="shared" si="23"/>
        <v>0</v>
      </c>
      <c r="AD122" s="130">
        <f>C122+D122</f>
        <v>0</v>
      </c>
      <c r="AE122" s="130">
        <f t="shared" si="24"/>
        <v>0</v>
      </c>
      <c r="AF122" s="130">
        <f>X122-Y122+Z122+AA122-AB122</f>
        <v>0</v>
      </c>
    </row>
    <row r="123" spans="1:32" s="166" customFormat="1" x14ac:dyDescent="0.25">
      <c r="A123" s="171">
        <v>6211</v>
      </c>
      <c r="B123" s="159" t="s">
        <v>204</v>
      </c>
      <c r="C123" s="160"/>
      <c r="D123" s="135"/>
      <c r="E123" s="164">
        <f t="shared" si="29"/>
        <v>0</v>
      </c>
      <c r="F123" s="164"/>
      <c r="G123" s="164"/>
      <c r="H123" s="130">
        <f t="shared" si="30"/>
        <v>0</v>
      </c>
      <c r="I123" s="165"/>
      <c r="J123" s="130">
        <f t="shared" si="26"/>
        <v>0</v>
      </c>
      <c r="K123" s="165"/>
      <c r="L123" s="165"/>
      <c r="M123" s="165"/>
      <c r="N123" s="165"/>
      <c r="O123" s="165"/>
      <c r="P123" s="232"/>
      <c r="Q123" s="130">
        <f t="shared" si="25"/>
        <v>0</v>
      </c>
      <c r="R123" s="165"/>
      <c r="S123" s="165"/>
      <c r="T123" s="165"/>
      <c r="U123" s="165"/>
      <c r="V123" s="165"/>
      <c r="W123" s="165"/>
      <c r="X123" s="130">
        <f t="shared" si="35"/>
        <v>0</v>
      </c>
      <c r="Y123" s="165"/>
      <c r="Z123" s="165"/>
      <c r="AA123" s="165"/>
      <c r="AB123" s="165"/>
      <c r="AC123" s="130">
        <f t="shared" si="23"/>
        <v>0</v>
      </c>
      <c r="AD123" s="130">
        <f>C123+D123</f>
        <v>0</v>
      </c>
      <c r="AE123" s="130">
        <f t="shared" si="24"/>
        <v>0</v>
      </c>
      <c r="AF123" s="130">
        <f>X123-Y123+Z123+AA123-AB123</f>
        <v>0</v>
      </c>
    </row>
    <row r="124" spans="1:32" s="166" customFormat="1" x14ac:dyDescent="0.25">
      <c r="A124" s="167"/>
      <c r="B124" s="168" t="s">
        <v>205</v>
      </c>
      <c r="C124" s="173"/>
      <c r="D124" s="173">
        <f>SUM(D122:D123)</f>
        <v>0</v>
      </c>
      <c r="E124" s="173">
        <f t="shared" si="29"/>
        <v>0</v>
      </c>
      <c r="F124" s="173"/>
      <c r="G124" s="173"/>
      <c r="H124" s="156">
        <f>SUM(H122:H123)</f>
        <v>0</v>
      </c>
      <c r="I124" s="173">
        <f t="shared" ref="I124" si="38">E124+H124</f>
        <v>0</v>
      </c>
      <c r="J124" s="173">
        <f t="shared" ref="J124" si="39">H124+I124</f>
        <v>0</v>
      </c>
      <c r="K124" s="173">
        <f>SUM(K122:K123)</f>
        <v>0</v>
      </c>
      <c r="L124" s="173">
        <f t="shared" ref="L124:AB124" si="40">SUM(L122:L123)</f>
        <v>0</v>
      </c>
      <c r="M124" s="173">
        <f t="shared" si="40"/>
        <v>0</v>
      </c>
      <c r="N124" s="173">
        <f t="shared" si="40"/>
        <v>0</v>
      </c>
      <c r="O124" s="173">
        <f t="shared" si="40"/>
        <v>0</v>
      </c>
      <c r="P124" s="173">
        <f t="shared" si="40"/>
        <v>0</v>
      </c>
      <c r="Q124" s="173">
        <f t="shared" si="40"/>
        <v>0</v>
      </c>
      <c r="R124" s="173">
        <f t="shared" si="40"/>
        <v>0</v>
      </c>
      <c r="S124" s="173">
        <f t="shared" si="40"/>
        <v>0</v>
      </c>
      <c r="T124" s="173">
        <f t="shared" si="40"/>
        <v>0</v>
      </c>
      <c r="U124" s="173">
        <f t="shared" si="40"/>
        <v>0</v>
      </c>
      <c r="V124" s="173">
        <f t="shared" si="40"/>
        <v>0</v>
      </c>
      <c r="W124" s="156">
        <f t="shared" si="40"/>
        <v>0</v>
      </c>
      <c r="X124" s="156">
        <f t="shared" si="40"/>
        <v>0</v>
      </c>
      <c r="Y124" s="156">
        <f t="shared" si="40"/>
        <v>0</v>
      </c>
      <c r="Z124" s="156">
        <f t="shared" si="40"/>
        <v>0</v>
      </c>
      <c r="AA124" s="156">
        <f t="shared" si="40"/>
        <v>0</v>
      </c>
      <c r="AB124" s="156">
        <f t="shared" si="40"/>
        <v>0</v>
      </c>
      <c r="AC124" s="169">
        <f>SUM(AC122:AC123)</f>
        <v>0</v>
      </c>
      <c r="AD124" s="169">
        <f>SUM(AD122:AD123)</f>
        <v>0</v>
      </c>
      <c r="AE124" s="173">
        <f t="shared" ref="AE124" si="41">N124+AD124</f>
        <v>0</v>
      </c>
      <c r="AF124" s="169">
        <f>SUM(AF122:AF123)</f>
        <v>0</v>
      </c>
    </row>
    <row r="125" spans="1:32" s="166" customFormat="1" x14ac:dyDescent="0.25">
      <c r="A125" s="161"/>
      <c r="B125" s="162"/>
      <c r="C125" s="163"/>
      <c r="D125" s="135"/>
      <c r="E125" s="164">
        <f t="shared" si="29"/>
        <v>0</v>
      </c>
      <c r="F125" s="164"/>
      <c r="G125" s="164"/>
      <c r="H125" s="165"/>
      <c r="I125" s="165"/>
      <c r="J125" s="130">
        <f t="shared" si="26"/>
        <v>0</v>
      </c>
      <c r="K125" s="165"/>
      <c r="L125" s="165"/>
      <c r="M125" s="165"/>
      <c r="N125" s="165"/>
      <c r="O125" s="165"/>
      <c r="P125" s="232"/>
      <c r="Q125" s="130">
        <f t="shared" si="25"/>
        <v>0</v>
      </c>
      <c r="R125" s="165"/>
      <c r="S125" s="165"/>
      <c r="T125" s="165"/>
      <c r="U125" s="165"/>
      <c r="V125" s="165"/>
      <c r="W125" s="165"/>
      <c r="X125" s="130">
        <f t="shared" si="35"/>
        <v>0</v>
      </c>
      <c r="Y125" s="165"/>
      <c r="Z125" s="165"/>
      <c r="AA125" s="165"/>
      <c r="AB125" s="165"/>
      <c r="AC125" s="130">
        <f t="shared" si="23"/>
        <v>0</v>
      </c>
      <c r="AD125" s="130">
        <f>C125+D125</f>
        <v>0</v>
      </c>
      <c r="AE125" s="130">
        <f t="shared" si="24"/>
        <v>0</v>
      </c>
      <c r="AF125" s="130">
        <f>X125-Y125+Z125+AA125-AB125</f>
        <v>0</v>
      </c>
    </row>
    <row r="126" spans="1:32" s="166" customFormat="1" x14ac:dyDescent="0.25">
      <c r="A126" s="161"/>
      <c r="B126" s="162"/>
      <c r="C126" s="163"/>
      <c r="D126" s="135"/>
      <c r="E126" s="164">
        <f t="shared" si="29"/>
        <v>0</v>
      </c>
      <c r="F126" s="164"/>
      <c r="G126" s="164"/>
      <c r="H126" s="165"/>
      <c r="I126" s="165"/>
      <c r="J126" s="130">
        <f t="shared" si="26"/>
        <v>0</v>
      </c>
      <c r="K126" s="165"/>
      <c r="L126" s="165"/>
      <c r="M126" s="165"/>
      <c r="N126" s="165"/>
      <c r="O126" s="165"/>
      <c r="P126" s="232"/>
      <c r="Q126" s="130">
        <f t="shared" si="25"/>
        <v>0</v>
      </c>
      <c r="R126" s="165"/>
      <c r="S126" s="165"/>
      <c r="T126" s="165"/>
      <c r="U126" s="165"/>
      <c r="V126" s="165"/>
      <c r="W126" s="165"/>
      <c r="X126" s="130">
        <f t="shared" si="35"/>
        <v>0</v>
      </c>
      <c r="Y126" s="165"/>
      <c r="Z126" s="165"/>
      <c r="AA126" s="165"/>
      <c r="AB126" s="165"/>
      <c r="AC126" s="130">
        <f t="shared" si="23"/>
        <v>0</v>
      </c>
      <c r="AD126" s="130">
        <f>C126+D126</f>
        <v>0</v>
      </c>
      <c r="AE126" s="130">
        <f t="shared" si="24"/>
        <v>0</v>
      </c>
      <c r="AF126" s="130">
        <f>X126-Y126+Z126+AA126-AB126</f>
        <v>0</v>
      </c>
    </row>
    <row r="127" spans="1:32" s="166" customFormat="1" x14ac:dyDescent="0.25">
      <c r="A127" s="167"/>
      <c r="B127" s="168"/>
      <c r="C127" s="173"/>
      <c r="D127" s="173">
        <f>SUM(D125:D126)</f>
        <v>0</v>
      </c>
      <c r="E127" s="173">
        <f t="shared" si="29"/>
        <v>0</v>
      </c>
      <c r="F127" s="173"/>
      <c r="G127" s="173"/>
      <c r="H127" s="156">
        <f>SUM(H125:H126)</f>
        <v>0</v>
      </c>
      <c r="I127" s="173">
        <f t="shared" ref="I127" si="42">E127+H127</f>
        <v>0</v>
      </c>
      <c r="J127" s="173">
        <f t="shared" ref="J127" si="43">H127+I127</f>
        <v>0</v>
      </c>
      <c r="K127" s="173">
        <f>SUM(K125:K126)</f>
        <v>0</v>
      </c>
      <c r="L127" s="173">
        <f t="shared" ref="L127:AB127" si="44">SUM(L125:L126)</f>
        <v>0</v>
      </c>
      <c r="M127" s="173">
        <f t="shared" si="44"/>
        <v>0</v>
      </c>
      <c r="N127" s="173">
        <f t="shared" si="44"/>
        <v>0</v>
      </c>
      <c r="O127" s="173">
        <f t="shared" si="44"/>
        <v>0</v>
      </c>
      <c r="P127" s="173">
        <f t="shared" si="44"/>
        <v>0</v>
      </c>
      <c r="Q127" s="173">
        <f t="shared" si="44"/>
        <v>0</v>
      </c>
      <c r="R127" s="173">
        <f t="shared" si="44"/>
        <v>0</v>
      </c>
      <c r="S127" s="173">
        <f t="shared" si="44"/>
        <v>0</v>
      </c>
      <c r="T127" s="173">
        <f t="shared" si="44"/>
        <v>0</v>
      </c>
      <c r="U127" s="173">
        <f t="shared" si="44"/>
        <v>0</v>
      </c>
      <c r="V127" s="173">
        <f t="shared" si="44"/>
        <v>0</v>
      </c>
      <c r="W127" s="156">
        <f t="shared" si="44"/>
        <v>0</v>
      </c>
      <c r="X127" s="156">
        <f t="shared" si="44"/>
        <v>0</v>
      </c>
      <c r="Y127" s="156">
        <f t="shared" si="44"/>
        <v>0</v>
      </c>
      <c r="Z127" s="156">
        <f t="shared" si="44"/>
        <v>0</v>
      </c>
      <c r="AA127" s="156">
        <f t="shared" si="44"/>
        <v>0</v>
      </c>
      <c r="AB127" s="156">
        <f t="shared" si="44"/>
        <v>0</v>
      </c>
      <c r="AC127" s="169">
        <f>SUM(AC125:AC126)</f>
        <v>0</v>
      </c>
      <c r="AD127" s="169">
        <f>SUM(AD125:AD126)</f>
        <v>0</v>
      </c>
      <c r="AE127" s="173">
        <f t="shared" ref="AE127" si="45">N127+AD127</f>
        <v>0</v>
      </c>
      <c r="AF127" s="169">
        <f>SUM(AF125:AF126)</f>
        <v>0</v>
      </c>
    </row>
    <row r="128" spans="1:32" s="166" customFormat="1" ht="30.75" x14ac:dyDescent="0.25">
      <c r="A128" s="161">
        <v>7991</v>
      </c>
      <c r="B128" s="174" t="s">
        <v>207</v>
      </c>
      <c r="C128" s="135"/>
      <c r="D128" s="135">
        <v>1000000</v>
      </c>
      <c r="E128" s="164">
        <f t="shared" si="29"/>
        <v>1000000</v>
      </c>
      <c r="F128" s="164"/>
      <c r="G128" s="164"/>
      <c r="H128" s="165"/>
      <c r="I128" s="165"/>
      <c r="J128" s="130">
        <f t="shared" si="26"/>
        <v>1000000</v>
      </c>
      <c r="K128" s="165"/>
      <c r="L128" s="165"/>
      <c r="M128" s="165"/>
      <c r="N128" s="165"/>
      <c r="O128" s="165"/>
      <c r="P128" s="232"/>
      <c r="Q128" s="130">
        <f t="shared" si="25"/>
        <v>1000000</v>
      </c>
      <c r="R128" s="165">
        <f>389631.05+50808+195868.96</f>
        <v>636308.01</v>
      </c>
      <c r="S128" s="165"/>
      <c r="T128" s="165"/>
      <c r="U128" s="165"/>
      <c r="V128" s="165"/>
      <c r="W128" s="165"/>
      <c r="X128" s="130">
        <f t="shared" si="35"/>
        <v>363691.99</v>
      </c>
      <c r="Y128" s="165">
        <v>69999</v>
      </c>
      <c r="Z128" s="165"/>
      <c r="AA128" s="165"/>
      <c r="AB128" s="165"/>
      <c r="AC128" s="130">
        <f t="shared" si="23"/>
        <v>293692.99</v>
      </c>
      <c r="AD128" s="130">
        <f>C128+D128</f>
        <v>1000000</v>
      </c>
      <c r="AE128" s="130">
        <f t="shared" si="24"/>
        <v>0</v>
      </c>
      <c r="AF128" s="130">
        <f>X128-Y128+Z128+AA128-AB128</f>
        <v>293692.99</v>
      </c>
    </row>
    <row r="129" spans="1:32" s="166" customFormat="1" x14ac:dyDescent="0.25">
      <c r="A129" s="161"/>
      <c r="B129" s="162"/>
      <c r="C129" s="163"/>
      <c r="D129" s="135"/>
      <c r="E129" s="164">
        <f t="shared" si="29"/>
        <v>0</v>
      </c>
      <c r="F129" s="164"/>
      <c r="G129" s="164"/>
      <c r="H129" s="165"/>
      <c r="I129" s="165"/>
      <c r="J129" s="130">
        <f t="shared" si="26"/>
        <v>0</v>
      </c>
      <c r="K129" s="165"/>
      <c r="L129" s="165"/>
      <c r="M129" s="165"/>
      <c r="N129" s="165"/>
      <c r="O129" s="165"/>
      <c r="P129" s="232"/>
      <c r="Q129" s="130">
        <f t="shared" si="25"/>
        <v>0</v>
      </c>
      <c r="R129" s="165"/>
      <c r="S129" s="165"/>
      <c r="T129" s="165"/>
      <c r="U129" s="165"/>
      <c r="V129" s="165"/>
      <c r="W129" s="165"/>
      <c r="X129" s="130">
        <f t="shared" si="35"/>
        <v>0</v>
      </c>
      <c r="Y129" s="165"/>
      <c r="Z129" s="165"/>
      <c r="AA129" s="165"/>
      <c r="AB129" s="165"/>
      <c r="AC129" s="130">
        <f t="shared" si="23"/>
        <v>0</v>
      </c>
      <c r="AD129" s="130">
        <f>C129+D129</f>
        <v>0</v>
      </c>
      <c r="AE129" s="130">
        <f t="shared" si="24"/>
        <v>0</v>
      </c>
      <c r="AF129" s="130">
        <f>X129-Y129+Z129+AA129-AB129</f>
        <v>0</v>
      </c>
    </row>
    <row r="130" spans="1:32" s="166" customFormat="1" x14ac:dyDescent="0.25">
      <c r="A130" s="167"/>
      <c r="B130" s="168" t="s">
        <v>206</v>
      </c>
      <c r="C130" s="169">
        <f>SUM(C128:C129)</f>
        <v>0</v>
      </c>
      <c r="D130" s="169">
        <f>SUM(D128:D129)</f>
        <v>1000000</v>
      </c>
      <c r="E130" s="169">
        <f t="shared" si="29"/>
        <v>1000000</v>
      </c>
      <c r="F130" s="169">
        <f t="shared" ref="F130:G130" si="46">SUM(F128:F129)</f>
        <v>0</v>
      </c>
      <c r="G130" s="169">
        <f t="shared" si="46"/>
        <v>0</v>
      </c>
      <c r="H130" s="156">
        <f>SUM(H128:H129)</f>
        <v>0</v>
      </c>
      <c r="I130" s="156">
        <f t="shared" ref="I130:V130" si="47">SUM(I128:I129)</f>
        <v>0</v>
      </c>
      <c r="J130" s="156">
        <f t="shared" si="47"/>
        <v>1000000</v>
      </c>
      <c r="K130" s="156">
        <f t="shared" si="47"/>
        <v>0</v>
      </c>
      <c r="L130" s="156">
        <f t="shared" si="47"/>
        <v>0</v>
      </c>
      <c r="M130" s="156">
        <f t="shared" si="47"/>
        <v>0</v>
      </c>
      <c r="N130" s="156">
        <f t="shared" si="47"/>
        <v>0</v>
      </c>
      <c r="O130" s="156">
        <f t="shared" si="47"/>
        <v>0</v>
      </c>
      <c r="P130" s="169">
        <f t="shared" si="47"/>
        <v>0</v>
      </c>
      <c r="Q130" s="156">
        <f t="shared" si="47"/>
        <v>1000000</v>
      </c>
      <c r="R130" s="156">
        <f t="shared" si="47"/>
        <v>636308.01</v>
      </c>
      <c r="S130" s="156">
        <f t="shared" si="47"/>
        <v>0</v>
      </c>
      <c r="T130" s="156">
        <f t="shared" si="47"/>
        <v>0</v>
      </c>
      <c r="U130" s="156">
        <f t="shared" si="47"/>
        <v>0</v>
      </c>
      <c r="V130" s="156">
        <f t="shared" si="47"/>
        <v>0</v>
      </c>
      <c r="W130" s="156">
        <f t="shared" ref="W130:AF130" si="48">SUM(W128:W129)</f>
        <v>0</v>
      </c>
      <c r="X130" s="156">
        <f t="shared" si="48"/>
        <v>363691.99</v>
      </c>
      <c r="Y130" s="156">
        <f t="shared" si="48"/>
        <v>69999</v>
      </c>
      <c r="Z130" s="156">
        <f t="shared" si="48"/>
        <v>0</v>
      </c>
      <c r="AA130" s="156">
        <f t="shared" si="48"/>
        <v>0</v>
      </c>
      <c r="AB130" s="156">
        <f t="shared" si="48"/>
        <v>0</v>
      </c>
      <c r="AC130" s="169">
        <f t="shared" si="48"/>
        <v>293692.99</v>
      </c>
      <c r="AD130" s="169">
        <f t="shared" si="48"/>
        <v>1000000</v>
      </c>
      <c r="AE130" s="169">
        <f t="shared" si="48"/>
        <v>0</v>
      </c>
      <c r="AF130" s="169">
        <f t="shared" si="48"/>
        <v>293692.99</v>
      </c>
    </row>
    <row r="131" spans="1:32" s="166" customFormat="1" x14ac:dyDescent="0.25">
      <c r="A131" s="175"/>
      <c r="B131" s="176"/>
      <c r="C131" s="163"/>
      <c r="D131" s="135"/>
      <c r="E131" s="164"/>
      <c r="F131" s="164"/>
      <c r="G131" s="164"/>
      <c r="H131" s="165"/>
      <c r="I131" s="165"/>
      <c r="J131" s="130"/>
      <c r="K131" s="165"/>
      <c r="L131" s="165"/>
      <c r="M131" s="165"/>
      <c r="N131" s="165"/>
      <c r="O131" s="165"/>
      <c r="P131" s="232"/>
      <c r="Q131" s="165"/>
      <c r="R131" s="165"/>
      <c r="S131" s="165"/>
      <c r="T131" s="165"/>
      <c r="U131" s="165"/>
      <c r="V131" s="165"/>
      <c r="W131" s="165"/>
      <c r="X131" s="165"/>
      <c r="Y131" s="165"/>
      <c r="Z131" s="165"/>
      <c r="AA131" s="165"/>
      <c r="AB131" s="165"/>
      <c r="AC131" s="165"/>
      <c r="AD131" s="165"/>
      <c r="AE131" s="165"/>
      <c r="AF131" s="165"/>
    </row>
    <row r="132" spans="1:32" s="166" customFormat="1" x14ac:dyDescent="0.25">
      <c r="A132" s="177"/>
      <c r="B132" s="177" t="s">
        <v>226</v>
      </c>
      <c r="C132" s="178"/>
      <c r="D132" s="178"/>
      <c r="E132" s="178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78"/>
      <c r="S132" s="178"/>
      <c r="T132" s="178"/>
      <c r="U132" s="178"/>
      <c r="V132" s="178"/>
      <c r="W132" s="178"/>
      <c r="X132" s="178"/>
      <c r="Y132" s="178"/>
      <c r="Z132" s="178"/>
      <c r="AA132" s="178"/>
      <c r="AB132" s="178"/>
      <c r="AC132" s="178"/>
      <c r="AD132" s="178"/>
      <c r="AE132" s="178"/>
      <c r="AF132" s="178"/>
    </row>
    <row r="133" spans="1:32" s="166" customFormat="1" x14ac:dyDescent="0.25">
      <c r="A133" s="177"/>
      <c r="B133" s="177" t="s">
        <v>209</v>
      </c>
      <c r="C133" s="179">
        <f>C26+C60+C102+C107+C121+C124+C127+C130</f>
        <v>87061207.268828481</v>
      </c>
      <c r="D133" s="179">
        <f>D26+D60+D102+D107+D121+D124+D127+D130</f>
        <v>20076554.469999999</v>
      </c>
      <c r="E133" s="178">
        <f>E26+E60+E102+E107+E121+E124+E127+E130</f>
        <v>107137761.73882848</v>
      </c>
      <c r="F133" s="178">
        <f>F26+F60+F102+F107+F121+F124+F127+F130</f>
        <v>0</v>
      </c>
      <c r="G133" s="178">
        <f>G26+G60+G102+G107+G121+G124+G127+G130</f>
        <v>0</v>
      </c>
      <c r="H133" s="178">
        <f t="shared" ref="H133:AF133" si="49">H26+H60+H102+H107+H121+H124+H127+H130</f>
        <v>5762243.8099999996</v>
      </c>
      <c r="I133" s="179">
        <f t="shared" si="49"/>
        <v>4475481.6499999994</v>
      </c>
      <c r="J133" s="179">
        <f t="shared" si="49"/>
        <v>102656146.00882848</v>
      </c>
      <c r="K133" s="178">
        <f t="shared" si="49"/>
        <v>0</v>
      </c>
      <c r="L133" s="178">
        <f t="shared" si="49"/>
        <v>0</v>
      </c>
      <c r="M133" s="178">
        <f t="shared" si="49"/>
        <v>0</v>
      </c>
      <c r="N133" s="178">
        <f t="shared" si="49"/>
        <v>0</v>
      </c>
      <c r="O133" s="178">
        <f t="shared" si="49"/>
        <v>6100732.4398800004</v>
      </c>
      <c r="P133" s="178">
        <f t="shared" si="49"/>
        <v>5159451.43</v>
      </c>
      <c r="Q133" s="178">
        <f t="shared" si="49"/>
        <v>97496694.578828454</v>
      </c>
      <c r="R133" s="178">
        <f t="shared" si="49"/>
        <v>644417.01</v>
      </c>
      <c r="S133" s="178">
        <f t="shared" si="49"/>
        <v>644417</v>
      </c>
      <c r="T133" s="178">
        <f t="shared" si="49"/>
        <v>0</v>
      </c>
      <c r="U133" s="178">
        <f t="shared" si="49"/>
        <v>0</v>
      </c>
      <c r="V133" s="178">
        <f t="shared" si="49"/>
        <v>5823214.0469599999</v>
      </c>
      <c r="W133" s="179">
        <f t="shared" ref="W133:AB133" si="50">W26+W60+W102+W107+W121+W124+W127+W130</f>
        <v>4836787.8199999994</v>
      </c>
      <c r="X133" s="179">
        <f t="shared" si="50"/>
        <v>92659906.748828456</v>
      </c>
      <c r="Y133" s="179">
        <f t="shared" si="50"/>
        <v>357106</v>
      </c>
      <c r="Z133" s="179">
        <f t="shared" si="50"/>
        <v>357106</v>
      </c>
      <c r="AA133" s="179">
        <f t="shared" si="50"/>
        <v>0</v>
      </c>
      <c r="AB133" s="179">
        <f t="shared" si="50"/>
        <v>0</v>
      </c>
      <c r="AC133" s="178">
        <f t="shared" si="49"/>
        <v>107137761.72882847</v>
      </c>
      <c r="AD133" s="178">
        <f t="shared" si="49"/>
        <v>107137761.73882848</v>
      </c>
      <c r="AE133" s="178">
        <f t="shared" si="49"/>
        <v>14477854.979999997</v>
      </c>
      <c r="AF133" s="178">
        <f t="shared" si="49"/>
        <v>92659906.748828456</v>
      </c>
    </row>
    <row r="134" spans="1:32" x14ac:dyDescent="0.25">
      <c r="A134" s="81"/>
      <c r="B134" s="82"/>
      <c r="C134" s="91"/>
      <c r="D134" s="92"/>
      <c r="E134" s="93"/>
      <c r="F134" s="93"/>
      <c r="G134" s="93"/>
    </row>
    <row r="135" spans="1:32" x14ac:dyDescent="0.25">
      <c r="D135" s="94"/>
    </row>
  </sheetData>
  <mergeCells count="11">
    <mergeCell ref="AD5:AD6"/>
    <mergeCell ref="AE5:AE6"/>
    <mergeCell ref="AF5:AF6"/>
    <mergeCell ref="Y5:Z5"/>
    <mergeCell ref="A5:A6"/>
    <mergeCell ref="B5:B6"/>
    <mergeCell ref="C5:C6"/>
    <mergeCell ref="F5:G5"/>
    <mergeCell ref="K5:L5"/>
    <mergeCell ref="R5:S5"/>
    <mergeCell ref="X5:X6"/>
  </mergeCells>
  <printOptions horizontalCentered="1"/>
  <pageMargins left="0.31496062992125984" right="0.31496062992125984" top="0.55118110236220474" bottom="0.55118110236220474" header="0.31496062992125984" footer="0.31496062992125984"/>
  <pageSetup paperSize="5" scale="48" fitToHeight="2" orientation="landscape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HQ136"/>
  <sheetViews>
    <sheetView topLeftCell="U37" zoomScaleNormal="100" workbookViewId="0">
      <selection activeCell="AF48" sqref="AF48"/>
    </sheetView>
  </sheetViews>
  <sheetFormatPr baseColWidth="10" defaultColWidth="9.140625" defaultRowHeight="15" x14ac:dyDescent="0.25"/>
  <cols>
    <col min="1" max="1" width="7.140625" style="58" customWidth="1"/>
    <col min="2" max="2" width="73.140625" style="58" customWidth="1"/>
    <col min="3" max="3" width="13" style="85" customWidth="1"/>
    <col min="4" max="4" width="5" style="85" customWidth="1"/>
    <col min="5" max="5" width="16.85546875" style="85" customWidth="1"/>
    <col min="6" max="7" width="17.7109375" style="85" customWidth="1"/>
    <col min="8" max="8" width="17.5703125" style="85" customWidth="1"/>
    <col min="9" max="9" width="11.42578125" style="85" customWidth="1"/>
    <col min="10" max="10" width="14" style="85" customWidth="1"/>
    <col min="11" max="11" width="4.85546875" style="85" customWidth="1"/>
    <col min="12" max="12" width="6.140625" style="85" customWidth="1"/>
    <col min="13" max="13" width="6.85546875" style="85" customWidth="1"/>
    <col min="14" max="14" width="7.28515625" style="85" customWidth="1"/>
    <col min="15" max="15" width="15.28515625" style="85" customWidth="1"/>
    <col min="16" max="16" width="18.42578125" style="85" customWidth="1"/>
    <col min="17" max="17" width="17.140625" style="58" customWidth="1"/>
    <col min="18" max="18" width="11.42578125" style="58" customWidth="1"/>
    <col min="19" max="19" width="12.7109375" style="58" customWidth="1"/>
    <col min="20" max="23" width="11.42578125" style="58" customWidth="1"/>
    <col min="24" max="24" width="15.85546875" style="58" customWidth="1"/>
    <col min="25" max="25" width="16.5703125" style="58" customWidth="1"/>
    <col min="26" max="26" width="14" style="58" bestFit="1" customWidth="1"/>
    <col min="27" max="31" width="11.42578125" style="58" customWidth="1"/>
    <col min="32" max="33" width="14.42578125" style="58" customWidth="1"/>
    <col min="34" max="34" width="16.7109375" style="58" customWidth="1"/>
    <col min="35" max="215" width="11.42578125" style="58" customWidth="1"/>
    <col min="216" max="16384" width="9.140625" style="58"/>
  </cols>
  <sheetData>
    <row r="2" spans="1:36" ht="18" x14ac:dyDescent="0.25">
      <c r="C2" s="87" t="s">
        <v>306</v>
      </c>
      <c r="D2" s="88"/>
    </row>
    <row r="3" spans="1:36" x14ac:dyDescent="0.25">
      <c r="C3" s="89" t="s">
        <v>224</v>
      </c>
      <c r="D3" s="89"/>
    </row>
    <row r="4" spans="1:36" ht="24.75" customHeight="1" x14ac:dyDescent="0.25">
      <c r="C4" s="244"/>
      <c r="D4" s="244"/>
      <c r="E4" s="244"/>
      <c r="F4" s="244"/>
      <c r="G4" s="244"/>
      <c r="H4" s="245"/>
      <c r="I4" s="245"/>
      <c r="J4" s="245"/>
      <c r="K4" s="245"/>
      <c r="L4" s="245"/>
      <c r="M4" s="245"/>
      <c r="N4" s="245"/>
      <c r="O4" s="245" t="s">
        <v>285</v>
      </c>
      <c r="P4" s="245" t="s">
        <v>286</v>
      </c>
      <c r="Q4" s="260"/>
    </row>
    <row r="5" spans="1:36" ht="15" customHeight="1" x14ac:dyDescent="0.25">
      <c r="A5" s="296" t="s">
        <v>99</v>
      </c>
      <c r="B5" s="298" t="s">
        <v>100</v>
      </c>
      <c r="C5" s="313" t="s">
        <v>210</v>
      </c>
      <c r="D5" s="259" t="s">
        <v>19</v>
      </c>
      <c r="E5" s="259" t="s">
        <v>101</v>
      </c>
      <c r="F5" s="314" t="s">
        <v>227</v>
      </c>
      <c r="G5" s="315"/>
      <c r="H5" s="257" t="s">
        <v>211</v>
      </c>
      <c r="I5" s="257" t="s">
        <v>212</v>
      </c>
      <c r="J5" s="264"/>
      <c r="K5" s="311" t="s">
        <v>213</v>
      </c>
      <c r="L5" s="312"/>
      <c r="M5" s="257"/>
      <c r="N5" s="257"/>
      <c r="O5" s="257" t="s">
        <v>274</v>
      </c>
      <c r="P5" s="257" t="s">
        <v>276</v>
      </c>
      <c r="Q5" s="257" t="s">
        <v>211</v>
      </c>
      <c r="R5" s="257" t="s">
        <v>212</v>
      </c>
      <c r="S5" s="264"/>
      <c r="T5" s="311" t="s">
        <v>213</v>
      </c>
      <c r="U5" s="312"/>
      <c r="V5" s="257"/>
      <c r="W5" s="257"/>
      <c r="X5" s="257" t="s">
        <v>274</v>
      </c>
      <c r="Y5" s="257" t="s">
        <v>276</v>
      </c>
      <c r="Z5" s="257" t="s">
        <v>211</v>
      </c>
      <c r="AA5" s="257" t="s">
        <v>212</v>
      </c>
      <c r="AB5" s="311" t="s">
        <v>213</v>
      </c>
      <c r="AC5" s="312"/>
      <c r="AD5" s="257"/>
      <c r="AE5" s="257"/>
      <c r="AF5" s="257" t="s">
        <v>274</v>
      </c>
      <c r="AG5" s="264"/>
      <c r="AH5" s="257" t="s">
        <v>276</v>
      </c>
    </row>
    <row r="6" spans="1:36" ht="45" customHeight="1" x14ac:dyDescent="0.25">
      <c r="A6" s="297"/>
      <c r="B6" s="298"/>
      <c r="C6" s="303"/>
      <c r="D6" s="255" t="s">
        <v>222</v>
      </c>
      <c r="E6" s="256" t="s">
        <v>264</v>
      </c>
      <c r="F6" s="256" t="s">
        <v>218</v>
      </c>
      <c r="G6" s="256" t="s">
        <v>219</v>
      </c>
      <c r="H6" s="84" t="s">
        <v>33</v>
      </c>
      <c r="I6" s="84" t="s">
        <v>33</v>
      </c>
      <c r="J6" s="84" t="s">
        <v>217</v>
      </c>
      <c r="K6" s="84" t="s">
        <v>218</v>
      </c>
      <c r="L6" s="84" t="s">
        <v>219</v>
      </c>
      <c r="M6" s="84" t="s">
        <v>220</v>
      </c>
      <c r="N6" s="84" t="s">
        <v>221</v>
      </c>
      <c r="O6" s="84" t="s">
        <v>275</v>
      </c>
      <c r="P6" s="84" t="s">
        <v>216</v>
      </c>
      <c r="Q6" s="84" t="s">
        <v>247</v>
      </c>
      <c r="R6" s="84" t="s">
        <v>247</v>
      </c>
      <c r="S6" s="84" t="s">
        <v>217</v>
      </c>
      <c r="T6" s="84" t="s">
        <v>218</v>
      </c>
      <c r="U6" s="84" t="s">
        <v>219</v>
      </c>
      <c r="V6" s="84" t="s">
        <v>220</v>
      </c>
      <c r="W6" s="84" t="s">
        <v>221</v>
      </c>
      <c r="X6" s="84" t="s">
        <v>275</v>
      </c>
      <c r="Y6" s="84" t="s">
        <v>216</v>
      </c>
      <c r="Z6" s="84" t="s">
        <v>35</v>
      </c>
      <c r="AA6" s="84" t="s">
        <v>35</v>
      </c>
      <c r="AB6" s="84" t="s">
        <v>218</v>
      </c>
      <c r="AC6" s="84" t="s">
        <v>219</v>
      </c>
      <c r="AD6" s="84" t="s">
        <v>220</v>
      </c>
      <c r="AE6" s="84" t="s">
        <v>221</v>
      </c>
      <c r="AF6" s="84" t="s">
        <v>275</v>
      </c>
      <c r="AG6" s="302" t="s">
        <v>215</v>
      </c>
      <c r="AH6" s="84" t="s">
        <v>216</v>
      </c>
    </row>
    <row r="7" spans="1:36" ht="19.5" customHeight="1" x14ac:dyDescent="0.25">
      <c r="A7" s="254"/>
      <c r="B7" s="238"/>
      <c r="C7" s="258" t="s">
        <v>278</v>
      </c>
      <c r="D7" s="258" t="s">
        <v>279</v>
      </c>
      <c r="E7" s="241" t="s">
        <v>288</v>
      </c>
      <c r="F7" s="259"/>
      <c r="G7" s="259"/>
      <c r="H7" s="84" t="s">
        <v>280</v>
      </c>
      <c r="I7" s="84" t="s">
        <v>289</v>
      </c>
      <c r="J7" s="84"/>
      <c r="K7" s="84" t="s">
        <v>281</v>
      </c>
      <c r="L7" s="84" t="s">
        <v>282</v>
      </c>
      <c r="M7" s="84" t="s">
        <v>283</v>
      </c>
      <c r="N7" s="84" t="s">
        <v>284</v>
      </c>
      <c r="O7" s="242" t="s">
        <v>287</v>
      </c>
      <c r="P7" s="242" t="s">
        <v>290</v>
      </c>
      <c r="Q7" s="84" t="s">
        <v>291</v>
      </c>
      <c r="R7" s="84" t="s">
        <v>292</v>
      </c>
      <c r="S7" s="84"/>
      <c r="T7" s="84" t="s">
        <v>293</v>
      </c>
      <c r="U7" s="84" t="s">
        <v>294</v>
      </c>
      <c r="V7" s="84" t="s">
        <v>295</v>
      </c>
      <c r="W7" s="84" t="s">
        <v>296</v>
      </c>
      <c r="X7" s="242" t="s">
        <v>297</v>
      </c>
      <c r="Y7" s="242" t="s">
        <v>298</v>
      </c>
      <c r="Z7" s="84" t="s">
        <v>291</v>
      </c>
      <c r="AA7" s="84" t="s">
        <v>292</v>
      </c>
      <c r="AB7" s="84" t="s">
        <v>293</v>
      </c>
      <c r="AC7" s="84" t="s">
        <v>294</v>
      </c>
      <c r="AD7" s="84" t="s">
        <v>295</v>
      </c>
      <c r="AE7" s="84" t="s">
        <v>296</v>
      </c>
      <c r="AF7" s="242" t="s">
        <v>297</v>
      </c>
      <c r="AG7" s="302"/>
      <c r="AH7" s="242" t="s">
        <v>298</v>
      </c>
    </row>
    <row r="8" spans="1:36" s="131" customFormat="1" ht="15" customHeight="1" x14ac:dyDescent="0.25">
      <c r="A8" s="126">
        <v>1131</v>
      </c>
      <c r="B8" s="127" t="s">
        <v>102</v>
      </c>
      <c r="C8" s="128">
        <f>29378510.336+2561872.56+53797.14</f>
        <v>31994180.035999998</v>
      </c>
      <c r="D8" s="129"/>
      <c r="E8" s="129">
        <f>C8+D8</f>
        <v>31994180.035999998</v>
      </c>
      <c r="F8" s="129"/>
      <c r="G8" s="129"/>
      <c r="H8" s="130">
        <v>2675467</v>
      </c>
      <c r="I8" s="130">
        <v>2401012.83</v>
      </c>
      <c r="J8" s="130">
        <f>E8-I8</f>
        <v>29593167.206</v>
      </c>
      <c r="K8" s="130"/>
      <c r="L8" s="130"/>
      <c r="M8" s="130"/>
      <c r="N8" s="130"/>
      <c r="O8" s="130">
        <f>+E8-K8+L8+M8-N8</f>
        <v>31994180.035999998</v>
      </c>
      <c r="P8" s="130">
        <f>E8-I8+K8-L8-M8+N8</f>
        <v>29593167.206</v>
      </c>
      <c r="Q8" s="226">
        <v>2416550.92</v>
      </c>
      <c r="R8" s="231">
        <v>2168504.21</v>
      </c>
      <c r="S8" s="231">
        <f>P8-R8</f>
        <v>27424662.995999999</v>
      </c>
      <c r="T8" s="130"/>
      <c r="U8" s="130"/>
      <c r="V8" s="130"/>
      <c r="W8" s="130"/>
      <c r="X8" s="130">
        <f>+O8-T8+U8+V8-W8</f>
        <v>31994180.035999998</v>
      </c>
      <c r="Y8" s="130">
        <f t="shared" ref="Y8:Y11" si="0">+X8-I8-R8</f>
        <v>27424662.995999999</v>
      </c>
      <c r="Z8" s="130">
        <v>2675467.2799999998</v>
      </c>
      <c r="AA8" s="231">
        <v>2429224.8199999998</v>
      </c>
      <c r="AB8" s="130">
        <v>250000</v>
      </c>
      <c r="AC8" s="130"/>
      <c r="AD8" s="130"/>
      <c r="AE8" s="130"/>
      <c r="AF8" s="130">
        <f>+X8-AB8+AC8+AD8-AE8</f>
        <v>31744180.035999998</v>
      </c>
      <c r="AG8" s="130">
        <f t="shared" ref="AG8:AG26" si="1">I8+R8+AA8</f>
        <v>6998741.8599999994</v>
      </c>
      <c r="AH8" s="130">
        <f t="shared" ref="AH8:AH60" si="2">Y8-AA8-AB8+AC8+AD8-AE8</f>
        <v>24745438.175999999</v>
      </c>
      <c r="AI8" s="230"/>
    </row>
    <row r="9" spans="1:36" s="131" customFormat="1" ht="15" customHeight="1" x14ac:dyDescent="0.25">
      <c r="A9" s="126">
        <v>1211</v>
      </c>
      <c r="B9" s="127" t="s">
        <v>322</v>
      </c>
      <c r="C9" s="128">
        <v>0</v>
      </c>
      <c r="D9" s="129"/>
      <c r="E9" s="129">
        <f>C9+D9</f>
        <v>0</v>
      </c>
      <c r="F9" s="129"/>
      <c r="G9" s="129"/>
      <c r="H9" s="130"/>
      <c r="I9" s="130"/>
      <c r="J9" s="130"/>
      <c r="K9" s="130"/>
      <c r="L9" s="130"/>
      <c r="M9" s="130"/>
      <c r="N9" s="130"/>
      <c r="O9" s="130"/>
      <c r="P9" s="130"/>
      <c r="Q9" s="226"/>
      <c r="R9" s="231"/>
      <c r="S9" s="231"/>
      <c r="T9" s="130"/>
      <c r="U9" s="130"/>
      <c r="V9" s="130"/>
      <c r="W9" s="130"/>
      <c r="X9" s="130">
        <f>+O9-T9+U9+V9-W9</f>
        <v>0</v>
      </c>
      <c r="Y9" s="130">
        <f t="shared" si="0"/>
        <v>0</v>
      </c>
      <c r="Z9" s="130">
        <v>0</v>
      </c>
      <c r="AA9" s="231">
        <v>0</v>
      </c>
      <c r="AB9" s="130"/>
      <c r="AC9" s="130">
        <v>250000</v>
      </c>
      <c r="AD9" s="130"/>
      <c r="AE9" s="130"/>
      <c r="AF9" s="130">
        <f>+X9-AB9+AC9+AD9-AE9</f>
        <v>250000</v>
      </c>
      <c r="AG9" s="130">
        <f t="shared" si="1"/>
        <v>0</v>
      </c>
      <c r="AH9" s="130">
        <f t="shared" si="2"/>
        <v>250000</v>
      </c>
      <c r="AI9" s="230"/>
    </row>
    <row r="10" spans="1:36" s="131" customFormat="1" ht="30" x14ac:dyDescent="0.25">
      <c r="A10" s="132">
        <v>1311</v>
      </c>
      <c r="B10" s="133" t="s">
        <v>103</v>
      </c>
      <c r="C10" s="134">
        <v>432901.92</v>
      </c>
      <c r="D10" s="135"/>
      <c r="E10" s="135">
        <f t="shared" ref="E10:E25" si="3">C10+D10</f>
        <v>432901.92</v>
      </c>
      <c r="F10" s="135"/>
      <c r="G10" s="135"/>
      <c r="H10" s="130">
        <v>35681</v>
      </c>
      <c r="I10" s="130">
        <v>30266.55</v>
      </c>
      <c r="J10" s="130">
        <f t="shared" ref="J10:J74" si="4">E10-I10</f>
        <v>402635.37</v>
      </c>
      <c r="K10" s="130"/>
      <c r="L10" s="130"/>
      <c r="M10" s="130"/>
      <c r="N10" s="130"/>
      <c r="O10" s="130">
        <f t="shared" ref="O10:O73" si="5">+E10-K10+L10+M10-N10</f>
        <v>432901.92</v>
      </c>
      <c r="P10" s="130">
        <f t="shared" ref="P10:P60" si="6">+O10-I10</f>
        <v>402635.37</v>
      </c>
      <c r="Q10" s="226">
        <v>35845.159880000007</v>
      </c>
      <c r="R10" s="231">
        <v>36340.06</v>
      </c>
      <c r="S10" s="231">
        <f t="shared" ref="S10:S74" si="7">P10-R10</f>
        <v>366295.31</v>
      </c>
      <c r="T10" s="130"/>
      <c r="U10" s="130"/>
      <c r="V10" s="130"/>
      <c r="W10" s="130"/>
      <c r="X10" s="130">
        <f t="shared" ref="X10:X73" si="8">+O10-T10+U10+V10-W10</f>
        <v>432901.92</v>
      </c>
      <c r="Y10" s="130">
        <f t="shared" si="0"/>
        <v>366295.31</v>
      </c>
      <c r="Z10" s="130">
        <v>35552.512159999998</v>
      </c>
      <c r="AA10" s="231">
        <v>33856.92</v>
      </c>
      <c r="AB10" s="130"/>
      <c r="AC10" s="130"/>
      <c r="AD10" s="130"/>
      <c r="AE10" s="130"/>
      <c r="AF10" s="130">
        <f t="shared" ref="AF10:AF73" si="9">+X10-AB10+AC10+AD10-AE10</f>
        <v>432901.92</v>
      </c>
      <c r="AG10" s="130">
        <f t="shared" si="1"/>
        <v>100463.53</v>
      </c>
      <c r="AH10" s="130">
        <f t="shared" si="2"/>
        <v>332438.39</v>
      </c>
      <c r="AI10" s="230"/>
    </row>
    <row r="11" spans="1:36" s="131" customFormat="1" ht="15" customHeight="1" x14ac:dyDescent="0.25">
      <c r="A11" s="132">
        <v>1321</v>
      </c>
      <c r="B11" s="136" t="s">
        <v>104</v>
      </c>
      <c r="C11" s="134">
        <f>402160.408000001+35581.56</f>
        <v>437741.96800000098</v>
      </c>
      <c r="D11" s="135"/>
      <c r="E11" s="135">
        <f t="shared" si="3"/>
        <v>437741.96800000098</v>
      </c>
      <c r="F11" s="135"/>
      <c r="G11" s="135"/>
      <c r="H11" s="130">
        <v>4377</v>
      </c>
      <c r="I11" s="130">
        <v>252.09</v>
      </c>
      <c r="J11" s="130">
        <f t="shared" si="4"/>
        <v>437489.87800000096</v>
      </c>
      <c r="K11" s="130"/>
      <c r="L11" s="130"/>
      <c r="M11" s="130"/>
      <c r="N11" s="130"/>
      <c r="O11" s="130">
        <f t="shared" si="5"/>
        <v>437741.96800000098</v>
      </c>
      <c r="P11" s="130">
        <f t="shared" si="6"/>
        <v>437489.87800000096</v>
      </c>
      <c r="Q11" s="226">
        <v>4377.42</v>
      </c>
      <c r="R11" s="231">
        <v>1660.72</v>
      </c>
      <c r="S11" s="231">
        <f t="shared" si="7"/>
        <v>435829.15800000099</v>
      </c>
      <c r="T11" s="130"/>
      <c r="U11" s="130"/>
      <c r="V11" s="130"/>
      <c r="W11" s="130"/>
      <c r="X11" s="130">
        <f t="shared" si="8"/>
        <v>437741.96800000098</v>
      </c>
      <c r="Y11" s="130">
        <f t="shared" si="0"/>
        <v>435829.15800000099</v>
      </c>
      <c r="Z11" s="130">
        <v>4377.42</v>
      </c>
      <c r="AA11" s="231">
        <v>7041.23</v>
      </c>
      <c r="AB11" s="130"/>
      <c r="AC11" s="130"/>
      <c r="AD11" s="130"/>
      <c r="AE11" s="130"/>
      <c r="AF11" s="130">
        <f t="shared" si="9"/>
        <v>437741.96800000098</v>
      </c>
      <c r="AG11" s="130">
        <f t="shared" si="1"/>
        <v>8954.0399999999991</v>
      </c>
      <c r="AH11" s="130">
        <f t="shared" si="2"/>
        <v>428787.928000001</v>
      </c>
      <c r="AI11" s="230"/>
    </row>
    <row r="12" spans="1:36" s="131" customFormat="1" ht="15.75" x14ac:dyDescent="0.25">
      <c r="A12" s="132">
        <v>1322</v>
      </c>
      <c r="B12" s="136" t="s">
        <v>105</v>
      </c>
      <c r="C12" s="134">
        <f>4021604.08+355815.63</f>
        <v>4377419.71</v>
      </c>
      <c r="D12" s="135"/>
      <c r="E12" s="135">
        <f t="shared" si="3"/>
        <v>4377419.71</v>
      </c>
      <c r="F12" s="135"/>
      <c r="G12" s="135"/>
      <c r="H12" s="130">
        <v>44692</v>
      </c>
      <c r="I12" s="130">
        <v>645.99</v>
      </c>
      <c r="J12" s="130">
        <f t="shared" si="4"/>
        <v>4376773.72</v>
      </c>
      <c r="K12" s="130"/>
      <c r="L12" s="130"/>
      <c r="M12" s="130"/>
      <c r="N12" s="130"/>
      <c r="O12" s="130">
        <f t="shared" si="5"/>
        <v>4377419.71</v>
      </c>
      <c r="P12" s="130">
        <f t="shared" si="6"/>
        <v>4376773.72</v>
      </c>
      <c r="Q12" s="226">
        <v>40366.480000000003</v>
      </c>
      <c r="R12" s="231">
        <v>5625.07</v>
      </c>
      <c r="S12" s="231">
        <f t="shared" si="7"/>
        <v>4371148.6499999994</v>
      </c>
      <c r="T12" s="130"/>
      <c r="U12" s="130"/>
      <c r="V12" s="130"/>
      <c r="W12" s="130"/>
      <c r="X12" s="130">
        <f t="shared" si="8"/>
        <v>4377419.71</v>
      </c>
      <c r="Y12" s="130">
        <f>+X12-I12-R12</f>
        <v>4371148.6499999994</v>
      </c>
      <c r="Z12" s="130">
        <v>44691.6</v>
      </c>
      <c r="AA12" s="231">
        <v>22683.27</v>
      </c>
      <c r="AB12" s="130"/>
      <c r="AC12" s="130"/>
      <c r="AD12" s="130"/>
      <c r="AE12" s="130"/>
      <c r="AF12" s="130">
        <f t="shared" si="9"/>
        <v>4377419.71</v>
      </c>
      <c r="AG12" s="130">
        <f t="shared" si="1"/>
        <v>28954.33</v>
      </c>
      <c r="AH12" s="130">
        <f t="shared" si="2"/>
        <v>4348465.38</v>
      </c>
      <c r="AI12" s="230"/>
      <c r="AJ12" s="230"/>
    </row>
    <row r="13" spans="1:36" s="131" customFormat="1" ht="15" customHeight="1" x14ac:dyDescent="0.25">
      <c r="A13" s="132">
        <v>1332</v>
      </c>
      <c r="B13" s="136" t="s">
        <v>106</v>
      </c>
      <c r="C13" s="134">
        <v>1388969</v>
      </c>
      <c r="D13" s="135"/>
      <c r="E13" s="135">
        <f t="shared" si="3"/>
        <v>1388969</v>
      </c>
      <c r="F13" s="135"/>
      <c r="G13" s="135"/>
      <c r="H13" s="130">
        <v>118210</v>
      </c>
      <c r="I13" s="130">
        <v>20629.509999999998</v>
      </c>
      <c r="J13" s="130">
        <f t="shared" si="4"/>
        <v>1368339.49</v>
      </c>
      <c r="K13" s="130"/>
      <c r="L13" s="130"/>
      <c r="M13" s="130"/>
      <c r="N13" s="130"/>
      <c r="O13" s="130">
        <f t="shared" si="5"/>
        <v>1388969</v>
      </c>
      <c r="P13" s="130">
        <f t="shared" si="6"/>
        <v>1368339.49</v>
      </c>
      <c r="Q13" s="227">
        <v>107127.91</v>
      </c>
      <c r="R13" s="231">
        <v>7644.57</v>
      </c>
      <c r="S13" s="231">
        <f t="shared" si="7"/>
        <v>1360694.92</v>
      </c>
      <c r="T13" s="130"/>
      <c r="U13" s="130"/>
      <c r="V13" s="130"/>
      <c r="W13" s="130"/>
      <c r="X13" s="130">
        <f t="shared" si="8"/>
        <v>1388969</v>
      </c>
      <c r="Y13" s="130">
        <f t="shared" ref="Y13:Y77" si="10">+X13-I13-R13</f>
        <v>1360694.92</v>
      </c>
      <c r="Z13" s="130">
        <v>118210.12480000001</v>
      </c>
      <c r="AA13" s="231">
        <v>14248.06</v>
      </c>
      <c r="AB13" s="130"/>
      <c r="AC13" s="130"/>
      <c r="AD13" s="130"/>
      <c r="AE13" s="130"/>
      <c r="AF13" s="130">
        <f t="shared" si="9"/>
        <v>1388969</v>
      </c>
      <c r="AG13" s="130">
        <f t="shared" si="1"/>
        <v>42522.14</v>
      </c>
      <c r="AH13" s="130">
        <f t="shared" si="2"/>
        <v>1346446.8599999999</v>
      </c>
      <c r="AI13" s="230"/>
    </row>
    <row r="14" spans="1:36" s="131" customFormat="1" ht="15.75" x14ac:dyDescent="0.25">
      <c r="A14" s="132">
        <v>1347</v>
      </c>
      <c r="B14" s="136" t="s">
        <v>107</v>
      </c>
      <c r="C14" s="134">
        <v>350000</v>
      </c>
      <c r="D14" s="135"/>
      <c r="E14" s="135">
        <f t="shared" si="3"/>
        <v>350000</v>
      </c>
      <c r="F14" s="135"/>
      <c r="G14" s="135"/>
      <c r="H14" s="130">
        <v>29167</v>
      </c>
      <c r="I14" s="130"/>
      <c r="J14" s="130">
        <f t="shared" si="4"/>
        <v>350000</v>
      </c>
      <c r="K14" s="130"/>
      <c r="L14" s="130"/>
      <c r="M14" s="130"/>
      <c r="N14" s="130"/>
      <c r="O14" s="130">
        <f t="shared" si="5"/>
        <v>350000</v>
      </c>
      <c r="P14" s="130">
        <f t="shared" si="6"/>
        <v>350000</v>
      </c>
      <c r="Q14" s="226">
        <v>29166.66</v>
      </c>
      <c r="R14" s="231"/>
      <c r="S14" s="231">
        <f t="shared" si="7"/>
        <v>350000</v>
      </c>
      <c r="T14" s="130"/>
      <c r="U14" s="130"/>
      <c r="V14" s="130"/>
      <c r="W14" s="130"/>
      <c r="X14" s="130">
        <f t="shared" si="8"/>
        <v>350000</v>
      </c>
      <c r="Y14" s="130">
        <f t="shared" si="10"/>
        <v>350000</v>
      </c>
      <c r="Z14" s="130">
        <v>29166.66</v>
      </c>
      <c r="AA14" s="231"/>
      <c r="AB14" s="130"/>
      <c r="AC14" s="130"/>
      <c r="AD14" s="130"/>
      <c r="AE14" s="130"/>
      <c r="AF14" s="130">
        <f t="shared" si="9"/>
        <v>350000</v>
      </c>
      <c r="AG14" s="130">
        <f t="shared" si="1"/>
        <v>0</v>
      </c>
      <c r="AH14" s="130">
        <f t="shared" si="2"/>
        <v>350000</v>
      </c>
      <c r="AI14" s="230"/>
    </row>
    <row r="15" spans="1:36" s="131" customFormat="1" ht="15" customHeight="1" x14ac:dyDescent="0.25">
      <c r="A15" s="132">
        <v>1411</v>
      </c>
      <c r="B15" s="136" t="s">
        <v>108</v>
      </c>
      <c r="C15" s="134">
        <f>1739434.94666845+153581.18</f>
        <v>1893016.12666845</v>
      </c>
      <c r="D15" s="135"/>
      <c r="E15" s="135">
        <f t="shared" si="3"/>
        <v>1893016.12666845</v>
      </c>
      <c r="F15" s="135"/>
      <c r="G15" s="135"/>
      <c r="H15" s="130">
        <v>155590</v>
      </c>
      <c r="I15" s="130">
        <v>146649.09</v>
      </c>
      <c r="J15" s="130">
        <f t="shared" si="4"/>
        <v>1746367.0366684499</v>
      </c>
      <c r="K15" s="130"/>
      <c r="L15" s="130"/>
      <c r="M15" s="130"/>
      <c r="N15" s="130"/>
      <c r="O15" s="130">
        <f t="shared" si="5"/>
        <v>1893016.12666845</v>
      </c>
      <c r="P15" s="130">
        <f t="shared" si="6"/>
        <v>1746367.0366684499</v>
      </c>
      <c r="Q15" s="226">
        <v>155590.35</v>
      </c>
      <c r="R15" s="231">
        <v>133497.51999999999</v>
      </c>
      <c r="S15" s="231">
        <f t="shared" si="7"/>
        <v>1612869.5166684499</v>
      </c>
      <c r="T15" s="130"/>
      <c r="U15" s="130"/>
      <c r="V15" s="130"/>
      <c r="W15" s="130"/>
      <c r="X15" s="130">
        <f t="shared" si="8"/>
        <v>1893016.12666845</v>
      </c>
      <c r="Y15" s="130">
        <f t="shared" si="10"/>
        <v>1612869.5166684499</v>
      </c>
      <c r="Z15" s="130">
        <v>155590.35</v>
      </c>
      <c r="AA15" s="231">
        <v>147750.31</v>
      </c>
      <c r="AB15" s="130"/>
      <c r="AC15" s="130"/>
      <c r="AD15" s="130"/>
      <c r="AE15" s="130"/>
      <c r="AF15" s="130">
        <f t="shared" si="9"/>
        <v>1893016.12666845</v>
      </c>
      <c r="AG15" s="130">
        <f t="shared" si="1"/>
        <v>427896.92</v>
      </c>
      <c r="AH15" s="130">
        <f t="shared" si="2"/>
        <v>1465119.2066684498</v>
      </c>
      <c r="AI15" s="230"/>
    </row>
    <row r="16" spans="1:36" s="131" customFormat="1" ht="15.75" x14ac:dyDescent="0.25">
      <c r="A16" s="132">
        <v>1421</v>
      </c>
      <c r="B16" s="136" t="s">
        <v>109</v>
      </c>
      <c r="C16" s="134">
        <f>880731.291280002+76856.18</f>
        <v>957587.47128000204</v>
      </c>
      <c r="D16" s="135"/>
      <c r="E16" s="135">
        <f t="shared" si="3"/>
        <v>957587.47128000204</v>
      </c>
      <c r="F16" s="135"/>
      <c r="G16" s="135"/>
      <c r="H16" s="130">
        <v>78706</v>
      </c>
      <c r="I16" s="130">
        <v>62022.53</v>
      </c>
      <c r="J16" s="130">
        <f t="shared" si="4"/>
        <v>895564.94128000201</v>
      </c>
      <c r="K16" s="130"/>
      <c r="L16" s="130"/>
      <c r="M16" s="130"/>
      <c r="N16" s="130"/>
      <c r="O16" s="130">
        <f t="shared" si="5"/>
        <v>957587.47128000204</v>
      </c>
      <c r="P16" s="130">
        <f t="shared" si="6"/>
        <v>895564.94128000201</v>
      </c>
      <c r="Q16" s="226">
        <v>78705.78</v>
      </c>
      <c r="R16" s="231">
        <v>62498.04</v>
      </c>
      <c r="S16" s="231">
        <f t="shared" si="7"/>
        <v>833066.90128000197</v>
      </c>
      <c r="T16" s="130"/>
      <c r="U16" s="130"/>
      <c r="V16" s="130"/>
      <c r="W16" s="130"/>
      <c r="X16" s="130">
        <f t="shared" si="8"/>
        <v>957587.47128000204</v>
      </c>
      <c r="Y16" s="130">
        <f t="shared" si="10"/>
        <v>833066.90128000197</v>
      </c>
      <c r="Z16" s="130">
        <v>78705.78</v>
      </c>
      <c r="AA16" s="231">
        <v>62494.09</v>
      </c>
      <c r="AB16" s="130"/>
      <c r="AC16" s="130"/>
      <c r="AD16" s="130"/>
      <c r="AE16" s="130"/>
      <c r="AF16" s="130">
        <f t="shared" si="9"/>
        <v>957587.47128000204</v>
      </c>
      <c r="AG16" s="130">
        <f t="shared" si="1"/>
        <v>187014.66</v>
      </c>
      <c r="AH16" s="130">
        <f t="shared" si="2"/>
        <v>770572.811280002</v>
      </c>
      <c r="AI16" s="230"/>
    </row>
    <row r="17" spans="1:35" s="131" customFormat="1" ht="15" customHeight="1" x14ac:dyDescent="0.25">
      <c r="A17" s="132">
        <v>1431</v>
      </c>
      <c r="B17" s="136" t="s">
        <v>110</v>
      </c>
      <c r="C17" s="134">
        <f>5137599.2108+384280.88</f>
        <v>5521880.0907999994</v>
      </c>
      <c r="D17" s="135"/>
      <c r="E17" s="135">
        <f t="shared" si="3"/>
        <v>5521880.0907999994</v>
      </c>
      <c r="F17" s="135"/>
      <c r="G17" s="135"/>
      <c r="H17" s="130">
        <v>453853</v>
      </c>
      <c r="I17" s="130">
        <v>361792.83</v>
      </c>
      <c r="J17" s="130">
        <f t="shared" si="4"/>
        <v>5160087.2607999993</v>
      </c>
      <c r="K17" s="130"/>
      <c r="L17" s="130"/>
      <c r="M17" s="130"/>
      <c r="N17" s="130"/>
      <c r="O17" s="130">
        <f t="shared" si="5"/>
        <v>5521880.0907999994</v>
      </c>
      <c r="P17" s="130">
        <f t="shared" si="6"/>
        <v>5160087.2607999993</v>
      </c>
      <c r="Q17" s="226">
        <v>453853.14</v>
      </c>
      <c r="R17" s="231">
        <v>364566.67</v>
      </c>
      <c r="S17" s="231">
        <f t="shared" si="7"/>
        <v>4795520.5907999994</v>
      </c>
      <c r="T17" s="130"/>
      <c r="U17" s="130"/>
      <c r="V17" s="130"/>
      <c r="W17" s="130"/>
      <c r="X17" s="130">
        <f t="shared" si="8"/>
        <v>5521880.0907999994</v>
      </c>
      <c r="Y17" s="130">
        <f t="shared" si="10"/>
        <v>4795520.5907999994</v>
      </c>
      <c r="Z17" s="130">
        <v>453853.14</v>
      </c>
      <c r="AA17" s="231">
        <v>364543.62</v>
      </c>
      <c r="AB17" s="130"/>
      <c r="AC17" s="130"/>
      <c r="AD17" s="130"/>
      <c r="AE17" s="130"/>
      <c r="AF17" s="130">
        <f t="shared" si="9"/>
        <v>5521880.0907999994</v>
      </c>
      <c r="AG17" s="130">
        <f t="shared" si="1"/>
        <v>1090903.1200000001</v>
      </c>
      <c r="AH17" s="130">
        <f t="shared" si="2"/>
        <v>4430976.9707999993</v>
      </c>
      <c r="AI17" s="230"/>
    </row>
    <row r="18" spans="1:35" s="131" customFormat="1" ht="15.75" x14ac:dyDescent="0.25">
      <c r="A18" s="132">
        <v>1432</v>
      </c>
      <c r="B18" s="136" t="s">
        <v>111</v>
      </c>
      <c r="C18" s="134">
        <f>587154.197520001+51237.45</f>
        <v>638391.64752000093</v>
      </c>
      <c r="D18" s="135"/>
      <c r="E18" s="135">
        <f t="shared" si="3"/>
        <v>638391.64752000093</v>
      </c>
      <c r="F18" s="135"/>
      <c r="G18" s="135"/>
      <c r="H18" s="130">
        <v>52471</v>
      </c>
      <c r="I18" s="130">
        <v>41347.74</v>
      </c>
      <c r="J18" s="130">
        <f t="shared" si="4"/>
        <v>597043.90752000094</v>
      </c>
      <c r="K18" s="130"/>
      <c r="L18" s="130"/>
      <c r="M18" s="130"/>
      <c r="N18" s="130"/>
      <c r="O18" s="130">
        <f t="shared" si="5"/>
        <v>638391.64752000093</v>
      </c>
      <c r="P18" s="130">
        <f t="shared" si="6"/>
        <v>597043.90752000094</v>
      </c>
      <c r="Q18" s="226">
        <v>52470.57</v>
      </c>
      <c r="R18" s="231">
        <v>41664.75</v>
      </c>
      <c r="S18" s="231">
        <f t="shared" si="7"/>
        <v>555379.15752000094</v>
      </c>
      <c r="T18" s="130"/>
      <c r="U18" s="130"/>
      <c r="V18" s="130"/>
      <c r="W18" s="130"/>
      <c r="X18" s="130">
        <f t="shared" si="8"/>
        <v>638391.64752000093</v>
      </c>
      <c r="Y18" s="130">
        <f t="shared" si="10"/>
        <v>555379.15752000094</v>
      </c>
      <c r="Z18" s="130">
        <v>52470.57</v>
      </c>
      <c r="AA18" s="231">
        <v>41662.120000000003</v>
      </c>
      <c r="AB18" s="130"/>
      <c r="AC18" s="130"/>
      <c r="AD18" s="130"/>
      <c r="AE18" s="130"/>
      <c r="AF18" s="130">
        <f t="shared" si="9"/>
        <v>638391.64752000093</v>
      </c>
      <c r="AG18" s="130">
        <f t="shared" si="1"/>
        <v>124674.60999999999</v>
      </c>
      <c r="AH18" s="130">
        <f t="shared" si="2"/>
        <v>513717.03752000094</v>
      </c>
      <c r="AI18" s="230"/>
    </row>
    <row r="19" spans="1:35" s="131" customFormat="1" ht="15" customHeight="1" x14ac:dyDescent="0.25">
      <c r="A19" s="132">
        <v>1441</v>
      </c>
      <c r="B19" s="136" t="s">
        <v>112</v>
      </c>
      <c r="C19" s="135">
        <v>25000</v>
      </c>
      <c r="D19" s="137"/>
      <c r="E19" s="135">
        <f>+C19+D19</f>
        <v>25000</v>
      </c>
      <c r="F19" s="135"/>
      <c r="G19" s="135"/>
      <c r="H19" s="130">
        <v>2123</v>
      </c>
      <c r="I19" s="130"/>
      <c r="J19" s="130">
        <f t="shared" si="4"/>
        <v>25000</v>
      </c>
      <c r="K19" s="130"/>
      <c r="L19" s="130"/>
      <c r="M19" s="130"/>
      <c r="N19" s="130"/>
      <c r="O19" s="130">
        <f t="shared" si="5"/>
        <v>25000</v>
      </c>
      <c r="P19" s="130">
        <f t="shared" si="6"/>
        <v>25000</v>
      </c>
      <c r="Q19" s="226">
        <v>1917.72</v>
      </c>
      <c r="R19" s="231"/>
      <c r="S19" s="231">
        <f t="shared" si="7"/>
        <v>25000</v>
      </c>
      <c r="T19" s="130"/>
      <c r="U19" s="130"/>
      <c r="V19" s="130"/>
      <c r="W19" s="130"/>
      <c r="X19" s="130">
        <f t="shared" si="8"/>
        <v>25000</v>
      </c>
      <c r="Y19" s="130">
        <f t="shared" si="10"/>
        <v>25000</v>
      </c>
      <c r="Z19" s="130">
        <v>2123.2800000000002</v>
      </c>
      <c r="AA19" s="231"/>
      <c r="AB19" s="130"/>
      <c r="AC19" s="130"/>
      <c r="AD19" s="130"/>
      <c r="AE19" s="130"/>
      <c r="AF19" s="130">
        <f t="shared" si="9"/>
        <v>25000</v>
      </c>
      <c r="AG19" s="130">
        <f t="shared" si="1"/>
        <v>0</v>
      </c>
      <c r="AH19" s="130">
        <f t="shared" si="2"/>
        <v>25000</v>
      </c>
      <c r="AI19" s="230"/>
    </row>
    <row r="20" spans="1:35" s="131" customFormat="1" ht="15.75" x14ac:dyDescent="0.25">
      <c r="A20" s="132">
        <v>1521</v>
      </c>
      <c r="B20" s="136" t="s">
        <v>113</v>
      </c>
      <c r="C20" s="135">
        <v>540000</v>
      </c>
      <c r="D20" s="137"/>
      <c r="E20" s="135">
        <f>+C20+D20</f>
        <v>540000</v>
      </c>
      <c r="F20" s="135"/>
      <c r="G20" s="135"/>
      <c r="H20" s="130">
        <v>45000</v>
      </c>
      <c r="I20" s="130"/>
      <c r="J20" s="130">
        <f t="shared" si="4"/>
        <v>540000</v>
      </c>
      <c r="K20" s="130"/>
      <c r="L20" s="130"/>
      <c r="M20" s="130"/>
      <c r="N20" s="130"/>
      <c r="O20" s="130">
        <f t="shared" si="5"/>
        <v>540000</v>
      </c>
      <c r="P20" s="130">
        <f t="shared" si="6"/>
        <v>540000</v>
      </c>
      <c r="Q20" s="226">
        <v>45000</v>
      </c>
      <c r="R20" s="231">
        <v>45428.79</v>
      </c>
      <c r="S20" s="231">
        <f t="shared" si="7"/>
        <v>494571.21</v>
      </c>
      <c r="T20" s="130"/>
      <c r="U20" s="130"/>
      <c r="V20" s="130"/>
      <c r="W20" s="130"/>
      <c r="X20" s="130">
        <f t="shared" si="8"/>
        <v>540000</v>
      </c>
      <c r="Y20" s="130">
        <f t="shared" si="10"/>
        <v>494571.21</v>
      </c>
      <c r="Z20" s="130">
        <v>45000</v>
      </c>
      <c r="AA20" s="231">
        <v>27081.86</v>
      </c>
      <c r="AB20" s="130"/>
      <c r="AC20" s="130"/>
      <c r="AD20" s="130"/>
      <c r="AE20" s="130"/>
      <c r="AF20" s="130">
        <f t="shared" si="9"/>
        <v>540000</v>
      </c>
      <c r="AG20" s="130">
        <f t="shared" si="1"/>
        <v>72510.649999999994</v>
      </c>
      <c r="AH20" s="130">
        <f t="shared" si="2"/>
        <v>467489.35000000003</v>
      </c>
      <c r="AI20" s="230"/>
    </row>
    <row r="21" spans="1:35" s="131" customFormat="1" ht="15" customHeight="1" x14ac:dyDescent="0.25">
      <c r="A21" s="132">
        <v>1543</v>
      </c>
      <c r="B21" s="136" t="s">
        <v>114</v>
      </c>
      <c r="C21" s="134">
        <v>711880</v>
      </c>
      <c r="D21" s="135"/>
      <c r="E21" s="135">
        <f t="shared" si="3"/>
        <v>711880</v>
      </c>
      <c r="F21" s="135"/>
      <c r="G21" s="135"/>
      <c r="H21" s="130">
        <v>167440</v>
      </c>
      <c r="I21" s="130">
        <v>42700</v>
      </c>
      <c r="J21" s="130">
        <f t="shared" si="4"/>
        <v>669180</v>
      </c>
      <c r="K21" s="130"/>
      <c r="L21" s="130"/>
      <c r="M21" s="130"/>
      <c r="N21" s="130"/>
      <c r="O21" s="130">
        <f t="shared" si="5"/>
        <v>711880</v>
      </c>
      <c r="P21" s="130">
        <f t="shared" si="6"/>
        <v>669180</v>
      </c>
      <c r="Q21" s="226">
        <v>37700</v>
      </c>
      <c r="R21" s="231">
        <v>31900</v>
      </c>
      <c r="S21" s="231">
        <f t="shared" si="7"/>
        <v>637280</v>
      </c>
      <c r="T21" s="130"/>
      <c r="U21" s="130"/>
      <c r="V21" s="130"/>
      <c r="W21" s="130"/>
      <c r="X21" s="130">
        <f t="shared" si="8"/>
        <v>711880</v>
      </c>
      <c r="Y21" s="130">
        <f t="shared" si="10"/>
        <v>637280</v>
      </c>
      <c r="Z21" s="130">
        <v>37700</v>
      </c>
      <c r="AA21" s="231">
        <v>37500</v>
      </c>
      <c r="AB21" s="130"/>
      <c r="AC21" s="130"/>
      <c r="AD21" s="130"/>
      <c r="AE21" s="130"/>
      <c r="AF21" s="130">
        <f t="shared" si="9"/>
        <v>711880</v>
      </c>
      <c r="AG21" s="130">
        <f t="shared" si="1"/>
        <v>112100</v>
      </c>
      <c r="AH21" s="130">
        <f t="shared" si="2"/>
        <v>599780</v>
      </c>
      <c r="AI21" s="230"/>
    </row>
    <row r="22" spans="1:35" s="131" customFormat="1" ht="15.75" x14ac:dyDescent="0.25">
      <c r="A22" s="132">
        <v>1611</v>
      </c>
      <c r="B22" s="136" t="s">
        <v>115</v>
      </c>
      <c r="C22" s="134">
        <f>1650000+985000</f>
        <v>2635000</v>
      </c>
      <c r="D22" s="134"/>
      <c r="E22" s="135">
        <f t="shared" si="3"/>
        <v>2635000</v>
      </c>
      <c r="F22" s="135"/>
      <c r="G22" s="135"/>
      <c r="H22" s="130">
        <v>219583</v>
      </c>
      <c r="I22" s="130"/>
      <c r="J22" s="130">
        <f t="shared" si="4"/>
        <v>2635000</v>
      </c>
      <c r="K22" s="130"/>
      <c r="L22" s="130"/>
      <c r="M22" s="130"/>
      <c r="N22" s="130"/>
      <c r="O22" s="130">
        <f t="shared" si="5"/>
        <v>2635000</v>
      </c>
      <c r="P22" s="130">
        <f t="shared" si="6"/>
        <v>2635000</v>
      </c>
      <c r="Q22" s="226">
        <v>219583.33</v>
      </c>
      <c r="R22" s="231"/>
      <c r="S22" s="231">
        <f t="shared" si="7"/>
        <v>2635000</v>
      </c>
      <c r="T22" s="130"/>
      <c r="U22" s="130"/>
      <c r="V22" s="130"/>
      <c r="W22" s="130"/>
      <c r="X22" s="130">
        <f t="shared" si="8"/>
        <v>2635000</v>
      </c>
      <c r="Y22" s="130">
        <f t="shared" si="10"/>
        <v>2635000</v>
      </c>
      <c r="Z22" s="130">
        <v>219583.33</v>
      </c>
      <c r="AA22" s="231"/>
      <c r="AB22" s="130"/>
      <c r="AC22" s="130"/>
      <c r="AD22" s="130"/>
      <c r="AE22" s="130"/>
      <c r="AF22" s="130">
        <f t="shared" si="9"/>
        <v>2635000</v>
      </c>
      <c r="AG22" s="130">
        <f t="shared" si="1"/>
        <v>0</v>
      </c>
      <c r="AH22" s="130">
        <f t="shared" si="2"/>
        <v>2635000</v>
      </c>
      <c r="AI22" s="230"/>
    </row>
    <row r="23" spans="1:35" s="131" customFormat="1" ht="15" customHeight="1" x14ac:dyDescent="0.25">
      <c r="A23" s="132">
        <v>1712</v>
      </c>
      <c r="B23" s="136" t="s">
        <v>116</v>
      </c>
      <c r="C23" s="134">
        <f>2380261.47840001+217453.56</f>
        <v>2597715.0384000102</v>
      </c>
      <c r="D23" s="135"/>
      <c r="E23" s="135">
        <f t="shared" si="3"/>
        <v>2597715.0384000102</v>
      </c>
      <c r="F23" s="135"/>
      <c r="G23" s="135"/>
      <c r="H23" s="130">
        <v>216476</v>
      </c>
      <c r="I23" s="130">
        <v>183499</v>
      </c>
      <c r="J23" s="130">
        <f t="shared" si="4"/>
        <v>2414216.0384000102</v>
      </c>
      <c r="K23" s="130"/>
      <c r="L23" s="130"/>
      <c r="M23" s="130"/>
      <c r="N23" s="130"/>
      <c r="O23" s="130">
        <f t="shared" si="5"/>
        <v>2597715.0384000102</v>
      </c>
      <c r="P23" s="130">
        <f t="shared" si="6"/>
        <v>2414216.0384000102</v>
      </c>
      <c r="Q23" s="226">
        <v>216476</v>
      </c>
      <c r="R23" s="231">
        <v>185545.61</v>
      </c>
      <c r="S23" s="231">
        <f t="shared" si="7"/>
        <v>2228670.4284000103</v>
      </c>
      <c r="T23" s="130"/>
      <c r="U23" s="130"/>
      <c r="V23" s="130"/>
      <c r="W23" s="130"/>
      <c r="X23" s="130">
        <f t="shared" si="8"/>
        <v>2597715.0384000102</v>
      </c>
      <c r="Y23" s="130">
        <f t="shared" si="10"/>
        <v>2228670.4284000103</v>
      </c>
      <c r="Z23" s="130">
        <v>216476</v>
      </c>
      <c r="AA23" s="231">
        <v>185850.58</v>
      </c>
      <c r="AB23" s="130"/>
      <c r="AC23" s="130"/>
      <c r="AD23" s="130"/>
      <c r="AE23" s="130"/>
      <c r="AF23" s="130">
        <f t="shared" si="9"/>
        <v>2597715.0384000102</v>
      </c>
      <c r="AG23" s="130">
        <f t="shared" si="1"/>
        <v>554895.18999999994</v>
      </c>
      <c r="AH23" s="130">
        <f t="shared" si="2"/>
        <v>2042819.8484000103</v>
      </c>
      <c r="AI23" s="230"/>
    </row>
    <row r="24" spans="1:35" s="131" customFormat="1" ht="15.75" x14ac:dyDescent="0.25">
      <c r="A24" s="138">
        <v>1713</v>
      </c>
      <c r="B24" s="139" t="s">
        <v>117</v>
      </c>
      <c r="C24" s="134">
        <f>141036+1512570</f>
        <v>1653606</v>
      </c>
      <c r="D24" s="135"/>
      <c r="E24" s="135">
        <f>C24+D24</f>
        <v>1653606</v>
      </c>
      <c r="F24" s="135"/>
      <c r="G24" s="135"/>
      <c r="H24" s="130">
        <v>137800</v>
      </c>
      <c r="I24" s="130">
        <v>114369.44</v>
      </c>
      <c r="J24" s="130">
        <f t="shared" si="4"/>
        <v>1539236.56</v>
      </c>
      <c r="K24" s="130"/>
      <c r="L24" s="130"/>
      <c r="M24" s="130"/>
      <c r="N24" s="130"/>
      <c r="O24" s="130">
        <f t="shared" si="5"/>
        <v>1653606</v>
      </c>
      <c r="P24" s="130">
        <f t="shared" si="6"/>
        <v>1539236.56</v>
      </c>
      <c r="Q24" s="226">
        <v>137800</v>
      </c>
      <c r="R24" s="231">
        <v>116422.03</v>
      </c>
      <c r="S24" s="231">
        <f t="shared" si="7"/>
        <v>1422814.53</v>
      </c>
      <c r="T24" s="130"/>
      <c r="U24" s="130"/>
      <c r="V24" s="130"/>
      <c r="W24" s="130"/>
      <c r="X24" s="130">
        <f t="shared" si="8"/>
        <v>1653606</v>
      </c>
      <c r="Y24" s="130">
        <f t="shared" si="10"/>
        <v>1422814.53</v>
      </c>
      <c r="Z24" s="130">
        <v>137800</v>
      </c>
      <c r="AA24" s="231">
        <v>116176.94</v>
      </c>
      <c r="AB24" s="130"/>
      <c r="AC24" s="130"/>
      <c r="AD24" s="130"/>
      <c r="AE24" s="130"/>
      <c r="AF24" s="130">
        <f t="shared" si="9"/>
        <v>1653606</v>
      </c>
      <c r="AG24" s="130">
        <f t="shared" si="1"/>
        <v>346968.41000000003</v>
      </c>
      <c r="AH24" s="130">
        <f t="shared" si="2"/>
        <v>1306637.5900000001</v>
      </c>
      <c r="AI24" s="230"/>
    </row>
    <row r="25" spans="1:35" s="131" customFormat="1" ht="15" customHeight="1" x14ac:dyDescent="0.25">
      <c r="A25" s="132">
        <v>1715</v>
      </c>
      <c r="B25" s="136" t="s">
        <v>118</v>
      </c>
      <c r="C25" s="140">
        <f>0+106744.69+1181986</f>
        <v>1288730.69</v>
      </c>
      <c r="D25" s="135"/>
      <c r="E25" s="135">
        <f t="shared" si="3"/>
        <v>1288730.69</v>
      </c>
      <c r="F25" s="135"/>
      <c r="G25" s="135"/>
      <c r="H25" s="130"/>
      <c r="I25" s="130"/>
      <c r="J25" s="130">
        <f t="shared" si="4"/>
        <v>1288730.69</v>
      </c>
      <c r="K25" s="130"/>
      <c r="L25" s="130"/>
      <c r="M25" s="130"/>
      <c r="N25" s="130"/>
      <c r="O25" s="130">
        <f t="shared" si="5"/>
        <v>1288730.69</v>
      </c>
      <c r="P25" s="130">
        <f t="shared" si="6"/>
        <v>1288730.69</v>
      </c>
      <c r="Q25" s="226">
        <v>0</v>
      </c>
      <c r="R25" s="231"/>
      <c r="S25" s="231">
        <f t="shared" si="7"/>
        <v>1288730.69</v>
      </c>
      <c r="T25" s="130"/>
      <c r="U25" s="130"/>
      <c r="V25" s="130"/>
      <c r="W25" s="130"/>
      <c r="X25" s="130">
        <f t="shared" si="8"/>
        <v>1288730.69</v>
      </c>
      <c r="Y25" s="130">
        <f t="shared" si="10"/>
        <v>1288730.69</v>
      </c>
      <c r="Z25" s="130">
        <v>0</v>
      </c>
      <c r="AA25" s="231"/>
      <c r="AB25" s="130"/>
      <c r="AC25" s="130"/>
      <c r="AD25" s="130"/>
      <c r="AE25" s="130"/>
      <c r="AF25" s="130">
        <f t="shared" si="9"/>
        <v>1288730.69</v>
      </c>
      <c r="AG25" s="130">
        <f t="shared" si="1"/>
        <v>0</v>
      </c>
      <c r="AH25" s="130">
        <f t="shared" si="2"/>
        <v>1288730.69</v>
      </c>
      <c r="AI25" s="230"/>
    </row>
    <row r="26" spans="1:35" s="131" customFormat="1" ht="15.75" x14ac:dyDescent="0.25">
      <c r="A26" s="132">
        <v>1716</v>
      </c>
      <c r="B26" s="136" t="s">
        <v>119</v>
      </c>
      <c r="C26" s="135">
        <v>514800</v>
      </c>
      <c r="D26" s="137"/>
      <c r="E26" s="135">
        <f>+C26+D26</f>
        <v>514800</v>
      </c>
      <c r="F26" s="135"/>
      <c r="G26" s="135"/>
      <c r="H26" s="130">
        <v>42900</v>
      </c>
      <c r="I26" s="130"/>
      <c r="J26" s="130">
        <f t="shared" si="4"/>
        <v>514800</v>
      </c>
      <c r="K26" s="130"/>
      <c r="L26" s="130"/>
      <c r="M26" s="130"/>
      <c r="N26" s="130"/>
      <c r="O26" s="130">
        <f t="shared" si="5"/>
        <v>514800</v>
      </c>
      <c r="P26" s="130">
        <f t="shared" si="6"/>
        <v>514800</v>
      </c>
      <c r="Q26" s="226">
        <v>42900</v>
      </c>
      <c r="R26" s="231"/>
      <c r="S26" s="231">
        <f t="shared" si="7"/>
        <v>514800</v>
      </c>
      <c r="T26" s="130"/>
      <c r="U26" s="130"/>
      <c r="V26" s="130"/>
      <c r="W26" s="130"/>
      <c r="X26" s="130">
        <f t="shared" si="8"/>
        <v>514800</v>
      </c>
      <c r="Y26" s="130">
        <f t="shared" si="10"/>
        <v>514800</v>
      </c>
      <c r="Z26" s="130">
        <v>42900</v>
      </c>
      <c r="AA26" s="231"/>
      <c r="AB26" s="130"/>
      <c r="AC26" s="130"/>
      <c r="AD26" s="130"/>
      <c r="AE26" s="130"/>
      <c r="AF26" s="130">
        <f t="shared" si="9"/>
        <v>514800</v>
      </c>
      <c r="AG26" s="130">
        <f t="shared" si="1"/>
        <v>0</v>
      </c>
      <c r="AH26" s="130">
        <f t="shared" si="2"/>
        <v>514800</v>
      </c>
      <c r="AI26" s="230"/>
    </row>
    <row r="27" spans="1:35" s="145" customFormat="1" ht="15" customHeight="1" x14ac:dyDescent="0.25">
      <c r="A27" s="141"/>
      <c r="B27" s="142" t="s">
        <v>120</v>
      </c>
      <c r="C27" s="143">
        <f>SUM(C8:C26)</f>
        <v>57958819.698668465</v>
      </c>
      <c r="D27" s="143">
        <f>SUM(D8:D26)</f>
        <v>0</v>
      </c>
      <c r="E27" s="144">
        <f t="shared" ref="E27:E61" si="11">C27+D27</f>
        <v>57958819.698668465</v>
      </c>
      <c r="F27" s="143">
        <f t="shared" ref="F27:G27" si="12">SUM(F8:F26)</f>
        <v>0</v>
      </c>
      <c r="G27" s="143">
        <f t="shared" si="12"/>
        <v>0</v>
      </c>
      <c r="H27" s="144">
        <f>SUM(H8:H26)</f>
        <v>4479536</v>
      </c>
      <c r="I27" s="144">
        <f>SUM(I8:I26)</f>
        <v>3405187.5999999996</v>
      </c>
      <c r="J27" s="144">
        <f>SUM(J8:J26)</f>
        <v>54553632.098668464</v>
      </c>
      <c r="K27" s="144">
        <f t="shared" ref="K27:N27" si="13">SUM(K8:K26)</f>
        <v>0</v>
      </c>
      <c r="L27" s="144">
        <f t="shared" si="13"/>
        <v>0</v>
      </c>
      <c r="M27" s="144">
        <f t="shared" si="13"/>
        <v>0</v>
      </c>
      <c r="N27" s="144">
        <f t="shared" si="13"/>
        <v>0</v>
      </c>
      <c r="O27" s="144">
        <f>SUM(O8:O26)</f>
        <v>57958819.698668465</v>
      </c>
      <c r="P27" s="144">
        <f>SUM(P8:P26)</f>
        <v>54553632.098668464</v>
      </c>
      <c r="Q27" s="144">
        <f>SUM(Q8:Q26)</f>
        <v>4075431.4398800004</v>
      </c>
      <c r="R27" s="144">
        <f>SUM(R8:R26)</f>
        <v>3201298.0399999996</v>
      </c>
      <c r="S27" s="144">
        <f>SUM(S8:S26)</f>
        <v>51352334.058668457</v>
      </c>
      <c r="T27" s="144">
        <f t="shared" ref="T27:W27" si="14">SUM(T8:T26)</f>
        <v>0</v>
      </c>
      <c r="U27" s="144">
        <f t="shared" si="14"/>
        <v>0</v>
      </c>
      <c r="V27" s="144">
        <f t="shared" si="14"/>
        <v>0</v>
      </c>
      <c r="W27" s="144">
        <f t="shared" si="14"/>
        <v>0</v>
      </c>
      <c r="X27" s="144">
        <f>SUM(X8:X26)</f>
        <v>57958819.698668465</v>
      </c>
      <c r="Y27" s="144">
        <f>SUM(Y8:Y26)</f>
        <v>51352334.058668457</v>
      </c>
      <c r="Z27" s="144">
        <f>SUM(Z8:Z26)</f>
        <v>4349668.0469599999</v>
      </c>
      <c r="AA27" s="144">
        <f>SUM(AA8:AA26)</f>
        <v>3490113.82</v>
      </c>
      <c r="AB27" s="144">
        <f t="shared" ref="AB27:AE27" si="15">SUM(AB8:AB26)</f>
        <v>250000</v>
      </c>
      <c r="AC27" s="144">
        <f t="shared" si="15"/>
        <v>250000</v>
      </c>
      <c r="AD27" s="144">
        <f t="shared" si="15"/>
        <v>0</v>
      </c>
      <c r="AE27" s="144">
        <f t="shared" si="15"/>
        <v>0</v>
      </c>
      <c r="AF27" s="144">
        <f>SUM(AF8:AF26)</f>
        <v>57958819.698668465</v>
      </c>
      <c r="AG27" s="144">
        <f>SUM(AG8:AG26)</f>
        <v>10096599.459999999</v>
      </c>
      <c r="AH27" s="144">
        <f>SUM(AH8:AH26)</f>
        <v>47862220.238668464</v>
      </c>
    </row>
    <row r="28" spans="1:35" s="131" customFormat="1" ht="15.75" x14ac:dyDescent="0.25">
      <c r="A28" s="138">
        <v>2111</v>
      </c>
      <c r="B28" s="146" t="s">
        <v>121</v>
      </c>
      <c r="C28" s="135">
        <v>100182.24320000001</v>
      </c>
      <c r="D28" s="135"/>
      <c r="E28" s="135">
        <f t="shared" si="11"/>
        <v>100182.24320000001</v>
      </c>
      <c r="F28" s="135"/>
      <c r="G28" s="135"/>
      <c r="H28" s="130">
        <v>8349</v>
      </c>
      <c r="I28" s="130">
        <v>9912.9699999999993</v>
      </c>
      <c r="J28" s="130">
        <f t="shared" si="4"/>
        <v>90269.273200000011</v>
      </c>
      <c r="K28" s="130"/>
      <c r="L28" s="130"/>
      <c r="M28" s="130"/>
      <c r="N28" s="130"/>
      <c r="O28" s="130">
        <f t="shared" si="5"/>
        <v>100182.24320000001</v>
      </c>
      <c r="P28" s="130">
        <f t="shared" si="6"/>
        <v>90269.273200000011</v>
      </c>
      <c r="Q28" s="130">
        <v>7255</v>
      </c>
      <c r="R28" s="130">
        <v>7559.94</v>
      </c>
      <c r="S28" s="231">
        <f t="shared" si="7"/>
        <v>82709.333200000008</v>
      </c>
      <c r="T28" s="130"/>
      <c r="U28" s="130"/>
      <c r="V28" s="130"/>
      <c r="W28" s="130"/>
      <c r="X28" s="130">
        <f t="shared" si="8"/>
        <v>100182.24320000001</v>
      </c>
      <c r="Y28" s="130">
        <f t="shared" si="10"/>
        <v>82709.333200000008</v>
      </c>
      <c r="Z28" s="130">
        <v>15650</v>
      </c>
      <c r="AA28" s="130">
        <v>12240.1</v>
      </c>
      <c r="AB28" s="130"/>
      <c r="AC28" s="130"/>
      <c r="AD28" s="130"/>
      <c r="AE28" s="130"/>
      <c r="AF28" s="130">
        <f t="shared" si="9"/>
        <v>100182.24320000001</v>
      </c>
      <c r="AG28" s="130">
        <f t="shared" ref="AG28:AG91" si="16">I28+R28+AA28</f>
        <v>29713.010000000002</v>
      </c>
      <c r="AH28" s="130">
        <f t="shared" si="2"/>
        <v>70469.233200000002</v>
      </c>
      <c r="AI28" s="230"/>
    </row>
    <row r="29" spans="1:35" s="131" customFormat="1" ht="30.75" x14ac:dyDescent="0.25">
      <c r="A29" s="138">
        <v>2141</v>
      </c>
      <c r="B29" s="147" t="s">
        <v>122</v>
      </c>
      <c r="C29" s="135">
        <v>25000</v>
      </c>
      <c r="D29" s="135"/>
      <c r="E29" s="135">
        <f t="shared" si="11"/>
        <v>25000</v>
      </c>
      <c r="F29" s="135"/>
      <c r="G29" s="135"/>
      <c r="H29" s="130"/>
      <c r="I29" s="130"/>
      <c r="J29" s="130">
        <f t="shared" si="4"/>
        <v>25000</v>
      </c>
      <c r="K29" s="130"/>
      <c r="L29" s="130"/>
      <c r="M29" s="130"/>
      <c r="N29" s="130"/>
      <c r="O29" s="130">
        <f t="shared" si="5"/>
        <v>25000</v>
      </c>
      <c r="P29" s="130">
        <f t="shared" si="6"/>
        <v>25000</v>
      </c>
      <c r="Q29" s="130"/>
      <c r="R29" s="130"/>
      <c r="S29" s="231">
        <f t="shared" si="7"/>
        <v>25000</v>
      </c>
      <c r="T29" s="130"/>
      <c r="U29" s="130"/>
      <c r="V29" s="130"/>
      <c r="W29" s="130"/>
      <c r="X29" s="130">
        <f t="shared" si="8"/>
        <v>25000</v>
      </c>
      <c r="Y29" s="130">
        <f t="shared" si="10"/>
        <v>25000</v>
      </c>
      <c r="Z29" s="130">
        <v>0</v>
      </c>
      <c r="AA29" s="130"/>
      <c r="AB29" s="130"/>
      <c r="AC29" s="130"/>
      <c r="AD29" s="130"/>
      <c r="AE29" s="130"/>
      <c r="AF29" s="130">
        <f t="shared" si="9"/>
        <v>25000</v>
      </c>
      <c r="AG29" s="130">
        <f t="shared" si="16"/>
        <v>0</v>
      </c>
      <c r="AH29" s="130">
        <f t="shared" si="2"/>
        <v>25000</v>
      </c>
      <c r="AI29" s="230"/>
    </row>
    <row r="30" spans="1:35" s="131" customFormat="1" ht="15.75" x14ac:dyDescent="0.25">
      <c r="A30" s="138">
        <v>2161</v>
      </c>
      <c r="B30" s="146" t="s">
        <v>123</v>
      </c>
      <c r="C30" s="135">
        <v>899616.66080000007</v>
      </c>
      <c r="D30" s="135"/>
      <c r="E30" s="135">
        <f t="shared" si="11"/>
        <v>899616.66080000007</v>
      </c>
      <c r="F30" s="135"/>
      <c r="G30" s="135"/>
      <c r="H30" s="130">
        <v>64686.06</v>
      </c>
      <c r="I30" s="130">
        <v>62801.919999999998</v>
      </c>
      <c r="J30" s="130">
        <f t="shared" si="4"/>
        <v>836814.74080000003</v>
      </c>
      <c r="K30" s="130"/>
      <c r="L30" s="130"/>
      <c r="M30" s="130"/>
      <c r="N30" s="130"/>
      <c r="O30" s="130">
        <f t="shared" si="5"/>
        <v>899616.66080000007</v>
      </c>
      <c r="P30" s="130">
        <f t="shared" si="6"/>
        <v>836814.74080000003</v>
      </c>
      <c r="Q30" s="130">
        <v>60025</v>
      </c>
      <c r="R30" s="130">
        <v>59924.28</v>
      </c>
      <c r="S30" s="231">
        <f t="shared" si="7"/>
        <v>776890.4608</v>
      </c>
      <c r="T30" s="130"/>
      <c r="U30" s="130"/>
      <c r="V30" s="130"/>
      <c r="W30" s="130"/>
      <c r="X30" s="130">
        <f t="shared" si="8"/>
        <v>899616.66080000007</v>
      </c>
      <c r="Y30" s="130">
        <f t="shared" si="10"/>
        <v>776890.4608</v>
      </c>
      <c r="Z30" s="130">
        <v>88501</v>
      </c>
      <c r="AA30" s="130">
        <v>86493.52</v>
      </c>
      <c r="AB30" s="130"/>
      <c r="AC30" s="130"/>
      <c r="AD30" s="130"/>
      <c r="AE30" s="130"/>
      <c r="AF30" s="130">
        <f t="shared" si="9"/>
        <v>899616.66080000007</v>
      </c>
      <c r="AG30" s="130">
        <f t="shared" si="16"/>
        <v>209219.72</v>
      </c>
      <c r="AH30" s="130">
        <f t="shared" si="2"/>
        <v>690396.94079999998</v>
      </c>
      <c r="AI30" s="230"/>
    </row>
    <row r="31" spans="1:35" s="131" customFormat="1" ht="15" customHeight="1" x14ac:dyDescent="0.25">
      <c r="A31" s="138">
        <v>2171</v>
      </c>
      <c r="B31" s="146" t="s">
        <v>124</v>
      </c>
      <c r="C31" s="135">
        <v>243450</v>
      </c>
      <c r="D31" s="135">
        <v>10000</v>
      </c>
      <c r="E31" s="135">
        <f t="shared" si="11"/>
        <v>253450</v>
      </c>
      <c r="F31" s="135"/>
      <c r="G31" s="135"/>
      <c r="H31" s="130">
        <f t="shared" ref="H31" si="17">C31/12</f>
        <v>20287.5</v>
      </c>
      <c r="I31" s="130">
        <v>24423.87</v>
      </c>
      <c r="J31" s="130">
        <f t="shared" si="4"/>
        <v>229026.13</v>
      </c>
      <c r="K31" s="130"/>
      <c r="L31" s="130"/>
      <c r="M31" s="130"/>
      <c r="N31" s="130"/>
      <c r="O31" s="130">
        <f t="shared" si="5"/>
        <v>253450</v>
      </c>
      <c r="P31" s="130">
        <f t="shared" si="6"/>
        <v>229026.13</v>
      </c>
      <c r="Q31" s="130">
        <v>16512</v>
      </c>
      <c r="R31" s="130">
        <v>15380.63</v>
      </c>
      <c r="S31" s="231">
        <f t="shared" si="7"/>
        <v>213645.5</v>
      </c>
      <c r="T31" s="130"/>
      <c r="U31" s="130"/>
      <c r="V31" s="130"/>
      <c r="W31" s="130"/>
      <c r="X31" s="130">
        <f t="shared" si="8"/>
        <v>253450</v>
      </c>
      <c r="Y31" s="130">
        <f t="shared" si="10"/>
        <v>213645.5</v>
      </c>
      <c r="Z31" s="130">
        <v>49210</v>
      </c>
      <c r="AA31" s="130">
        <v>47775.08</v>
      </c>
      <c r="AB31" s="130"/>
      <c r="AC31" s="130"/>
      <c r="AD31" s="130"/>
      <c r="AE31" s="130"/>
      <c r="AF31" s="130">
        <f t="shared" si="9"/>
        <v>253450</v>
      </c>
      <c r="AG31" s="130">
        <f t="shared" si="16"/>
        <v>87579.58</v>
      </c>
      <c r="AH31" s="130">
        <f t="shared" si="2"/>
        <v>165870.41999999998</v>
      </c>
      <c r="AI31" s="230"/>
    </row>
    <row r="32" spans="1:35" s="131" customFormat="1" ht="45.75" x14ac:dyDescent="0.25">
      <c r="A32" s="138">
        <v>2212</v>
      </c>
      <c r="B32" s="147" t="s">
        <v>125</v>
      </c>
      <c r="C32" s="140">
        <v>5305045.78</v>
      </c>
      <c r="D32" s="135">
        <v>1000000</v>
      </c>
      <c r="E32" s="135">
        <f t="shared" si="11"/>
        <v>6305045.7800000003</v>
      </c>
      <c r="F32" s="135"/>
      <c r="G32" s="135"/>
      <c r="H32" s="130">
        <v>442087.16</v>
      </c>
      <c r="I32" s="130">
        <v>269517.18</v>
      </c>
      <c r="J32" s="130">
        <f t="shared" si="4"/>
        <v>6035528.6000000006</v>
      </c>
      <c r="K32" s="130"/>
      <c r="L32" s="130"/>
      <c r="M32" s="130"/>
      <c r="N32" s="130"/>
      <c r="O32" s="130">
        <f t="shared" si="5"/>
        <v>6305045.7800000003</v>
      </c>
      <c r="P32" s="130">
        <f t="shared" si="6"/>
        <v>6035528.6000000006</v>
      </c>
      <c r="Q32" s="130">
        <v>286915</v>
      </c>
      <c r="R32" s="130">
        <v>284219.88</v>
      </c>
      <c r="S32" s="231">
        <f t="shared" si="7"/>
        <v>5751308.7200000007</v>
      </c>
      <c r="T32" s="130"/>
      <c r="U32" s="130"/>
      <c r="V32" s="130"/>
      <c r="W32" s="130"/>
      <c r="X32" s="130">
        <f t="shared" si="8"/>
        <v>6305045.7800000003</v>
      </c>
      <c r="Y32" s="130">
        <f t="shared" si="10"/>
        <v>5751308.7200000007</v>
      </c>
      <c r="Z32" s="130">
        <v>341017</v>
      </c>
      <c r="AA32" s="130">
        <v>337908.13</v>
      </c>
      <c r="AB32" s="130"/>
      <c r="AC32" s="130"/>
      <c r="AD32" s="130"/>
      <c r="AE32" s="130"/>
      <c r="AF32" s="130">
        <f t="shared" si="9"/>
        <v>6305045.7800000003</v>
      </c>
      <c r="AG32" s="130">
        <f t="shared" si="16"/>
        <v>891645.19000000006</v>
      </c>
      <c r="AH32" s="130">
        <f t="shared" si="2"/>
        <v>5413400.5900000008</v>
      </c>
      <c r="AI32" s="230"/>
    </row>
    <row r="33" spans="1:35" s="131" customFormat="1" ht="30.75" x14ac:dyDescent="0.25">
      <c r="A33" s="138">
        <v>2214</v>
      </c>
      <c r="B33" s="147" t="s">
        <v>126</v>
      </c>
      <c r="C33" s="135">
        <f>1076260.9312</f>
        <v>1076260.9312</v>
      </c>
      <c r="D33" s="148"/>
      <c r="E33" s="135">
        <f t="shared" si="11"/>
        <v>1076260.9312</v>
      </c>
      <c r="F33" s="135"/>
      <c r="G33" s="135"/>
      <c r="H33" s="130">
        <v>69400.37</v>
      </c>
      <c r="I33" s="130">
        <v>67379.3</v>
      </c>
      <c r="J33" s="130">
        <f t="shared" si="4"/>
        <v>1008881.6311999999</v>
      </c>
      <c r="K33" s="130"/>
      <c r="L33" s="130"/>
      <c r="M33" s="130"/>
      <c r="N33" s="130"/>
      <c r="O33" s="130">
        <f t="shared" si="5"/>
        <v>1076260.9312</v>
      </c>
      <c r="P33" s="130">
        <f t="shared" si="6"/>
        <v>1008881.6311999999</v>
      </c>
      <c r="Q33" s="130">
        <v>73515</v>
      </c>
      <c r="R33" s="130">
        <v>71054.97</v>
      </c>
      <c r="S33" s="231">
        <f t="shared" si="7"/>
        <v>937826.66119999997</v>
      </c>
      <c r="T33" s="130"/>
      <c r="U33" s="130"/>
      <c r="V33" s="130"/>
      <c r="W33" s="130"/>
      <c r="X33" s="130">
        <f t="shared" si="8"/>
        <v>1076260.9312</v>
      </c>
      <c r="Y33" s="130">
        <f t="shared" si="10"/>
        <v>937826.66119999997</v>
      </c>
      <c r="Z33" s="130">
        <v>86508</v>
      </c>
      <c r="AA33" s="130">
        <v>84477.03</v>
      </c>
      <c r="AB33" s="130"/>
      <c r="AC33" s="130"/>
      <c r="AD33" s="130"/>
      <c r="AE33" s="130"/>
      <c r="AF33" s="130">
        <f t="shared" si="9"/>
        <v>1076260.9312</v>
      </c>
      <c r="AG33" s="130">
        <f t="shared" si="16"/>
        <v>222911.30000000002</v>
      </c>
      <c r="AH33" s="130">
        <f t="shared" si="2"/>
        <v>853349.63119999995</v>
      </c>
      <c r="AI33" s="230"/>
    </row>
    <row r="34" spans="1:35" s="131" customFormat="1" ht="15.75" x14ac:dyDescent="0.25">
      <c r="A34" s="138">
        <v>2231</v>
      </c>
      <c r="B34" s="146" t="s">
        <v>127</v>
      </c>
      <c r="C34" s="135">
        <v>155673</v>
      </c>
      <c r="D34" s="148"/>
      <c r="E34" s="135">
        <f t="shared" si="11"/>
        <v>155673</v>
      </c>
      <c r="F34" s="135"/>
      <c r="G34" s="135"/>
      <c r="H34" s="130">
        <v>4482.5600000000004</v>
      </c>
      <c r="I34" s="130">
        <v>4352.1499999999996</v>
      </c>
      <c r="J34" s="130">
        <f t="shared" si="4"/>
        <v>151320.85</v>
      </c>
      <c r="K34" s="130"/>
      <c r="L34" s="130"/>
      <c r="M34" s="130"/>
      <c r="N34" s="130"/>
      <c r="O34" s="130">
        <f t="shared" si="5"/>
        <v>155673</v>
      </c>
      <c r="P34" s="130">
        <f t="shared" si="6"/>
        <v>151320.85</v>
      </c>
      <c r="Q34" s="130">
        <v>15708</v>
      </c>
      <c r="R34" s="130">
        <v>13771.87</v>
      </c>
      <c r="S34" s="231">
        <f t="shared" si="7"/>
        <v>137548.98000000001</v>
      </c>
      <c r="T34" s="130"/>
      <c r="U34" s="130"/>
      <c r="V34" s="130"/>
      <c r="W34" s="130"/>
      <c r="X34" s="130">
        <f t="shared" si="8"/>
        <v>155673</v>
      </c>
      <c r="Y34" s="130">
        <f t="shared" si="10"/>
        <v>137548.98000000001</v>
      </c>
      <c r="Z34" s="130">
        <v>6504</v>
      </c>
      <c r="AA34" s="130">
        <v>5571.97</v>
      </c>
      <c r="AB34" s="130"/>
      <c r="AC34" s="130"/>
      <c r="AD34" s="130"/>
      <c r="AE34" s="130"/>
      <c r="AF34" s="130">
        <f t="shared" si="9"/>
        <v>155673</v>
      </c>
      <c r="AG34" s="130">
        <f t="shared" si="16"/>
        <v>23695.99</v>
      </c>
      <c r="AH34" s="130">
        <f t="shared" si="2"/>
        <v>131977.01</v>
      </c>
      <c r="AI34" s="230"/>
    </row>
    <row r="35" spans="1:35" s="131" customFormat="1" ht="15" customHeight="1" x14ac:dyDescent="0.25">
      <c r="A35" s="138">
        <v>2411</v>
      </c>
      <c r="B35" s="146" t="s">
        <v>128</v>
      </c>
      <c r="C35" s="135">
        <v>112500</v>
      </c>
      <c r="D35" s="135"/>
      <c r="E35" s="135">
        <f t="shared" si="11"/>
        <v>112500</v>
      </c>
      <c r="F35" s="135"/>
      <c r="G35" s="135"/>
      <c r="H35" s="130"/>
      <c r="I35" s="130">
        <f>17643.78+708.26</f>
        <v>18352.039999999997</v>
      </c>
      <c r="J35" s="130">
        <f t="shared" si="4"/>
        <v>94147.96</v>
      </c>
      <c r="K35" s="130"/>
      <c r="L35" s="130"/>
      <c r="M35" s="130"/>
      <c r="N35" s="130"/>
      <c r="O35" s="130">
        <f t="shared" si="5"/>
        <v>112500</v>
      </c>
      <c r="P35" s="130">
        <f t="shared" si="6"/>
        <v>94147.96</v>
      </c>
      <c r="Q35" s="130"/>
      <c r="R35" s="130">
        <v>5299.98</v>
      </c>
      <c r="S35" s="231">
        <f t="shared" si="7"/>
        <v>88847.98000000001</v>
      </c>
      <c r="T35" s="130"/>
      <c r="U35" s="130"/>
      <c r="V35" s="130"/>
      <c r="W35" s="130"/>
      <c r="X35" s="130">
        <f t="shared" si="8"/>
        <v>112500</v>
      </c>
      <c r="Y35" s="130">
        <f t="shared" si="10"/>
        <v>88847.98000000001</v>
      </c>
      <c r="Z35" s="130">
        <v>1302</v>
      </c>
      <c r="AA35" s="130">
        <v>1175.2</v>
      </c>
      <c r="AB35" s="130"/>
      <c r="AC35" s="130"/>
      <c r="AD35" s="130"/>
      <c r="AE35" s="130"/>
      <c r="AF35" s="130">
        <f t="shared" si="9"/>
        <v>112500</v>
      </c>
      <c r="AG35" s="130">
        <f t="shared" si="16"/>
        <v>24827.219999999998</v>
      </c>
      <c r="AH35" s="130">
        <f t="shared" si="2"/>
        <v>87672.780000000013</v>
      </c>
      <c r="AI35" s="230"/>
    </row>
    <row r="36" spans="1:35" s="131" customFormat="1" ht="15.75" x14ac:dyDescent="0.25">
      <c r="A36" s="138">
        <v>2421</v>
      </c>
      <c r="B36" s="146" t="s">
        <v>129</v>
      </c>
      <c r="C36" s="135">
        <v>125000</v>
      </c>
      <c r="D36" s="135"/>
      <c r="E36" s="135">
        <f t="shared" si="11"/>
        <v>125000</v>
      </c>
      <c r="F36" s="135"/>
      <c r="G36" s="135"/>
      <c r="H36" s="130"/>
      <c r="I36" s="130">
        <v>2517.4499999999998</v>
      </c>
      <c r="J36" s="130">
        <f t="shared" si="4"/>
        <v>122482.55</v>
      </c>
      <c r="K36" s="130"/>
      <c r="L36" s="130"/>
      <c r="M36" s="130"/>
      <c r="N36" s="130"/>
      <c r="O36" s="130">
        <f t="shared" si="5"/>
        <v>125000</v>
      </c>
      <c r="P36" s="130">
        <f t="shared" si="6"/>
        <v>122482.55</v>
      </c>
      <c r="Q36" s="130"/>
      <c r="R36" s="130"/>
      <c r="S36" s="231">
        <f t="shared" si="7"/>
        <v>122482.55</v>
      </c>
      <c r="T36" s="130"/>
      <c r="U36" s="130"/>
      <c r="V36" s="130"/>
      <c r="W36" s="130"/>
      <c r="X36" s="130">
        <f t="shared" si="8"/>
        <v>125000</v>
      </c>
      <c r="Y36" s="130">
        <f t="shared" si="10"/>
        <v>122482.55</v>
      </c>
      <c r="Z36" s="130"/>
      <c r="AA36" s="130"/>
      <c r="AB36" s="130"/>
      <c r="AC36" s="130"/>
      <c r="AD36" s="130"/>
      <c r="AE36" s="130"/>
      <c r="AF36" s="130">
        <f t="shared" si="9"/>
        <v>125000</v>
      </c>
      <c r="AG36" s="130">
        <f t="shared" si="16"/>
        <v>2517.4499999999998</v>
      </c>
      <c r="AH36" s="130">
        <f t="shared" si="2"/>
        <v>122482.55</v>
      </c>
      <c r="AI36" s="230"/>
    </row>
    <row r="37" spans="1:35" s="131" customFormat="1" ht="15" customHeight="1" x14ac:dyDescent="0.25">
      <c r="A37" s="138">
        <v>2431</v>
      </c>
      <c r="B37" s="146" t="s">
        <v>130</v>
      </c>
      <c r="C37" s="135">
        <v>95000</v>
      </c>
      <c r="D37" s="135"/>
      <c r="E37" s="135">
        <f t="shared" si="11"/>
        <v>95000</v>
      </c>
      <c r="F37" s="135"/>
      <c r="G37" s="135"/>
      <c r="H37" s="130"/>
      <c r="I37" s="130"/>
      <c r="J37" s="130">
        <f t="shared" si="4"/>
        <v>95000</v>
      </c>
      <c r="K37" s="130"/>
      <c r="L37" s="130"/>
      <c r="M37" s="130"/>
      <c r="N37" s="130"/>
      <c r="O37" s="130">
        <f t="shared" si="5"/>
        <v>95000</v>
      </c>
      <c r="P37" s="130">
        <f t="shared" si="6"/>
        <v>95000</v>
      </c>
      <c r="Q37" s="130"/>
      <c r="R37" s="130"/>
      <c r="S37" s="231">
        <f t="shared" si="7"/>
        <v>95000</v>
      </c>
      <c r="T37" s="130"/>
      <c r="U37" s="130"/>
      <c r="V37" s="130"/>
      <c r="W37" s="130"/>
      <c r="X37" s="130">
        <f t="shared" si="8"/>
        <v>95000</v>
      </c>
      <c r="Y37" s="130">
        <f t="shared" si="10"/>
        <v>95000</v>
      </c>
      <c r="Z37" s="130"/>
      <c r="AA37" s="130"/>
      <c r="AB37" s="130"/>
      <c r="AC37" s="130"/>
      <c r="AD37" s="130"/>
      <c r="AE37" s="130"/>
      <c r="AF37" s="130">
        <f t="shared" si="9"/>
        <v>95000</v>
      </c>
      <c r="AG37" s="130">
        <f t="shared" si="16"/>
        <v>0</v>
      </c>
      <c r="AH37" s="130">
        <f t="shared" si="2"/>
        <v>95000</v>
      </c>
      <c r="AI37" s="230"/>
    </row>
    <row r="38" spans="1:35" s="131" customFormat="1" ht="15.75" x14ac:dyDescent="0.25">
      <c r="A38" s="138">
        <v>2441</v>
      </c>
      <c r="B38" s="146" t="s">
        <v>131</v>
      </c>
      <c r="C38" s="135">
        <v>85000</v>
      </c>
      <c r="D38" s="135"/>
      <c r="E38" s="135">
        <f t="shared" si="11"/>
        <v>85000</v>
      </c>
      <c r="F38" s="135"/>
      <c r="G38" s="135"/>
      <c r="H38" s="130"/>
      <c r="I38" s="130">
        <v>11535.94</v>
      </c>
      <c r="J38" s="130">
        <f t="shared" si="4"/>
        <v>73464.06</v>
      </c>
      <c r="K38" s="130"/>
      <c r="L38" s="130"/>
      <c r="M38" s="130"/>
      <c r="N38" s="130"/>
      <c r="O38" s="130">
        <f t="shared" si="5"/>
        <v>85000</v>
      </c>
      <c r="P38" s="130">
        <f t="shared" si="6"/>
        <v>73464.06</v>
      </c>
      <c r="Q38" s="130"/>
      <c r="R38" s="130"/>
      <c r="S38" s="231">
        <f t="shared" si="7"/>
        <v>73464.06</v>
      </c>
      <c r="T38" s="130"/>
      <c r="U38" s="130"/>
      <c r="V38" s="130"/>
      <c r="W38" s="130"/>
      <c r="X38" s="130">
        <f t="shared" si="8"/>
        <v>85000</v>
      </c>
      <c r="Y38" s="130">
        <f t="shared" si="10"/>
        <v>73464.06</v>
      </c>
      <c r="Z38" s="130"/>
      <c r="AA38" s="130"/>
      <c r="AB38" s="130"/>
      <c r="AC38" s="130"/>
      <c r="AD38" s="130"/>
      <c r="AE38" s="130"/>
      <c r="AF38" s="130">
        <f t="shared" si="9"/>
        <v>85000</v>
      </c>
      <c r="AG38" s="130">
        <f t="shared" si="16"/>
        <v>11535.94</v>
      </c>
      <c r="AH38" s="130">
        <f t="shared" si="2"/>
        <v>73464.06</v>
      </c>
      <c r="AI38" s="230"/>
    </row>
    <row r="39" spans="1:35" s="131" customFormat="1" ht="15" customHeight="1" x14ac:dyDescent="0.25">
      <c r="A39" s="138">
        <v>2451</v>
      </c>
      <c r="B39" s="146" t="s">
        <v>132</v>
      </c>
      <c r="C39" s="135">
        <v>105000</v>
      </c>
      <c r="D39" s="148"/>
      <c r="E39" s="135">
        <f t="shared" si="11"/>
        <v>105000</v>
      </c>
      <c r="F39" s="135"/>
      <c r="G39" s="135"/>
      <c r="H39" s="130"/>
      <c r="I39" s="130"/>
      <c r="J39" s="130">
        <f t="shared" si="4"/>
        <v>105000</v>
      </c>
      <c r="K39" s="130"/>
      <c r="L39" s="130"/>
      <c r="M39" s="130"/>
      <c r="N39" s="130"/>
      <c r="O39" s="130">
        <f t="shared" si="5"/>
        <v>105000</v>
      </c>
      <c r="P39" s="130">
        <f t="shared" si="6"/>
        <v>105000</v>
      </c>
      <c r="Q39" s="130"/>
      <c r="R39" s="130"/>
      <c r="S39" s="231">
        <f t="shared" si="7"/>
        <v>105000</v>
      </c>
      <c r="T39" s="130"/>
      <c r="U39" s="130"/>
      <c r="V39" s="130"/>
      <c r="W39" s="130"/>
      <c r="X39" s="130">
        <f t="shared" si="8"/>
        <v>105000</v>
      </c>
      <c r="Y39" s="130">
        <f t="shared" si="10"/>
        <v>105000</v>
      </c>
      <c r="Z39" s="130"/>
      <c r="AA39" s="130"/>
      <c r="AB39" s="130"/>
      <c r="AC39" s="130"/>
      <c r="AD39" s="130"/>
      <c r="AE39" s="130"/>
      <c r="AF39" s="130">
        <f t="shared" si="9"/>
        <v>105000</v>
      </c>
      <c r="AG39" s="130">
        <f t="shared" si="16"/>
        <v>0</v>
      </c>
      <c r="AH39" s="130">
        <f t="shared" si="2"/>
        <v>105000</v>
      </c>
      <c r="AI39" s="230"/>
    </row>
    <row r="40" spans="1:35" s="131" customFormat="1" ht="15.75" x14ac:dyDescent="0.25">
      <c r="A40" s="138">
        <v>2461</v>
      </c>
      <c r="B40" s="146" t="s">
        <v>133</v>
      </c>
      <c r="C40" s="135">
        <f>229928*1.2</f>
        <v>275913.59999999998</v>
      </c>
      <c r="D40" s="148"/>
      <c r="E40" s="135">
        <f t="shared" si="11"/>
        <v>275913.59999999998</v>
      </c>
      <c r="F40" s="135"/>
      <c r="G40" s="135"/>
      <c r="H40" s="130">
        <v>6106.87</v>
      </c>
      <c r="I40" s="130">
        <v>5929.22</v>
      </c>
      <c r="J40" s="130">
        <f t="shared" si="4"/>
        <v>269984.38</v>
      </c>
      <c r="K40" s="130"/>
      <c r="L40" s="130"/>
      <c r="M40" s="130"/>
      <c r="N40" s="130"/>
      <c r="O40" s="130">
        <f t="shared" si="5"/>
        <v>275913.59999999998</v>
      </c>
      <c r="P40" s="130">
        <f t="shared" si="6"/>
        <v>269984.38</v>
      </c>
      <c r="Q40" s="130">
        <v>7380</v>
      </c>
      <c r="R40" s="130">
        <v>7261.92</v>
      </c>
      <c r="S40" s="231">
        <f t="shared" si="7"/>
        <v>262722.46000000002</v>
      </c>
      <c r="T40" s="130"/>
      <c r="U40" s="130"/>
      <c r="V40" s="130"/>
      <c r="W40" s="130"/>
      <c r="X40" s="130">
        <f t="shared" si="8"/>
        <v>275913.59999999998</v>
      </c>
      <c r="Y40" s="130">
        <f t="shared" si="10"/>
        <v>262722.46000000002</v>
      </c>
      <c r="Z40" s="130">
        <v>21401</v>
      </c>
      <c r="AA40" s="130">
        <v>21276.55</v>
      </c>
      <c r="AB40" s="130"/>
      <c r="AC40" s="130"/>
      <c r="AD40" s="130"/>
      <c r="AE40" s="130"/>
      <c r="AF40" s="130">
        <f t="shared" si="9"/>
        <v>275913.59999999998</v>
      </c>
      <c r="AG40" s="130">
        <f t="shared" si="16"/>
        <v>34467.69</v>
      </c>
      <c r="AH40" s="130">
        <f t="shared" si="2"/>
        <v>241445.91000000003</v>
      </c>
      <c r="AI40" s="230"/>
    </row>
    <row r="41" spans="1:35" s="131" customFormat="1" ht="15" customHeight="1" x14ac:dyDescent="0.25">
      <c r="A41" s="138">
        <v>2471</v>
      </c>
      <c r="B41" s="146" t="s">
        <v>134</v>
      </c>
      <c r="C41" s="135">
        <f>29110.37+1.2</f>
        <v>29111.57</v>
      </c>
      <c r="D41" s="135"/>
      <c r="E41" s="135">
        <f t="shared" si="11"/>
        <v>29111.57</v>
      </c>
      <c r="F41" s="135"/>
      <c r="G41" s="135"/>
      <c r="H41" s="130">
        <v>47290.39</v>
      </c>
      <c r="I41" s="130">
        <f>9806.64+3701.22</f>
        <v>13507.859999999999</v>
      </c>
      <c r="J41" s="130">
        <f t="shared" si="4"/>
        <v>15603.710000000001</v>
      </c>
      <c r="K41" s="130"/>
      <c r="L41" s="130"/>
      <c r="M41" s="130"/>
      <c r="N41" s="130"/>
      <c r="O41" s="130">
        <f t="shared" si="5"/>
        <v>29111.57</v>
      </c>
      <c r="P41" s="130">
        <f t="shared" si="6"/>
        <v>15603.710000000001</v>
      </c>
      <c r="Q41" s="130">
        <v>8795</v>
      </c>
      <c r="R41" s="130">
        <v>3234.71</v>
      </c>
      <c r="S41" s="231">
        <f t="shared" si="7"/>
        <v>12369</v>
      </c>
      <c r="T41" s="130"/>
      <c r="U41" s="130"/>
      <c r="V41" s="130"/>
      <c r="W41" s="130"/>
      <c r="X41" s="130">
        <f t="shared" si="8"/>
        <v>29111.57</v>
      </c>
      <c r="Y41" s="130">
        <f t="shared" si="10"/>
        <v>12369</v>
      </c>
      <c r="Z41" s="130">
        <v>1905</v>
      </c>
      <c r="AA41" s="130">
        <v>1756.58</v>
      </c>
      <c r="AB41" s="130"/>
      <c r="AC41" s="130"/>
      <c r="AD41" s="130"/>
      <c r="AE41" s="130"/>
      <c r="AF41" s="130">
        <f t="shared" si="9"/>
        <v>29111.57</v>
      </c>
      <c r="AG41" s="130">
        <f t="shared" si="16"/>
        <v>18499.150000000001</v>
      </c>
      <c r="AH41" s="130">
        <f t="shared" si="2"/>
        <v>10612.42</v>
      </c>
      <c r="AI41" s="230"/>
    </row>
    <row r="42" spans="1:35" s="131" customFormat="1" ht="15.75" x14ac:dyDescent="0.25">
      <c r="A42" s="138">
        <v>2481</v>
      </c>
      <c r="B42" s="146" t="s">
        <v>135</v>
      </c>
      <c r="C42" s="135">
        <v>25000</v>
      </c>
      <c r="D42" s="148"/>
      <c r="E42" s="135">
        <f t="shared" si="11"/>
        <v>25000</v>
      </c>
      <c r="F42" s="135"/>
      <c r="G42" s="135"/>
      <c r="H42" s="130"/>
      <c r="I42" s="130"/>
      <c r="J42" s="130">
        <f t="shared" si="4"/>
        <v>25000</v>
      </c>
      <c r="K42" s="130"/>
      <c r="L42" s="130"/>
      <c r="M42" s="130"/>
      <c r="N42" s="130"/>
      <c r="O42" s="130">
        <f t="shared" si="5"/>
        <v>25000</v>
      </c>
      <c r="P42" s="130">
        <f t="shared" si="6"/>
        <v>25000</v>
      </c>
      <c r="Q42" s="130"/>
      <c r="R42" s="130"/>
      <c r="S42" s="231">
        <f t="shared" si="7"/>
        <v>25000</v>
      </c>
      <c r="T42" s="130"/>
      <c r="U42" s="130"/>
      <c r="V42" s="130"/>
      <c r="W42" s="130"/>
      <c r="X42" s="130">
        <f t="shared" si="8"/>
        <v>25000</v>
      </c>
      <c r="Y42" s="130">
        <f t="shared" si="10"/>
        <v>25000</v>
      </c>
      <c r="Z42" s="130"/>
      <c r="AA42" s="130"/>
      <c r="AB42" s="130"/>
      <c r="AC42" s="130"/>
      <c r="AD42" s="130"/>
      <c r="AE42" s="130"/>
      <c r="AF42" s="130">
        <f t="shared" si="9"/>
        <v>25000</v>
      </c>
      <c r="AG42" s="130">
        <f t="shared" si="16"/>
        <v>0</v>
      </c>
      <c r="AH42" s="130">
        <f t="shared" si="2"/>
        <v>25000</v>
      </c>
      <c r="AI42" s="230"/>
    </row>
    <row r="43" spans="1:35" s="131" customFormat="1" ht="30.75" x14ac:dyDescent="0.25">
      <c r="A43" s="138">
        <v>2491</v>
      </c>
      <c r="B43" s="147" t="s">
        <v>136</v>
      </c>
      <c r="C43" s="135">
        <v>25000</v>
      </c>
      <c r="D43" s="148"/>
      <c r="E43" s="135">
        <f t="shared" si="11"/>
        <v>25000</v>
      </c>
      <c r="F43" s="135"/>
      <c r="G43" s="135"/>
      <c r="H43" s="130"/>
      <c r="I43" s="130"/>
      <c r="J43" s="130">
        <f t="shared" si="4"/>
        <v>25000</v>
      </c>
      <c r="K43" s="130"/>
      <c r="L43" s="130"/>
      <c r="M43" s="130"/>
      <c r="N43" s="130"/>
      <c r="O43" s="130">
        <f t="shared" si="5"/>
        <v>25000</v>
      </c>
      <c r="P43" s="130">
        <f t="shared" si="6"/>
        <v>25000</v>
      </c>
      <c r="Q43" s="130"/>
      <c r="R43" s="130"/>
      <c r="S43" s="231">
        <f t="shared" si="7"/>
        <v>25000</v>
      </c>
      <c r="T43" s="130"/>
      <c r="U43" s="130"/>
      <c r="V43" s="130"/>
      <c r="W43" s="130"/>
      <c r="X43" s="130">
        <f t="shared" si="8"/>
        <v>25000</v>
      </c>
      <c r="Y43" s="130">
        <f t="shared" si="10"/>
        <v>25000</v>
      </c>
      <c r="Z43" s="130"/>
      <c r="AA43" s="130"/>
      <c r="AB43" s="130"/>
      <c r="AC43" s="130"/>
      <c r="AD43" s="130"/>
      <c r="AE43" s="130"/>
      <c r="AF43" s="130">
        <f t="shared" si="9"/>
        <v>25000</v>
      </c>
      <c r="AG43" s="130">
        <f t="shared" si="16"/>
        <v>0</v>
      </c>
      <c r="AH43" s="130">
        <f t="shared" si="2"/>
        <v>25000</v>
      </c>
      <c r="AI43" s="230"/>
    </row>
    <row r="44" spans="1:35" s="131" customFormat="1" ht="15.75" x14ac:dyDescent="0.25">
      <c r="A44" s="138">
        <v>2521</v>
      </c>
      <c r="B44" s="146" t="s">
        <v>137</v>
      </c>
      <c r="C44" s="135">
        <v>0</v>
      </c>
      <c r="D44" s="135">
        <v>20000</v>
      </c>
      <c r="E44" s="135">
        <f t="shared" si="11"/>
        <v>20000</v>
      </c>
      <c r="F44" s="135"/>
      <c r="G44" s="135"/>
      <c r="H44" s="130"/>
      <c r="I44" s="130"/>
      <c r="J44" s="130">
        <f t="shared" si="4"/>
        <v>20000</v>
      </c>
      <c r="K44" s="130"/>
      <c r="L44" s="130"/>
      <c r="M44" s="130"/>
      <c r="N44" s="130"/>
      <c r="O44" s="130">
        <f t="shared" si="5"/>
        <v>20000</v>
      </c>
      <c r="P44" s="130">
        <f t="shared" si="6"/>
        <v>20000</v>
      </c>
      <c r="Q44" s="130"/>
      <c r="R44" s="130"/>
      <c r="S44" s="231">
        <f t="shared" si="7"/>
        <v>20000</v>
      </c>
      <c r="T44" s="130"/>
      <c r="U44" s="130"/>
      <c r="V44" s="130"/>
      <c r="W44" s="130"/>
      <c r="X44" s="130">
        <f t="shared" si="8"/>
        <v>20000</v>
      </c>
      <c r="Y44" s="130">
        <f t="shared" si="10"/>
        <v>20000</v>
      </c>
      <c r="Z44" s="130"/>
      <c r="AA44" s="130"/>
      <c r="AB44" s="130"/>
      <c r="AC44" s="130"/>
      <c r="AD44" s="130"/>
      <c r="AE44" s="130"/>
      <c r="AF44" s="130">
        <f t="shared" si="9"/>
        <v>20000</v>
      </c>
      <c r="AG44" s="130">
        <f t="shared" si="16"/>
        <v>0</v>
      </c>
      <c r="AH44" s="130">
        <f t="shared" si="2"/>
        <v>20000</v>
      </c>
      <c r="AI44" s="230"/>
    </row>
    <row r="45" spans="1:35" s="131" customFormat="1" ht="15" customHeight="1" x14ac:dyDescent="0.25">
      <c r="A45" s="138">
        <v>2531</v>
      </c>
      <c r="B45" s="146" t="s">
        <v>138</v>
      </c>
      <c r="C45" s="135">
        <f>2189939.44</f>
        <v>2189939.44</v>
      </c>
      <c r="D45" s="135">
        <f>350000+25000</f>
        <v>375000</v>
      </c>
      <c r="E45" s="135">
        <f t="shared" si="11"/>
        <v>2564939.44</v>
      </c>
      <c r="F45" s="135"/>
      <c r="G45" s="135"/>
      <c r="H45" s="130">
        <v>123251.86</v>
      </c>
      <c r="I45" s="130">
        <v>119661.78</v>
      </c>
      <c r="J45" s="130">
        <f t="shared" si="4"/>
        <v>2445277.66</v>
      </c>
      <c r="K45" s="130"/>
      <c r="L45" s="130"/>
      <c r="M45" s="130"/>
      <c r="N45" s="130"/>
      <c r="O45" s="130">
        <f t="shared" si="5"/>
        <v>2564939.44</v>
      </c>
      <c r="P45" s="130">
        <f t="shared" si="6"/>
        <v>2445277.66</v>
      </c>
      <c r="Q45" s="130">
        <v>115892</v>
      </c>
      <c r="R45" s="130">
        <v>109267.17</v>
      </c>
      <c r="S45" s="231">
        <f t="shared" si="7"/>
        <v>2336010.4900000002</v>
      </c>
      <c r="T45" s="130"/>
      <c r="U45" s="130"/>
      <c r="V45" s="130"/>
      <c r="W45" s="130"/>
      <c r="X45" s="130">
        <f t="shared" si="8"/>
        <v>2564939.44</v>
      </c>
      <c r="Y45" s="130">
        <f t="shared" si="10"/>
        <v>2336010.4900000002</v>
      </c>
      <c r="Z45" s="130">
        <v>154809</v>
      </c>
      <c r="AA45" s="130">
        <v>153512.51</v>
      </c>
      <c r="AB45" s="130"/>
      <c r="AC45" s="130"/>
      <c r="AD45" s="130"/>
      <c r="AE45" s="130"/>
      <c r="AF45" s="130">
        <f t="shared" si="9"/>
        <v>2564939.44</v>
      </c>
      <c r="AG45" s="130">
        <f t="shared" si="16"/>
        <v>382441.46</v>
      </c>
      <c r="AH45" s="130">
        <f t="shared" si="2"/>
        <v>2182497.9800000004</v>
      </c>
      <c r="AI45" s="230"/>
    </row>
    <row r="46" spans="1:35" s="131" customFormat="1" ht="15.75" x14ac:dyDescent="0.25">
      <c r="A46" s="138">
        <v>2541</v>
      </c>
      <c r="B46" s="146" t="s">
        <v>139</v>
      </c>
      <c r="C46" s="135">
        <v>173372.78399999999</v>
      </c>
      <c r="D46" s="148"/>
      <c r="E46" s="135">
        <f t="shared" si="11"/>
        <v>173372.78399999999</v>
      </c>
      <c r="F46" s="135"/>
      <c r="G46" s="135"/>
      <c r="H46" s="130">
        <v>12137.52</v>
      </c>
      <c r="I46" s="130">
        <v>11784.32</v>
      </c>
      <c r="J46" s="130">
        <f t="shared" si="4"/>
        <v>161588.46399999998</v>
      </c>
      <c r="K46" s="130"/>
      <c r="L46" s="130"/>
      <c r="M46" s="130"/>
      <c r="N46" s="130"/>
      <c r="O46" s="130">
        <f t="shared" si="5"/>
        <v>173372.78399999999</v>
      </c>
      <c r="P46" s="130">
        <f t="shared" si="6"/>
        <v>161588.46399999998</v>
      </c>
      <c r="Q46" s="130">
        <v>35801</v>
      </c>
      <c r="R46" s="130">
        <v>38378.53</v>
      </c>
      <c r="S46" s="231">
        <f t="shared" si="7"/>
        <v>123209.93399999998</v>
      </c>
      <c r="T46" s="130"/>
      <c r="U46" s="130"/>
      <c r="V46" s="130"/>
      <c r="W46" s="130"/>
      <c r="X46" s="130">
        <f t="shared" si="8"/>
        <v>173372.78399999999</v>
      </c>
      <c r="Y46" s="130">
        <f t="shared" si="10"/>
        <v>123209.93399999998</v>
      </c>
      <c r="Z46" s="130">
        <v>28050</v>
      </c>
      <c r="AA46" s="130">
        <v>26035.43</v>
      </c>
      <c r="AB46" s="130"/>
      <c r="AC46" s="130"/>
      <c r="AD46" s="130"/>
      <c r="AE46" s="130"/>
      <c r="AF46" s="130">
        <f t="shared" si="9"/>
        <v>173372.78399999999</v>
      </c>
      <c r="AG46" s="130">
        <f t="shared" si="16"/>
        <v>76198.28</v>
      </c>
      <c r="AH46" s="130">
        <f t="shared" si="2"/>
        <v>97174.503999999986</v>
      </c>
      <c r="AI46" s="230"/>
    </row>
    <row r="47" spans="1:35" s="131" customFormat="1" ht="15" customHeight="1" x14ac:dyDescent="0.25">
      <c r="A47" s="138">
        <v>2551</v>
      </c>
      <c r="B47" s="146" t="s">
        <v>140</v>
      </c>
      <c r="C47" s="135">
        <v>0</v>
      </c>
      <c r="D47" s="148"/>
      <c r="E47" s="135">
        <f t="shared" si="11"/>
        <v>0</v>
      </c>
      <c r="F47" s="135"/>
      <c r="G47" s="135"/>
      <c r="H47" s="130"/>
      <c r="I47" s="130"/>
      <c r="J47" s="130">
        <f t="shared" si="4"/>
        <v>0</v>
      </c>
      <c r="K47" s="130"/>
      <c r="L47" s="130"/>
      <c r="M47" s="130"/>
      <c r="N47" s="130"/>
      <c r="O47" s="130">
        <f t="shared" si="5"/>
        <v>0</v>
      </c>
      <c r="P47" s="130">
        <f t="shared" si="6"/>
        <v>0</v>
      </c>
      <c r="Q47" s="130"/>
      <c r="R47" s="130">
        <v>6655.03</v>
      </c>
      <c r="S47" s="231">
        <f t="shared" si="7"/>
        <v>-6655.03</v>
      </c>
      <c r="T47" s="130"/>
      <c r="U47" s="130">
        <v>6655</v>
      </c>
      <c r="V47" s="130"/>
      <c r="W47" s="130"/>
      <c r="X47" s="130">
        <f t="shared" si="8"/>
        <v>6655</v>
      </c>
      <c r="Y47" s="130">
        <f t="shared" si="10"/>
        <v>-2.9999999999745341E-2</v>
      </c>
      <c r="Z47" s="130">
        <v>0</v>
      </c>
      <c r="AA47" s="130">
        <v>11587.42</v>
      </c>
      <c r="AB47" s="130"/>
      <c r="AC47" s="130">
        <v>11587</v>
      </c>
      <c r="AD47" s="130"/>
      <c r="AE47" s="130"/>
      <c r="AF47" s="130">
        <f t="shared" si="9"/>
        <v>18242</v>
      </c>
      <c r="AG47" s="130">
        <f t="shared" si="16"/>
        <v>18242.45</v>
      </c>
      <c r="AH47" s="130">
        <f t="shared" si="2"/>
        <v>-0.4500000000007276</v>
      </c>
      <c r="AI47" s="230"/>
    </row>
    <row r="48" spans="1:35" s="131" customFormat="1" ht="15" customHeight="1" x14ac:dyDescent="0.25">
      <c r="A48" s="138">
        <v>2561</v>
      </c>
      <c r="B48" s="146" t="s">
        <v>263</v>
      </c>
      <c r="C48" s="135">
        <v>0</v>
      </c>
      <c r="D48" s="148"/>
      <c r="E48" s="135">
        <f t="shared" si="11"/>
        <v>0</v>
      </c>
      <c r="F48" s="135"/>
      <c r="G48" s="135"/>
      <c r="H48" s="130"/>
      <c r="I48" s="130"/>
      <c r="J48" s="130">
        <f t="shared" si="4"/>
        <v>0</v>
      </c>
      <c r="K48" s="130"/>
      <c r="L48" s="130"/>
      <c r="M48" s="130"/>
      <c r="N48" s="130"/>
      <c r="O48" s="130">
        <f t="shared" si="5"/>
        <v>0</v>
      </c>
      <c r="P48" s="130">
        <f t="shared" si="6"/>
        <v>0</v>
      </c>
      <c r="Q48" s="130">
        <v>0</v>
      </c>
      <c r="R48" s="130">
        <v>50808</v>
      </c>
      <c r="S48" s="231">
        <f t="shared" si="7"/>
        <v>-50808</v>
      </c>
      <c r="T48" s="130"/>
      <c r="U48" s="130">
        <v>50808</v>
      </c>
      <c r="V48" s="130"/>
      <c r="W48" s="130"/>
      <c r="X48" s="130">
        <f t="shared" si="8"/>
        <v>50808</v>
      </c>
      <c r="Y48" s="130">
        <f t="shared" si="10"/>
        <v>0</v>
      </c>
      <c r="Z48" s="130">
        <v>0</v>
      </c>
      <c r="AA48" s="130">
        <v>69999.34</v>
      </c>
      <c r="AB48" s="130"/>
      <c r="AC48" s="130">
        <v>69999.34</v>
      </c>
      <c r="AD48" s="130"/>
      <c r="AE48" s="130"/>
      <c r="AF48" s="130">
        <f t="shared" si="9"/>
        <v>120807.34</v>
      </c>
      <c r="AG48" s="130">
        <f t="shared" si="16"/>
        <v>120807.34</v>
      </c>
      <c r="AH48" s="130">
        <f t="shared" si="2"/>
        <v>0</v>
      </c>
      <c r="AI48" s="230"/>
    </row>
    <row r="49" spans="1:36" s="131" customFormat="1" ht="45.75" x14ac:dyDescent="0.25">
      <c r="A49" s="138">
        <v>2611</v>
      </c>
      <c r="B49" s="147" t="s">
        <v>141</v>
      </c>
      <c r="C49" s="135">
        <f>(1149164.2368*36.27/100)*1.2</f>
        <v>500162.24242483207</v>
      </c>
      <c r="D49" s="148"/>
      <c r="E49" s="135">
        <f t="shared" si="11"/>
        <v>500162.24242483207</v>
      </c>
      <c r="F49" s="135"/>
      <c r="G49" s="135"/>
      <c r="H49" s="130">
        <v>26016.77</v>
      </c>
      <c r="I49" s="130">
        <v>25259.02</v>
      </c>
      <c r="J49" s="130">
        <f t="shared" si="4"/>
        <v>474903.22242483206</v>
      </c>
      <c r="K49" s="130"/>
      <c r="L49" s="130"/>
      <c r="M49" s="130"/>
      <c r="N49" s="130"/>
      <c r="O49" s="130">
        <f t="shared" si="5"/>
        <v>500162.24242483207</v>
      </c>
      <c r="P49" s="130">
        <f t="shared" si="6"/>
        <v>474903.22242483206</v>
      </c>
      <c r="Q49" s="130">
        <v>29617</v>
      </c>
      <c r="R49" s="130">
        <v>28571</v>
      </c>
      <c r="S49" s="231">
        <f t="shared" si="7"/>
        <v>446332.22242483206</v>
      </c>
      <c r="T49" s="130"/>
      <c r="U49" s="130"/>
      <c r="V49" s="130"/>
      <c r="W49" s="130"/>
      <c r="X49" s="130">
        <f t="shared" si="8"/>
        <v>500162.24242483207</v>
      </c>
      <c r="Y49" s="130">
        <f t="shared" si="10"/>
        <v>446332.22242483206</v>
      </c>
      <c r="Z49" s="130">
        <v>25800</v>
      </c>
      <c r="AA49" s="130">
        <v>24516.880000000001</v>
      </c>
      <c r="AB49" s="130"/>
      <c r="AC49" s="130"/>
      <c r="AD49" s="130"/>
      <c r="AE49" s="130"/>
      <c r="AF49" s="130">
        <f t="shared" si="9"/>
        <v>500162.24242483207</v>
      </c>
      <c r="AG49" s="130">
        <f t="shared" si="16"/>
        <v>78346.900000000009</v>
      </c>
      <c r="AH49" s="130">
        <f t="shared" si="2"/>
        <v>421815.34242483205</v>
      </c>
      <c r="AI49" s="230"/>
    </row>
    <row r="50" spans="1:36" s="131" customFormat="1" ht="30.75" x14ac:dyDescent="0.25">
      <c r="A50" s="138">
        <v>2614</v>
      </c>
      <c r="B50" s="147" t="s">
        <v>142</v>
      </c>
      <c r="C50" s="135">
        <f>(1149164.2368*63.73/100)*1.2</f>
        <v>878834.84173516813</v>
      </c>
      <c r="D50" s="148"/>
      <c r="E50" s="135">
        <f t="shared" si="11"/>
        <v>878834.84173516813</v>
      </c>
      <c r="F50" s="135"/>
      <c r="G50" s="135"/>
      <c r="H50" s="130">
        <v>71111.199999999997</v>
      </c>
      <c r="I50" s="130">
        <v>69040.02</v>
      </c>
      <c r="J50" s="130">
        <f t="shared" si="4"/>
        <v>809794.82173516811</v>
      </c>
      <c r="K50" s="130"/>
      <c r="L50" s="130"/>
      <c r="M50" s="130"/>
      <c r="N50" s="130"/>
      <c r="O50" s="130">
        <f t="shared" si="5"/>
        <v>878834.84173516813</v>
      </c>
      <c r="P50" s="130">
        <f t="shared" si="6"/>
        <v>809794.82173516811</v>
      </c>
      <c r="Q50" s="130">
        <v>70601</v>
      </c>
      <c r="R50" s="130">
        <v>69596.009999999995</v>
      </c>
      <c r="S50" s="231">
        <f t="shared" si="7"/>
        <v>740198.8117351681</v>
      </c>
      <c r="T50" s="130"/>
      <c r="U50" s="130"/>
      <c r="V50" s="130"/>
      <c r="W50" s="130"/>
      <c r="X50" s="130">
        <f t="shared" si="8"/>
        <v>878834.84173516813</v>
      </c>
      <c r="Y50" s="130">
        <f t="shared" si="10"/>
        <v>740198.8117351681</v>
      </c>
      <c r="Z50" s="130">
        <v>70110</v>
      </c>
      <c r="AA50" s="130">
        <v>68460.009999999995</v>
      </c>
      <c r="AB50" s="130"/>
      <c r="AC50" s="130"/>
      <c r="AD50" s="130"/>
      <c r="AE50" s="130"/>
      <c r="AF50" s="130">
        <f t="shared" si="9"/>
        <v>878834.84173516813</v>
      </c>
      <c r="AG50" s="130">
        <f t="shared" si="16"/>
        <v>207096.03999999998</v>
      </c>
      <c r="AH50" s="130">
        <f t="shared" si="2"/>
        <v>671738.80173516809</v>
      </c>
      <c r="AI50" s="230"/>
    </row>
    <row r="51" spans="1:36" s="131" customFormat="1" ht="15.75" x14ac:dyDescent="0.25">
      <c r="A51" s="138">
        <v>2711</v>
      </c>
      <c r="B51" s="146" t="s">
        <v>143</v>
      </c>
      <c r="C51" s="135">
        <v>449879.47680000006</v>
      </c>
      <c r="D51" s="148">
        <f>107000+982372</f>
        <v>1089372</v>
      </c>
      <c r="E51" s="135">
        <f t="shared" si="11"/>
        <v>1539251.4768000001</v>
      </c>
      <c r="F51" s="135"/>
      <c r="G51" s="135"/>
      <c r="H51" s="130">
        <v>93579.62</v>
      </c>
      <c r="I51" s="130">
        <v>90854.080000000002</v>
      </c>
      <c r="J51" s="130">
        <f t="shared" si="4"/>
        <v>1448397.3968</v>
      </c>
      <c r="K51" s="130"/>
      <c r="L51" s="130"/>
      <c r="M51" s="130"/>
      <c r="N51" s="130"/>
      <c r="O51" s="130">
        <f t="shared" si="5"/>
        <v>1539251.4768000001</v>
      </c>
      <c r="P51" s="130">
        <f t="shared" si="6"/>
        <v>1448397.3968</v>
      </c>
      <c r="Q51" s="130">
        <v>32151</v>
      </c>
      <c r="R51" s="130">
        <v>31095</v>
      </c>
      <c r="S51" s="231">
        <f t="shared" si="7"/>
        <v>1417302.3968</v>
      </c>
      <c r="T51" s="130">
        <v>6655</v>
      </c>
      <c r="U51" s="130"/>
      <c r="V51" s="130"/>
      <c r="W51" s="130"/>
      <c r="X51" s="130">
        <f t="shared" si="8"/>
        <v>1532596.4768000001</v>
      </c>
      <c r="Y51" s="130">
        <f t="shared" si="10"/>
        <v>1410647.3968</v>
      </c>
      <c r="Z51" s="130">
        <v>55804</v>
      </c>
      <c r="AA51" s="130">
        <v>53692.11</v>
      </c>
      <c r="AB51" s="130">
        <v>11587</v>
      </c>
      <c r="AC51" s="130"/>
      <c r="AD51" s="130"/>
      <c r="AE51" s="130"/>
      <c r="AF51" s="130">
        <f t="shared" si="9"/>
        <v>1521009.4768000001</v>
      </c>
      <c r="AG51" s="130">
        <f t="shared" si="16"/>
        <v>175641.19</v>
      </c>
      <c r="AH51" s="130">
        <f t="shared" si="2"/>
        <v>1345368.2867999999</v>
      </c>
      <c r="AI51" s="230"/>
      <c r="AJ51" s="230"/>
    </row>
    <row r="52" spans="1:36" s="131" customFormat="1" ht="15" customHeight="1" x14ac:dyDescent="0.25">
      <c r="A52" s="138">
        <v>2721</v>
      </c>
      <c r="B52" s="146" t="s">
        <v>144</v>
      </c>
      <c r="C52" s="135">
        <v>30462.329600000001</v>
      </c>
      <c r="D52" s="148"/>
      <c r="E52" s="135">
        <f t="shared" si="11"/>
        <v>30462.329600000001</v>
      </c>
      <c r="F52" s="135"/>
      <c r="G52" s="135"/>
      <c r="H52" s="130">
        <v>1234.97</v>
      </c>
      <c r="I52" s="130">
        <v>1199.44</v>
      </c>
      <c r="J52" s="130">
        <f t="shared" si="4"/>
        <v>29262.889600000002</v>
      </c>
      <c r="K52" s="130"/>
      <c r="L52" s="130"/>
      <c r="M52" s="130"/>
      <c r="N52" s="130"/>
      <c r="O52" s="130">
        <f t="shared" si="5"/>
        <v>30462.329600000001</v>
      </c>
      <c r="P52" s="130">
        <f t="shared" si="6"/>
        <v>29262.889600000002</v>
      </c>
      <c r="Q52" s="130">
        <v>54120</v>
      </c>
      <c r="R52" s="130">
        <v>1859.48</v>
      </c>
      <c r="S52" s="231">
        <f t="shared" si="7"/>
        <v>27403.409600000003</v>
      </c>
      <c r="T52" s="130"/>
      <c r="U52" s="130"/>
      <c r="V52" s="130"/>
      <c r="W52" s="130"/>
      <c r="X52" s="130">
        <f t="shared" si="8"/>
        <v>30462.329600000001</v>
      </c>
      <c r="Y52" s="130">
        <f t="shared" si="10"/>
        <v>27403.409600000003</v>
      </c>
      <c r="Z52" s="130"/>
      <c r="AA52" s="130"/>
      <c r="AB52" s="130"/>
      <c r="AC52" s="130"/>
      <c r="AD52" s="130"/>
      <c r="AE52" s="130"/>
      <c r="AF52" s="130">
        <f t="shared" si="9"/>
        <v>30462.329600000001</v>
      </c>
      <c r="AG52" s="130">
        <f t="shared" si="16"/>
        <v>3058.92</v>
      </c>
      <c r="AH52" s="130">
        <f t="shared" si="2"/>
        <v>27403.409600000003</v>
      </c>
      <c r="AI52" s="230"/>
    </row>
    <row r="53" spans="1:36" s="131" customFormat="1" ht="15.75" x14ac:dyDescent="0.25">
      <c r="A53" s="138">
        <v>2731</v>
      </c>
      <c r="B53" s="146" t="s">
        <v>145</v>
      </c>
      <c r="C53" s="135">
        <v>69957.659200000009</v>
      </c>
      <c r="D53" s="135">
        <v>200000</v>
      </c>
      <c r="E53" s="135">
        <f t="shared" si="11"/>
        <v>269957.65919999999</v>
      </c>
      <c r="F53" s="135"/>
      <c r="G53" s="135"/>
      <c r="H53" s="130">
        <v>36180.81</v>
      </c>
      <c r="I53" s="130">
        <v>35127.26</v>
      </c>
      <c r="J53" s="130">
        <f t="shared" si="4"/>
        <v>234830.39919999999</v>
      </c>
      <c r="K53" s="130"/>
      <c r="L53" s="130"/>
      <c r="M53" s="130"/>
      <c r="N53" s="130"/>
      <c r="O53" s="130">
        <f t="shared" si="5"/>
        <v>269957.65919999999</v>
      </c>
      <c r="P53" s="130">
        <f t="shared" si="6"/>
        <v>234830.39919999999</v>
      </c>
      <c r="Q53" s="130">
        <v>83530</v>
      </c>
      <c r="R53" s="130">
        <v>81637</v>
      </c>
      <c r="S53" s="231">
        <f t="shared" si="7"/>
        <v>153193.39919999999</v>
      </c>
      <c r="T53" s="130"/>
      <c r="U53" s="130"/>
      <c r="V53" s="130"/>
      <c r="W53" s="130"/>
      <c r="X53" s="130">
        <f t="shared" si="8"/>
        <v>269957.65919999999</v>
      </c>
      <c r="Y53" s="130">
        <f t="shared" si="10"/>
        <v>153193.39919999999</v>
      </c>
      <c r="Z53" s="130">
        <v>3420</v>
      </c>
      <c r="AA53" s="130">
        <v>3254.63</v>
      </c>
      <c r="AB53" s="130"/>
      <c r="AC53" s="130"/>
      <c r="AD53" s="130"/>
      <c r="AE53" s="130"/>
      <c r="AF53" s="130">
        <f t="shared" si="9"/>
        <v>269957.65919999999</v>
      </c>
      <c r="AG53" s="130">
        <f t="shared" si="16"/>
        <v>120018.89000000001</v>
      </c>
      <c r="AH53" s="130">
        <f t="shared" si="2"/>
        <v>149938.76919999998</v>
      </c>
      <c r="AI53" s="230"/>
    </row>
    <row r="54" spans="1:36" s="131" customFormat="1" ht="15" customHeight="1" x14ac:dyDescent="0.25">
      <c r="A54" s="138">
        <v>2741</v>
      </c>
      <c r="B54" s="146" t="s">
        <v>146</v>
      </c>
      <c r="C54" s="135">
        <v>41777.486400000002</v>
      </c>
      <c r="D54" s="148"/>
      <c r="E54" s="135">
        <f t="shared" si="11"/>
        <v>41777.486400000002</v>
      </c>
      <c r="F54" s="135"/>
      <c r="G54" s="135"/>
      <c r="H54" s="130">
        <v>1512.04</v>
      </c>
      <c r="I54" s="130">
        <v>1467.54</v>
      </c>
      <c r="J54" s="130">
        <f t="shared" si="4"/>
        <v>40309.946400000001</v>
      </c>
      <c r="K54" s="130"/>
      <c r="L54" s="130"/>
      <c r="M54" s="130"/>
      <c r="N54" s="130"/>
      <c r="O54" s="130">
        <f t="shared" si="5"/>
        <v>41777.486400000002</v>
      </c>
      <c r="P54" s="130">
        <f t="shared" si="6"/>
        <v>40309.946400000001</v>
      </c>
      <c r="Q54" s="130">
        <v>1501</v>
      </c>
      <c r="R54" s="130">
        <v>1224</v>
      </c>
      <c r="S54" s="231">
        <f t="shared" si="7"/>
        <v>39085.946400000001</v>
      </c>
      <c r="T54" s="130"/>
      <c r="U54" s="130"/>
      <c r="V54" s="130"/>
      <c r="W54" s="130"/>
      <c r="X54" s="130">
        <f t="shared" si="8"/>
        <v>41777.486400000002</v>
      </c>
      <c r="Y54" s="130">
        <f t="shared" si="10"/>
        <v>39085.946400000001</v>
      </c>
      <c r="Z54" s="130">
        <v>902</v>
      </c>
      <c r="AA54" s="130">
        <v>878.09</v>
      </c>
      <c r="AB54" s="130"/>
      <c r="AC54" s="130"/>
      <c r="AD54" s="130"/>
      <c r="AE54" s="130"/>
      <c r="AF54" s="130">
        <f t="shared" si="9"/>
        <v>41777.486400000002</v>
      </c>
      <c r="AG54" s="130">
        <f t="shared" si="16"/>
        <v>3569.63</v>
      </c>
      <c r="AH54" s="130">
        <f t="shared" si="2"/>
        <v>38207.856400000004</v>
      </c>
      <c r="AI54" s="230"/>
    </row>
    <row r="55" spans="1:36" s="131" customFormat="1" ht="15.75" x14ac:dyDescent="0.25">
      <c r="A55" s="138">
        <v>2751</v>
      </c>
      <c r="B55" s="146" t="s">
        <v>147</v>
      </c>
      <c r="C55" s="135">
        <v>342927.31199999998</v>
      </c>
      <c r="D55" s="148"/>
      <c r="E55" s="135">
        <f t="shared" si="11"/>
        <v>342927.31199999998</v>
      </c>
      <c r="F55" s="135"/>
      <c r="G55" s="135"/>
      <c r="H55" s="130">
        <v>128.75</v>
      </c>
      <c r="I55" s="130">
        <v>125</v>
      </c>
      <c r="J55" s="130">
        <f t="shared" si="4"/>
        <v>342802.31199999998</v>
      </c>
      <c r="K55" s="130"/>
      <c r="L55" s="130"/>
      <c r="M55" s="130"/>
      <c r="N55" s="130"/>
      <c r="O55" s="130">
        <f t="shared" si="5"/>
        <v>342927.31199999998</v>
      </c>
      <c r="P55" s="130">
        <f t="shared" si="6"/>
        <v>342802.31199999998</v>
      </c>
      <c r="Q55" s="130">
        <v>1089</v>
      </c>
      <c r="R55" s="130">
        <v>957</v>
      </c>
      <c r="S55" s="231">
        <f t="shared" si="7"/>
        <v>341845.31199999998</v>
      </c>
      <c r="T55" s="130"/>
      <c r="U55" s="130"/>
      <c r="V55" s="130"/>
      <c r="W55" s="130"/>
      <c r="X55" s="130">
        <f t="shared" si="8"/>
        <v>342927.31199999998</v>
      </c>
      <c r="Y55" s="130">
        <f t="shared" si="10"/>
        <v>341845.31199999998</v>
      </c>
      <c r="Z55" s="130">
        <v>6810</v>
      </c>
      <c r="AA55" s="130">
        <v>6623.78</v>
      </c>
      <c r="AB55" s="130"/>
      <c r="AC55" s="130"/>
      <c r="AD55" s="130"/>
      <c r="AE55" s="130"/>
      <c r="AF55" s="130">
        <f t="shared" si="9"/>
        <v>342927.31199999998</v>
      </c>
      <c r="AG55" s="130">
        <f t="shared" si="16"/>
        <v>7705.78</v>
      </c>
      <c r="AH55" s="130">
        <f t="shared" si="2"/>
        <v>335221.53199999995</v>
      </c>
      <c r="AI55" s="230"/>
    </row>
    <row r="56" spans="1:36" s="131" customFormat="1" ht="15" customHeight="1" x14ac:dyDescent="0.25">
      <c r="A56" s="138">
        <v>2911</v>
      </c>
      <c r="B56" s="146" t="s">
        <v>148</v>
      </c>
      <c r="C56" s="135">
        <v>34403.200000000004</v>
      </c>
      <c r="D56" s="148"/>
      <c r="E56" s="135">
        <f t="shared" si="11"/>
        <v>34403.200000000004</v>
      </c>
      <c r="F56" s="135"/>
      <c r="G56" s="135"/>
      <c r="H56" s="130"/>
      <c r="I56" s="130"/>
      <c r="J56" s="130">
        <f t="shared" si="4"/>
        <v>34403.200000000004</v>
      </c>
      <c r="K56" s="130"/>
      <c r="L56" s="130"/>
      <c r="M56" s="130"/>
      <c r="N56" s="130"/>
      <c r="O56" s="130">
        <f t="shared" si="5"/>
        <v>34403.200000000004</v>
      </c>
      <c r="P56" s="130">
        <f t="shared" si="6"/>
        <v>34403.200000000004</v>
      </c>
      <c r="Q56" s="130"/>
      <c r="R56" s="130"/>
      <c r="S56" s="231">
        <f t="shared" si="7"/>
        <v>34403.200000000004</v>
      </c>
      <c r="T56" s="130"/>
      <c r="U56" s="130"/>
      <c r="V56" s="130"/>
      <c r="W56" s="130"/>
      <c r="X56" s="130">
        <f t="shared" si="8"/>
        <v>34403.200000000004</v>
      </c>
      <c r="Y56" s="130">
        <f t="shared" si="10"/>
        <v>34403.200000000004</v>
      </c>
      <c r="Z56" s="130"/>
      <c r="AA56" s="130"/>
      <c r="AB56" s="130"/>
      <c r="AC56" s="130"/>
      <c r="AD56" s="130"/>
      <c r="AE56" s="130"/>
      <c r="AF56" s="130">
        <f t="shared" si="9"/>
        <v>34403.200000000004</v>
      </c>
      <c r="AG56" s="130">
        <f t="shared" si="16"/>
        <v>0</v>
      </c>
      <c r="AH56" s="130">
        <f t="shared" si="2"/>
        <v>34403.200000000004</v>
      </c>
      <c r="AI56" s="230"/>
    </row>
    <row r="57" spans="1:36" s="131" customFormat="1" ht="15.75" x14ac:dyDescent="0.25">
      <c r="A57" s="138">
        <v>2921</v>
      </c>
      <c r="B57" s="146" t="s">
        <v>149</v>
      </c>
      <c r="C57" s="135">
        <v>100000</v>
      </c>
      <c r="D57" s="148"/>
      <c r="E57" s="135">
        <f t="shared" si="11"/>
        <v>100000</v>
      </c>
      <c r="F57" s="135"/>
      <c r="G57" s="135"/>
      <c r="H57" s="130"/>
      <c r="I57" s="130"/>
      <c r="J57" s="130">
        <f t="shared" si="4"/>
        <v>100000</v>
      </c>
      <c r="K57" s="130"/>
      <c r="L57" s="130"/>
      <c r="M57" s="130"/>
      <c r="N57" s="130"/>
      <c r="O57" s="130">
        <f t="shared" si="5"/>
        <v>100000</v>
      </c>
      <c r="P57" s="130">
        <f t="shared" si="6"/>
        <v>100000</v>
      </c>
      <c r="Q57" s="130"/>
      <c r="R57" s="130"/>
      <c r="S57" s="231">
        <f t="shared" si="7"/>
        <v>100000</v>
      </c>
      <c r="T57" s="130"/>
      <c r="U57" s="130"/>
      <c r="V57" s="130"/>
      <c r="W57" s="130"/>
      <c r="X57" s="130">
        <f t="shared" si="8"/>
        <v>100000</v>
      </c>
      <c r="Y57" s="130">
        <f t="shared" si="10"/>
        <v>100000</v>
      </c>
      <c r="Z57" s="130">
        <v>20</v>
      </c>
      <c r="AA57" s="130">
        <v>15</v>
      </c>
      <c r="AB57" s="130"/>
      <c r="AC57" s="130"/>
      <c r="AD57" s="130"/>
      <c r="AE57" s="130"/>
      <c r="AF57" s="130">
        <f t="shared" si="9"/>
        <v>100000</v>
      </c>
      <c r="AG57" s="130">
        <f t="shared" si="16"/>
        <v>15</v>
      </c>
      <c r="AH57" s="130">
        <f t="shared" si="2"/>
        <v>99985</v>
      </c>
      <c r="AI57" s="230"/>
    </row>
    <row r="58" spans="1:36" s="131" customFormat="1" ht="15" customHeight="1" x14ac:dyDescent="0.25">
      <c r="A58" s="138">
        <v>2931</v>
      </c>
      <c r="B58" s="146" t="s">
        <v>150</v>
      </c>
      <c r="C58" s="135">
        <v>10000</v>
      </c>
      <c r="D58" s="148"/>
      <c r="E58" s="135">
        <f t="shared" si="11"/>
        <v>10000</v>
      </c>
      <c r="F58" s="135"/>
      <c r="G58" s="135"/>
      <c r="H58" s="130"/>
      <c r="I58" s="130"/>
      <c r="J58" s="130">
        <f t="shared" si="4"/>
        <v>10000</v>
      </c>
      <c r="K58" s="130"/>
      <c r="L58" s="130"/>
      <c r="M58" s="130"/>
      <c r="N58" s="130"/>
      <c r="O58" s="130">
        <f t="shared" si="5"/>
        <v>10000</v>
      </c>
      <c r="P58" s="130">
        <f t="shared" si="6"/>
        <v>10000</v>
      </c>
      <c r="Q58" s="130"/>
      <c r="R58" s="130"/>
      <c r="S58" s="231">
        <f t="shared" si="7"/>
        <v>10000</v>
      </c>
      <c r="T58" s="130"/>
      <c r="U58" s="130"/>
      <c r="V58" s="130"/>
      <c r="W58" s="130"/>
      <c r="X58" s="130">
        <f t="shared" si="8"/>
        <v>10000</v>
      </c>
      <c r="Y58" s="130">
        <f t="shared" si="10"/>
        <v>10000</v>
      </c>
      <c r="Z58" s="130"/>
      <c r="AA58" s="130"/>
      <c r="AB58" s="130"/>
      <c r="AC58" s="130"/>
      <c r="AD58" s="130"/>
      <c r="AE58" s="130"/>
      <c r="AF58" s="130">
        <f t="shared" si="9"/>
        <v>10000</v>
      </c>
      <c r="AG58" s="130">
        <f t="shared" si="16"/>
        <v>0</v>
      </c>
      <c r="AH58" s="130">
        <f t="shared" si="2"/>
        <v>10000</v>
      </c>
      <c r="AI58" s="230"/>
    </row>
    <row r="59" spans="1:36" s="131" customFormat="1" ht="15.75" x14ac:dyDescent="0.25">
      <c r="A59" s="138">
        <v>2941</v>
      </c>
      <c r="B59" s="146" t="s">
        <v>151</v>
      </c>
      <c r="C59" s="135">
        <v>15000</v>
      </c>
      <c r="D59" s="148"/>
      <c r="E59" s="135">
        <f t="shared" si="11"/>
        <v>15000</v>
      </c>
      <c r="F59" s="135"/>
      <c r="G59" s="135"/>
      <c r="H59" s="130"/>
      <c r="I59" s="130"/>
      <c r="J59" s="130">
        <f t="shared" si="4"/>
        <v>15000</v>
      </c>
      <c r="K59" s="130"/>
      <c r="L59" s="130"/>
      <c r="M59" s="130"/>
      <c r="N59" s="130"/>
      <c r="O59" s="130">
        <f t="shared" si="5"/>
        <v>15000</v>
      </c>
      <c r="P59" s="130">
        <f t="shared" si="6"/>
        <v>15000</v>
      </c>
      <c r="Q59" s="130"/>
      <c r="R59" s="130"/>
      <c r="S59" s="231">
        <f t="shared" si="7"/>
        <v>15000</v>
      </c>
      <c r="T59" s="130"/>
      <c r="U59" s="130"/>
      <c r="V59" s="130"/>
      <c r="W59" s="130"/>
      <c r="X59" s="130">
        <f t="shared" si="8"/>
        <v>15000</v>
      </c>
      <c r="Y59" s="130">
        <f t="shared" si="10"/>
        <v>15000</v>
      </c>
      <c r="Z59" s="130"/>
      <c r="AA59" s="130"/>
      <c r="AB59" s="130"/>
      <c r="AC59" s="130"/>
      <c r="AD59" s="130"/>
      <c r="AE59" s="130"/>
      <c r="AF59" s="130">
        <f t="shared" si="9"/>
        <v>15000</v>
      </c>
      <c r="AG59" s="130">
        <f t="shared" si="16"/>
        <v>0</v>
      </c>
      <c r="AH59" s="130">
        <f t="shared" si="2"/>
        <v>15000</v>
      </c>
      <c r="AI59" s="230"/>
    </row>
    <row r="60" spans="1:36" s="131" customFormat="1" ht="15" customHeight="1" x14ac:dyDescent="0.25">
      <c r="A60" s="138">
        <v>2961</v>
      </c>
      <c r="B60" s="146" t="s">
        <v>152</v>
      </c>
      <c r="C60" s="135">
        <v>25000</v>
      </c>
      <c r="D60" s="148"/>
      <c r="E60" s="135">
        <f t="shared" si="11"/>
        <v>25000</v>
      </c>
      <c r="F60" s="135"/>
      <c r="G60" s="135"/>
      <c r="H60" s="130"/>
      <c r="I60" s="130"/>
      <c r="J60" s="130">
        <f t="shared" si="4"/>
        <v>25000</v>
      </c>
      <c r="K60" s="130"/>
      <c r="L60" s="130"/>
      <c r="M60" s="130"/>
      <c r="N60" s="130"/>
      <c r="O60" s="130">
        <f t="shared" si="5"/>
        <v>25000</v>
      </c>
      <c r="P60" s="130">
        <f t="shared" si="6"/>
        <v>25000</v>
      </c>
      <c r="Q60" s="130"/>
      <c r="R60" s="130"/>
      <c r="S60" s="231">
        <f t="shared" si="7"/>
        <v>25000</v>
      </c>
      <c r="T60" s="130"/>
      <c r="U60" s="130"/>
      <c r="V60" s="130"/>
      <c r="W60" s="130"/>
      <c r="X60" s="130">
        <f t="shared" si="8"/>
        <v>25000</v>
      </c>
      <c r="Y60" s="130">
        <f t="shared" si="10"/>
        <v>25000</v>
      </c>
      <c r="Z60" s="130"/>
      <c r="AA60" s="130"/>
      <c r="AB60" s="130"/>
      <c r="AC60" s="130"/>
      <c r="AD60" s="130"/>
      <c r="AE60" s="130"/>
      <c r="AF60" s="130">
        <f t="shared" si="9"/>
        <v>25000</v>
      </c>
      <c r="AG60" s="130">
        <f t="shared" si="16"/>
        <v>0</v>
      </c>
      <c r="AH60" s="130">
        <f t="shared" si="2"/>
        <v>25000</v>
      </c>
      <c r="AI60" s="230"/>
    </row>
    <row r="61" spans="1:36" s="145" customFormat="1" ht="15.75" x14ac:dyDescent="0.25">
      <c r="A61" s="149"/>
      <c r="B61" s="149" t="s">
        <v>153</v>
      </c>
      <c r="C61" s="143">
        <f>SUM(C28:C60)</f>
        <v>13544470.557360001</v>
      </c>
      <c r="D61" s="143">
        <f>SUM(D28:D60)</f>
        <v>2694372</v>
      </c>
      <c r="E61" s="144">
        <f t="shared" si="11"/>
        <v>16238842.557360001</v>
      </c>
      <c r="F61" s="143">
        <f t="shared" ref="F61:G61" si="18">SUM(F28:F60)</f>
        <v>0</v>
      </c>
      <c r="G61" s="143">
        <f t="shared" si="18"/>
        <v>0</v>
      </c>
      <c r="H61" s="144">
        <f>SUM(H28:H60)</f>
        <v>1027843.45</v>
      </c>
      <c r="I61" s="144">
        <f>SUM(I28:I60)</f>
        <v>844748.35999999987</v>
      </c>
      <c r="J61" s="144">
        <f>SUM(J28:J60)</f>
        <v>15394094.197360002</v>
      </c>
      <c r="K61" s="144">
        <f t="shared" ref="K61:N61" si="19">SUM(K28:K60)</f>
        <v>0</v>
      </c>
      <c r="L61" s="144">
        <f t="shared" si="19"/>
        <v>0</v>
      </c>
      <c r="M61" s="144">
        <f t="shared" si="19"/>
        <v>0</v>
      </c>
      <c r="N61" s="144">
        <f t="shared" si="19"/>
        <v>0</v>
      </c>
      <c r="O61" s="144">
        <f>SUM(O28:O60)</f>
        <v>16238842.557360001</v>
      </c>
      <c r="P61" s="144">
        <f>SUM(P28:P60)</f>
        <v>15394094.197360002</v>
      </c>
      <c r="Q61" s="144">
        <f>SUM(Q28:Q60)</f>
        <v>900407</v>
      </c>
      <c r="R61" s="144">
        <f>SUM(R28:R60)</f>
        <v>887756.4</v>
      </c>
      <c r="S61" s="144">
        <f>SUM(S28:S60)</f>
        <v>14506337.797360003</v>
      </c>
      <c r="T61" s="144">
        <f t="shared" ref="T61:W61" si="20">SUM(T28:T60)</f>
        <v>6655</v>
      </c>
      <c r="U61" s="144">
        <f t="shared" si="20"/>
        <v>57463</v>
      </c>
      <c r="V61" s="144">
        <f t="shared" si="20"/>
        <v>0</v>
      </c>
      <c r="W61" s="144">
        <f t="shared" si="20"/>
        <v>0</v>
      </c>
      <c r="X61" s="144">
        <f>SUM(X28:X60)</f>
        <v>16289650.557360001</v>
      </c>
      <c r="Y61" s="144">
        <f>SUM(Y28:Y60)</f>
        <v>14557145.797360003</v>
      </c>
      <c r="Z61" s="144">
        <f>SUM(Z28:Z60)</f>
        <v>957723</v>
      </c>
      <c r="AA61" s="144">
        <f>SUM(AA28:AA60)</f>
        <v>1017249.36</v>
      </c>
      <c r="AB61" s="144">
        <f t="shared" ref="AB61:AE61" si="21">SUM(AB28:AB60)</f>
        <v>11587</v>
      </c>
      <c r="AC61" s="144">
        <f t="shared" si="21"/>
        <v>81586.34</v>
      </c>
      <c r="AD61" s="144">
        <f t="shared" si="21"/>
        <v>0</v>
      </c>
      <c r="AE61" s="144">
        <f t="shared" si="21"/>
        <v>0</v>
      </c>
      <c r="AF61" s="144">
        <f>SUM(AF28:AF60)</f>
        <v>16359649.897360001</v>
      </c>
      <c r="AG61" s="144">
        <f>SUM(AG28:AG60)</f>
        <v>2749754.1199999992</v>
      </c>
      <c r="AH61" s="144">
        <f>SUM(AH28:AH60)</f>
        <v>13609895.777360003</v>
      </c>
    </row>
    <row r="62" spans="1:36" s="131" customFormat="1" ht="15" customHeight="1" x14ac:dyDescent="0.25">
      <c r="A62" s="138">
        <v>3111</v>
      </c>
      <c r="B62" s="150" t="s">
        <v>154</v>
      </c>
      <c r="C62" s="151">
        <v>461469.80000000005</v>
      </c>
      <c r="D62" s="152"/>
      <c r="E62" s="135">
        <f>D62+C62</f>
        <v>461469.80000000005</v>
      </c>
      <c r="F62" s="135"/>
      <c r="G62" s="135"/>
      <c r="H62" s="130">
        <v>38456</v>
      </c>
      <c r="I62" s="130">
        <v>46820</v>
      </c>
      <c r="J62" s="130">
        <f t="shared" si="4"/>
        <v>414649.80000000005</v>
      </c>
      <c r="K62" s="130"/>
      <c r="L62" s="130"/>
      <c r="M62" s="130"/>
      <c r="N62" s="130"/>
      <c r="O62" s="130">
        <f t="shared" si="5"/>
        <v>461469.80000000005</v>
      </c>
      <c r="P62" s="130">
        <f>+O62-I62</f>
        <v>414649.80000000005</v>
      </c>
      <c r="Q62" s="130">
        <v>53940</v>
      </c>
      <c r="R62" s="130">
        <v>51949</v>
      </c>
      <c r="S62" s="231">
        <f t="shared" si="7"/>
        <v>362700.80000000005</v>
      </c>
      <c r="T62" s="130"/>
      <c r="U62" s="130"/>
      <c r="V62" s="130"/>
      <c r="W62" s="130"/>
      <c r="X62" s="130">
        <f t="shared" si="8"/>
        <v>461469.80000000005</v>
      </c>
      <c r="Y62" s="130">
        <f t="shared" si="10"/>
        <v>362700.80000000005</v>
      </c>
      <c r="Z62" s="130">
        <v>60250</v>
      </c>
      <c r="AA62" s="130">
        <v>58637</v>
      </c>
      <c r="AB62" s="130"/>
      <c r="AC62" s="130"/>
      <c r="AD62" s="130"/>
      <c r="AE62" s="130"/>
      <c r="AF62" s="130">
        <f t="shared" si="9"/>
        <v>461469.80000000005</v>
      </c>
      <c r="AG62" s="130">
        <f t="shared" si="16"/>
        <v>157406</v>
      </c>
      <c r="AH62" s="130">
        <f t="shared" ref="AH62:AH67" si="22">Y62-AA62-AB62+AC62+AD62-AE62</f>
        <v>304063.80000000005</v>
      </c>
      <c r="AI62" s="230"/>
    </row>
    <row r="63" spans="1:36" s="131" customFormat="1" ht="15.75" x14ac:dyDescent="0.25">
      <c r="A63" s="138">
        <v>3121</v>
      </c>
      <c r="B63" s="150" t="s">
        <v>155</v>
      </c>
      <c r="C63" s="151">
        <v>159510.72799999997</v>
      </c>
      <c r="D63" s="152"/>
      <c r="E63" s="135">
        <f t="shared" ref="E63:E102" si="23">D63+C63</f>
        <v>159510.72799999997</v>
      </c>
      <c r="F63" s="135"/>
      <c r="G63" s="135"/>
      <c r="H63" s="130">
        <v>13293</v>
      </c>
      <c r="I63" s="130">
        <v>13999.48</v>
      </c>
      <c r="J63" s="130">
        <f t="shared" si="4"/>
        <v>145511.24799999996</v>
      </c>
      <c r="K63" s="130"/>
      <c r="L63" s="130"/>
      <c r="M63" s="130"/>
      <c r="N63" s="130"/>
      <c r="O63" s="130">
        <f t="shared" si="5"/>
        <v>159510.72799999997</v>
      </c>
      <c r="P63" s="130">
        <f t="shared" ref="P63:P102" si="24">+O63-I63</f>
        <v>145511.24799999996</v>
      </c>
      <c r="Q63" s="130">
        <v>15210</v>
      </c>
      <c r="R63" s="130">
        <v>13128.88</v>
      </c>
      <c r="S63" s="231">
        <f t="shared" si="7"/>
        <v>132382.36799999996</v>
      </c>
      <c r="T63" s="130"/>
      <c r="U63" s="130"/>
      <c r="V63" s="130"/>
      <c r="W63" s="130"/>
      <c r="X63" s="130">
        <f t="shared" si="8"/>
        <v>159510.72799999997</v>
      </c>
      <c r="Y63" s="130">
        <f t="shared" si="10"/>
        <v>132382.36799999996</v>
      </c>
      <c r="Z63" s="130">
        <v>15100</v>
      </c>
      <c r="AA63" s="130">
        <v>13343.43</v>
      </c>
      <c r="AB63" s="130"/>
      <c r="AC63" s="130"/>
      <c r="AD63" s="130"/>
      <c r="AE63" s="130"/>
      <c r="AF63" s="130">
        <f t="shared" si="9"/>
        <v>159510.72799999997</v>
      </c>
      <c r="AG63" s="130">
        <f t="shared" si="16"/>
        <v>40471.79</v>
      </c>
      <c r="AH63" s="130">
        <f t="shared" si="22"/>
        <v>119038.93799999997</v>
      </c>
      <c r="AI63" s="230"/>
    </row>
    <row r="64" spans="1:36" s="131" customFormat="1" ht="15" customHeight="1" x14ac:dyDescent="0.25">
      <c r="A64" s="138">
        <v>3131</v>
      </c>
      <c r="B64" s="150" t="s">
        <v>156</v>
      </c>
      <c r="C64" s="151">
        <v>10860.48</v>
      </c>
      <c r="D64" s="152"/>
      <c r="E64" s="135">
        <f t="shared" si="23"/>
        <v>10860.48</v>
      </c>
      <c r="F64" s="135"/>
      <c r="G64" s="135"/>
      <c r="H64" s="130"/>
      <c r="I64" s="130"/>
      <c r="J64" s="130">
        <f t="shared" si="4"/>
        <v>10860.48</v>
      </c>
      <c r="K64" s="130"/>
      <c r="L64" s="130"/>
      <c r="M64" s="130"/>
      <c r="N64" s="130"/>
      <c r="O64" s="130">
        <f t="shared" si="5"/>
        <v>10860.48</v>
      </c>
      <c r="P64" s="130">
        <f t="shared" si="24"/>
        <v>10860.48</v>
      </c>
      <c r="Q64" s="130"/>
      <c r="R64" s="130"/>
      <c r="S64" s="231">
        <f t="shared" si="7"/>
        <v>10860.48</v>
      </c>
      <c r="T64" s="130"/>
      <c r="U64" s="130"/>
      <c r="V64" s="130"/>
      <c r="W64" s="130"/>
      <c r="X64" s="130">
        <f t="shared" si="8"/>
        <v>10860.48</v>
      </c>
      <c r="Y64" s="130">
        <f t="shared" si="10"/>
        <v>10860.48</v>
      </c>
      <c r="Z64" s="130"/>
      <c r="AA64" s="130"/>
      <c r="AB64" s="130"/>
      <c r="AC64" s="130"/>
      <c r="AD64" s="130"/>
      <c r="AE64" s="130"/>
      <c r="AF64" s="130">
        <f t="shared" si="9"/>
        <v>10860.48</v>
      </c>
      <c r="AG64" s="130">
        <f t="shared" si="16"/>
        <v>0</v>
      </c>
      <c r="AH64" s="130">
        <f t="shared" si="22"/>
        <v>10860.48</v>
      </c>
      <c r="AI64" s="230"/>
    </row>
    <row r="65" spans="1:35" s="131" customFormat="1" ht="15.75" x14ac:dyDescent="0.25">
      <c r="A65" s="138">
        <v>3141</v>
      </c>
      <c r="B65" s="150" t="s">
        <v>157</v>
      </c>
      <c r="C65" s="151">
        <f>149034.7664+18133</f>
        <v>167167.76639999999</v>
      </c>
      <c r="D65" s="152"/>
      <c r="E65" s="135">
        <f t="shared" si="23"/>
        <v>167167.76639999999</v>
      </c>
      <c r="F65" s="135"/>
      <c r="G65" s="135"/>
      <c r="H65" s="130">
        <v>11735.82</v>
      </c>
      <c r="I65" s="130">
        <v>11393.96</v>
      </c>
      <c r="J65" s="130">
        <f t="shared" si="4"/>
        <v>155773.8064</v>
      </c>
      <c r="K65" s="130"/>
      <c r="L65" s="130"/>
      <c r="M65" s="130"/>
      <c r="N65" s="130"/>
      <c r="O65" s="130">
        <f t="shared" si="5"/>
        <v>167167.76639999999</v>
      </c>
      <c r="P65" s="130">
        <f t="shared" si="24"/>
        <v>155773.8064</v>
      </c>
      <c r="Q65" s="130">
        <v>12402</v>
      </c>
      <c r="R65" s="130">
        <v>11293</v>
      </c>
      <c r="S65" s="231">
        <f t="shared" si="7"/>
        <v>144480.8064</v>
      </c>
      <c r="T65" s="130"/>
      <c r="U65" s="130"/>
      <c r="V65" s="130"/>
      <c r="W65" s="130"/>
      <c r="X65" s="130">
        <f t="shared" si="8"/>
        <v>167167.76639999999</v>
      </c>
      <c r="Y65" s="130">
        <f t="shared" si="10"/>
        <v>144480.8064</v>
      </c>
      <c r="Z65" s="130">
        <v>3120</v>
      </c>
      <c r="AA65" s="130">
        <v>2859</v>
      </c>
      <c r="AB65" s="130"/>
      <c r="AC65" s="130"/>
      <c r="AD65" s="130"/>
      <c r="AE65" s="130"/>
      <c r="AF65" s="130">
        <f t="shared" si="9"/>
        <v>167167.76639999999</v>
      </c>
      <c r="AG65" s="130">
        <f t="shared" si="16"/>
        <v>25545.96</v>
      </c>
      <c r="AH65" s="130">
        <f t="shared" si="22"/>
        <v>141621.8064</v>
      </c>
      <c r="AI65" s="230"/>
    </row>
    <row r="66" spans="1:35" s="131" customFormat="1" ht="15" customHeight="1" x14ac:dyDescent="0.25">
      <c r="A66" s="138">
        <v>3171</v>
      </c>
      <c r="B66" s="150" t="s">
        <v>158</v>
      </c>
      <c r="C66" s="151">
        <v>6500</v>
      </c>
      <c r="D66" s="152"/>
      <c r="E66" s="135">
        <f t="shared" si="23"/>
        <v>6500</v>
      </c>
      <c r="F66" s="135"/>
      <c r="G66" s="135"/>
      <c r="H66" s="130"/>
      <c r="I66" s="130"/>
      <c r="J66" s="130">
        <f t="shared" si="4"/>
        <v>6500</v>
      </c>
      <c r="K66" s="130"/>
      <c r="L66" s="130"/>
      <c r="M66" s="130"/>
      <c r="N66" s="130"/>
      <c r="O66" s="130">
        <f t="shared" si="5"/>
        <v>6500</v>
      </c>
      <c r="P66" s="130">
        <f t="shared" si="24"/>
        <v>6500</v>
      </c>
      <c r="Q66" s="130"/>
      <c r="R66" s="130"/>
      <c r="S66" s="231">
        <f t="shared" si="7"/>
        <v>6500</v>
      </c>
      <c r="T66" s="130"/>
      <c r="U66" s="130"/>
      <c r="V66" s="130"/>
      <c r="W66" s="130"/>
      <c r="X66" s="130">
        <f t="shared" si="8"/>
        <v>6500</v>
      </c>
      <c r="Y66" s="130">
        <f t="shared" si="10"/>
        <v>6500</v>
      </c>
      <c r="Z66" s="130"/>
      <c r="AA66" s="130"/>
      <c r="AB66" s="130"/>
      <c r="AC66" s="130"/>
      <c r="AD66" s="130"/>
      <c r="AE66" s="130"/>
      <c r="AF66" s="130">
        <f t="shared" si="9"/>
        <v>6500</v>
      </c>
      <c r="AG66" s="130">
        <f t="shared" si="16"/>
        <v>0</v>
      </c>
      <c r="AH66" s="130">
        <f t="shared" si="22"/>
        <v>6500</v>
      </c>
      <c r="AI66" s="230"/>
    </row>
    <row r="67" spans="1:35" s="131" customFormat="1" ht="15.75" x14ac:dyDescent="0.25">
      <c r="A67" s="138">
        <v>3181</v>
      </c>
      <c r="B67" s="150" t="s">
        <v>159</v>
      </c>
      <c r="C67" s="151">
        <v>3112.2208000000001</v>
      </c>
      <c r="D67" s="152"/>
      <c r="E67" s="135">
        <f t="shared" si="23"/>
        <v>3112.2208000000001</v>
      </c>
      <c r="F67" s="135"/>
      <c r="G67" s="135"/>
      <c r="H67" s="130">
        <v>259</v>
      </c>
      <c r="I67" s="130">
        <v>346.43</v>
      </c>
      <c r="J67" s="130">
        <f t="shared" si="4"/>
        <v>2765.7908000000002</v>
      </c>
      <c r="K67" s="130"/>
      <c r="L67" s="130"/>
      <c r="M67" s="130"/>
      <c r="N67" s="130"/>
      <c r="O67" s="130">
        <f t="shared" si="5"/>
        <v>3112.2208000000001</v>
      </c>
      <c r="P67" s="130">
        <f t="shared" si="24"/>
        <v>2765.7908000000002</v>
      </c>
      <c r="Q67" s="130"/>
      <c r="R67" s="130"/>
      <c r="S67" s="231">
        <f t="shared" si="7"/>
        <v>2765.7908000000002</v>
      </c>
      <c r="T67" s="130"/>
      <c r="U67" s="130"/>
      <c r="V67" s="130"/>
      <c r="W67" s="130"/>
      <c r="X67" s="130">
        <f t="shared" si="8"/>
        <v>3112.2208000000001</v>
      </c>
      <c r="Y67" s="130">
        <f t="shared" si="10"/>
        <v>2765.7908000000002</v>
      </c>
      <c r="Z67" s="130"/>
      <c r="AA67" s="130"/>
      <c r="AB67" s="130"/>
      <c r="AC67" s="130"/>
      <c r="AD67" s="130"/>
      <c r="AE67" s="130"/>
      <c r="AF67" s="130">
        <f t="shared" si="9"/>
        <v>3112.2208000000001</v>
      </c>
      <c r="AG67" s="130">
        <f t="shared" si="16"/>
        <v>346.43</v>
      </c>
      <c r="AH67" s="130">
        <f t="shared" si="22"/>
        <v>2765.7908000000002</v>
      </c>
      <c r="AI67" s="230"/>
    </row>
    <row r="68" spans="1:35" s="131" customFormat="1" ht="15.75" x14ac:dyDescent="0.25">
      <c r="A68" s="138">
        <v>3231</v>
      </c>
      <c r="B68" s="150" t="s">
        <v>308</v>
      </c>
      <c r="C68" s="151">
        <v>0</v>
      </c>
      <c r="D68" s="152"/>
      <c r="E68" s="135">
        <f t="shared" si="23"/>
        <v>0</v>
      </c>
      <c r="F68" s="135"/>
      <c r="G68" s="135"/>
      <c r="H68" s="130"/>
      <c r="I68" s="130"/>
      <c r="J68" s="130"/>
      <c r="K68" s="130"/>
      <c r="L68" s="130"/>
      <c r="M68" s="130"/>
      <c r="N68" s="130"/>
      <c r="O68" s="130">
        <f t="shared" si="5"/>
        <v>0</v>
      </c>
      <c r="P68" s="130"/>
      <c r="Q68" s="130"/>
      <c r="R68" s="130"/>
      <c r="S68" s="231">
        <f t="shared" si="7"/>
        <v>0</v>
      </c>
      <c r="T68" s="130"/>
      <c r="U68" s="130"/>
      <c r="V68" s="130"/>
      <c r="W68" s="130"/>
      <c r="X68" s="130">
        <f t="shared" si="8"/>
        <v>0</v>
      </c>
      <c r="Y68" s="130">
        <f t="shared" si="10"/>
        <v>0</v>
      </c>
      <c r="Z68" s="130">
        <v>0</v>
      </c>
      <c r="AA68" s="130">
        <v>8120</v>
      </c>
      <c r="AB68" s="130"/>
      <c r="AC68" s="130">
        <v>8120</v>
      </c>
      <c r="AD68" s="130"/>
      <c r="AE68" s="130"/>
      <c r="AF68" s="130">
        <f t="shared" si="9"/>
        <v>8120</v>
      </c>
      <c r="AG68" s="130">
        <f t="shared" si="16"/>
        <v>8120</v>
      </c>
      <c r="AH68" s="130">
        <f>Y68-AA68-AB68+AC68+AD68-AE68</f>
        <v>0</v>
      </c>
      <c r="AI68" s="230"/>
    </row>
    <row r="69" spans="1:35" s="131" customFormat="1" ht="15" customHeight="1" x14ac:dyDescent="0.25">
      <c r="A69" s="138">
        <v>3232</v>
      </c>
      <c r="B69" s="150" t="s">
        <v>160</v>
      </c>
      <c r="C69" s="151">
        <v>40000</v>
      </c>
      <c r="D69" s="152"/>
      <c r="E69" s="135">
        <f t="shared" si="23"/>
        <v>40000</v>
      </c>
      <c r="F69" s="135"/>
      <c r="G69" s="135"/>
      <c r="H69" s="130"/>
      <c r="I69" s="130"/>
      <c r="J69" s="130">
        <f t="shared" si="4"/>
        <v>40000</v>
      </c>
      <c r="K69" s="130"/>
      <c r="L69" s="130"/>
      <c r="M69" s="130"/>
      <c r="N69" s="130"/>
      <c r="O69" s="130">
        <f t="shared" si="5"/>
        <v>40000</v>
      </c>
      <c r="P69" s="130">
        <f t="shared" si="24"/>
        <v>40000</v>
      </c>
      <c r="Q69" s="130"/>
      <c r="R69" s="130"/>
      <c r="S69" s="231">
        <f t="shared" si="7"/>
        <v>40000</v>
      </c>
      <c r="T69" s="130"/>
      <c r="U69" s="130"/>
      <c r="V69" s="130"/>
      <c r="W69" s="130"/>
      <c r="X69" s="130">
        <f t="shared" si="8"/>
        <v>40000</v>
      </c>
      <c r="Y69" s="130">
        <f t="shared" si="10"/>
        <v>40000</v>
      </c>
      <c r="Z69" s="130"/>
      <c r="AA69" s="130"/>
      <c r="AB69" s="130"/>
      <c r="AC69" s="130"/>
      <c r="AD69" s="130"/>
      <c r="AE69" s="130"/>
      <c r="AF69" s="130">
        <f t="shared" si="9"/>
        <v>40000</v>
      </c>
      <c r="AG69" s="130">
        <f t="shared" si="16"/>
        <v>0</v>
      </c>
      <c r="AH69" s="130">
        <f t="shared" ref="AH69:AH130" si="25">Y69-AA69-AB69+AC69+AD69-AE69</f>
        <v>40000</v>
      </c>
      <c r="AI69" s="230"/>
    </row>
    <row r="70" spans="1:35" s="131" customFormat="1" ht="15.75" x14ac:dyDescent="0.25">
      <c r="A70" s="138">
        <v>3261</v>
      </c>
      <c r="B70" s="150" t="s">
        <v>161</v>
      </c>
      <c r="C70" s="151">
        <v>30000</v>
      </c>
      <c r="D70" s="152"/>
      <c r="E70" s="135">
        <f t="shared" si="23"/>
        <v>30000</v>
      </c>
      <c r="F70" s="135"/>
      <c r="G70" s="135"/>
      <c r="H70" s="130"/>
      <c r="I70" s="130"/>
      <c r="J70" s="130">
        <f t="shared" si="4"/>
        <v>30000</v>
      </c>
      <c r="K70" s="130"/>
      <c r="L70" s="130"/>
      <c r="M70" s="130"/>
      <c r="N70" s="130"/>
      <c r="O70" s="130">
        <f t="shared" si="5"/>
        <v>30000</v>
      </c>
      <c r="P70" s="130">
        <f t="shared" si="24"/>
        <v>30000</v>
      </c>
      <c r="Q70" s="130"/>
      <c r="R70" s="130"/>
      <c r="S70" s="231">
        <f t="shared" si="7"/>
        <v>30000</v>
      </c>
      <c r="T70" s="130"/>
      <c r="U70" s="130"/>
      <c r="V70" s="130"/>
      <c r="W70" s="130"/>
      <c r="X70" s="130">
        <f t="shared" si="8"/>
        <v>30000</v>
      </c>
      <c r="Y70" s="130">
        <f t="shared" si="10"/>
        <v>30000</v>
      </c>
      <c r="Z70" s="130"/>
      <c r="AA70" s="130"/>
      <c r="AB70" s="130"/>
      <c r="AC70" s="130"/>
      <c r="AD70" s="130"/>
      <c r="AE70" s="130"/>
      <c r="AF70" s="130">
        <f t="shared" si="9"/>
        <v>30000</v>
      </c>
      <c r="AG70" s="130">
        <f t="shared" si="16"/>
        <v>0</v>
      </c>
      <c r="AH70" s="130">
        <f t="shared" si="25"/>
        <v>30000</v>
      </c>
      <c r="AI70" s="230"/>
    </row>
    <row r="71" spans="1:35" s="131" customFormat="1" ht="15" customHeight="1" x14ac:dyDescent="0.25">
      <c r="A71" s="138">
        <v>3311</v>
      </c>
      <c r="B71" s="150" t="s">
        <v>162</v>
      </c>
      <c r="C71" s="151">
        <f>45000+240000+237600+83520</f>
        <v>606120</v>
      </c>
      <c r="D71" s="153"/>
      <c r="E71" s="135">
        <f t="shared" si="23"/>
        <v>606120</v>
      </c>
      <c r="F71" s="135"/>
      <c r="G71" s="135"/>
      <c r="H71" s="130">
        <v>5829.8</v>
      </c>
      <c r="I71" s="130">
        <v>5660.38</v>
      </c>
      <c r="J71" s="130">
        <f t="shared" si="4"/>
        <v>600459.62</v>
      </c>
      <c r="K71" s="130"/>
      <c r="L71" s="130"/>
      <c r="M71" s="130"/>
      <c r="N71" s="130"/>
      <c r="O71" s="130">
        <f t="shared" si="5"/>
        <v>606120</v>
      </c>
      <c r="P71" s="130">
        <f t="shared" si="24"/>
        <v>600459.62</v>
      </c>
      <c r="Q71" s="130">
        <v>5801</v>
      </c>
      <c r="R71" s="130">
        <v>5660.38</v>
      </c>
      <c r="S71" s="231">
        <f t="shared" si="7"/>
        <v>594799.24</v>
      </c>
      <c r="T71" s="130"/>
      <c r="U71" s="130"/>
      <c r="V71" s="130"/>
      <c r="W71" s="130"/>
      <c r="X71" s="130">
        <f t="shared" si="8"/>
        <v>606120</v>
      </c>
      <c r="Y71" s="130">
        <f t="shared" si="10"/>
        <v>594799.24</v>
      </c>
      <c r="Z71" s="130"/>
      <c r="AA71" s="130"/>
      <c r="AB71" s="130"/>
      <c r="AC71" s="130"/>
      <c r="AD71" s="130"/>
      <c r="AE71" s="130"/>
      <c r="AF71" s="130">
        <f t="shared" si="9"/>
        <v>606120</v>
      </c>
      <c r="AG71" s="130">
        <f t="shared" si="16"/>
        <v>11320.76</v>
      </c>
      <c r="AH71" s="130">
        <f t="shared" si="25"/>
        <v>594799.24</v>
      </c>
      <c r="AI71" s="230"/>
    </row>
    <row r="72" spans="1:35" s="131" customFormat="1" ht="15" customHeight="1" x14ac:dyDescent="0.25">
      <c r="A72" s="138">
        <v>3321</v>
      </c>
      <c r="B72" s="150" t="s">
        <v>269</v>
      </c>
      <c r="C72" s="151"/>
      <c r="D72" s="153"/>
      <c r="E72" s="135"/>
      <c r="F72" s="135"/>
      <c r="G72" s="135"/>
      <c r="H72" s="130"/>
      <c r="I72" s="130"/>
      <c r="J72" s="130">
        <f t="shared" si="4"/>
        <v>0</v>
      </c>
      <c r="K72" s="130"/>
      <c r="L72" s="130"/>
      <c r="M72" s="130"/>
      <c r="N72" s="130"/>
      <c r="O72" s="130">
        <f t="shared" si="5"/>
        <v>0</v>
      </c>
      <c r="P72" s="130"/>
      <c r="Q72" s="130"/>
      <c r="R72" s="130">
        <v>195868.96</v>
      </c>
      <c r="S72" s="231">
        <f t="shared" si="7"/>
        <v>-195868.96</v>
      </c>
      <c r="T72" s="130"/>
      <c r="U72" s="130">
        <v>195869</v>
      </c>
      <c r="V72" s="130"/>
      <c r="W72" s="130"/>
      <c r="X72" s="130">
        <f t="shared" si="8"/>
        <v>195869</v>
      </c>
      <c r="Y72" s="130">
        <f t="shared" si="10"/>
        <v>4.0000000008149073E-2</v>
      </c>
      <c r="Z72" s="130"/>
      <c r="AA72" s="130"/>
      <c r="AB72" s="130"/>
      <c r="AC72" s="130"/>
      <c r="AD72" s="130"/>
      <c r="AE72" s="130"/>
      <c r="AF72" s="130">
        <f t="shared" si="9"/>
        <v>195869</v>
      </c>
      <c r="AG72" s="130">
        <f t="shared" si="16"/>
        <v>195868.96</v>
      </c>
      <c r="AH72" s="130">
        <f t="shared" si="25"/>
        <v>4.0000000008149073E-2</v>
      </c>
      <c r="AI72" s="230"/>
    </row>
    <row r="73" spans="1:35" s="131" customFormat="1" ht="15.75" x14ac:dyDescent="0.25">
      <c r="A73" s="138">
        <v>3331</v>
      </c>
      <c r="B73" s="150" t="s">
        <v>163</v>
      </c>
      <c r="C73" s="151">
        <f>170000+30000</f>
        <v>200000</v>
      </c>
      <c r="D73" s="153"/>
      <c r="E73" s="135">
        <f t="shared" si="23"/>
        <v>200000</v>
      </c>
      <c r="F73" s="135"/>
      <c r="G73" s="135"/>
      <c r="H73" s="130"/>
      <c r="I73" s="130"/>
      <c r="J73" s="130">
        <f t="shared" si="4"/>
        <v>200000</v>
      </c>
      <c r="K73" s="130"/>
      <c r="L73" s="130"/>
      <c r="M73" s="130"/>
      <c r="N73" s="130"/>
      <c r="O73" s="130">
        <f t="shared" si="5"/>
        <v>200000</v>
      </c>
      <c r="P73" s="130">
        <f t="shared" si="24"/>
        <v>200000</v>
      </c>
      <c r="Q73" s="130"/>
      <c r="R73" s="130"/>
      <c r="S73" s="231">
        <f t="shared" si="7"/>
        <v>200000</v>
      </c>
      <c r="T73" s="130"/>
      <c r="U73" s="130"/>
      <c r="V73" s="130"/>
      <c r="W73" s="130"/>
      <c r="X73" s="130">
        <f t="shared" si="8"/>
        <v>200000</v>
      </c>
      <c r="Y73" s="130">
        <f t="shared" si="10"/>
        <v>200000</v>
      </c>
      <c r="Z73" s="130"/>
      <c r="AA73" s="130"/>
      <c r="AB73" s="130"/>
      <c r="AC73" s="130"/>
      <c r="AD73" s="130"/>
      <c r="AE73" s="130"/>
      <c r="AF73" s="130">
        <f t="shared" si="9"/>
        <v>200000</v>
      </c>
      <c r="AG73" s="130">
        <f t="shared" si="16"/>
        <v>0</v>
      </c>
      <c r="AH73" s="130">
        <f t="shared" si="25"/>
        <v>200000</v>
      </c>
      <c r="AI73" s="230"/>
    </row>
    <row r="74" spans="1:35" s="131" customFormat="1" ht="15" customHeight="1" x14ac:dyDescent="0.25">
      <c r="A74" s="138">
        <v>3341</v>
      </c>
      <c r="B74" s="150" t="s">
        <v>164</v>
      </c>
      <c r="C74" s="151">
        <v>50000</v>
      </c>
      <c r="D74" s="152"/>
      <c r="E74" s="135">
        <f t="shared" si="23"/>
        <v>50000</v>
      </c>
      <c r="F74" s="135"/>
      <c r="G74" s="135"/>
      <c r="H74" s="130">
        <v>27841.93</v>
      </c>
      <c r="I74" s="130">
        <v>27030.5</v>
      </c>
      <c r="J74" s="130">
        <f t="shared" si="4"/>
        <v>22969.5</v>
      </c>
      <c r="K74" s="130"/>
      <c r="L74" s="130"/>
      <c r="M74" s="130"/>
      <c r="N74" s="130"/>
      <c r="O74" s="130">
        <f t="shared" ref="O74:O130" si="26">+E74-K74+L74+M74-N74</f>
        <v>50000</v>
      </c>
      <c r="P74" s="130">
        <f t="shared" si="24"/>
        <v>22969.5</v>
      </c>
      <c r="Q74" s="130">
        <v>28601</v>
      </c>
      <c r="R74" s="130"/>
      <c r="S74" s="231">
        <f t="shared" si="7"/>
        <v>22969.5</v>
      </c>
      <c r="T74" s="130"/>
      <c r="U74" s="130"/>
      <c r="V74" s="130"/>
      <c r="W74" s="130"/>
      <c r="X74" s="130">
        <f t="shared" ref="X74:X130" si="27">+O74-T74+U74+V74-W74</f>
        <v>50000</v>
      </c>
      <c r="Y74" s="130">
        <f t="shared" si="10"/>
        <v>22969.5</v>
      </c>
      <c r="Z74" s="130"/>
      <c r="AA74" s="130"/>
      <c r="AB74" s="130"/>
      <c r="AC74" s="130"/>
      <c r="AD74" s="130"/>
      <c r="AE74" s="130"/>
      <c r="AF74" s="130">
        <f t="shared" ref="AF74:AF130" si="28">+X74-AB74+AC74+AD74-AE74</f>
        <v>50000</v>
      </c>
      <c r="AG74" s="130">
        <f t="shared" si="16"/>
        <v>27030.5</v>
      </c>
      <c r="AH74" s="130">
        <f t="shared" si="25"/>
        <v>22969.5</v>
      </c>
      <c r="AI74" s="230"/>
    </row>
    <row r="75" spans="1:35" s="131" customFormat="1" ht="15.75" x14ac:dyDescent="0.25">
      <c r="A75" s="138">
        <v>3342</v>
      </c>
      <c r="B75" s="150" t="s">
        <v>165</v>
      </c>
      <c r="C75" s="151">
        <f>15000+240000</f>
        <v>255000</v>
      </c>
      <c r="D75" s="152"/>
      <c r="E75" s="135">
        <f t="shared" si="23"/>
        <v>255000</v>
      </c>
      <c r="F75" s="135"/>
      <c r="G75" s="135"/>
      <c r="H75" s="130">
        <v>2389.6</v>
      </c>
      <c r="I75" s="130">
        <v>2320</v>
      </c>
      <c r="J75" s="130">
        <f t="shared" ref="J75:J130" si="29">E75-I75</f>
        <v>252680</v>
      </c>
      <c r="K75" s="130"/>
      <c r="L75" s="130"/>
      <c r="M75" s="130"/>
      <c r="N75" s="130"/>
      <c r="O75" s="130">
        <f t="shared" si="26"/>
        <v>255000</v>
      </c>
      <c r="P75" s="130">
        <f t="shared" si="24"/>
        <v>252680</v>
      </c>
      <c r="Q75" s="130">
        <v>197800</v>
      </c>
      <c r="R75" s="130"/>
      <c r="S75" s="231">
        <f t="shared" ref="S75:S130" si="30">P75-R75</f>
        <v>252680</v>
      </c>
      <c r="T75" s="130"/>
      <c r="U75" s="130"/>
      <c r="V75" s="130"/>
      <c r="W75" s="130"/>
      <c r="X75" s="130">
        <f t="shared" si="27"/>
        <v>255000</v>
      </c>
      <c r="Y75" s="130">
        <f t="shared" si="10"/>
        <v>252680</v>
      </c>
      <c r="Z75" s="130">
        <v>2015</v>
      </c>
      <c r="AA75" s="130">
        <v>1800</v>
      </c>
      <c r="AB75" s="130"/>
      <c r="AC75" s="130"/>
      <c r="AD75" s="130"/>
      <c r="AE75" s="130"/>
      <c r="AF75" s="130">
        <f t="shared" si="28"/>
        <v>255000</v>
      </c>
      <c r="AG75" s="130">
        <f t="shared" si="16"/>
        <v>4120</v>
      </c>
      <c r="AH75" s="130">
        <f t="shared" si="25"/>
        <v>250880</v>
      </c>
      <c r="AI75" s="230"/>
    </row>
    <row r="76" spans="1:35" s="131" customFormat="1" ht="15" customHeight="1" x14ac:dyDescent="0.25">
      <c r="A76" s="138">
        <v>3351</v>
      </c>
      <c r="B76" s="150" t="s">
        <v>166</v>
      </c>
      <c r="C76" s="151">
        <f>90000+124976</f>
        <v>214976</v>
      </c>
      <c r="D76" s="152"/>
      <c r="E76" s="135">
        <f t="shared" si="23"/>
        <v>214976</v>
      </c>
      <c r="F76" s="135"/>
      <c r="G76" s="135"/>
      <c r="H76" s="130"/>
      <c r="I76" s="130"/>
      <c r="J76" s="130">
        <f t="shared" si="29"/>
        <v>214976</v>
      </c>
      <c r="K76" s="130"/>
      <c r="L76" s="130"/>
      <c r="M76" s="130"/>
      <c r="N76" s="130"/>
      <c r="O76" s="130">
        <f t="shared" si="26"/>
        <v>214976</v>
      </c>
      <c r="P76" s="130">
        <f t="shared" si="24"/>
        <v>214976</v>
      </c>
      <c r="Q76" s="130">
        <v>5600</v>
      </c>
      <c r="R76" s="130">
        <v>4800</v>
      </c>
      <c r="S76" s="231">
        <f t="shared" si="30"/>
        <v>210176</v>
      </c>
      <c r="T76" s="130"/>
      <c r="U76" s="130"/>
      <c r="V76" s="130"/>
      <c r="W76" s="130"/>
      <c r="X76" s="130">
        <f t="shared" si="27"/>
        <v>214976</v>
      </c>
      <c r="Y76" s="130">
        <f t="shared" si="10"/>
        <v>210176</v>
      </c>
      <c r="Z76" s="130">
        <v>5030</v>
      </c>
      <c r="AA76" s="130">
        <v>4800</v>
      </c>
      <c r="AB76" s="130"/>
      <c r="AC76" s="130"/>
      <c r="AD76" s="130"/>
      <c r="AE76" s="130"/>
      <c r="AF76" s="130">
        <f t="shared" si="28"/>
        <v>214976</v>
      </c>
      <c r="AG76" s="130">
        <f t="shared" si="16"/>
        <v>9600</v>
      </c>
      <c r="AH76" s="130">
        <f t="shared" si="25"/>
        <v>205376</v>
      </c>
      <c r="AI76" s="230"/>
    </row>
    <row r="77" spans="1:35" s="131" customFormat="1" ht="15.75" x14ac:dyDescent="0.25">
      <c r="A77" s="138">
        <v>3362</v>
      </c>
      <c r="B77" s="150" t="s">
        <v>167</v>
      </c>
      <c r="C77" s="151">
        <v>45668.001600000011</v>
      </c>
      <c r="D77" s="152"/>
      <c r="E77" s="135">
        <f t="shared" si="23"/>
        <v>45668.001600000011</v>
      </c>
      <c r="F77" s="135"/>
      <c r="G77" s="135"/>
      <c r="H77" s="130">
        <v>3225.96</v>
      </c>
      <c r="I77" s="130">
        <v>3132</v>
      </c>
      <c r="J77" s="130">
        <f t="shared" si="29"/>
        <v>42536.001600000011</v>
      </c>
      <c r="K77" s="130"/>
      <c r="L77" s="130"/>
      <c r="M77" s="130"/>
      <c r="N77" s="130"/>
      <c r="O77" s="130">
        <f t="shared" si="26"/>
        <v>45668.001600000011</v>
      </c>
      <c r="P77" s="130">
        <f t="shared" si="24"/>
        <v>42536.001600000011</v>
      </c>
      <c r="Q77" s="130">
        <v>24740</v>
      </c>
      <c r="R77" s="130">
        <v>23248.720000000001</v>
      </c>
      <c r="S77" s="231">
        <f t="shared" si="30"/>
        <v>19287.281600000009</v>
      </c>
      <c r="T77" s="130"/>
      <c r="U77" s="130"/>
      <c r="V77" s="130"/>
      <c r="W77" s="130"/>
      <c r="X77" s="130">
        <f t="shared" si="27"/>
        <v>45668.001600000011</v>
      </c>
      <c r="Y77" s="130">
        <f t="shared" si="10"/>
        <v>19287.281600000009</v>
      </c>
      <c r="Z77" s="130">
        <v>3650</v>
      </c>
      <c r="AA77" s="130">
        <v>3469.6</v>
      </c>
      <c r="AB77" s="130"/>
      <c r="AC77" s="130"/>
      <c r="AD77" s="130"/>
      <c r="AE77" s="130"/>
      <c r="AF77" s="130">
        <f t="shared" si="28"/>
        <v>45668.001600000011</v>
      </c>
      <c r="AG77" s="130">
        <f t="shared" si="16"/>
        <v>29850.32</v>
      </c>
      <c r="AH77" s="130">
        <f t="shared" si="25"/>
        <v>15817.681600000009</v>
      </c>
      <c r="AI77" s="230"/>
    </row>
    <row r="78" spans="1:35" s="131" customFormat="1" ht="15" customHeight="1" x14ac:dyDescent="0.25">
      <c r="A78" s="138">
        <v>3363</v>
      </c>
      <c r="B78" s="150" t="s">
        <v>168</v>
      </c>
      <c r="C78" s="151">
        <v>50000</v>
      </c>
      <c r="D78" s="152"/>
      <c r="E78" s="135">
        <f t="shared" si="23"/>
        <v>50000</v>
      </c>
      <c r="F78" s="135"/>
      <c r="G78" s="135"/>
      <c r="H78" s="130"/>
      <c r="I78" s="130"/>
      <c r="J78" s="130">
        <f t="shared" si="29"/>
        <v>50000</v>
      </c>
      <c r="K78" s="130"/>
      <c r="L78" s="130"/>
      <c r="M78" s="130"/>
      <c r="N78" s="130"/>
      <c r="O78" s="130">
        <f t="shared" si="26"/>
        <v>50000</v>
      </c>
      <c r="P78" s="130">
        <f t="shared" si="24"/>
        <v>50000</v>
      </c>
      <c r="Q78" s="130"/>
      <c r="R78" s="130"/>
      <c r="S78" s="231">
        <f t="shared" si="30"/>
        <v>50000</v>
      </c>
      <c r="T78" s="130"/>
      <c r="U78" s="130"/>
      <c r="V78" s="130"/>
      <c r="W78" s="130"/>
      <c r="X78" s="130">
        <f t="shared" si="27"/>
        <v>50000</v>
      </c>
      <c r="Y78" s="130">
        <f t="shared" ref="Y78:Y130" si="31">+X78-I78-R78</f>
        <v>50000</v>
      </c>
      <c r="Z78" s="130"/>
      <c r="AA78" s="130"/>
      <c r="AB78" s="130"/>
      <c r="AC78" s="130"/>
      <c r="AD78" s="130"/>
      <c r="AE78" s="130"/>
      <c r="AF78" s="130">
        <f t="shared" si="28"/>
        <v>50000</v>
      </c>
      <c r="AG78" s="130">
        <f t="shared" si="16"/>
        <v>0</v>
      </c>
      <c r="AH78" s="130">
        <f t="shared" si="25"/>
        <v>50000</v>
      </c>
      <c r="AI78" s="230"/>
    </row>
    <row r="79" spans="1:35" s="131" customFormat="1" ht="15.75" x14ac:dyDescent="0.25">
      <c r="A79" s="138">
        <v>3391</v>
      </c>
      <c r="B79" s="150" t="s">
        <v>169</v>
      </c>
      <c r="C79" s="135">
        <f>83520+120000+15000+170000</f>
        <v>388520</v>
      </c>
      <c r="D79" s="151">
        <v>638000</v>
      </c>
      <c r="E79" s="135">
        <f t="shared" si="23"/>
        <v>1026520</v>
      </c>
      <c r="F79" s="135"/>
      <c r="G79" s="135"/>
      <c r="H79" s="130">
        <v>24734.42</v>
      </c>
      <c r="I79" s="130">
        <f>16058.04+2296</f>
        <v>18354.04</v>
      </c>
      <c r="J79" s="130">
        <f t="shared" si="29"/>
        <v>1008165.96</v>
      </c>
      <c r="K79" s="130"/>
      <c r="L79" s="130"/>
      <c r="M79" s="130"/>
      <c r="N79" s="130"/>
      <c r="O79" s="130">
        <f t="shared" si="26"/>
        <v>1026520</v>
      </c>
      <c r="P79" s="130">
        <f t="shared" si="24"/>
        <v>1008165.96</v>
      </c>
      <c r="Q79" s="130">
        <v>34205</v>
      </c>
      <c r="R79" s="130">
        <v>32825.78</v>
      </c>
      <c r="S79" s="231">
        <f t="shared" si="30"/>
        <v>975340.17999999993</v>
      </c>
      <c r="T79" s="130"/>
      <c r="U79" s="130"/>
      <c r="V79" s="130"/>
      <c r="W79" s="130"/>
      <c r="X79" s="130">
        <f t="shared" si="27"/>
        <v>1026520</v>
      </c>
      <c r="Y79" s="130">
        <f t="shared" si="31"/>
        <v>975340.17999999993</v>
      </c>
      <c r="Z79" s="130">
        <v>60504</v>
      </c>
      <c r="AA79" s="130">
        <v>60004.800000000003</v>
      </c>
      <c r="AB79" s="130"/>
      <c r="AC79" s="130"/>
      <c r="AD79" s="130"/>
      <c r="AE79" s="130"/>
      <c r="AF79" s="130">
        <f t="shared" si="28"/>
        <v>1026520</v>
      </c>
      <c r="AG79" s="130">
        <f t="shared" si="16"/>
        <v>111184.62</v>
      </c>
      <c r="AH79" s="130">
        <f t="shared" si="25"/>
        <v>915335.37999999989</v>
      </c>
      <c r="AI79" s="230"/>
    </row>
    <row r="80" spans="1:35" s="131" customFormat="1" ht="15" customHeight="1" x14ac:dyDescent="0.25">
      <c r="A80" s="138">
        <v>3411</v>
      </c>
      <c r="B80" s="150" t="s">
        <v>170</v>
      </c>
      <c r="C80" s="151">
        <v>3567.4495999999999</v>
      </c>
      <c r="D80" s="152"/>
      <c r="E80" s="135">
        <f t="shared" si="23"/>
        <v>3567.4495999999999</v>
      </c>
      <c r="F80" s="135"/>
      <c r="G80" s="135"/>
      <c r="H80" s="130">
        <v>25476.02</v>
      </c>
      <c r="I80" s="130">
        <v>264.88</v>
      </c>
      <c r="J80" s="130">
        <f t="shared" si="29"/>
        <v>3302.5695999999998</v>
      </c>
      <c r="K80" s="130"/>
      <c r="L80" s="130"/>
      <c r="M80" s="130"/>
      <c r="N80" s="130"/>
      <c r="O80" s="130">
        <f t="shared" si="26"/>
        <v>3567.4495999999999</v>
      </c>
      <c r="P80" s="130">
        <f t="shared" si="24"/>
        <v>3302.5695999999998</v>
      </c>
      <c r="Q80" s="130">
        <v>64012</v>
      </c>
      <c r="R80" s="130">
        <v>206.19</v>
      </c>
      <c r="S80" s="231">
        <f t="shared" si="30"/>
        <v>3096.3795999999998</v>
      </c>
      <c r="T80" s="130"/>
      <c r="U80" s="130"/>
      <c r="V80" s="130"/>
      <c r="W80" s="130"/>
      <c r="X80" s="130">
        <f t="shared" si="27"/>
        <v>3567.4495999999999</v>
      </c>
      <c r="Y80" s="130">
        <f t="shared" si="31"/>
        <v>3096.3795999999998</v>
      </c>
      <c r="Z80" s="130">
        <v>220</v>
      </c>
      <c r="AA80" s="130">
        <v>188.67</v>
      </c>
      <c r="AB80" s="130"/>
      <c r="AC80" s="130"/>
      <c r="AD80" s="130"/>
      <c r="AE80" s="130"/>
      <c r="AF80" s="130">
        <f t="shared" si="28"/>
        <v>3567.4495999999999</v>
      </c>
      <c r="AG80" s="130">
        <f t="shared" si="16"/>
        <v>659.74</v>
      </c>
      <c r="AH80" s="130">
        <f t="shared" si="25"/>
        <v>2907.7095999999997</v>
      </c>
      <c r="AI80" s="230"/>
    </row>
    <row r="81" spans="1:35" s="131" customFormat="1" ht="15.75" x14ac:dyDescent="0.25">
      <c r="A81" s="138">
        <v>3451</v>
      </c>
      <c r="B81" s="150" t="s">
        <v>171</v>
      </c>
      <c r="C81" s="151">
        <v>101437</v>
      </c>
      <c r="D81" s="152"/>
      <c r="E81" s="135">
        <f t="shared" si="23"/>
        <v>101437</v>
      </c>
      <c r="F81" s="135"/>
      <c r="G81" s="135"/>
      <c r="H81" s="130"/>
      <c r="I81" s="130"/>
      <c r="J81" s="130">
        <f t="shared" si="29"/>
        <v>101437</v>
      </c>
      <c r="K81" s="130"/>
      <c r="L81" s="130"/>
      <c r="M81" s="130"/>
      <c r="N81" s="130"/>
      <c r="O81" s="130">
        <f t="shared" si="26"/>
        <v>101437</v>
      </c>
      <c r="P81" s="130">
        <f t="shared" si="24"/>
        <v>101437</v>
      </c>
      <c r="Q81" s="130"/>
      <c r="R81" s="130">
        <v>61747.75</v>
      </c>
      <c r="S81" s="231">
        <f t="shared" si="30"/>
        <v>39689.25</v>
      </c>
      <c r="T81" s="130"/>
      <c r="U81" s="130"/>
      <c r="V81" s="130"/>
      <c r="W81" s="130"/>
      <c r="X81" s="130">
        <f t="shared" si="27"/>
        <v>101437</v>
      </c>
      <c r="Y81" s="130">
        <f t="shared" si="31"/>
        <v>39689.25</v>
      </c>
      <c r="Z81" s="130"/>
      <c r="AA81" s="130"/>
      <c r="AB81" s="130"/>
      <c r="AC81" s="130"/>
      <c r="AD81" s="130"/>
      <c r="AE81" s="130"/>
      <c r="AF81" s="130">
        <f t="shared" si="28"/>
        <v>101437</v>
      </c>
      <c r="AG81" s="130">
        <f t="shared" si="16"/>
        <v>61747.75</v>
      </c>
      <c r="AH81" s="130">
        <f t="shared" si="25"/>
        <v>39689.25</v>
      </c>
      <c r="AI81" s="230"/>
    </row>
    <row r="82" spans="1:35" s="131" customFormat="1" ht="15" customHeight="1" x14ac:dyDescent="0.25">
      <c r="A82" s="138">
        <v>3471</v>
      </c>
      <c r="B82" s="150" t="s">
        <v>172</v>
      </c>
      <c r="C82" s="151">
        <v>8686.08</v>
      </c>
      <c r="D82" s="152"/>
      <c r="E82" s="135">
        <f t="shared" si="23"/>
        <v>8686.08</v>
      </c>
      <c r="F82" s="135"/>
      <c r="G82" s="135"/>
      <c r="H82" s="130">
        <v>716.88</v>
      </c>
      <c r="I82" s="130">
        <v>696</v>
      </c>
      <c r="J82" s="130">
        <f t="shared" si="29"/>
        <v>7990.08</v>
      </c>
      <c r="K82" s="130"/>
      <c r="L82" s="130"/>
      <c r="M82" s="130"/>
      <c r="N82" s="130"/>
      <c r="O82" s="130">
        <f t="shared" si="26"/>
        <v>8686.08</v>
      </c>
      <c r="P82" s="130">
        <f t="shared" si="24"/>
        <v>7990.08</v>
      </c>
      <c r="Q82" s="130"/>
      <c r="R82" s="130"/>
      <c r="S82" s="231">
        <f t="shared" si="30"/>
        <v>7990.08</v>
      </c>
      <c r="T82" s="130"/>
      <c r="U82" s="130"/>
      <c r="V82" s="130"/>
      <c r="W82" s="130"/>
      <c r="X82" s="130">
        <f t="shared" si="27"/>
        <v>8686.08</v>
      </c>
      <c r="Y82" s="130">
        <f t="shared" si="31"/>
        <v>7990.08</v>
      </c>
      <c r="Z82" s="130">
        <v>1510</v>
      </c>
      <c r="AA82" s="130">
        <v>1334</v>
      </c>
      <c r="AB82" s="130"/>
      <c r="AC82" s="130"/>
      <c r="AD82" s="130"/>
      <c r="AE82" s="130"/>
      <c r="AF82" s="130">
        <f t="shared" si="28"/>
        <v>8686.08</v>
      </c>
      <c r="AG82" s="130">
        <f t="shared" si="16"/>
        <v>2030</v>
      </c>
      <c r="AH82" s="130">
        <f t="shared" si="25"/>
        <v>6656.08</v>
      </c>
      <c r="AI82" s="230"/>
    </row>
    <row r="83" spans="1:35" s="131" customFormat="1" ht="15.75" x14ac:dyDescent="0.25">
      <c r="A83" s="138">
        <v>3481</v>
      </c>
      <c r="B83" s="150" t="s">
        <v>173</v>
      </c>
      <c r="C83" s="151">
        <v>0</v>
      </c>
      <c r="D83" s="152"/>
      <c r="E83" s="135">
        <f t="shared" si="23"/>
        <v>0</v>
      </c>
      <c r="F83" s="135"/>
      <c r="G83" s="135"/>
      <c r="H83" s="130"/>
      <c r="I83" s="130"/>
      <c r="J83" s="130">
        <f t="shared" si="29"/>
        <v>0</v>
      </c>
      <c r="K83" s="130"/>
      <c r="L83" s="130"/>
      <c r="M83" s="130"/>
      <c r="N83" s="130"/>
      <c r="O83" s="130">
        <f t="shared" si="26"/>
        <v>0</v>
      </c>
      <c r="P83" s="130">
        <f t="shared" si="24"/>
        <v>0</v>
      </c>
      <c r="Q83" s="130"/>
      <c r="R83" s="130"/>
      <c r="S83" s="231">
        <f t="shared" si="30"/>
        <v>0</v>
      </c>
      <c r="T83" s="130"/>
      <c r="U83" s="130"/>
      <c r="V83" s="130"/>
      <c r="W83" s="130"/>
      <c r="X83" s="130">
        <f t="shared" si="27"/>
        <v>0</v>
      </c>
      <c r="Y83" s="130">
        <f t="shared" si="31"/>
        <v>0</v>
      </c>
      <c r="Z83" s="130"/>
      <c r="AA83" s="130"/>
      <c r="AB83" s="130"/>
      <c r="AC83" s="130"/>
      <c r="AD83" s="130"/>
      <c r="AE83" s="130"/>
      <c r="AF83" s="130">
        <f t="shared" si="28"/>
        <v>0</v>
      </c>
      <c r="AG83" s="130">
        <f t="shared" si="16"/>
        <v>0</v>
      </c>
      <c r="AH83" s="130">
        <f t="shared" si="25"/>
        <v>0</v>
      </c>
      <c r="AI83" s="230"/>
    </row>
    <row r="84" spans="1:35" s="131" customFormat="1" ht="15" customHeight="1" x14ac:dyDescent="0.25">
      <c r="A84" s="138">
        <v>3512</v>
      </c>
      <c r="B84" s="150" t="s">
        <v>174</v>
      </c>
      <c r="C84" s="151">
        <f>500000+150000+300000</f>
        <v>950000</v>
      </c>
      <c r="D84" s="151">
        <f>5735172-3+100000</f>
        <v>5835169</v>
      </c>
      <c r="E84" s="135">
        <f t="shared" si="23"/>
        <v>6785169</v>
      </c>
      <c r="F84" s="135"/>
      <c r="G84" s="135"/>
      <c r="H84" s="130">
        <v>17220.57</v>
      </c>
      <c r="I84" s="130">
        <v>16719.18</v>
      </c>
      <c r="J84" s="130">
        <f t="shared" si="29"/>
        <v>6768449.8200000003</v>
      </c>
      <c r="K84" s="130"/>
      <c r="L84" s="130"/>
      <c r="M84" s="130"/>
      <c r="N84" s="130"/>
      <c r="O84" s="130">
        <f t="shared" si="26"/>
        <v>6785169</v>
      </c>
      <c r="P84" s="130">
        <f t="shared" si="24"/>
        <v>6768449.8200000003</v>
      </c>
      <c r="Q84" s="130">
        <v>3904</v>
      </c>
      <c r="R84" s="130">
        <v>3765.36</v>
      </c>
      <c r="S84" s="231">
        <f t="shared" si="30"/>
        <v>6764684.46</v>
      </c>
      <c r="T84" s="130"/>
      <c r="U84" s="130"/>
      <c r="V84" s="130"/>
      <c r="W84" s="130"/>
      <c r="X84" s="130">
        <f t="shared" si="27"/>
        <v>6785169</v>
      </c>
      <c r="Y84" s="130">
        <f t="shared" si="31"/>
        <v>6764684.46</v>
      </c>
      <c r="Z84" s="130">
        <v>36950</v>
      </c>
      <c r="AA84" s="130">
        <v>34857.26</v>
      </c>
      <c r="AB84" s="130">
        <v>17400</v>
      </c>
      <c r="AC84" s="130"/>
      <c r="AD84" s="130"/>
      <c r="AE84" s="130"/>
      <c r="AF84" s="130">
        <f t="shared" si="28"/>
        <v>6767769</v>
      </c>
      <c r="AG84" s="130">
        <f t="shared" si="16"/>
        <v>55341.8</v>
      </c>
      <c r="AH84" s="130">
        <f t="shared" si="25"/>
        <v>6712427.2000000002</v>
      </c>
      <c r="AI84" s="230"/>
    </row>
    <row r="85" spans="1:35" s="131" customFormat="1" ht="15.75" x14ac:dyDescent="0.25">
      <c r="A85" s="138">
        <v>3521</v>
      </c>
      <c r="B85" s="150" t="s">
        <v>175</v>
      </c>
      <c r="C85" s="151">
        <v>250000</v>
      </c>
      <c r="D85" s="152"/>
      <c r="E85" s="135">
        <f t="shared" si="23"/>
        <v>250000</v>
      </c>
      <c r="F85" s="135"/>
      <c r="G85" s="135"/>
      <c r="H85" s="130"/>
      <c r="I85" s="130"/>
      <c r="J85" s="130">
        <f t="shared" si="29"/>
        <v>250000</v>
      </c>
      <c r="K85" s="130"/>
      <c r="L85" s="130"/>
      <c r="M85" s="130"/>
      <c r="N85" s="130"/>
      <c r="O85" s="130">
        <f t="shared" si="26"/>
        <v>250000</v>
      </c>
      <c r="P85" s="130">
        <f t="shared" si="24"/>
        <v>250000</v>
      </c>
      <c r="Q85" s="130"/>
      <c r="R85" s="130"/>
      <c r="S85" s="231">
        <f t="shared" si="30"/>
        <v>250000</v>
      </c>
      <c r="T85" s="130"/>
      <c r="U85" s="130"/>
      <c r="V85" s="130"/>
      <c r="W85" s="130"/>
      <c r="X85" s="130">
        <f t="shared" si="27"/>
        <v>250000</v>
      </c>
      <c r="Y85" s="130">
        <f t="shared" si="31"/>
        <v>250000</v>
      </c>
      <c r="Z85" s="130"/>
      <c r="AA85" s="130"/>
      <c r="AB85" s="130"/>
      <c r="AC85" s="130"/>
      <c r="AD85" s="130"/>
      <c r="AE85" s="130"/>
      <c r="AF85" s="130">
        <f t="shared" si="28"/>
        <v>250000</v>
      </c>
      <c r="AG85" s="130">
        <f t="shared" si="16"/>
        <v>0</v>
      </c>
      <c r="AH85" s="130">
        <f t="shared" si="25"/>
        <v>250000</v>
      </c>
      <c r="AI85" s="230"/>
    </row>
    <row r="86" spans="1:35" s="131" customFormat="1" ht="15" customHeight="1" x14ac:dyDescent="0.25">
      <c r="A86" s="138">
        <v>3531</v>
      </c>
      <c r="B86" s="150" t="s">
        <v>176</v>
      </c>
      <c r="C86" s="151">
        <v>1650000</v>
      </c>
      <c r="D86" s="152"/>
      <c r="E86" s="135">
        <f t="shared" si="23"/>
        <v>1650000</v>
      </c>
      <c r="F86" s="135"/>
      <c r="G86" s="135"/>
      <c r="H86" s="130">
        <v>5669.12</v>
      </c>
      <c r="I86" s="130">
        <v>5504</v>
      </c>
      <c r="J86" s="130">
        <f t="shared" si="29"/>
        <v>1644496</v>
      </c>
      <c r="K86" s="130"/>
      <c r="L86" s="130"/>
      <c r="M86" s="130"/>
      <c r="N86" s="130"/>
      <c r="O86" s="130">
        <f t="shared" si="26"/>
        <v>1650000</v>
      </c>
      <c r="P86" s="130">
        <f t="shared" si="24"/>
        <v>1644496</v>
      </c>
      <c r="Q86" s="130">
        <v>650</v>
      </c>
      <c r="R86" s="130">
        <v>580</v>
      </c>
      <c r="S86" s="231">
        <f t="shared" si="30"/>
        <v>1643916</v>
      </c>
      <c r="T86" s="130"/>
      <c r="U86" s="130"/>
      <c r="V86" s="130"/>
      <c r="W86" s="130"/>
      <c r="X86" s="130">
        <f t="shared" si="27"/>
        <v>1650000</v>
      </c>
      <c r="Y86" s="130">
        <f t="shared" si="31"/>
        <v>1643916</v>
      </c>
      <c r="Z86" s="130"/>
      <c r="AA86" s="130"/>
      <c r="AB86" s="130">
        <v>8120</v>
      </c>
      <c r="AC86" s="130"/>
      <c r="AD86" s="130"/>
      <c r="AE86" s="130"/>
      <c r="AF86" s="130">
        <f t="shared" si="28"/>
        <v>1641880</v>
      </c>
      <c r="AG86" s="130">
        <f t="shared" si="16"/>
        <v>6084</v>
      </c>
      <c r="AH86" s="130">
        <f t="shared" si="25"/>
        <v>1635796</v>
      </c>
      <c r="AI86" s="230"/>
    </row>
    <row r="87" spans="1:35" s="131" customFormat="1" ht="15.75" x14ac:dyDescent="0.25">
      <c r="A87" s="138">
        <v>3551</v>
      </c>
      <c r="B87" s="150" t="s">
        <v>177</v>
      </c>
      <c r="C87" s="151">
        <v>213722</v>
      </c>
      <c r="D87" s="152"/>
      <c r="E87" s="135">
        <f t="shared" si="23"/>
        <v>213722</v>
      </c>
      <c r="F87" s="135"/>
      <c r="G87" s="135"/>
      <c r="H87" s="130">
        <v>1252.48</v>
      </c>
      <c r="I87" s="130">
        <v>1216.04</v>
      </c>
      <c r="J87" s="130">
        <f t="shared" si="29"/>
        <v>212505.96</v>
      </c>
      <c r="K87" s="130"/>
      <c r="L87" s="130"/>
      <c r="M87" s="130"/>
      <c r="N87" s="130"/>
      <c r="O87" s="130">
        <f t="shared" si="26"/>
        <v>213722</v>
      </c>
      <c r="P87" s="130">
        <f t="shared" si="24"/>
        <v>212505.96</v>
      </c>
      <c r="Q87" s="130">
        <v>14801</v>
      </c>
      <c r="R87" s="130">
        <v>13650.08</v>
      </c>
      <c r="S87" s="231">
        <f t="shared" si="30"/>
        <v>198855.88</v>
      </c>
      <c r="T87" s="130"/>
      <c r="U87" s="130"/>
      <c r="V87" s="130"/>
      <c r="W87" s="130"/>
      <c r="X87" s="130">
        <f t="shared" si="27"/>
        <v>213722</v>
      </c>
      <c r="Y87" s="130">
        <f t="shared" si="31"/>
        <v>198855.88</v>
      </c>
      <c r="Z87" s="130">
        <v>9820</v>
      </c>
      <c r="AA87" s="130">
        <v>8294.4</v>
      </c>
      <c r="AB87" s="130"/>
      <c r="AC87" s="130"/>
      <c r="AD87" s="130"/>
      <c r="AE87" s="130"/>
      <c r="AF87" s="130">
        <f t="shared" si="28"/>
        <v>213722</v>
      </c>
      <c r="AG87" s="130">
        <f t="shared" si="16"/>
        <v>23160.519999999997</v>
      </c>
      <c r="AH87" s="130">
        <f t="shared" si="25"/>
        <v>190561.48</v>
      </c>
      <c r="AI87" s="230"/>
    </row>
    <row r="88" spans="1:35" s="131" customFormat="1" ht="15" customHeight="1" x14ac:dyDescent="0.25">
      <c r="A88" s="138">
        <v>3571</v>
      </c>
      <c r="B88" s="150" t="s">
        <v>178</v>
      </c>
      <c r="C88" s="151">
        <v>250000</v>
      </c>
      <c r="D88" s="152"/>
      <c r="E88" s="135">
        <f t="shared" si="23"/>
        <v>250000</v>
      </c>
      <c r="F88" s="135"/>
      <c r="G88" s="135"/>
      <c r="H88" s="130"/>
      <c r="I88" s="130"/>
      <c r="J88" s="130">
        <f t="shared" si="29"/>
        <v>250000</v>
      </c>
      <c r="K88" s="130"/>
      <c r="L88" s="130"/>
      <c r="M88" s="130"/>
      <c r="N88" s="130"/>
      <c r="O88" s="130">
        <f t="shared" si="26"/>
        <v>250000</v>
      </c>
      <c r="P88" s="130">
        <f t="shared" si="24"/>
        <v>250000</v>
      </c>
      <c r="Q88" s="130">
        <v>468500</v>
      </c>
      <c r="R88" s="130">
        <v>32944.639999999999</v>
      </c>
      <c r="S88" s="231">
        <f t="shared" si="30"/>
        <v>217055.35999999999</v>
      </c>
      <c r="T88" s="130"/>
      <c r="U88" s="130"/>
      <c r="V88" s="130"/>
      <c r="W88" s="130"/>
      <c r="X88" s="130">
        <f t="shared" si="27"/>
        <v>250000</v>
      </c>
      <c r="Y88" s="130">
        <f t="shared" si="31"/>
        <v>217055.35999999999</v>
      </c>
      <c r="Z88" s="130">
        <v>210501</v>
      </c>
      <c r="AA88" s="130">
        <v>10419.530000000001</v>
      </c>
      <c r="AB88" s="130"/>
      <c r="AC88" s="130"/>
      <c r="AD88" s="130"/>
      <c r="AE88" s="130"/>
      <c r="AF88" s="130">
        <f t="shared" si="28"/>
        <v>250000</v>
      </c>
      <c r="AG88" s="130">
        <f t="shared" si="16"/>
        <v>43364.17</v>
      </c>
      <c r="AH88" s="130">
        <f t="shared" si="25"/>
        <v>206635.83</v>
      </c>
      <c r="AI88" s="230"/>
    </row>
    <row r="89" spans="1:35" s="131" customFormat="1" ht="15.75" x14ac:dyDescent="0.25">
      <c r="A89" s="138">
        <v>3572</v>
      </c>
      <c r="B89" s="150" t="s">
        <v>179</v>
      </c>
      <c r="C89" s="151">
        <v>50000</v>
      </c>
      <c r="D89" s="152"/>
      <c r="E89" s="135">
        <f t="shared" si="23"/>
        <v>50000</v>
      </c>
      <c r="F89" s="135"/>
      <c r="G89" s="135"/>
      <c r="H89" s="130"/>
      <c r="I89" s="130"/>
      <c r="J89" s="130">
        <f t="shared" si="29"/>
        <v>50000</v>
      </c>
      <c r="K89" s="130"/>
      <c r="L89" s="130"/>
      <c r="M89" s="130"/>
      <c r="N89" s="130"/>
      <c r="O89" s="130">
        <f t="shared" si="26"/>
        <v>50000</v>
      </c>
      <c r="P89" s="130">
        <f t="shared" si="24"/>
        <v>50000</v>
      </c>
      <c r="Q89" s="130"/>
      <c r="R89" s="130"/>
      <c r="S89" s="231">
        <f t="shared" si="30"/>
        <v>50000</v>
      </c>
      <c r="T89" s="130"/>
      <c r="U89" s="130"/>
      <c r="V89" s="130"/>
      <c r="W89" s="130"/>
      <c r="X89" s="130">
        <f t="shared" si="27"/>
        <v>50000</v>
      </c>
      <c r="Y89" s="130">
        <f t="shared" si="31"/>
        <v>50000</v>
      </c>
      <c r="Z89" s="130">
        <v>0</v>
      </c>
      <c r="AA89" s="130"/>
      <c r="AB89" s="130"/>
      <c r="AC89" s="130"/>
      <c r="AD89" s="130"/>
      <c r="AE89" s="130"/>
      <c r="AF89" s="130">
        <f t="shared" si="28"/>
        <v>50000</v>
      </c>
      <c r="AG89" s="130">
        <f t="shared" si="16"/>
        <v>0</v>
      </c>
      <c r="AH89" s="130">
        <f t="shared" si="25"/>
        <v>50000</v>
      </c>
      <c r="AI89" s="230"/>
    </row>
    <row r="90" spans="1:35" s="131" customFormat="1" ht="15" customHeight="1" x14ac:dyDescent="0.25">
      <c r="A90" s="138">
        <v>3581</v>
      </c>
      <c r="B90" s="150" t="s">
        <v>180</v>
      </c>
      <c r="C90" s="151">
        <v>150000</v>
      </c>
      <c r="D90" s="152"/>
      <c r="E90" s="135">
        <f t="shared" si="23"/>
        <v>150000</v>
      </c>
      <c r="F90" s="135"/>
      <c r="G90" s="135"/>
      <c r="H90" s="130">
        <v>12500</v>
      </c>
      <c r="I90" s="130">
        <v>15831.16</v>
      </c>
      <c r="J90" s="130">
        <f t="shared" si="29"/>
        <v>134168.84</v>
      </c>
      <c r="K90" s="130"/>
      <c r="L90" s="130"/>
      <c r="M90" s="130"/>
      <c r="N90" s="130"/>
      <c r="O90" s="130">
        <f t="shared" si="26"/>
        <v>150000</v>
      </c>
      <c r="P90" s="130">
        <f t="shared" si="24"/>
        <v>134168.84</v>
      </c>
      <c r="Q90" s="130">
        <v>17200</v>
      </c>
      <c r="R90" s="130">
        <v>44077.21</v>
      </c>
      <c r="S90" s="231">
        <f t="shared" si="30"/>
        <v>90091.63</v>
      </c>
      <c r="T90" s="130"/>
      <c r="U90" s="130"/>
      <c r="V90" s="130"/>
      <c r="W90" s="130"/>
      <c r="X90" s="130">
        <f t="shared" si="27"/>
        <v>150000</v>
      </c>
      <c r="Y90" s="130">
        <f t="shared" si="31"/>
        <v>90091.63</v>
      </c>
      <c r="Z90" s="130">
        <v>650</v>
      </c>
      <c r="AA90" s="130">
        <v>406</v>
      </c>
      <c r="AB90" s="130"/>
      <c r="AC90" s="130"/>
      <c r="AD90" s="130"/>
      <c r="AE90" s="130"/>
      <c r="AF90" s="130">
        <f t="shared" si="28"/>
        <v>150000</v>
      </c>
      <c r="AG90" s="130">
        <f t="shared" si="16"/>
        <v>60314.369999999995</v>
      </c>
      <c r="AH90" s="130">
        <f t="shared" si="25"/>
        <v>89685.63</v>
      </c>
      <c r="AI90" s="230"/>
    </row>
    <row r="91" spans="1:35" s="131" customFormat="1" ht="15.75" x14ac:dyDescent="0.25">
      <c r="A91" s="138">
        <v>3591</v>
      </c>
      <c r="B91" s="150" t="s">
        <v>181</v>
      </c>
      <c r="C91" s="151">
        <f>15000*12</f>
        <v>180000</v>
      </c>
      <c r="D91" s="152"/>
      <c r="E91" s="135">
        <f t="shared" si="23"/>
        <v>180000</v>
      </c>
      <c r="F91" s="135"/>
      <c r="G91" s="135"/>
      <c r="H91" s="130"/>
      <c r="I91" s="130"/>
      <c r="J91" s="130">
        <f t="shared" si="29"/>
        <v>180000</v>
      </c>
      <c r="K91" s="130"/>
      <c r="L91" s="130"/>
      <c r="M91" s="130"/>
      <c r="N91" s="130"/>
      <c r="O91" s="130">
        <f t="shared" si="26"/>
        <v>180000</v>
      </c>
      <c r="P91" s="130">
        <f t="shared" si="24"/>
        <v>180000</v>
      </c>
      <c r="Q91" s="130"/>
      <c r="R91" s="130"/>
      <c r="S91" s="231">
        <f t="shared" si="30"/>
        <v>180000</v>
      </c>
      <c r="T91" s="130">
        <v>1454</v>
      </c>
      <c r="U91" s="130"/>
      <c r="V91" s="130"/>
      <c r="W91" s="130"/>
      <c r="X91" s="130">
        <f t="shared" si="27"/>
        <v>178546</v>
      </c>
      <c r="Y91" s="130">
        <f t="shared" si="31"/>
        <v>178546</v>
      </c>
      <c r="Z91" s="130">
        <v>17260</v>
      </c>
      <c r="AA91" s="130">
        <v>15831.16</v>
      </c>
      <c r="AB91" s="130"/>
      <c r="AC91" s="130"/>
      <c r="AD91" s="130"/>
      <c r="AE91" s="130"/>
      <c r="AF91" s="130">
        <f t="shared" si="28"/>
        <v>178546</v>
      </c>
      <c r="AG91" s="130">
        <f t="shared" si="16"/>
        <v>15831.16</v>
      </c>
      <c r="AH91" s="130">
        <f t="shared" si="25"/>
        <v>162714.84</v>
      </c>
      <c r="AI91" s="230"/>
    </row>
    <row r="92" spans="1:35" s="131" customFormat="1" ht="15.75" x14ac:dyDescent="0.25">
      <c r="A92" s="138">
        <v>3651</v>
      </c>
      <c r="B92" s="150" t="s">
        <v>309</v>
      </c>
      <c r="C92" s="151">
        <v>0</v>
      </c>
      <c r="D92" s="152"/>
      <c r="E92" s="135">
        <f t="shared" si="23"/>
        <v>0</v>
      </c>
      <c r="F92" s="135"/>
      <c r="G92" s="135"/>
      <c r="H92" s="130"/>
      <c r="I92" s="130"/>
      <c r="J92" s="130">
        <f t="shared" si="29"/>
        <v>0</v>
      </c>
      <c r="K92" s="130"/>
      <c r="L92" s="130"/>
      <c r="M92" s="130"/>
      <c r="N92" s="130"/>
      <c r="O92" s="130">
        <f t="shared" si="26"/>
        <v>0</v>
      </c>
      <c r="P92" s="130">
        <f t="shared" si="24"/>
        <v>0</v>
      </c>
      <c r="Q92" s="130"/>
      <c r="R92" s="130"/>
      <c r="S92" s="231">
        <f t="shared" si="30"/>
        <v>0</v>
      </c>
      <c r="T92" s="130"/>
      <c r="U92" s="130"/>
      <c r="V92" s="130"/>
      <c r="W92" s="130"/>
      <c r="X92" s="130">
        <f t="shared" si="27"/>
        <v>0</v>
      </c>
      <c r="Y92" s="130">
        <f t="shared" si="31"/>
        <v>0</v>
      </c>
      <c r="Z92" s="130"/>
      <c r="AA92" s="130">
        <v>17400</v>
      </c>
      <c r="AB92" s="130"/>
      <c r="AC92" s="130">
        <v>17400</v>
      </c>
      <c r="AD92" s="130"/>
      <c r="AE92" s="130"/>
      <c r="AF92" s="130">
        <f t="shared" si="28"/>
        <v>17400</v>
      </c>
      <c r="AG92" s="130">
        <f t="shared" ref="AG92:AG102" si="32">I92+R92+AA92</f>
        <v>17400</v>
      </c>
      <c r="AH92" s="130">
        <f t="shared" si="25"/>
        <v>0</v>
      </c>
      <c r="AI92" s="230"/>
    </row>
    <row r="93" spans="1:35" s="131" customFormat="1" ht="15" customHeight="1" x14ac:dyDescent="0.25">
      <c r="A93" s="138">
        <v>3721</v>
      </c>
      <c r="B93" s="150" t="s">
        <v>182</v>
      </c>
      <c r="C93" s="151">
        <v>64623.748800000001</v>
      </c>
      <c r="D93" s="152"/>
      <c r="E93" s="135">
        <f t="shared" si="23"/>
        <v>64623.748800000001</v>
      </c>
      <c r="F93" s="135"/>
      <c r="G93" s="135"/>
      <c r="H93" s="130">
        <v>20598.97</v>
      </c>
      <c r="I93" s="130">
        <v>19998.759999999998</v>
      </c>
      <c r="J93" s="130">
        <f t="shared" si="29"/>
        <v>44624.988800000006</v>
      </c>
      <c r="K93" s="130"/>
      <c r="L93" s="130"/>
      <c r="M93" s="130"/>
      <c r="N93" s="130"/>
      <c r="O93" s="130">
        <f t="shared" si="26"/>
        <v>64623.748800000001</v>
      </c>
      <c r="P93" s="130">
        <f t="shared" si="24"/>
        <v>44624.988800000006</v>
      </c>
      <c r="Q93" s="130">
        <v>4820</v>
      </c>
      <c r="R93" s="130">
        <v>4694.95</v>
      </c>
      <c r="S93" s="231">
        <f t="shared" si="30"/>
        <v>39930.038800000009</v>
      </c>
      <c r="T93" s="130"/>
      <c r="U93" s="130"/>
      <c r="V93" s="130"/>
      <c r="W93" s="130"/>
      <c r="X93" s="130">
        <f t="shared" si="27"/>
        <v>64623.748800000001</v>
      </c>
      <c r="Y93" s="130">
        <f t="shared" si="31"/>
        <v>39930.038800000009</v>
      </c>
      <c r="Z93" s="130">
        <v>40500</v>
      </c>
      <c r="AA93" s="130">
        <v>39393.14</v>
      </c>
      <c r="AB93" s="130"/>
      <c r="AC93" s="130"/>
      <c r="AD93" s="130"/>
      <c r="AE93" s="130"/>
      <c r="AF93" s="130">
        <f t="shared" si="28"/>
        <v>64623.748800000001</v>
      </c>
      <c r="AG93" s="130">
        <f t="shared" si="32"/>
        <v>64086.85</v>
      </c>
      <c r="AH93" s="130">
        <f t="shared" si="25"/>
        <v>536.89880000000994</v>
      </c>
      <c r="AI93" s="230"/>
    </row>
    <row r="94" spans="1:35" s="131" customFormat="1" ht="15.75" x14ac:dyDescent="0.25">
      <c r="A94" s="138">
        <v>3751</v>
      </c>
      <c r="B94" s="150" t="s">
        <v>183</v>
      </c>
      <c r="C94" s="151">
        <f>8371.68+25000</f>
        <v>33371.68</v>
      </c>
      <c r="D94" s="152"/>
      <c r="E94" s="135">
        <f t="shared" si="23"/>
        <v>33371.68</v>
      </c>
      <c r="F94" s="135"/>
      <c r="G94" s="135"/>
      <c r="H94" s="130">
        <v>1827.22</v>
      </c>
      <c r="I94" s="130">
        <v>1774</v>
      </c>
      <c r="J94" s="130">
        <f t="shared" si="29"/>
        <v>31597.68</v>
      </c>
      <c r="K94" s="130"/>
      <c r="L94" s="130"/>
      <c r="M94" s="130"/>
      <c r="N94" s="130"/>
      <c r="O94" s="130">
        <f t="shared" si="26"/>
        <v>33371.68</v>
      </c>
      <c r="P94" s="130">
        <f t="shared" si="24"/>
        <v>31597.68</v>
      </c>
      <c r="Q94" s="130"/>
      <c r="R94" s="130"/>
      <c r="S94" s="231">
        <f t="shared" si="30"/>
        <v>31597.68</v>
      </c>
      <c r="T94" s="130"/>
      <c r="U94" s="130"/>
      <c r="V94" s="130"/>
      <c r="W94" s="130"/>
      <c r="X94" s="130">
        <f t="shared" si="27"/>
        <v>33371.68</v>
      </c>
      <c r="Y94" s="130">
        <f t="shared" si="31"/>
        <v>31597.68</v>
      </c>
      <c r="Z94" s="130">
        <v>450</v>
      </c>
      <c r="AA94" s="130">
        <v>376</v>
      </c>
      <c r="AB94" s="130"/>
      <c r="AC94" s="130"/>
      <c r="AD94" s="130"/>
      <c r="AE94" s="130"/>
      <c r="AF94" s="130">
        <f t="shared" si="28"/>
        <v>33371.68</v>
      </c>
      <c r="AG94" s="130">
        <f t="shared" si="32"/>
        <v>2150</v>
      </c>
      <c r="AH94" s="130">
        <f t="shared" si="25"/>
        <v>31221.68</v>
      </c>
      <c r="AI94" s="230"/>
    </row>
    <row r="95" spans="1:35" s="131" customFormat="1" ht="15" customHeight="1" x14ac:dyDescent="0.25">
      <c r="A95" s="138">
        <v>3791</v>
      </c>
      <c r="B95" s="150" t="s">
        <v>184</v>
      </c>
      <c r="C95" s="151">
        <v>6000</v>
      </c>
      <c r="D95" s="152"/>
      <c r="E95" s="135">
        <f t="shared" si="23"/>
        <v>6000</v>
      </c>
      <c r="F95" s="135"/>
      <c r="G95" s="135"/>
      <c r="H95" s="130"/>
      <c r="I95" s="130"/>
      <c r="J95" s="130">
        <f t="shared" si="29"/>
        <v>6000</v>
      </c>
      <c r="K95" s="130"/>
      <c r="L95" s="130"/>
      <c r="M95" s="130"/>
      <c r="N95" s="130"/>
      <c r="O95" s="130">
        <f t="shared" si="26"/>
        <v>6000</v>
      </c>
      <c r="P95" s="130">
        <f t="shared" si="24"/>
        <v>6000</v>
      </c>
      <c r="Q95" s="130"/>
      <c r="R95" s="130"/>
      <c r="S95" s="231">
        <f t="shared" si="30"/>
        <v>6000</v>
      </c>
      <c r="T95" s="130"/>
      <c r="U95" s="130"/>
      <c r="V95" s="130"/>
      <c r="W95" s="130"/>
      <c r="X95" s="130">
        <f t="shared" si="27"/>
        <v>6000</v>
      </c>
      <c r="Y95" s="130">
        <f t="shared" si="31"/>
        <v>6000</v>
      </c>
      <c r="Z95" s="130"/>
      <c r="AA95" s="130"/>
      <c r="AB95" s="130"/>
      <c r="AC95" s="130"/>
      <c r="AD95" s="130"/>
      <c r="AE95" s="130"/>
      <c r="AF95" s="130">
        <f t="shared" si="28"/>
        <v>6000</v>
      </c>
      <c r="AG95" s="130">
        <f t="shared" si="32"/>
        <v>0</v>
      </c>
      <c r="AH95" s="130">
        <f t="shared" si="25"/>
        <v>6000</v>
      </c>
      <c r="AI95" s="230"/>
    </row>
    <row r="96" spans="1:35" s="131" customFormat="1" ht="15.75" x14ac:dyDescent="0.25">
      <c r="A96" s="138">
        <v>3821</v>
      </c>
      <c r="B96" s="150" t="s">
        <v>185</v>
      </c>
      <c r="C96" s="151">
        <v>14400</v>
      </c>
      <c r="D96" s="152"/>
      <c r="E96" s="135">
        <f t="shared" si="23"/>
        <v>14400</v>
      </c>
      <c r="F96" s="135"/>
      <c r="G96" s="135"/>
      <c r="H96" s="130"/>
      <c r="I96" s="130"/>
      <c r="J96" s="130">
        <f t="shared" si="29"/>
        <v>14400</v>
      </c>
      <c r="K96" s="130"/>
      <c r="L96" s="130"/>
      <c r="M96" s="130"/>
      <c r="N96" s="130"/>
      <c r="O96" s="130">
        <f t="shared" si="26"/>
        <v>14400</v>
      </c>
      <c r="P96" s="130">
        <f t="shared" si="24"/>
        <v>14400</v>
      </c>
      <c r="Q96" s="130"/>
      <c r="R96" s="130">
        <v>1200</v>
      </c>
      <c r="S96" s="231">
        <f t="shared" si="30"/>
        <v>13200</v>
      </c>
      <c r="T96" s="130"/>
      <c r="U96" s="130"/>
      <c r="V96" s="130"/>
      <c r="W96" s="130"/>
      <c r="X96" s="130">
        <f t="shared" si="27"/>
        <v>14400</v>
      </c>
      <c r="Y96" s="130">
        <f t="shared" si="31"/>
        <v>13200</v>
      </c>
      <c r="Z96" s="130">
        <v>0</v>
      </c>
      <c r="AA96" s="130">
        <v>4056</v>
      </c>
      <c r="AB96" s="130"/>
      <c r="AC96" s="130"/>
      <c r="AD96" s="130"/>
      <c r="AE96" s="130"/>
      <c r="AF96" s="130">
        <f t="shared" si="28"/>
        <v>14400</v>
      </c>
      <c r="AG96" s="130">
        <f t="shared" si="32"/>
        <v>5256</v>
      </c>
      <c r="AH96" s="130">
        <f t="shared" si="25"/>
        <v>9144</v>
      </c>
      <c r="AI96" s="230"/>
    </row>
    <row r="97" spans="1:35" s="131" customFormat="1" ht="15" customHeight="1" x14ac:dyDescent="0.25">
      <c r="A97" s="138">
        <v>3822</v>
      </c>
      <c r="B97" s="150" t="s">
        <v>186</v>
      </c>
      <c r="C97" s="151">
        <v>15000</v>
      </c>
      <c r="D97" s="152"/>
      <c r="E97" s="135">
        <f t="shared" si="23"/>
        <v>15000</v>
      </c>
      <c r="F97" s="135"/>
      <c r="G97" s="135"/>
      <c r="H97" s="130">
        <v>15330.52</v>
      </c>
      <c r="I97" s="130">
        <v>14884</v>
      </c>
      <c r="J97" s="130">
        <f t="shared" si="29"/>
        <v>116</v>
      </c>
      <c r="K97" s="130"/>
      <c r="L97" s="130"/>
      <c r="M97" s="130"/>
      <c r="N97" s="130"/>
      <c r="O97" s="130">
        <f t="shared" si="26"/>
        <v>15000</v>
      </c>
      <c r="P97" s="130">
        <f t="shared" si="24"/>
        <v>116</v>
      </c>
      <c r="Q97" s="130">
        <v>1850</v>
      </c>
      <c r="R97" s="130">
        <v>1570</v>
      </c>
      <c r="S97" s="231">
        <f t="shared" si="30"/>
        <v>-1454</v>
      </c>
      <c r="T97" s="130"/>
      <c r="U97" s="130">
        <v>1454</v>
      </c>
      <c r="V97" s="130"/>
      <c r="W97" s="130"/>
      <c r="X97" s="130">
        <f t="shared" si="27"/>
        <v>16454</v>
      </c>
      <c r="Y97" s="130">
        <f t="shared" si="31"/>
        <v>0</v>
      </c>
      <c r="Z97" s="130">
        <v>0</v>
      </c>
      <c r="AA97" s="130"/>
      <c r="AB97" s="130"/>
      <c r="AC97" s="130"/>
      <c r="AD97" s="130"/>
      <c r="AE97" s="130"/>
      <c r="AF97" s="130">
        <f t="shared" si="28"/>
        <v>16454</v>
      </c>
      <c r="AG97" s="130">
        <f t="shared" si="32"/>
        <v>16454</v>
      </c>
      <c r="AH97" s="130">
        <f t="shared" si="25"/>
        <v>0</v>
      </c>
      <c r="AI97" s="230"/>
    </row>
    <row r="98" spans="1:35" s="131" customFormat="1" ht="15.75" x14ac:dyDescent="0.25">
      <c r="A98" s="138">
        <v>3921</v>
      </c>
      <c r="B98" s="150" t="s">
        <v>187</v>
      </c>
      <c r="C98" s="151">
        <v>226398.22399999999</v>
      </c>
      <c r="D98" s="152"/>
      <c r="E98" s="135">
        <f t="shared" si="23"/>
        <v>226398.22399999999</v>
      </c>
      <c r="F98" s="135"/>
      <c r="G98" s="135"/>
      <c r="H98" s="130">
        <v>18863.419999999998</v>
      </c>
      <c r="I98" s="130">
        <v>18314.23</v>
      </c>
      <c r="J98" s="130">
        <f t="shared" si="29"/>
        <v>208083.99399999998</v>
      </c>
      <c r="K98" s="130"/>
      <c r="L98" s="130"/>
      <c r="M98" s="130"/>
      <c r="N98" s="130"/>
      <c r="O98" s="130">
        <f t="shared" si="26"/>
        <v>226398.22399999999</v>
      </c>
      <c r="P98" s="130">
        <f t="shared" si="24"/>
        <v>208083.99399999998</v>
      </c>
      <c r="Q98" s="130">
        <v>38050</v>
      </c>
      <c r="R98" s="130">
        <v>37026.79</v>
      </c>
      <c r="S98" s="231">
        <f t="shared" si="30"/>
        <v>171057.20399999997</v>
      </c>
      <c r="T98" s="130"/>
      <c r="U98" s="130"/>
      <c r="V98" s="130"/>
      <c r="W98" s="130"/>
      <c r="X98" s="130">
        <f t="shared" si="27"/>
        <v>226398.22399999999</v>
      </c>
      <c r="Y98" s="130">
        <f t="shared" si="31"/>
        <v>171057.20399999997</v>
      </c>
      <c r="Z98" s="130">
        <v>14550</v>
      </c>
      <c r="AA98" s="130">
        <v>12932.37</v>
      </c>
      <c r="AB98" s="130"/>
      <c r="AC98" s="130"/>
      <c r="AD98" s="130"/>
      <c r="AE98" s="130"/>
      <c r="AF98" s="130">
        <f t="shared" si="28"/>
        <v>226398.22399999999</v>
      </c>
      <c r="AG98" s="130">
        <f t="shared" si="32"/>
        <v>68273.39</v>
      </c>
      <c r="AH98" s="130">
        <f t="shared" si="25"/>
        <v>158124.83399999997</v>
      </c>
      <c r="AI98" s="230"/>
    </row>
    <row r="99" spans="1:35" s="131" customFormat="1" ht="15" customHeight="1" x14ac:dyDescent="0.25">
      <c r="A99" s="138">
        <v>3941</v>
      </c>
      <c r="B99" s="150" t="s">
        <v>188</v>
      </c>
      <c r="C99" s="151">
        <v>500000</v>
      </c>
      <c r="D99" s="152"/>
      <c r="E99" s="135">
        <f t="shared" si="23"/>
        <v>500000</v>
      </c>
      <c r="F99" s="135"/>
      <c r="G99" s="135"/>
      <c r="H99" s="130"/>
      <c r="I99" s="130"/>
      <c r="J99" s="130">
        <f t="shared" si="29"/>
        <v>500000</v>
      </c>
      <c r="K99" s="130"/>
      <c r="L99" s="130"/>
      <c r="M99" s="130"/>
      <c r="N99" s="130"/>
      <c r="O99" s="130">
        <f t="shared" si="26"/>
        <v>500000</v>
      </c>
      <c r="P99" s="130">
        <f t="shared" si="24"/>
        <v>500000</v>
      </c>
      <c r="Q99" s="130"/>
      <c r="R99" s="130"/>
      <c r="S99" s="231">
        <f t="shared" si="30"/>
        <v>500000</v>
      </c>
      <c r="T99" s="130"/>
      <c r="U99" s="130"/>
      <c r="V99" s="130"/>
      <c r="W99" s="130"/>
      <c r="X99" s="130">
        <f t="shared" si="27"/>
        <v>500000</v>
      </c>
      <c r="Y99" s="130">
        <f t="shared" si="31"/>
        <v>500000</v>
      </c>
      <c r="Z99" s="130"/>
      <c r="AA99" s="130"/>
      <c r="AB99" s="130"/>
      <c r="AC99" s="130"/>
      <c r="AD99" s="130"/>
      <c r="AE99" s="130"/>
      <c r="AF99" s="130">
        <f t="shared" si="28"/>
        <v>500000</v>
      </c>
      <c r="AG99" s="130">
        <f t="shared" si="32"/>
        <v>0</v>
      </c>
      <c r="AH99" s="130">
        <f t="shared" si="25"/>
        <v>500000</v>
      </c>
      <c r="AI99" s="230"/>
    </row>
    <row r="100" spans="1:35" s="131" customFormat="1" ht="15.75" x14ac:dyDescent="0.25">
      <c r="A100" s="138">
        <v>3944</v>
      </c>
      <c r="B100" s="150" t="s">
        <v>189</v>
      </c>
      <c r="C100" s="151">
        <v>50000</v>
      </c>
      <c r="D100" s="152"/>
      <c r="E100" s="135">
        <f t="shared" si="23"/>
        <v>50000</v>
      </c>
      <c r="F100" s="135"/>
      <c r="G100" s="135"/>
      <c r="H100" s="130"/>
      <c r="I100" s="130"/>
      <c r="J100" s="130">
        <f t="shared" si="29"/>
        <v>50000</v>
      </c>
      <c r="K100" s="130"/>
      <c r="L100" s="130"/>
      <c r="M100" s="130"/>
      <c r="N100" s="130"/>
      <c r="O100" s="130">
        <f t="shared" si="26"/>
        <v>50000</v>
      </c>
      <c r="P100" s="130">
        <f t="shared" si="24"/>
        <v>50000</v>
      </c>
      <c r="Q100" s="130"/>
      <c r="R100" s="130"/>
      <c r="S100" s="231">
        <f t="shared" si="30"/>
        <v>50000</v>
      </c>
      <c r="T100" s="130"/>
      <c r="U100" s="130"/>
      <c r="V100" s="130"/>
      <c r="W100" s="130"/>
      <c r="X100" s="130">
        <f t="shared" si="27"/>
        <v>50000</v>
      </c>
      <c r="Y100" s="130">
        <f t="shared" si="31"/>
        <v>50000</v>
      </c>
      <c r="Z100" s="130"/>
      <c r="AA100" s="130"/>
      <c r="AB100" s="130"/>
      <c r="AC100" s="130"/>
      <c r="AD100" s="130"/>
      <c r="AE100" s="130"/>
      <c r="AF100" s="130">
        <f t="shared" si="28"/>
        <v>50000</v>
      </c>
      <c r="AG100" s="130">
        <f t="shared" si="32"/>
        <v>0</v>
      </c>
      <c r="AH100" s="130">
        <f t="shared" si="25"/>
        <v>50000</v>
      </c>
      <c r="AI100" s="230"/>
    </row>
    <row r="101" spans="1:35" s="131" customFormat="1" ht="15" customHeight="1" x14ac:dyDescent="0.25">
      <c r="A101" s="138">
        <v>3981</v>
      </c>
      <c r="B101" s="150" t="s">
        <v>190</v>
      </c>
      <c r="C101" s="151">
        <v>750000</v>
      </c>
      <c r="D101" s="152"/>
      <c r="E101" s="135">
        <f t="shared" si="23"/>
        <v>750000</v>
      </c>
      <c r="F101" s="135"/>
      <c r="G101" s="135"/>
      <c r="H101" s="130"/>
      <c r="I101" s="130"/>
      <c r="J101" s="130">
        <f t="shared" si="29"/>
        <v>750000</v>
      </c>
      <c r="K101" s="130"/>
      <c r="L101" s="130"/>
      <c r="M101" s="130"/>
      <c r="N101" s="130"/>
      <c r="O101" s="130">
        <f t="shared" si="26"/>
        <v>750000</v>
      </c>
      <c r="P101" s="130">
        <f t="shared" si="24"/>
        <v>750000</v>
      </c>
      <c r="Q101" s="130"/>
      <c r="R101" s="130"/>
      <c r="S101" s="231">
        <f t="shared" si="30"/>
        <v>750000</v>
      </c>
      <c r="T101" s="130"/>
      <c r="U101" s="130"/>
      <c r="V101" s="130"/>
      <c r="W101" s="130"/>
      <c r="X101" s="130">
        <f t="shared" si="27"/>
        <v>750000</v>
      </c>
      <c r="Y101" s="130">
        <f t="shared" si="31"/>
        <v>750000</v>
      </c>
      <c r="Z101" s="130"/>
      <c r="AA101" s="130"/>
      <c r="AB101" s="130"/>
      <c r="AC101" s="130"/>
      <c r="AD101" s="130"/>
      <c r="AE101" s="130"/>
      <c r="AF101" s="130">
        <f t="shared" si="28"/>
        <v>750000</v>
      </c>
      <c r="AG101" s="130">
        <f t="shared" si="32"/>
        <v>0</v>
      </c>
      <c r="AH101" s="130">
        <f t="shared" si="25"/>
        <v>750000</v>
      </c>
      <c r="AI101" s="230"/>
    </row>
    <row r="102" spans="1:35" s="131" customFormat="1" ht="15.75" x14ac:dyDescent="0.25">
      <c r="A102" s="138">
        <v>3993</v>
      </c>
      <c r="B102" s="150" t="s">
        <v>191</v>
      </c>
      <c r="C102" s="151">
        <f>53859.3536-14400</f>
        <v>39459.353600000002</v>
      </c>
      <c r="D102" s="152"/>
      <c r="E102" s="135">
        <f t="shared" si="23"/>
        <v>39459.353600000002</v>
      </c>
      <c r="F102" s="135"/>
      <c r="G102" s="135"/>
      <c r="H102" s="130">
        <v>1325.61</v>
      </c>
      <c r="I102" s="130">
        <v>1286.6500000000001</v>
      </c>
      <c r="J102" s="130">
        <f t="shared" si="29"/>
        <v>38172.703600000001</v>
      </c>
      <c r="K102" s="130"/>
      <c r="L102" s="130"/>
      <c r="M102" s="130"/>
      <c r="N102" s="130"/>
      <c r="O102" s="130">
        <f t="shared" si="26"/>
        <v>39459.353600000002</v>
      </c>
      <c r="P102" s="130">
        <f t="shared" si="24"/>
        <v>38172.703600000001</v>
      </c>
      <c r="Q102" s="130">
        <v>2650</v>
      </c>
      <c r="R102" s="130">
        <v>1285.99</v>
      </c>
      <c r="S102" s="231">
        <f t="shared" si="30"/>
        <v>36886.713600000003</v>
      </c>
      <c r="T102" s="130"/>
      <c r="U102" s="130"/>
      <c r="V102" s="130"/>
      <c r="W102" s="130"/>
      <c r="X102" s="130">
        <f t="shared" si="27"/>
        <v>39459.353600000002</v>
      </c>
      <c r="Y102" s="130">
        <f t="shared" si="31"/>
        <v>36886.713600000003</v>
      </c>
      <c r="Z102" s="130">
        <v>1243</v>
      </c>
      <c r="AA102" s="130">
        <v>1051.78</v>
      </c>
      <c r="AB102" s="130"/>
      <c r="AC102" s="130"/>
      <c r="AD102" s="130"/>
      <c r="AE102" s="130"/>
      <c r="AF102" s="130">
        <f t="shared" si="28"/>
        <v>39459.353600000002</v>
      </c>
      <c r="AG102" s="130">
        <f t="shared" si="32"/>
        <v>3624.42</v>
      </c>
      <c r="AH102" s="130">
        <f t="shared" si="25"/>
        <v>35834.933600000004</v>
      </c>
      <c r="AI102" s="230"/>
    </row>
    <row r="103" spans="1:35" s="157" customFormat="1" ht="15" customHeight="1" x14ac:dyDescent="0.25">
      <c r="A103" s="154"/>
      <c r="B103" s="154" t="s">
        <v>192</v>
      </c>
      <c r="C103" s="155">
        <f>SUM(C62:C102)</f>
        <v>8195570.5328000002</v>
      </c>
      <c r="D103" s="155">
        <f>SUM(D62:D102)</f>
        <v>6473169</v>
      </c>
      <c r="E103" s="155">
        <f t="shared" ref="E103:H103" si="33">SUM(E62:E102)</f>
        <v>14668739.532799998</v>
      </c>
      <c r="F103" s="155">
        <f t="shared" si="33"/>
        <v>0</v>
      </c>
      <c r="G103" s="155">
        <f t="shared" si="33"/>
        <v>0</v>
      </c>
      <c r="H103" s="155">
        <f t="shared" si="33"/>
        <v>248546.33999999997</v>
      </c>
      <c r="I103" s="155">
        <f>SUM(I62:I102)</f>
        <v>225545.69000000003</v>
      </c>
      <c r="J103" s="155">
        <f>SUM(J62:J102)</f>
        <v>14443193.842800003</v>
      </c>
      <c r="K103" s="155">
        <f t="shared" ref="K103:N103" si="34">SUM(K62:K102)</f>
        <v>0</v>
      </c>
      <c r="L103" s="155">
        <f t="shared" si="34"/>
        <v>0</v>
      </c>
      <c r="M103" s="155">
        <f t="shared" si="34"/>
        <v>0</v>
      </c>
      <c r="N103" s="155">
        <f t="shared" si="34"/>
        <v>0</v>
      </c>
      <c r="O103" s="155">
        <f>SUM(O62:O102)</f>
        <v>14668739.532799998</v>
      </c>
      <c r="P103" s="144">
        <f>SUM(P62:P102)</f>
        <v>14443193.842800003</v>
      </c>
      <c r="Q103" s="155">
        <f t="shared" ref="Q103" si="35">SUM(Q62:Q102)</f>
        <v>994736</v>
      </c>
      <c r="R103" s="155">
        <f>SUM(R62:R102)</f>
        <v>541523.68000000005</v>
      </c>
      <c r="S103" s="155">
        <f>SUM(S62:S102)</f>
        <v>13901670.162800001</v>
      </c>
      <c r="T103" s="155">
        <f t="shared" ref="T103:W103" si="36">SUM(T62:T102)</f>
        <v>1454</v>
      </c>
      <c r="U103" s="155">
        <f t="shared" si="36"/>
        <v>197323</v>
      </c>
      <c r="V103" s="155">
        <f t="shared" si="36"/>
        <v>0</v>
      </c>
      <c r="W103" s="155">
        <f t="shared" si="36"/>
        <v>0</v>
      </c>
      <c r="X103" s="155">
        <f>SUM(X62:X102)</f>
        <v>14864608.532799998</v>
      </c>
      <c r="Y103" s="144">
        <f>SUM(Y62:Y102)</f>
        <v>14097539.162800001</v>
      </c>
      <c r="Z103" s="155">
        <f t="shared" ref="Z103" si="37">SUM(Z62:Z102)</f>
        <v>483323</v>
      </c>
      <c r="AA103" s="155">
        <f>SUM(AA62:AA102)</f>
        <v>299574.14000000007</v>
      </c>
      <c r="AB103" s="155">
        <f t="shared" ref="AB103:AE103" si="38">SUM(AB62:AB102)</f>
        <v>25520</v>
      </c>
      <c r="AC103" s="155">
        <f t="shared" si="38"/>
        <v>25520</v>
      </c>
      <c r="AD103" s="155">
        <f t="shared" si="38"/>
        <v>0</v>
      </c>
      <c r="AE103" s="155">
        <f t="shared" si="38"/>
        <v>0</v>
      </c>
      <c r="AF103" s="155">
        <f>SUM(AF62:AF102)</f>
        <v>14864608.532799998</v>
      </c>
      <c r="AG103" s="155">
        <f>SUM(AG62:AG102)</f>
        <v>1066643.51</v>
      </c>
      <c r="AH103" s="144">
        <f>SUM(AH62:AH102)</f>
        <v>13797965.022800002</v>
      </c>
    </row>
    <row r="104" spans="1:35" s="131" customFormat="1" ht="30" x14ac:dyDescent="0.25">
      <c r="A104" s="158">
        <v>4412</v>
      </c>
      <c r="B104" s="159" t="s">
        <v>193</v>
      </c>
      <c r="C104" s="160">
        <v>100000</v>
      </c>
      <c r="D104" s="135">
        <v>0</v>
      </c>
      <c r="E104" s="148">
        <f t="shared" ref="E104:E131" si="39">C104+D104</f>
        <v>100000</v>
      </c>
      <c r="F104" s="148"/>
      <c r="G104" s="148"/>
      <c r="H104" s="130"/>
      <c r="I104" s="130"/>
      <c r="J104" s="130">
        <f t="shared" si="29"/>
        <v>100000</v>
      </c>
      <c r="K104" s="130"/>
      <c r="L104" s="130"/>
      <c r="M104" s="130"/>
      <c r="N104" s="130"/>
      <c r="O104" s="130">
        <f t="shared" si="26"/>
        <v>100000</v>
      </c>
      <c r="P104" s="130">
        <f t="shared" ref="P104:P130" si="40">+O104-I104</f>
        <v>100000</v>
      </c>
      <c r="Q104" s="130"/>
      <c r="R104" s="130"/>
      <c r="S104" s="231">
        <f t="shared" si="30"/>
        <v>100000</v>
      </c>
      <c r="T104" s="130"/>
      <c r="U104" s="130"/>
      <c r="V104" s="130"/>
      <c r="W104" s="130"/>
      <c r="X104" s="130">
        <f t="shared" si="27"/>
        <v>100000</v>
      </c>
      <c r="Y104" s="130">
        <f t="shared" si="31"/>
        <v>100000</v>
      </c>
      <c r="Z104" s="130"/>
      <c r="AA104" s="130"/>
      <c r="AB104" s="130"/>
      <c r="AC104" s="130"/>
      <c r="AD104" s="130"/>
      <c r="AE104" s="130"/>
      <c r="AF104" s="130">
        <f t="shared" si="28"/>
        <v>100000</v>
      </c>
      <c r="AG104" s="130">
        <f>I104+R104+AA104</f>
        <v>0</v>
      </c>
      <c r="AH104" s="130">
        <f t="shared" si="25"/>
        <v>100000</v>
      </c>
      <c r="AI104" s="230"/>
    </row>
    <row r="105" spans="1:35" s="131" customFormat="1" ht="15.75" x14ac:dyDescent="0.25">
      <c r="A105" s="158">
        <v>4413</v>
      </c>
      <c r="B105" s="159" t="s">
        <v>194</v>
      </c>
      <c r="C105" s="160"/>
      <c r="D105" s="135">
        <v>2700000</v>
      </c>
      <c r="E105" s="148">
        <f t="shared" si="39"/>
        <v>2700000</v>
      </c>
      <c r="F105" s="148"/>
      <c r="G105" s="148"/>
      <c r="H105" s="130"/>
      <c r="I105" s="130"/>
      <c r="J105" s="130">
        <f t="shared" si="29"/>
        <v>2700000</v>
      </c>
      <c r="K105" s="130"/>
      <c r="L105" s="130"/>
      <c r="M105" s="130"/>
      <c r="N105" s="130"/>
      <c r="O105" s="130">
        <f t="shared" si="26"/>
        <v>2700000</v>
      </c>
      <c r="P105" s="130">
        <f t="shared" si="40"/>
        <v>2700000</v>
      </c>
      <c r="Q105" s="130"/>
      <c r="R105" s="130"/>
      <c r="S105" s="231">
        <f t="shared" si="30"/>
        <v>2700000</v>
      </c>
      <c r="T105" s="130"/>
      <c r="U105" s="130"/>
      <c r="V105" s="130"/>
      <c r="W105" s="130"/>
      <c r="X105" s="130">
        <f t="shared" si="27"/>
        <v>2700000</v>
      </c>
      <c r="Y105" s="130">
        <f t="shared" si="31"/>
        <v>2700000</v>
      </c>
      <c r="Z105" s="130"/>
      <c r="AA105" s="130"/>
      <c r="AB105" s="130"/>
      <c r="AC105" s="130"/>
      <c r="AD105" s="130"/>
      <c r="AE105" s="130"/>
      <c r="AF105" s="130">
        <f t="shared" si="28"/>
        <v>2700000</v>
      </c>
      <c r="AG105" s="130">
        <f>I105+R105+AA105</f>
        <v>0</v>
      </c>
      <c r="AH105" s="130">
        <f t="shared" si="25"/>
        <v>2700000</v>
      </c>
      <c r="AI105" s="230"/>
    </row>
    <row r="106" spans="1:35" s="131" customFormat="1" ht="15.75" x14ac:dyDescent="0.25">
      <c r="A106" s="158">
        <v>4421</v>
      </c>
      <c r="B106" s="159" t="s">
        <v>195</v>
      </c>
      <c r="C106" s="160">
        <f>150000+200000</f>
        <v>350000</v>
      </c>
      <c r="D106" s="135">
        <f>6897153-1000000</f>
        <v>5897153</v>
      </c>
      <c r="E106" s="148">
        <f t="shared" si="39"/>
        <v>6247153</v>
      </c>
      <c r="F106" s="148"/>
      <c r="G106" s="148"/>
      <c r="H106" s="130"/>
      <c r="I106" s="130"/>
      <c r="J106" s="130">
        <f t="shared" si="29"/>
        <v>6247153</v>
      </c>
      <c r="K106" s="130"/>
      <c r="L106" s="130"/>
      <c r="M106" s="130"/>
      <c r="N106" s="130"/>
      <c r="O106" s="130">
        <f t="shared" si="26"/>
        <v>6247153</v>
      </c>
      <c r="P106" s="130">
        <f t="shared" si="40"/>
        <v>6247153</v>
      </c>
      <c r="Q106" s="130">
        <v>28601</v>
      </c>
      <c r="R106" s="130">
        <v>26513.7</v>
      </c>
      <c r="S106" s="231">
        <f t="shared" si="30"/>
        <v>6220639.2999999998</v>
      </c>
      <c r="T106" s="130"/>
      <c r="U106" s="130"/>
      <c r="V106" s="130"/>
      <c r="W106" s="130"/>
      <c r="X106" s="130">
        <f t="shared" si="27"/>
        <v>6247153</v>
      </c>
      <c r="Y106" s="130">
        <f t="shared" si="31"/>
        <v>6220639.2999999998</v>
      </c>
      <c r="Z106" s="130">
        <v>32500</v>
      </c>
      <c r="AA106" s="130">
        <v>29850.5</v>
      </c>
      <c r="AB106" s="130"/>
      <c r="AC106" s="130"/>
      <c r="AD106" s="130"/>
      <c r="AE106" s="130"/>
      <c r="AF106" s="130">
        <f t="shared" si="28"/>
        <v>6247153</v>
      </c>
      <c r="AG106" s="130">
        <f>I106+R106+AA106</f>
        <v>56364.2</v>
      </c>
      <c r="AH106" s="130">
        <f t="shared" si="25"/>
        <v>6190788.7999999998</v>
      </c>
      <c r="AI106" s="230"/>
    </row>
    <row r="107" spans="1:35" s="166" customFormat="1" ht="15" customHeight="1" x14ac:dyDescent="0.25">
      <c r="A107" s="161"/>
      <c r="B107" s="162"/>
      <c r="C107" s="163"/>
      <c r="D107" s="135"/>
      <c r="E107" s="164">
        <f t="shared" si="39"/>
        <v>0</v>
      </c>
      <c r="F107" s="164"/>
      <c r="G107" s="164"/>
      <c r="H107" s="130">
        <f t="shared" ref="H107:H124" si="41">E107/12</f>
        <v>0</v>
      </c>
      <c r="I107" s="165"/>
      <c r="J107" s="130">
        <f t="shared" si="29"/>
        <v>0</v>
      </c>
      <c r="K107" s="130"/>
      <c r="L107" s="130"/>
      <c r="M107" s="130"/>
      <c r="N107" s="130"/>
      <c r="O107" s="130">
        <f t="shared" si="26"/>
        <v>0</v>
      </c>
      <c r="P107" s="130">
        <f t="shared" si="40"/>
        <v>0</v>
      </c>
      <c r="Q107" s="130"/>
      <c r="R107" s="165"/>
      <c r="S107" s="231">
        <f t="shared" si="30"/>
        <v>0</v>
      </c>
      <c r="T107" s="130"/>
      <c r="U107" s="130"/>
      <c r="V107" s="130"/>
      <c r="W107" s="130"/>
      <c r="X107" s="130">
        <f t="shared" si="27"/>
        <v>0</v>
      </c>
      <c r="Y107" s="130">
        <f t="shared" si="31"/>
        <v>0</v>
      </c>
      <c r="Z107" s="130"/>
      <c r="AA107" s="165"/>
      <c r="AB107" s="130"/>
      <c r="AC107" s="130"/>
      <c r="AD107" s="130"/>
      <c r="AE107" s="130"/>
      <c r="AF107" s="130">
        <f t="shared" si="28"/>
        <v>0</v>
      </c>
      <c r="AG107" s="130">
        <f>I107+R107+AA107</f>
        <v>0</v>
      </c>
      <c r="AH107" s="130">
        <f t="shared" si="25"/>
        <v>0</v>
      </c>
      <c r="AI107" s="230"/>
    </row>
    <row r="108" spans="1:35" s="166" customFormat="1" ht="15.75" x14ac:dyDescent="0.25">
      <c r="A108" s="167"/>
      <c r="B108" s="168" t="s">
        <v>196</v>
      </c>
      <c r="C108" s="169">
        <f>SUM(C104:C107)</f>
        <v>450000</v>
      </c>
      <c r="D108" s="169">
        <f>SUM(D104:D107)</f>
        <v>8597153</v>
      </c>
      <c r="E108" s="169">
        <f>SUM(E104:E107)</f>
        <v>9047153</v>
      </c>
      <c r="F108" s="169"/>
      <c r="G108" s="169"/>
      <c r="H108" s="169">
        <f t="shared" ref="H108" si="42">SUM(H104:H107)</f>
        <v>0</v>
      </c>
      <c r="I108" s="169">
        <f>SUM(I104:I107)</f>
        <v>0</v>
      </c>
      <c r="J108" s="169">
        <f>SUM(J104:J107)</f>
        <v>9047153</v>
      </c>
      <c r="K108" s="169">
        <f t="shared" ref="K108:N108" si="43">SUM(K104:K107)</f>
        <v>0</v>
      </c>
      <c r="L108" s="169">
        <f t="shared" si="43"/>
        <v>0</v>
      </c>
      <c r="M108" s="169">
        <f t="shared" si="43"/>
        <v>0</v>
      </c>
      <c r="N108" s="169">
        <f t="shared" si="43"/>
        <v>0</v>
      </c>
      <c r="O108" s="169">
        <f>SUM(O104:O107)</f>
        <v>9047153</v>
      </c>
      <c r="P108" s="144">
        <f>SUM(P104:P107)</f>
        <v>9047153</v>
      </c>
      <c r="Q108" s="169">
        <f t="shared" ref="Q108" si="44">SUM(Q104:Q107)</f>
        <v>28601</v>
      </c>
      <c r="R108" s="169">
        <f>SUM(R104:R107)</f>
        <v>26513.7</v>
      </c>
      <c r="S108" s="169">
        <f>SUM(S104:S107)</f>
        <v>9020639.3000000007</v>
      </c>
      <c r="T108" s="169">
        <f t="shared" ref="T108:W108" si="45">SUM(T104:T107)</f>
        <v>0</v>
      </c>
      <c r="U108" s="169">
        <f t="shared" si="45"/>
        <v>0</v>
      </c>
      <c r="V108" s="169">
        <f t="shared" si="45"/>
        <v>0</v>
      </c>
      <c r="W108" s="169">
        <f t="shared" si="45"/>
        <v>0</v>
      </c>
      <c r="X108" s="169">
        <f>SUM(X104:X107)</f>
        <v>9047153</v>
      </c>
      <c r="Y108" s="144">
        <f>SUM(Y104:Y107)</f>
        <v>9020639.3000000007</v>
      </c>
      <c r="Z108" s="169">
        <f t="shared" ref="Z108" si="46">SUM(Z104:Z107)</f>
        <v>32500</v>
      </c>
      <c r="AA108" s="169">
        <f>SUM(AA104:AA107)</f>
        <v>29850.5</v>
      </c>
      <c r="AB108" s="169">
        <f t="shared" ref="AB108:AE108" si="47">SUM(AB104:AB107)</f>
        <v>0</v>
      </c>
      <c r="AC108" s="169">
        <f t="shared" si="47"/>
        <v>0</v>
      </c>
      <c r="AD108" s="169">
        <f t="shared" si="47"/>
        <v>0</v>
      </c>
      <c r="AE108" s="169">
        <f t="shared" si="47"/>
        <v>0</v>
      </c>
      <c r="AF108" s="169">
        <f>SUM(AF104:AF107)</f>
        <v>9047153</v>
      </c>
      <c r="AG108" s="169">
        <f>SUM(AG104:AG107)</f>
        <v>56364.2</v>
      </c>
      <c r="AH108" s="144">
        <f>SUM(AH104:AH107)</f>
        <v>8990788.8000000007</v>
      </c>
    </row>
    <row r="109" spans="1:35" s="131" customFormat="1" ht="15" customHeight="1" x14ac:dyDescent="0.25">
      <c r="A109" s="138">
        <v>5111</v>
      </c>
      <c r="B109" s="146" t="s">
        <v>84</v>
      </c>
      <c r="C109" s="135">
        <v>250000</v>
      </c>
      <c r="D109" s="135"/>
      <c r="E109" s="135">
        <f t="shared" si="39"/>
        <v>250000</v>
      </c>
      <c r="F109" s="135"/>
      <c r="G109" s="135"/>
      <c r="H109" s="130"/>
      <c r="I109" s="130"/>
      <c r="J109" s="130">
        <f t="shared" si="29"/>
        <v>250000</v>
      </c>
      <c r="K109" s="130"/>
      <c r="L109" s="130"/>
      <c r="M109" s="130"/>
      <c r="N109" s="130"/>
      <c r="O109" s="130">
        <f t="shared" si="26"/>
        <v>250000</v>
      </c>
      <c r="P109" s="130">
        <f t="shared" si="40"/>
        <v>250000</v>
      </c>
      <c r="Q109" s="130"/>
      <c r="R109" s="130"/>
      <c r="S109" s="231">
        <f t="shared" si="30"/>
        <v>250000</v>
      </c>
      <c r="T109" s="130"/>
      <c r="U109" s="130"/>
      <c r="V109" s="130"/>
      <c r="W109" s="130"/>
      <c r="X109" s="130">
        <f t="shared" si="27"/>
        <v>250000</v>
      </c>
      <c r="Y109" s="130">
        <f t="shared" si="31"/>
        <v>250000</v>
      </c>
      <c r="Z109" s="130"/>
      <c r="AA109" s="130"/>
      <c r="AB109" s="130"/>
      <c r="AC109" s="130"/>
      <c r="AD109" s="130"/>
      <c r="AE109" s="130"/>
      <c r="AF109" s="130">
        <f t="shared" si="28"/>
        <v>250000</v>
      </c>
      <c r="AG109" s="130">
        <f t="shared" ref="AG109:AG121" si="48">I109+R109+AA109</f>
        <v>0</v>
      </c>
      <c r="AH109" s="130">
        <f t="shared" si="25"/>
        <v>250000</v>
      </c>
      <c r="AI109" s="230"/>
    </row>
    <row r="110" spans="1:35" s="131" customFormat="1" ht="15.75" x14ac:dyDescent="0.25">
      <c r="A110" s="138">
        <v>5121</v>
      </c>
      <c r="B110" s="146" t="s">
        <v>85</v>
      </c>
      <c r="C110" s="135">
        <f>1000000+250000</f>
        <v>1250000</v>
      </c>
      <c r="D110" s="135">
        <f>350000-178139.77</f>
        <v>171860.23</v>
      </c>
      <c r="E110" s="135">
        <f t="shared" si="39"/>
        <v>1421860.23</v>
      </c>
      <c r="F110" s="135"/>
      <c r="G110" s="135"/>
      <c r="H110" s="130">
        <v>6318.02</v>
      </c>
      <c r="I110" s="130">
        <v>6134.08</v>
      </c>
      <c r="J110" s="130">
        <f t="shared" si="29"/>
        <v>1415726.15</v>
      </c>
      <c r="K110" s="130"/>
      <c r="L110" s="130"/>
      <c r="M110" s="130"/>
      <c r="N110" s="130"/>
      <c r="O110" s="130">
        <f t="shared" si="26"/>
        <v>1421860.23</v>
      </c>
      <c r="P110" s="130">
        <f t="shared" si="40"/>
        <v>1415726.15</v>
      </c>
      <c r="Q110" s="130">
        <v>33507</v>
      </c>
      <c r="R110" s="130">
        <v>31701.06</v>
      </c>
      <c r="S110" s="231">
        <f t="shared" si="30"/>
        <v>1384025.0899999999</v>
      </c>
      <c r="T110" s="130"/>
      <c r="U110" s="130"/>
      <c r="V110" s="130"/>
      <c r="W110" s="130"/>
      <c r="X110" s="130">
        <f t="shared" si="27"/>
        <v>1421860.23</v>
      </c>
      <c r="Y110" s="130">
        <f t="shared" si="31"/>
        <v>1384025.0899999999</v>
      </c>
      <c r="Z110" s="130"/>
      <c r="AA110" s="130"/>
      <c r="AB110" s="130"/>
      <c r="AC110" s="130"/>
      <c r="AD110" s="130"/>
      <c r="AE110" s="130"/>
      <c r="AF110" s="130">
        <f t="shared" si="28"/>
        <v>1421860.23</v>
      </c>
      <c r="AG110" s="130">
        <f t="shared" si="48"/>
        <v>37835.14</v>
      </c>
      <c r="AH110" s="130">
        <f t="shared" si="25"/>
        <v>1384025.0899999999</v>
      </c>
      <c r="AI110" s="230"/>
    </row>
    <row r="111" spans="1:35" s="131" customFormat="1" ht="15" customHeight="1" x14ac:dyDescent="0.25">
      <c r="A111" s="138">
        <v>5151</v>
      </c>
      <c r="B111" s="146" t="s">
        <v>86</v>
      </c>
      <c r="C111" s="135">
        <f>215800+825000-52192.3+250000</f>
        <v>1238607.7</v>
      </c>
      <c r="D111" s="135">
        <v>0</v>
      </c>
      <c r="E111" s="135">
        <f t="shared" si="39"/>
        <v>1238607.7</v>
      </c>
      <c r="F111" s="135"/>
      <c r="G111" s="135"/>
      <c r="H111" s="130"/>
      <c r="I111" s="130"/>
      <c r="J111" s="130">
        <f t="shared" si="29"/>
        <v>1238607.7</v>
      </c>
      <c r="K111" s="130"/>
      <c r="L111" s="130"/>
      <c r="M111" s="130"/>
      <c r="N111" s="130"/>
      <c r="O111" s="130">
        <f t="shared" si="26"/>
        <v>1238607.7</v>
      </c>
      <c r="P111" s="130">
        <f t="shared" si="40"/>
        <v>1238607.7</v>
      </c>
      <c r="Q111" s="130">
        <v>68050</v>
      </c>
      <c r="R111" s="130">
        <v>66027.199999999997</v>
      </c>
      <c r="S111" s="231">
        <f t="shared" si="30"/>
        <v>1172580.5</v>
      </c>
      <c r="T111" s="130"/>
      <c r="U111" s="130"/>
      <c r="V111" s="130"/>
      <c r="W111" s="130"/>
      <c r="X111" s="130">
        <f t="shared" si="27"/>
        <v>1238607.7</v>
      </c>
      <c r="Y111" s="130">
        <f t="shared" si="31"/>
        <v>1172580.5</v>
      </c>
      <c r="Z111" s="130"/>
      <c r="AA111" s="130"/>
      <c r="AB111" s="130"/>
      <c r="AC111" s="130"/>
      <c r="AD111" s="130"/>
      <c r="AE111" s="130"/>
      <c r="AF111" s="130">
        <f t="shared" si="28"/>
        <v>1238607.7</v>
      </c>
      <c r="AG111" s="130">
        <f t="shared" si="48"/>
        <v>66027.199999999997</v>
      </c>
      <c r="AH111" s="130">
        <f t="shared" si="25"/>
        <v>1172580.5</v>
      </c>
      <c r="AI111" s="230"/>
    </row>
    <row r="112" spans="1:35" s="131" customFormat="1" ht="15.75" x14ac:dyDescent="0.25">
      <c r="A112" s="138">
        <v>5191</v>
      </c>
      <c r="B112" s="146" t="s">
        <v>87</v>
      </c>
      <c r="C112" s="135">
        <v>0</v>
      </c>
      <c r="D112" s="135">
        <v>15000</v>
      </c>
      <c r="E112" s="135">
        <f t="shared" si="39"/>
        <v>15000</v>
      </c>
      <c r="F112" s="135"/>
      <c r="G112" s="135"/>
      <c r="H112" s="130"/>
      <c r="I112" s="130"/>
      <c r="J112" s="130">
        <f t="shared" si="29"/>
        <v>15000</v>
      </c>
      <c r="K112" s="130"/>
      <c r="L112" s="130"/>
      <c r="M112" s="130"/>
      <c r="N112" s="130"/>
      <c r="O112" s="130">
        <f t="shared" si="26"/>
        <v>15000</v>
      </c>
      <c r="P112" s="130">
        <f t="shared" si="40"/>
        <v>15000</v>
      </c>
      <c r="Q112" s="130"/>
      <c r="R112" s="130">
        <v>404631</v>
      </c>
      <c r="S112" s="231">
        <f t="shared" si="30"/>
        <v>-389631</v>
      </c>
      <c r="T112" s="130"/>
      <c r="U112" s="130">
        <v>389631</v>
      </c>
      <c r="V112" s="130"/>
      <c r="W112" s="130"/>
      <c r="X112" s="130">
        <f t="shared" si="27"/>
        <v>404631</v>
      </c>
      <c r="Y112" s="130">
        <f t="shared" si="31"/>
        <v>0</v>
      </c>
      <c r="Z112" s="130"/>
      <c r="AA112" s="130"/>
      <c r="AB112" s="130"/>
      <c r="AC112" s="130"/>
      <c r="AD112" s="130"/>
      <c r="AE112" s="130"/>
      <c r="AF112" s="130">
        <f t="shared" si="28"/>
        <v>404631</v>
      </c>
      <c r="AG112" s="130">
        <f t="shared" si="48"/>
        <v>404631</v>
      </c>
      <c r="AH112" s="130">
        <f t="shared" si="25"/>
        <v>0</v>
      </c>
      <c r="AI112" s="230"/>
    </row>
    <row r="113" spans="1:35" s="131" customFormat="1" ht="15" customHeight="1" x14ac:dyDescent="0.25">
      <c r="A113" s="138">
        <v>5211</v>
      </c>
      <c r="B113" s="146" t="s">
        <v>88</v>
      </c>
      <c r="C113" s="152"/>
      <c r="D113" s="135">
        <v>0</v>
      </c>
      <c r="E113" s="135">
        <f t="shared" si="39"/>
        <v>0</v>
      </c>
      <c r="F113" s="135"/>
      <c r="G113" s="135"/>
      <c r="H113" s="130"/>
      <c r="I113" s="130"/>
      <c r="J113" s="130">
        <f t="shared" si="29"/>
        <v>0</v>
      </c>
      <c r="K113" s="130"/>
      <c r="L113" s="130"/>
      <c r="M113" s="130"/>
      <c r="N113" s="130"/>
      <c r="O113" s="130">
        <f t="shared" si="26"/>
        <v>0</v>
      </c>
      <c r="P113" s="130">
        <f t="shared" si="40"/>
        <v>0</v>
      </c>
      <c r="Q113" s="130"/>
      <c r="R113" s="130"/>
      <c r="S113" s="231">
        <f t="shared" si="30"/>
        <v>0</v>
      </c>
      <c r="T113" s="130"/>
      <c r="U113" s="130"/>
      <c r="V113" s="130"/>
      <c r="W113" s="130"/>
      <c r="X113" s="130">
        <f t="shared" si="27"/>
        <v>0</v>
      </c>
      <c r="Y113" s="130">
        <f t="shared" si="31"/>
        <v>0</v>
      </c>
      <c r="Z113" s="130"/>
      <c r="AA113" s="130"/>
      <c r="AB113" s="130"/>
      <c r="AC113" s="130"/>
      <c r="AD113" s="130"/>
      <c r="AE113" s="130"/>
      <c r="AF113" s="130">
        <f t="shared" si="28"/>
        <v>0</v>
      </c>
      <c r="AG113" s="130">
        <f t="shared" si="48"/>
        <v>0</v>
      </c>
      <c r="AH113" s="130">
        <f t="shared" si="25"/>
        <v>0</v>
      </c>
      <c r="AI113" s="230"/>
    </row>
    <row r="114" spans="1:35" s="131" customFormat="1" ht="15.75" x14ac:dyDescent="0.25">
      <c r="A114" s="138">
        <v>5291</v>
      </c>
      <c r="B114" s="170" t="s">
        <v>197</v>
      </c>
      <c r="C114" s="152"/>
      <c r="D114" s="135">
        <v>0</v>
      </c>
      <c r="E114" s="135">
        <f t="shared" si="39"/>
        <v>0</v>
      </c>
      <c r="F114" s="135"/>
      <c r="G114" s="135"/>
      <c r="H114" s="130"/>
      <c r="I114" s="130"/>
      <c r="J114" s="130">
        <f t="shared" si="29"/>
        <v>0</v>
      </c>
      <c r="K114" s="130"/>
      <c r="L114" s="130"/>
      <c r="M114" s="130"/>
      <c r="N114" s="130"/>
      <c r="O114" s="130">
        <f t="shared" si="26"/>
        <v>0</v>
      </c>
      <c r="P114" s="130">
        <f t="shared" si="40"/>
        <v>0</v>
      </c>
      <c r="Q114" s="130"/>
      <c r="R114" s="130"/>
      <c r="S114" s="231">
        <f t="shared" si="30"/>
        <v>0</v>
      </c>
      <c r="T114" s="130"/>
      <c r="U114" s="130"/>
      <c r="V114" s="130"/>
      <c r="W114" s="130"/>
      <c r="X114" s="130">
        <f t="shared" si="27"/>
        <v>0</v>
      </c>
      <c r="Y114" s="130">
        <f t="shared" si="31"/>
        <v>0</v>
      </c>
      <c r="Z114" s="130"/>
      <c r="AA114" s="130"/>
      <c r="AB114" s="130"/>
      <c r="AC114" s="130"/>
      <c r="AD114" s="130"/>
      <c r="AE114" s="130"/>
      <c r="AF114" s="130">
        <f t="shared" si="28"/>
        <v>0</v>
      </c>
      <c r="AG114" s="130">
        <f t="shared" si="48"/>
        <v>0</v>
      </c>
      <c r="AH114" s="130">
        <f t="shared" si="25"/>
        <v>0</v>
      </c>
      <c r="AI114" s="230"/>
    </row>
    <row r="115" spans="1:35" s="131" customFormat="1" ht="15" customHeight="1" x14ac:dyDescent="0.25">
      <c r="A115" s="138">
        <v>5311</v>
      </c>
      <c r="B115" s="170" t="s">
        <v>198</v>
      </c>
      <c r="C115" s="135">
        <v>300000</v>
      </c>
      <c r="D115" s="135">
        <f>4814972.24-15600-4099372</f>
        <v>700000.24000000022</v>
      </c>
      <c r="E115" s="135">
        <f t="shared" si="39"/>
        <v>1000000.2400000002</v>
      </c>
      <c r="F115" s="135"/>
      <c r="G115" s="135"/>
      <c r="H115" s="130"/>
      <c r="I115" s="130"/>
      <c r="J115" s="130">
        <f t="shared" si="29"/>
        <v>1000000.2400000002</v>
      </c>
      <c r="K115" s="130"/>
      <c r="L115" s="130"/>
      <c r="M115" s="130"/>
      <c r="N115" s="130"/>
      <c r="O115" s="130">
        <f t="shared" si="26"/>
        <v>1000000.2400000002</v>
      </c>
      <c r="P115" s="130">
        <f t="shared" si="40"/>
        <v>1000000.2400000002</v>
      </c>
      <c r="Q115" s="130"/>
      <c r="R115" s="130"/>
      <c r="S115" s="231">
        <f t="shared" si="30"/>
        <v>1000000.2400000002</v>
      </c>
      <c r="T115" s="130"/>
      <c r="U115" s="130"/>
      <c r="V115" s="130"/>
      <c r="W115" s="130"/>
      <c r="X115" s="130">
        <f t="shared" si="27"/>
        <v>1000000.2400000002</v>
      </c>
      <c r="Y115" s="130">
        <f t="shared" si="31"/>
        <v>1000000.2400000002</v>
      </c>
      <c r="Z115" s="130"/>
      <c r="AA115" s="130"/>
      <c r="AB115" s="130"/>
      <c r="AC115" s="130"/>
      <c r="AD115" s="130"/>
      <c r="AE115" s="130"/>
      <c r="AF115" s="130">
        <f t="shared" si="28"/>
        <v>1000000.2400000002</v>
      </c>
      <c r="AG115" s="130">
        <f t="shared" si="48"/>
        <v>0</v>
      </c>
      <c r="AH115" s="130">
        <f t="shared" si="25"/>
        <v>1000000.2400000002</v>
      </c>
      <c r="AI115" s="230"/>
    </row>
    <row r="116" spans="1:35" s="131" customFormat="1" ht="15.75" x14ac:dyDescent="0.25">
      <c r="A116" s="138">
        <v>5621</v>
      </c>
      <c r="B116" s="146" t="s">
        <v>89</v>
      </c>
      <c r="C116" s="135">
        <v>500000</v>
      </c>
      <c r="D116" s="135">
        <v>0</v>
      </c>
      <c r="E116" s="135">
        <f t="shared" si="39"/>
        <v>500000</v>
      </c>
      <c r="F116" s="135"/>
      <c r="G116" s="135"/>
      <c r="H116" s="130"/>
      <c r="I116" s="130"/>
      <c r="J116" s="130">
        <f t="shared" si="29"/>
        <v>500000</v>
      </c>
      <c r="K116" s="130"/>
      <c r="L116" s="130"/>
      <c r="M116" s="130"/>
      <c r="N116" s="130"/>
      <c r="O116" s="130">
        <f t="shared" si="26"/>
        <v>500000</v>
      </c>
      <c r="P116" s="130">
        <f t="shared" si="40"/>
        <v>500000</v>
      </c>
      <c r="Q116" s="130"/>
      <c r="R116" s="130"/>
      <c r="S116" s="231">
        <f t="shared" si="30"/>
        <v>500000</v>
      </c>
      <c r="T116" s="130"/>
      <c r="U116" s="130"/>
      <c r="V116" s="130"/>
      <c r="W116" s="130"/>
      <c r="X116" s="130">
        <f t="shared" si="27"/>
        <v>500000</v>
      </c>
      <c r="Y116" s="130">
        <f t="shared" si="31"/>
        <v>500000</v>
      </c>
      <c r="Z116" s="130"/>
      <c r="AA116" s="130"/>
      <c r="AB116" s="130"/>
      <c r="AC116" s="130"/>
      <c r="AD116" s="130"/>
      <c r="AE116" s="130"/>
      <c r="AF116" s="130">
        <f t="shared" si="28"/>
        <v>500000</v>
      </c>
      <c r="AG116" s="130">
        <f t="shared" si="48"/>
        <v>0</v>
      </c>
      <c r="AH116" s="130">
        <f t="shared" si="25"/>
        <v>500000</v>
      </c>
      <c r="AI116" s="230"/>
    </row>
    <row r="117" spans="1:35" s="131" customFormat="1" ht="15" customHeight="1" x14ac:dyDescent="0.25">
      <c r="A117" s="138">
        <v>5641</v>
      </c>
      <c r="B117" s="146" t="s">
        <v>199</v>
      </c>
      <c r="C117" s="135">
        <f>1500000-291261.22</f>
        <v>1208738.78</v>
      </c>
      <c r="D117" s="135">
        <v>425000</v>
      </c>
      <c r="E117" s="135">
        <f t="shared" si="39"/>
        <v>1633738.78</v>
      </c>
      <c r="F117" s="135"/>
      <c r="G117" s="135"/>
      <c r="H117" s="130"/>
      <c r="I117" s="130"/>
      <c r="J117" s="130">
        <f t="shared" si="29"/>
        <v>1633738.78</v>
      </c>
      <c r="K117" s="130"/>
      <c r="L117" s="130"/>
      <c r="M117" s="130"/>
      <c r="N117" s="130"/>
      <c r="O117" s="130">
        <f t="shared" si="26"/>
        <v>1633738.78</v>
      </c>
      <c r="P117" s="130">
        <f t="shared" si="40"/>
        <v>1633738.78</v>
      </c>
      <c r="Q117" s="130"/>
      <c r="R117" s="130"/>
      <c r="S117" s="231">
        <f t="shared" si="30"/>
        <v>1633738.78</v>
      </c>
      <c r="T117" s="130"/>
      <c r="U117" s="130"/>
      <c r="V117" s="130"/>
      <c r="W117" s="130"/>
      <c r="X117" s="130">
        <f t="shared" si="27"/>
        <v>1633738.78</v>
      </c>
      <c r="Y117" s="130">
        <f t="shared" si="31"/>
        <v>1633738.78</v>
      </c>
      <c r="Z117" s="130"/>
      <c r="AA117" s="130"/>
      <c r="AB117" s="130"/>
      <c r="AC117" s="130"/>
      <c r="AD117" s="130"/>
      <c r="AE117" s="130"/>
      <c r="AF117" s="130">
        <f t="shared" si="28"/>
        <v>1633738.78</v>
      </c>
      <c r="AG117" s="130">
        <f t="shared" si="48"/>
        <v>0</v>
      </c>
      <c r="AH117" s="130">
        <f t="shared" si="25"/>
        <v>1633738.78</v>
      </c>
      <c r="AI117" s="230"/>
    </row>
    <row r="118" spans="1:35" s="131" customFormat="1" ht="15.75" x14ac:dyDescent="0.25">
      <c r="A118" s="138">
        <v>5661</v>
      </c>
      <c r="B118" s="146" t="s">
        <v>200</v>
      </c>
      <c r="C118" s="135">
        <v>1200000</v>
      </c>
      <c r="D118" s="135"/>
      <c r="E118" s="135">
        <f t="shared" si="39"/>
        <v>1200000</v>
      </c>
      <c r="F118" s="135"/>
      <c r="G118" s="135"/>
      <c r="H118" s="130"/>
      <c r="I118" s="130"/>
      <c r="J118" s="130">
        <f t="shared" si="29"/>
        <v>1200000</v>
      </c>
      <c r="K118" s="130"/>
      <c r="L118" s="130"/>
      <c r="M118" s="130"/>
      <c r="N118" s="130"/>
      <c r="O118" s="130">
        <f t="shared" si="26"/>
        <v>1200000</v>
      </c>
      <c r="P118" s="130">
        <f t="shared" si="40"/>
        <v>1200000</v>
      </c>
      <c r="Q118" s="130"/>
      <c r="R118" s="130"/>
      <c r="S118" s="231">
        <f t="shared" si="30"/>
        <v>1200000</v>
      </c>
      <c r="T118" s="130"/>
      <c r="U118" s="130"/>
      <c r="V118" s="130"/>
      <c r="W118" s="130"/>
      <c r="X118" s="130">
        <f t="shared" si="27"/>
        <v>1200000</v>
      </c>
      <c r="Y118" s="130">
        <f t="shared" si="31"/>
        <v>1200000</v>
      </c>
      <c r="Z118" s="130"/>
      <c r="AA118" s="130"/>
      <c r="AB118" s="130"/>
      <c r="AC118" s="130"/>
      <c r="AD118" s="130"/>
      <c r="AE118" s="130"/>
      <c r="AF118" s="130">
        <f t="shared" si="28"/>
        <v>1200000</v>
      </c>
      <c r="AG118" s="130">
        <f t="shared" si="48"/>
        <v>0</v>
      </c>
      <c r="AH118" s="130">
        <f t="shared" si="25"/>
        <v>1200000</v>
      </c>
      <c r="AI118" s="230"/>
    </row>
    <row r="119" spans="1:35" s="131" customFormat="1" ht="15" customHeight="1" x14ac:dyDescent="0.25">
      <c r="A119" s="138">
        <v>5411</v>
      </c>
      <c r="B119" s="146" t="s">
        <v>201</v>
      </c>
      <c r="C119" s="135">
        <v>565000</v>
      </c>
      <c r="D119" s="135"/>
      <c r="E119" s="135">
        <f t="shared" si="39"/>
        <v>565000</v>
      </c>
      <c r="F119" s="135"/>
      <c r="G119" s="135"/>
      <c r="H119" s="130"/>
      <c r="I119" s="130"/>
      <c r="J119" s="130">
        <f t="shared" si="29"/>
        <v>565000</v>
      </c>
      <c r="K119" s="130"/>
      <c r="L119" s="130"/>
      <c r="M119" s="130"/>
      <c r="N119" s="130"/>
      <c r="O119" s="130">
        <f t="shared" si="26"/>
        <v>565000</v>
      </c>
      <c r="P119" s="130">
        <f t="shared" si="40"/>
        <v>565000</v>
      </c>
      <c r="Q119" s="130"/>
      <c r="R119" s="130"/>
      <c r="S119" s="231">
        <f t="shared" si="30"/>
        <v>565000</v>
      </c>
      <c r="T119" s="130"/>
      <c r="U119" s="130"/>
      <c r="V119" s="130"/>
      <c r="W119" s="130"/>
      <c r="X119" s="130">
        <f t="shared" si="27"/>
        <v>565000</v>
      </c>
      <c r="Y119" s="130">
        <f t="shared" si="31"/>
        <v>565000</v>
      </c>
      <c r="Z119" s="130"/>
      <c r="AA119" s="130"/>
      <c r="AB119" s="130"/>
      <c r="AC119" s="130"/>
      <c r="AD119" s="130"/>
      <c r="AE119" s="130"/>
      <c r="AF119" s="130">
        <f t="shared" si="28"/>
        <v>565000</v>
      </c>
      <c r="AG119" s="130">
        <f t="shared" si="48"/>
        <v>0</v>
      </c>
      <c r="AH119" s="130">
        <f t="shared" si="25"/>
        <v>565000</v>
      </c>
      <c r="AI119" s="230"/>
    </row>
    <row r="120" spans="1:35" s="131" customFormat="1" ht="15.75" x14ac:dyDescent="0.25">
      <c r="A120" s="138">
        <v>5911</v>
      </c>
      <c r="B120" s="146" t="s">
        <v>92</v>
      </c>
      <c r="C120" s="135">
        <f>25000+25000</f>
        <v>50000</v>
      </c>
      <c r="D120" s="135">
        <v>0</v>
      </c>
      <c r="E120" s="135">
        <f t="shared" si="39"/>
        <v>50000</v>
      </c>
      <c r="F120" s="135"/>
      <c r="G120" s="135"/>
      <c r="H120" s="130"/>
      <c r="I120" s="130"/>
      <c r="J120" s="130">
        <f t="shared" si="29"/>
        <v>50000</v>
      </c>
      <c r="K120" s="130"/>
      <c r="L120" s="130"/>
      <c r="M120" s="130"/>
      <c r="N120" s="130"/>
      <c r="O120" s="130">
        <f t="shared" si="26"/>
        <v>50000</v>
      </c>
      <c r="P120" s="130">
        <f t="shared" si="40"/>
        <v>50000</v>
      </c>
      <c r="Q120" s="130"/>
      <c r="R120" s="130"/>
      <c r="S120" s="231">
        <f t="shared" si="30"/>
        <v>50000</v>
      </c>
      <c r="T120" s="130"/>
      <c r="U120" s="130"/>
      <c r="V120" s="130"/>
      <c r="W120" s="130"/>
      <c r="X120" s="130">
        <f t="shared" si="27"/>
        <v>50000</v>
      </c>
      <c r="Y120" s="130">
        <f t="shared" si="31"/>
        <v>50000</v>
      </c>
      <c r="Z120" s="130"/>
      <c r="AA120" s="130"/>
      <c r="AB120" s="130"/>
      <c r="AC120" s="130"/>
      <c r="AD120" s="130"/>
      <c r="AE120" s="130"/>
      <c r="AF120" s="130">
        <f t="shared" si="28"/>
        <v>50000</v>
      </c>
      <c r="AG120" s="130">
        <f t="shared" si="48"/>
        <v>0</v>
      </c>
      <c r="AH120" s="130">
        <f t="shared" si="25"/>
        <v>50000</v>
      </c>
      <c r="AI120" s="230"/>
    </row>
    <row r="121" spans="1:35" s="131" customFormat="1" ht="15.75" x14ac:dyDescent="0.25">
      <c r="A121" s="138">
        <v>5971</v>
      </c>
      <c r="B121" s="146" t="s">
        <v>93</v>
      </c>
      <c r="C121" s="135">
        <v>350000</v>
      </c>
      <c r="D121" s="135">
        <v>0</v>
      </c>
      <c r="E121" s="135">
        <f t="shared" si="39"/>
        <v>350000</v>
      </c>
      <c r="F121" s="135"/>
      <c r="G121" s="135"/>
      <c r="H121" s="130"/>
      <c r="I121" s="130"/>
      <c r="J121" s="130">
        <f t="shared" si="29"/>
        <v>350000</v>
      </c>
      <c r="K121" s="130"/>
      <c r="L121" s="130"/>
      <c r="M121" s="130"/>
      <c r="N121" s="130"/>
      <c r="O121" s="130">
        <f t="shared" si="26"/>
        <v>350000</v>
      </c>
      <c r="P121" s="130">
        <f>+O121-I121</f>
        <v>350000</v>
      </c>
      <c r="Q121" s="130"/>
      <c r="R121" s="130"/>
      <c r="S121" s="231">
        <f t="shared" si="30"/>
        <v>350000</v>
      </c>
      <c r="T121" s="130"/>
      <c r="U121" s="130"/>
      <c r="V121" s="130"/>
      <c r="W121" s="130"/>
      <c r="X121" s="130">
        <f t="shared" si="27"/>
        <v>350000</v>
      </c>
      <c r="Y121" s="130">
        <f t="shared" si="31"/>
        <v>350000</v>
      </c>
      <c r="Z121" s="130"/>
      <c r="AA121" s="130"/>
      <c r="AB121" s="130"/>
      <c r="AC121" s="130"/>
      <c r="AD121" s="130"/>
      <c r="AE121" s="130"/>
      <c r="AF121" s="130">
        <f t="shared" si="28"/>
        <v>350000</v>
      </c>
      <c r="AG121" s="130">
        <f t="shared" si="48"/>
        <v>0</v>
      </c>
      <c r="AH121" s="130">
        <f t="shared" si="25"/>
        <v>350000</v>
      </c>
      <c r="AI121" s="230"/>
    </row>
    <row r="122" spans="1:35" s="166" customFormat="1" ht="15.75" x14ac:dyDescent="0.25">
      <c r="A122" s="167"/>
      <c r="B122" s="168" t="s">
        <v>202</v>
      </c>
      <c r="C122" s="156">
        <f>SUM(C109:C121)</f>
        <v>6912346.4800000004</v>
      </c>
      <c r="D122" s="156">
        <f>SUM(D109:D121)</f>
        <v>1311860.4700000002</v>
      </c>
      <c r="E122" s="156">
        <f>C122+D122</f>
        <v>8224206.9500000011</v>
      </c>
      <c r="F122" s="156">
        <f t="shared" ref="F122:G122" si="49">SUM(F109:F121)</f>
        <v>0</v>
      </c>
      <c r="G122" s="156">
        <f t="shared" si="49"/>
        <v>0</v>
      </c>
      <c r="H122" s="156">
        <f>SUM(H109:H121)</f>
        <v>6318.02</v>
      </c>
      <c r="I122" s="156">
        <f t="shared" ref="I122:N122" si="50">SUM(I109:I121)</f>
        <v>6134.08</v>
      </c>
      <c r="J122" s="156">
        <f t="shared" si="50"/>
        <v>8218072.8700000001</v>
      </c>
      <c r="K122" s="156">
        <f t="shared" si="50"/>
        <v>0</v>
      </c>
      <c r="L122" s="156">
        <f t="shared" si="50"/>
        <v>0</v>
      </c>
      <c r="M122" s="156">
        <f t="shared" si="50"/>
        <v>0</v>
      </c>
      <c r="N122" s="156">
        <f t="shared" si="50"/>
        <v>0</v>
      </c>
      <c r="O122" s="156">
        <f>SUM(O109:O121)</f>
        <v>8224206.9500000002</v>
      </c>
      <c r="P122" s="144">
        <f>SUM(P109:P121)</f>
        <v>8218072.8700000001</v>
      </c>
      <c r="Q122" s="156">
        <f>SUM(Q109:Q121)</f>
        <v>101557</v>
      </c>
      <c r="R122" s="156">
        <f t="shared" ref="R122:W122" si="51">SUM(R109:R121)</f>
        <v>502359.26</v>
      </c>
      <c r="S122" s="156">
        <f t="shared" si="51"/>
        <v>7715713.6100000003</v>
      </c>
      <c r="T122" s="156">
        <f t="shared" si="51"/>
        <v>0</v>
      </c>
      <c r="U122" s="156">
        <f t="shared" si="51"/>
        <v>389631</v>
      </c>
      <c r="V122" s="156">
        <f t="shared" si="51"/>
        <v>0</v>
      </c>
      <c r="W122" s="156">
        <f t="shared" si="51"/>
        <v>0</v>
      </c>
      <c r="X122" s="156">
        <f>SUM(X109:X121)</f>
        <v>8613837.9499999993</v>
      </c>
      <c r="Y122" s="144">
        <f>SUM(Y109:Y121)</f>
        <v>8105344.6100000003</v>
      </c>
      <c r="Z122" s="156">
        <f>SUM(Z109:Z121)</f>
        <v>0</v>
      </c>
      <c r="AA122" s="156">
        <f t="shared" ref="AA122:AE122" si="52">SUM(AA109:AA121)</f>
        <v>0</v>
      </c>
      <c r="AB122" s="156">
        <f t="shared" si="52"/>
        <v>0</v>
      </c>
      <c r="AC122" s="156">
        <f t="shared" si="52"/>
        <v>0</v>
      </c>
      <c r="AD122" s="156">
        <f t="shared" si="52"/>
        <v>0</v>
      </c>
      <c r="AE122" s="156">
        <f t="shared" si="52"/>
        <v>0</v>
      </c>
      <c r="AF122" s="156">
        <f>SUM(AF109:AF121)</f>
        <v>8613837.9499999993</v>
      </c>
      <c r="AG122" s="156">
        <f>SUM(AG109:AG121)</f>
        <v>508493.33999999997</v>
      </c>
      <c r="AH122" s="144">
        <f>SUM(AH109:AH121)</f>
        <v>8105344.6100000003</v>
      </c>
    </row>
    <row r="123" spans="1:35" s="166" customFormat="1" ht="15.75" x14ac:dyDescent="0.25">
      <c r="A123" s="171">
        <v>6171</v>
      </c>
      <c r="B123" s="159" t="s">
        <v>203</v>
      </c>
      <c r="C123" s="160"/>
      <c r="D123" s="172"/>
      <c r="E123" s="164">
        <f t="shared" si="39"/>
        <v>0</v>
      </c>
      <c r="F123" s="164"/>
      <c r="G123" s="164"/>
      <c r="H123" s="130">
        <f t="shared" si="41"/>
        <v>0</v>
      </c>
      <c r="I123" s="165"/>
      <c r="J123" s="130">
        <f t="shared" si="29"/>
        <v>0</v>
      </c>
      <c r="K123" s="130"/>
      <c r="L123" s="130"/>
      <c r="M123" s="130"/>
      <c r="N123" s="130"/>
      <c r="O123" s="130">
        <f t="shared" si="26"/>
        <v>0</v>
      </c>
      <c r="P123" s="130">
        <f t="shared" si="40"/>
        <v>0</v>
      </c>
      <c r="Q123" s="130">
        <f t="shared" ref="Q123:Q124" si="53">N123/12</f>
        <v>0</v>
      </c>
      <c r="R123" s="165"/>
      <c r="S123" s="231">
        <f t="shared" si="30"/>
        <v>0</v>
      </c>
      <c r="T123" s="130"/>
      <c r="U123" s="130"/>
      <c r="V123" s="130"/>
      <c r="W123" s="130"/>
      <c r="X123" s="130">
        <f t="shared" si="27"/>
        <v>0</v>
      </c>
      <c r="Y123" s="130">
        <f t="shared" si="31"/>
        <v>0</v>
      </c>
      <c r="Z123" s="130">
        <f t="shared" ref="Z123:Z124" si="54">W123/12</f>
        <v>0</v>
      </c>
      <c r="AA123" s="165"/>
      <c r="AB123" s="130"/>
      <c r="AC123" s="130"/>
      <c r="AD123" s="130"/>
      <c r="AE123" s="130"/>
      <c r="AF123" s="130">
        <f t="shared" si="28"/>
        <v>0</v>
      </c>
      <c r="AG123" s="130">
        <f>I123+R123+AA123</f>
        <v>0</v>
      </c>
      <c r="AH123" s="130">
        <f t="shared" si="25"/>
        <v>0</v>
      </c>
    </row>
    <row r="124" spans="1:35" s="166" customFormat="1" ht="15.75" x14ac:dyDescent="0.25">
      <c r="A124" s="171">
        <v>6211</v>
      </c>
      <c r="B124" s="159" t="s">
        <v>204</v>
      </c>
      <c r="C124" s="160"/>
      <c r="D124" s="135"/>
      <c r="E124" s="164">
        <f t="shared" si="39"/>
        <v>0</v>
      </c>
      <c r="F124" s="164"/>
      <c r="G124" s="164"/>
      <c r="H124" s="130">
        <f t="shared" si="41"/>
        <v>0</v>
      </c>
      <c r="I124" s="165"/>
      <c r="J124" s="130">
        <f t="shared" si="29"/>
        <v>0</v>
      </c>
      <c r="K124" s="130"/>
      <c r="L124" s="130"/>
      <c r="M124" s="130"/>
      <c r="N124" s="130"/>
      <c r="O124" s="130">
        <f t="shared" si="26"/>
        <v>0</v>
      </c>
      <c r="P124" s="130">
        <f t="shared" si="40"/>
        <v>0</v>
      </c>
      <c r="Q124" s="130">
        <f t="shared" si="53"/>
        <v>0</v>
      </c>
      <c r="R124" s="165"/>
      <c r="S124" s="231">
        <f t="shared" si="30"/>
        <v>0</v>
      </c>
      <c r="T124" s="130"/>
      <c r="U124" s="130"/>
      <c r="V124" s="130"/>
      <c r="W124" s="130"/>
      <c r="X124" s="130">
        <f t="shared" si="27"/>
        <v>0</v>
      </c>
      <c r="Y124" s="130">
        <f t="shared" si="31"/>
        <v>0</v>
      </c>
      <c r="Z124" s="130">
        <f t="shared" si="54"/>
        <v>0</v>
      </c>
      <c r="AA124" s="165"/>
      <c r="AB124" s="130"/>
      <c r="AC124" s="130"/>
      <c r="AD124" s="130"/>
      <c r="AE124" s="130"/>
      <c r="AF124" s="130">
        <f t="shared" si="28"/>
        <v>0</v>
      </c>
      <c r="AG124" s="130">
        <f>I124+R124+AA124</f>
        <v>0</v>
      </c>
      <c r="AH124" s="130">
        <f t="shared" si="25"/>
        <v>0</v>
      </c>
    </row>
    <row r="125" spans="1:35" s="166" customFormat="1" ht="15.75" x14ac:dyDescent="0.25">
      <c r="A125" s="167"/>
      <c r="B125" s="168" t="s">
        <v>205</v>
      </c>
      <c r="C125" s="173"/>
      <c r="D125" s="173">
        <f>SUM(D123:D124)</f>
        <v>0</v>
      </c>
      <c r="E125" s="173">
        <f t="shared" si="39"/>
        <v>0</v>
      </c>
      <c r="F125" s="173"/>
      <c r="G125" s="173"/>
      <c r="H125" s="156">
        <f>SUM(H123:H124)</f>
        <v>0</v>
      </c>
      <c r="I125" s="156">
        <f t="shared" ref="I125:N125" si="55">SUM(I123:I124)</f>
        <v>0</v>
      </c>
      <c r="J125" s="156">
        <f t="shared" si="55"/>
        <v>0</v>
      </c>
      <c r="K125" s="156">
        <f t="shared" si="55"/>
        <v>0</v>
      </c>
      <c r="L125" s="156">
        <f t="shared" si="55"/>
        <v>0</v>
      </c>
      <c r="M125" s="156">
        <f t="shared" si="55"/>
        <v>0</v>
      </c>
      <c r="N125" s="156">
        <f t="shared" si="55"/>
        <v>0</v>
      </c>
      <c r="O125" s="156">
        <f>SUM(O123:O124)</f>
        <v>0</v>
      </c>
      <c r="P125" s="130">
        <f t="shared" si="40"/>
        <v>0</v>
      </c>
      <c r="Q125" s="156">
        <f>SUM(Q123:Q124)</f>
        <v>0</v>
      </c>
      <c r="R125" s="156">
        <f t="shared" ref="R125:W125" si="56">SUM(R123:R124)</f>
        <v>0</v>
      </c>
      <c r="S125" s="156">
        <f t="shared" si="56"/>
        <v>0</v>
      </c>
      <c r="T125" s="156">
        <f t="shared" si="56"/>
        <v>0</v>
      </c>
      <c r="U125" s="156">
        <f t="shared" si="56"/>
        <v>0</v>
      </c>
      <c r="V125" s="156">
        <f t="shared" si="56"/>
        <v>0</v>
      </c>
      <c r="W125" s="156">
        <f t="shared" si="56"/>
        <v>0</v>
      </c>
      <c r="X125" s="156">
        <f>SUM(X123:X124)</f>
        <v>0</v>
      </c>
      <c r="Y125" s="156">
        <f>SUM(Y123:Y124)</f>
        <v>0</v>
      </c>
      <c r="Z125" s="156">
        <f>SUM(Z123:Z124)</f>
        <v>0</v>
      </c>
      <c r="AA125" s="156">
        <f t="shared" ref="AA125:AE125" si="57">SUM(AA123:AA124)</f>
        <v>0</v>
      </c>
      <c r="AB125" s="156">
        <f t="shared" si="57"/>
        <v>0</v>
      </c>
      <c r="AC125" s="156">
        <f t="shared" si="57"/>
        <v>0</v>
      </c>
      <c r="AD125" s="156">
        <f t="shared" si="57"/>
        <v>0</v>
      </c>
      <c r="AE125" s="156">
        <f t="shared" si="57"/>
        <v>0</v>
      </c>
      <c r="AF125" s="156">
        <f>SUM(AF123:AF124)</f>
        <v>0</v>
      </c>
      <c r="AG125" s="156">
        <f>SUM(AG123:AG124)</f>
        <v>0</v>
      </c>
      <c r="AH125" s="156">
        <f>SUM(AH123:AH124)</f>
        <v>0</v>
      </c>
    </row>
    <row r="126" spans="1:35" s="166" customFormat="1" ht="15.75" x14ac:dyDescent="0.25">
      <c r="A126" s="161"/>
      <c r="B126" s="162"/>
      <c r="C126" s="163"/>
      <c r="D126" s="135"/>
      <c r="E126" s="164">
        <f t="shared" si="39"/>
        <v>0</v>
      </c>
      <c r="F126" s="164"/>
      <c r="G126" s="164"/>
      <c r="H126" s="165"/>
      <c r="I126" s="165"/>
      <c r="J126" s="130">
        <f t="shared" si="29"/>
        <v>0</v>
      </c>
      <c r="K126" s="165"/>
      <c r="L126" s="165"/>
      <c r="M126" s="165"/>
      <c r="N126" s="165"/>
      <c r="O126" s="130">
        <f t="shared" si="26"/>
        <v>0</v>
      </c>
      <c r="P126" s="130">
        <f t="shared" si="40"/>
        <v>0</v>
      </c>
      <c r="Q126" s="165"/>
      <c r="R126" s="165"/>
      <c r="S126" s="231">
        <f t="shared" si="30"/>
        <v>0</v>
      </c>
      <c r="T126" s="165"/>
      <c r="U126" s="165"/>
      <c r="V126" s="165"/>
      <c r="W126" s="165"/>
      <c r="X126" s="130">
        <f t="shared" si="27"/>
        <v>0</v>
      </c>
      <c r="Y126" s="130">
        <f t="shared" si="31"/>
        <v>0</v>
      </c>
      <c r="Z126" s="165"/>
      <c r="AA126" s="165"/>
      <c r="AB126" s="165"/>
      <c r="AC126" s="165"/>
      <c r="AD126" s="165"/>
      <c r="AE126" s="165"/>
      <c r="AF126" s="130">
        <f t="shared" si="28"/>
        <v>0</v>
      </c>
      <c r="AG126" s="130">
        <f>I126+R126+AA126</f>
        <v>0</v>
      </c>
      <c r="AH126" s="130">
        <f t="shared" si="25"/>
        <v>0</v>
      </c>
    </row>
    <row r="127" spans="1:35" s="166" customFormat="1" ht="15.75" x14ac:dyDescent="0.25">
      <c r="A127" s="161"/>
      <c r="B127" s="162"/>
      <c r="C127" s="163"/>
      <c r="D127" s="135"/>
      <c r="E127" s="164">
        <f t="shared" si="39"/>
        <v>0</v>
      </c>
      <c r="F127" s="164"/>
      <c r="G127" s="164"/>
      <c r="H127" s="165"/>
      <c r="I127" s="165"/>
      <c r="J127" s="130">
        <f t="shared" si="29"/>
        <v>0</v>
      </c>
      <c r="K127" s="165"/>
      <c r="L127" s="165"/>
      <c r="M127" s="165"/>
      <c r="N127" s="165"/>
      <c r="O127" s="130">
        <f t="shared" si="26"/>
        <v>0</v>
      </c>
      <c r="P127" s="130">
        <f t="shared" si="40"/>
        <v>0</v>
      </c>
      <c r="Q127" s="165"/>
      <c r="R127" s="165"/>
      <c r="S127" s="231">
        <f t="shared" si="30"/>
        <v>0</v>
      </c>
      <c r="T127" s="165"/>
      <c r="U127" s="165"/>
      <c r="V127" s="165"/>
      <c r="W127" s="165"/>
      <c r="X127" s="130">
        <f t="shared" si="27"/>
        <v>0</v>
      </c>
      <c r="Y127" s="130">
        <f t="shared" si="31"/>
        <v>0</v>
      </c>
      <c r="Z127" s="165"/>
      <c r="AA127" s="165"/>
      <c r="AB127" s="165"/>
      <c r="AC127" s="165"/>
      <c r="AD127" s="165"/>
      <c r="AE127" s="165"/>
      <c r="AF127" s="130">
        <f t="shared" si="28"/>
        <v>0</v>
      </c>
      <c r="AG127" s="130">
        <f>I127+R127+AA127</f>
        <v>0</v>
      </c>
      <c r="AH127" s="130">
        <f t="shared" si="25"/>
        <v>0</v>
      </c>
    </row>
    <row r="128" spans="1:35" s="166" customFormat="1" ht="15.75" x14ac:dyDescent="0.25">
      <c r="A128" s="167"/>
      <c r="B128" s="168"/>
      <c r="C128" s="173"/>
      <c r="D128" s="173">
        <f>SUM(D126:D127)</f>
        <v>0</v>
      </c>
      <c r="E128" s="173">
        <f t="shared" si="39"/>
        <v>0</v>
      </c>
      <c r="F128" s="173"/>
      <c r="G128" s="173"/>
      <c r="H128" s="156">
        <f>SUM(H126:H127)</f>
        <v>0</v>
      </c>
      <c r="I128" s="156">
        <f t="shared" ref="I128:N128" si="58">SUM(I126:I127)</f>
        <v>0</v>
      </c>
      <c r="J128" s="156">
        <f t="shared" si="58"/>
        <v>0</v>
      </c>
      <c r="K128" s="156">
        <f t="shared" si="58"/>
        <v>0</v>
      </c>
      <c r="L128" s="156">
        <f t="shared" si="58"/>
        <v>0</v>
      </c>
      <c r="M128" s="156">
        <f t="shared" si="58"/>
        <v>0</v>
      </c>
      <c r="N128" s="156">
        <f t="shared" si="58"/>
        <v>0</v>
      </c>
      <c r="O128" s="156">
        <f>SUM(O126:O127)</f>
        <v>0</v>
      </c>
      <c r="P128" s="144">
        <f>SUM(P123:P127)</f>
        <v>0</v>
      </c>
      <c r="Q128" s="156">
        <f>SUM(Q126:Q127)</f>
        <v>0</v>
      </c>
      <c r="R128" s="156">
        <f t="shared" ref="R128:W128" si="59">SUM(R126:R127)</f>
        <v>0</v>
      </c>
      <c r="S128" s="156">
        <f t="shared" si="59"/>
        <v>0</v>
      </c>
      <c r="T128" s="156">
        <f t="shared" si="59"/>
        <v>0</v>
      </c>
      <c r="U128" s="156">
        <f t="shared" si="59"/>
        <v>0</v>
      </c>
      <c r="V128" s="156">
        <f t="shared" si="59"/>
        <v>0</v>
      </c>
      <c r="W128" s="156">
        <f t="shared" si="59"/>
        <v>0</v>
      </c>
      <c r="X128" s="156">
        <f>SUM(X126:X127)</f>
        <v>0</v>
      </c>
      <c r="Y128" s="144">
        <f>SUM(Y123:Y127)</f>
        <v>0</v>
      </c>
      <c r="Z128" s="156">
        <f>SUM(Z126:Z127)</f>
        <v>0</v>
      </c>
      <c r="AA128" s="156">
        <f t="shared" ref="AA128:AE128" si="60">SUM(AA126:AA127)</f>
        <v>0</v>
      </c>
      <c r="AB128" s="156">
        <f t="shared" si="60"/>
        <v>0</v>
      </c>
      <c r="AC128" s="156">
        <f t="shared" si="60"/>
        <v>0</v>
      </c>
      <c r="AD128" s="156">
        <f t="shared" si="60"/>
        <v>0</v>
      </c>
      <c r="AE128" s="156">
        <f t="shared" si="60"/>
        <v>0</v>
      </c>
      <c r="AF128" s="156">
        <f>SUM(AF126:AF127)</f>
        <v>0</v>
      </c>
      <c r="AG128" s="156">
        <f>SUM(AG126:AG127)</f>
        <v>0</v>
      </c>
      <c r="AH128" s="144">
        <f>SUM(AH123:AH127)</f>
        <v>0</v>
      </c>
    </row>
    <row r="129" spans="1:225" s="166" customFormat="1" ht="30.75" x14ac:dyDescent="0.25">
      <c r="A129" s="161">
        <v>7991</v>
      </c>
      <c r="B129" s="174" t="s">
        <v>207</v>
      </c>
      <c r="C129" s="135"/>
      <c r="D129" s="135">
        <v>1000000</v>
      </c>
      <c r="E129" s="164">
        <f t="shared" si="39"/>
        <v>1000000</v>
      </c>
      <c r="F129" s="164"/>
      <c r="G129" s="164"/>
      <c r="H129" s="165"/>
      <c r="I129" s="165"/>
      <c r="J129" s="130">
        <f t="shared" si="29"/>
        <v>1000000</v>
      </c>
      <c r="K129" s="165"/>
      <c r="L129" s="165"/>
      <c r="M129" s="165"/>
      <c r="N129" s="165"/>
      <c r="O129" s="130">
        <f t="shared" si="26"/>
        <v>1000000</v>
      </c>
      <c r="P129" s="130">
        <f t="shared" si="40"/>
        <v>1000000</v>
      </c>
      <c r="Q129" s="165"/>
      <c r="R129" s="165"/>
      <c r="S129" s="231">
        <f t="shared" si="30"/>
        <v>1000000</v>
      </c>
      <c r="T129" s="165">
        <f>389631+50808+195869</f>
        <v>636308</v>
      </c>
      <c r="U129" s="165"/>
      <c r="V129" s="165"/>
      <c r="W129" s="165"/>
      <c r="X129" s="130">
        <f t="shared" si="27"/>
        <v>363692</v>
      </c>
      <c r="Y129" s="130">
        <f t="shared" si="31"/>
        <v>363692</v>
      </c>
      <c r="Z129" s="165"/>
      <c r="AA129" s="165"/>
      <c r="AB129" s="165">
        <v>69999.34</v>
      </c>
      <c r="AC129" s="165"/>
      <c r="AD129" s="165"/>
      <c r="AE129" s="165"/>
      <c r="AF129" s="130">
        <f t="shared" si="28"/>
        <v>293692.66000000003</v>
      </c>
      <c r="AG129" s="130">
        <f>I129+R129+AA129</f>
        <v>0</v>
      </c>
      <c r="AH129" s="130">
        <f t="shared" si="25"/>
        <v>293692.66000000003</v>
      </c>
      <c r="AI129" s="230"/>
    </row>
    <row r="130" spans="1:225" s="166" customFormat="1" ht="15.75" x14ac:dyDescent="0.25">
      <c r="A130" s="161"/>
      <c r="B130" s="162"/>
      <c r="C130" s="163"/>
      <c r="D130" s="135"/>
      <c r="E130" s="164">
        <f t="shared" si="39"/>
        <v>0</v>
      </c>
      <c r="F130" s="164"/>
      <c r="G130" s="164"/>
      <c r="H130" s="165"/>
      <c r="I130" s="165"/>
      <c r="J130" s="130">
        <f t="shared" si="29"/>
        <v>0</v>
      </c>
      <c r="K130" s="165"/>
      <c r="L130" s="165"/>
      <c r="M130" s="165"/>
      <c r="N130" s="165"/>
      <c r="O130" s="130">
        <f t="shared" si="26"/>
        <v>0</v>
      </c>
      <c r="P130" s="130">
        <f t="shared" si="40"/>
        <v>0</v>
      </c>
      <c r="Q130" s="165"/>
      <c r="R130" s="165"/>
      <c r="S130" s="231">
        <f t="shared" si="30"/>
        <v>0</v>
      </c>
      <c r="T130" s="165"/>
      <c r="U130" s="165"/>
      <c r="V130" s="165"/>
      <c r="W130" s="165"/>
      <c r="X130" s="130">
        <f t="shared" si="27"/>
        <v>0</v>
      </c>
      <c r="Y130" s="130">
        <f t="shared" si="31"/>
        <v>0</v>
      </c>
      <c r="Z130" s="165"/>
      <c r="AA130" s="165"/>
      <c r="AB130" s="165"/>
      <c r="AC130" s="165"/>
      <c r="AD130" s="165"/>
      <c r="AE130" s="165"/>
      <c r="AF130" s="130">
        <f t="shared" si="28"/>
        <v>0</v>
      </c>
      <c r="AG130" s="130">
        <f>I130+R130+AA130</f>
        <v>0</v>
      </c>
      <c r="AH130" s="130">
        <f t="shared" si="25"/>
        <v>0</v>
      </c>
    </row>
    <row r="131" spans="1:225" s="166" customFormat="1" ht="15.75" x14ac:dyDescent="0.25">
      <c r="A131" s="167"/>
      <c r="B131" s="168" t="s">
        <v>206</v>
      </c>
      <c r="C131" s="169">
        <f>SUM(C129:C130)</f>
        <v>0</v>
      </c>
      <c r="D131" s="169">
        <f>SUM(D129:D130)</f>
        <v>1000000</v>
      </c>
      <c r="E131" s="169">
        <f t="shared" si="39"/>
        <v>1000000</v>
      </c>
      <c r="F131" s="169">
        <f t="shared" ref="F131:G131" si="61">SUM(F129:F130)</f>
        <v>0</v>
      </c>
      <c r="G131" s="169">
        <f t="shared" si="61"/>
        <v>0</v>
      </c>
      <c r="H131" s="156">
        <f>SUM(H129:H130)</f>
        <v>0</v>
      </c>
      <c r="I131" s="156">
        <f>SUM(I129:I130)</f>
        <v>0</v>
      </c>
      <c r="J131" s="156">
        <f>SUM(J129:J130)</f>
        <v>1000000</v>
      </c>
      <c r="K131" s="156">
        <f t="shared" ref="K131:N131" si="62">SUM(K129:K130)</f>
        <v>0</v>
      </c>
      <c r="L131" s="156">
        <f t="shared" si="62"/>
        <v>0</v>
      </c>
      <c r="M131" s="156">
        <f t="shared" si="62"/>
        <v>0</v>
      </c>
      <c r="N131" s="156">
        <f t="shared" si="62"/>
        <v>0</v>
      </c>
      <c r="O131" s="156">
        <f>SUM(O129:O130)</f>
        <v>1000000</v>
      </c>
      <c r="P131" s="156">
        <f>SUM(P129:P130)</f>
        <v>1000000</v>
      </c>
      <c r="Q131" s="156">
        <f>SUM(Q129:Q130)</f>
        <v>0</v>
      </c>
      <c r="R131" s="156">
        <f>SUM(R129:R130)</f>
        <v>0</v>
      </c>
      <c r="S131" s="156">
        <f>SUM(S129:S130)</f>
        <v>1000000</v>
      </c>
      <c r="T131" s="156">
        <f t="shared" ref="T131:W131" si="63">SUM(T129:T130)</f>
        <v>636308</v>
      </c>
      <c r="U131" s="156">
        <f t="shared" si="63"/>
        <v>0</v>
      </c>
      <c r="V131" s="156">
        <f t="shared" si="63"/>
        <v>0</v>
      </c>
      <c r="W131" s="156">
        <f t="shared" si="63"/>
        <v>0</v>
      </c>
      <c r="X131" s="156">
        <f>SUM(X129:X130)</f>
        <v>363692</v>
      </c>
      <c r="Y131" s="156">
        <f>SUM(Y129:Y130)</f>
        <v>363692</v>
      </c>
      <c r="Z131" s="156">
        <f>SUM(Z129:Z130)</f>
        <v>0</v>
      </c>
      <c r="AA131" s="156">
        <f>SUM(AA129:AA130)</f>
        <v>0</v>
      </c>
      <c r="AB131" s="156">
        <f t="shared" ref="AB131:AE131" si="64">SUM(AB129:AB130)</f>
        <v>69999.34</v>
      </c>
      <c r="AC131" s="156">
        <f t="shared" si="64"/>
        <v>0</v>
      </c>
      <c r="AD131" s="156">
        <f t="shared" si="64"/>
        <v>0</v>
      </c>
      <c r="AE131" s="156">
        <f t="shared" si="64"/>
        <v>0</v>
      </c>
      <c r="AF131" s="156">
        <f>SUM(AF129:AF130)</f>
        <v>293692.66000000003</v>
      </c>
      <c r="AG131" s="156">
        <f>SUM(AG129:AG130)</f>
        <v>0</v>
      </c>
      <c r="AH131" s="156">
        <f>SUM(AH129:AH130)</f>
        <v>293692.66000000003</v>
      </c>
    </row>
    <row r="132" spans="1:225" s="166" customFormat="1" ht="15.75" x14ac:dyDescent="0.25">
      <c r="A132" s="175"/>
      <c r="B132" s="176"/>
      <c r="C132" s="163"/>
      <c r="D132" s="135"/>
      <c r="E132" s="164"/>
      <c r="F132" s="164"/>
      <c r="G132" s="164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165"/>
      <c r="U132" s="165"/>
      <c r="V132" s="165"/>
      <c r="W132" s="165"/>
      <c r="X132" s="165"/>
      <c r="Y132" s="165"/>
      <c r="Z132" s="165"/>
      <c r="AA132" s="165"/>
      <c r="AB132" s="165"/>
      <c r="AC132" s="165"/>
      <c r="AD132" s="165"/>
      <c r="AE132" s="165"/>
      <c r="AF132" s="165"/>
      <c r="AG132" s="165"/>
      <c r="AH132" s="165"/>
    </row>
    <row r="133" spans="1:225" s="166" customFormat="1" ht="15.75" x14ac:dyDescent="0.25">
      <c r="A133" s="177"/>
      <c r="B133" s="177" t="s">
        <v>226</v>
      </c>
      <c r="C133" s="178"/>
      <c r="D133" s="178"/>
      <c r="E133" s="178"/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  <c r="Q133" s="178"/>
      <c r="R133" s="178"/>
      <c r="S133" s="178"/>
      <c r="T133" s="178"/>
      <c r="U133" s="178"/>
      <c r="V133" s="178"/>
      <c r="W133" s="178"/>
      <c r="X133" s="178"/>
      <c r="Y133" s="178"/>
      <c r="Z133" s="178"/>
      <c r="AA133" s="178"/>
      <c r="AB133" s="178"/>
      <c r="AC133" s="178"/>
      <c r="AD133" s="178"/>
      <c r="AE133" s="178"/>
      <c r="AF133" s="178"/>
      <c r="AG133" s="178"/>
      <c r="AH133" s="178"/>
    </row>
    <row r="134" spans="1:225" s="166" customFormat="1" ht="15.75" x14ac:dyDescent="0.25">
      <c r="A134" s="177"/>
      <c r="B134" s="177" t="s">
        <v>209</v>
      </c>
      <c r="C134" s="179">
        <f>C27+C61+C103+C108+C122+C125+C128+C131</f>
        <v>87061207.268828481</v>
      </c>
      <c r="D134" s="179">
        <f>D27+D61+D103+D108+D122+D125+D128+D131</f>
        <v>20076554.469999999</v>
      </c>
      <c r="E134" s="178">
        <f>E27+E61+E103+E108+E122+E125+E128+E131</f>
        <v>107137761.73882848</v>
      </c>
      <c r="F134" s="178">
        <f>F27+F61+F103+F108+F122+F125+F128+F131</f>
        <v>0</v>
      </c>
      <c r="G134" s="178">
        <f>G27+G61+G103+G108+G122+G125+G128+G131</f>
        <v>0</v>
      </c>
      <c r="H134" s="178">
        <f t="shared" ref="H134" si="65">H27+H61+H103+H108+H122+H125+H128+H131</f>
        <v>5762243.8099999996</v>
      </c>
      <c r="I134" s="179">
        <f>I27+I61+I103+I108+I122+I125+I128+I131</f>
        <v>4481615.7299999995</v>
      </c>
      <c r="J134" s="179">
        <f>J27+J61+J103+J108+J122+J125+J128+J131</f>
        <v>102656146.00882848</v>
      </c>
      <c r="K134" s="179">
        <f t="shared" ref="K134:N134" si="66">K27+K61+K103+K108+K122+K125+K128+K131</f>
        <v>0</v>
      </c>
      <c r="L134" s="179">
        <f t="shared" si="66"/>
        <v>0</v>
      </c>
      <c r="M134" s="179">
        <f t="shared" si="66"/>
        <v>0</v>
      </c>
      <c r="N134" s="179">
        <f t="shared" si="66"/>
        <v>0</v>
      </c>
      <c r="O134" s="179">
        <f>O27+O61+O103+O108+O122+O125+O128+O131</f>
        <v>107137761.73882848</v>
      </c>
      <c r="P134" s="179">
        <f>P27+P61+P103+P108+P122+P125+P128+P131</f>
        <v>102656146.00882848</v>
      </c>
      <c r="Q134" s="178">
        <f t="shared" ref="Q134" si="67">Q27+Q61+Q103+Q108+Q122+Q125+Q128+Q131</f>
        <v>6100732.4398800004</v>
      </c>
      <c r="R134" s="179">
        <f>R27+R61+R103+R108+R122+R125+R128+R131</f>
        <v>5159451.0799999991</v>
      </c>
      <c r="S134" s="179">
        <f>S27+S61+S103+S108+S122+S125+S128+S131</f>
        <v>97496694.928828463</v>
      </c>
      <c r="T134" s="179">
        <f t="shared" ref="T134:W134" si="68">T27+T61+T103+T108+T122+T125+T128+T131</f>
        <v>644417</v>
      </c>
      <c r="U134" s="179">
        <f t="shared" si="68"/>
        <v>644417</v>
      </c>
      <c r="V134" s="179">
        <f t="shared" si="68"/>
        <v>0</v>
      </c>
      <c r="W134" s="179">
        <f t="shared" si="68"/>
        <v>0</v>
      </c>
      <c r="X134" s="179">
        <f>X27+X61+X103+X108+X122+X125+X128+X131</f>
        <v>107137761.73882848</v>
      </c>
      <c r="Y134" s="179">
        <f>Y27+Y61+Y103+Y108+Y122+Y125+Y128+Y131</f>
        <v>97496694.928828463</v>
      </c>
      <c r="Z134" s="178">
        <f t="shared" ref="Z134" si="69">Z27+Z61+Z103+Z108+Z122+Z125+Z128+Z131</f>
        <v>5823214.0469599999</v>
      </c>
      <c r="AA134" s="179">
        <f>AA27+AA61+AA103+AA108+AA122+AA125+AA128+AA131</f>
        <v>4836787.8199999994</v>
      </c>
      <c r="AB134" s="179">
        <f t="shared" ref="AB134:AE134" si="70">AB27+AB61+AB103+AB108+AB122+AB125+AB128+AB131</f>
        <v>357106.33999999997</v>
      </c>
      <c r="AC134" s="179">
        <f t="shared" si="70"/>
        <v>357106.33999999997</v>
      </c>
      <c r="AD134" s="179">
        <f t="shared" si="70"/>
        <v>0</v>
      </c>
      <c r="AE134" s="179">
        <f t="shared" si="70"/>
        <v>0</v>
      </c>
      <c r="AF134" s="179">
        <f>AF27+AF61+AF103+AF108+AF122+AF125+AF128+AF131</f>
        <v>107137761.73882847</v>
      </c>
      <c r="AG134" s="179">
        <f>AG27+AG61+AG103+AG108+AG122+AG125+AG128+AG131</f>
        <v>14477854.629999997</v>
      </c>
      <c r="AH134" s="179">
        <f>AH27+AH61+AH103+AH108+AH122+AH125+AH128+AH131</f>
        <v>92659907.108828455</v>
      </c>
    </row>
    <row r="135" spans="1:225" s="85" customFormat="1" x14ac:dyDescent="0.25">
      <c r="A135" s="81"/>
      <c r="B135" s="82"/>
      <c r="C135" s="91"/>
      <c r="D135" s="92"/>
      <c r="E135" s="93"/>
      <c r="F135" s="93"/>
      <c r="G135" s="93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  <c r="AJ135" s="58"/>
      <c r="AK135" s="58"/>
      <c r="AL135" s="58"/>
      <c r="AM135" s="58"/>
      <c r="AN135" s="58"/>
      <c r="AO135" s="58"/>
      <c r="AP135" s="58"/>
      <c r="AQ135" s="58"/>
      <c r="AR135" s="58"/>
      <c r="AS135" s="58"/>
      <c r="AT135" s="58"/>
      <c r="AU135" s="58"/>
      <c r="AV135" s="58"/>
      <c r="AW135" s="58"/>
      <c r="AX135" s="58"/>
      <c r="AY135" s="58"/>
      <c r="AZ135" s="58"/>
      <c r="BA135" s="58"/>
      <c r="BB135" s="58"/>
      <c r="BC135" s="58"/>
      <c r="BD135" s="58"/>
      <c r="BE135" s="58"/>
      <c r="BF135" s="58"/>
      <c r="BG135" s="58"/>
      <c r="BH135" s="58"/>
      <c r="BI135" s="58"/>
      <c r="BJ135" s="58"/>
      <c r="BK135" s="58"/>
      <c r="BL135" s="58"/>
      <c r="BM135" s="58"/>
      <c r="BN135" s="58"/>
      <c r="BO135" s="58"/>
      <c r="BP135" s="58"/>
      <c r="BQ135" s="58"/>
      <c r="BR135" s="58"/>
      <c r="BS135" s="58"/>
      <c r="BT135" s="58"/>
      <c r="BU135" s="58"/>
      <c r="BV135" s="58"/>
      <c r="BW135" s="58"/>
      <c r="BX135" s="58"/>
      <c r="BY135" s="58"/>
      <c r="BZ135" s="58"/>
      <c r="CA135" s="58"/>
      <c r="CB135" s="58"/>
      <c r="CC135" s="58"/>
      <c r="CD135" s="58"/>
      <c r="CE135" s="58"/>
      <c r="CF135" s="58"/>
      <c r="CG135" s="58"/>
      <c r="CH135" s="58"/>
      <c r="CI135" s="58"/>
      <c r="CJ135" s="58"/>
      <c r="CK135" s="58"/>
      <c r="CL135" s="58"/>
      <c r="CM135" s="58"/>
      <c r="CN135" s="58"/>
      <c r="CO135" s="58"/>
      <c r="CP135" s="58"/>
      <c r="CQ135" s="58"/>
      <c r="CR135" s="58"/>
      <c r="CS135" s="58"/>
      <c r="CT135" s="58"/>
      <c r="CU135" s="58"/>
      <c r="CV135" s="58"/>
      <c r="CW135" s="58"/>
      <c r="CX135" s="58"/>
      <c r="CY135" s="58"/>
      <c r="CZ135" s="58"/>
      <c r="DA135" s="58"/>
      <c r="DB135" s="58"/>
      <c r="DC135" s="58"/>
      <c r="DD135" s="58"/>
      <c r="DE135" s="58"/>
      <c r="DF135" s="58"/>
      <c r="DG135" s="58"/>
      <c r="DH135" s="58"/>
      <c r="DI135" s="58"/>
      <c r="DJ135" s="58"/>
      <c r="DK135" s="58"/>
      <c r="DL135" s="58"/>
      <c r="DM135" s="58"/>
      <c r="DN135" s="58"/>
      <c r="DO135" s="58"/>
      <c r="DP135" s="58"/>
      <c r="DQ135" s="58"/>
      <c r="DR135" s="58"/>
      <c r="DS135" s="58"/>
      <c r="DT135" s="58"/>
      <c r="DU135" s="58"/>
      <c r="DV135" s="58"/>
      <c r="DW135" s="58"/>
      <c r="DX135" s="58"/>
      <c r="DY135" s="58"/>
      <c r="DZ135" s="58"/>
      <c r="EA135" s="58"/>
      <c r="EB135" s="58"/>
      <c r="EC135" s="58"/>
      <c r="ED135" s="58"/>
      <c r="EE135" s="58"/>
      <c r="EF135" s="58"/>
      <c r="EG135" s="58"/>
      <c r="EH135" s="58"/>
      <c r="EI135" s="58"/>
      <c r="EJ135" s="58"/>
      <c r="EK135" s="58"/>
      <c r="EL135" s="58"/>
      <c r="EM135" s="58"/>
      <c r="EN135" s="58"/>
      <c r="EO135" s="58"/>
      <c r="EP135" s="58"/>
      <c r="EQ135" s="58"/>
      <c r="ER135" s="58"/>
      <c r="ES135" s="58"/>
      <c r="ET135" s="58"/>
      <c r="EU135" s="58"/>
      <c r="EV135" s="58"/>
      <c r="EW135" s="58"/>
      <c r="EX135" s="58"/>
      <c r="EY135" s="58"/>
      <c r="EZ135" s="58"/>
      <c r="FA135" s="58"/>
      <c r="FB135" s="58"/>
      <c r="FC135" s="58"/>
      <c r="FD135" s="58"/>
      <c r="FE135" s="58"/>
      <c r="FF135" s="58"/>
      <c r="FG135" s="58"/>
      <c r="FH135" s="58"/>
      <c r="FI135" s="58"/>
      <c r="FJ135" s="58"/>
      <c r="FK135" s="58"/>
      <c r="FL135" s="58"/>
      <c r="FM135" s="58"/>
      <c r="FN135" s="58"/>
      <c r="FO135" s="58"/>
      <c r="FP135" s="58"/>
      <c r="FQ135" s="58"/>
      <c r="FR135" s="58"/>
      <c r="FS135" s="58"/>
      <c r="FT135" s="58"/>
      <c r="FU135" s="58"/>
      <c r="FV135" s="58"/>
      <c r="FW135" s="58"/>
      <c r="FX135" s="58"/>
      <c r="FY135" s="58"/>
      <c r="FZ135" s="58"/>
      <c r="GA135" s="58"/>
      <c r="GB135" s="58"/>
      <c r="GC135" s="58"/>
      <c r="GD135" s="58"/>
      <c r="GE135" s="58"/>
      <c r="GF135" s="58"/>
      <c r="GG135" s="58"/>
      <c r="GH135" s="58"/>
      <c r="GI135" s="58"/>
      <c r="GJ135" s="58"/>
      <c r="GK135" s="58"/>
      <c r="GL135" s="58"/>
      <c r="GM135" s="58"/>
      <c r="GN135" s="58"/>
      <c r="GO135" s="58"/>
      <c r="GP135" s="58"/>
      <c r="GQ135" s="58"/>
      <c r="GR135" s="58"/>
      <c r="GS135" s="58"/>
      <c r="GT135" s="58"/>
      <c r="GU135" s="58"/>
      <c r="GV135" s="58"/>
      <c r="GW135" s="58"/>
      <c r="GX135" s="58"/>
      <c r="GY135" s="58"/>
      <c r="GZ135" s="58"/>
      <c r="HA135" s="58"/>
      <c r="HB135" s="58"/>
      <c r="HC135" s="58"/>
      <c r="HD135" s="58"/>
      <c r="HE135" s="58"/>
      <c r="HF135" s="58"/>
      <c r="HG135" s="58"/>
      <c r="HH135" s="58"/>
      <c r="HI135" s="58"/>
      <c r="HJ135" s="58"/>
      <c r="HK135" s="58"/>
      <c r="HL135" s="58"/>
      <c r="HM135" s="58"/>
      <c r="HN135" s="58"/>
      <c r="HO135" s="58"/>
      <c r="HP135" s="58"/>
      <c r="HQ135" s="58"/>
    </row>
    <row r="136" spans="1:225" s="85" customFormat="1" x14ac:dyDescent="0.25">
      <c r="A136" s="58"/>
      <c r="B136" s="58"/>
      <c r="D136" s="94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L136" s="58"/>
      <c r="BM136" s="58"/>
      <c r="BN136" s="58"/>
      <c r="BO136" s="58"/>
      <c r="BP136" s="58"/>
      <c r="BQ136" s="58"/>
      <c r="BR136" s="58"/>
      <c r="BS136" s="58"/>
      <c r="BT136" s="58"/>
      <c r="BU136" s="58"/>
      <c r="BV136" s="58"/>
      <c r="BW136" s="58"/>
      <c r="BX136" s="58"/>
      <c r="BY136" s="58"/>
      <c r="BZ136" s="58"/>
      <c r="CA136" s="58"/>
      <c r="CB136" s="58"/>
      <c r="CC136" s="58"/>
      <c r="CD136" s="58"/>
      <c r="CE136" s="58"/>
      <c r="CF136" s="58"/>
      <c r="CG136" s="58"/>
      <c r="CH136" s="58"/>
      <c r="CI136" s="58"/>
      <c r="CJ136" s="58"/>
      <c r="CK136" s="58"/>
      <c r="CL136" s="58"/>
      <c r="CM136" s="58"/>
      <c r="CN136" s="58"/>
      <c r="CO136" s="58"/>
      <c r="CP136" s="58"/>
      <c r="CQ136" s="58"/>
      <c r="CR136" s="58"/>
      <c r="CS136" s="58"/>
      <c r="CT136" s="58"/>
      <c r="CU136" s="58"/>
      <c r="CV136" s="58"/>
      <c r="CW136" s="58"/>
      <c r="CX136" s="58"/>
      <c r="CY136" s="58"/>
      <c r="CZ136" s="58"/>
      <c r="DA136" s="58"/>
      <c r="DB136" s="58"/>
      <c r="DC136" s="58"/>
      <c r="DD136" s="58"/>
      <c r="DE136" s="58"/>
      <c r="DF136" s="58"/>
      <c r="DG136" s="58"/>
      <c r="DH136" s="58"/>
      <c r="DI136" s="58"/>
      <c r="DJ136" s="58"/>
      <c r="DK136" s="58"/>
      <c r="DL136" s="58"/>
      <c r="DM136" s="58"/>
      <c r="DN136" s="58"/>
      <c r="DO136" s="58"/>
      <c r="DP136" s="58"/>
      <c r="DQ136" s="58"/>
      <c r="DR136" s="58"/>
      <c r="DS136" s="58"/>
      <c r="DT136" s="58"/>
      <c r="DU136" s="58"/>
      <c r="DV136" s="58"/>
      <c r="DW136" s="58"/>
      <c r="DX136" s="58"/>
      <c r="DY136" s="58"/>
      <c r="DZ136" s="58"/>
      <c r="EA136" s="58"/>
      <c r="EB136" s="58"/>
      <c r="EC136" s="58"/>
      <c r="ED136" s="58"/>
      <c r="EE136" s="58"/>
      <c r="EF136" s="58"/>
      <c r="EG136" s="58"/>
      <c r="EH136" s="58"/>
      <c r="EI136" s="58"/>
      <c r="EJ136" s="58"/>
      <c r="EK136" s="58"/>
      <c r="EL136" s="58"/>
      <c r="EM136" s="58"/>
      <c r="EN136" s="58"/>
      <c r="EO136" s="58"/>
      <c r="EP136" s="58"/>
      <c r="EQ136" s="58"/>
      <c r="ER136" s="58"/>
      <c r="ES136" s="58"/>
      <c r="ET136" s="58"/>
      <c r="EU136" s="58"/>
      <c r="EV136" s="58"/>
      <c r="EW136" s="58"/>
      <c r="EX136" s="58"/>
      <c r="EY136" s="58"/>
      <c r="EZ136" s="58"/>
      <c r="FA136" s="58"/>
      <c r="FB136" s="58"/>
      <c r="FC136" s="58"/>
      <c r="FD136" s="58"/>
      <c r="FE136" s="58"/>
      <c r="FF136" s="58"/>
      <c r="FG136" s="58"/>
      <c r="FH136" s="58"/>
      <c r="FI136" s="58"/>
      <c r="FJ136" s="58"/>
      <c r="FK136" s="58"/>
      <c r="FL136" s="58"/>
      <c r="FM136" s="58"/>
      <c r="FN136" s="58"/>
      <c r="FO136" s="58"/>
      <c r="FP136" s="58"/>
      <c r="FQ136" s="58"/>
      <c r="FR136" s="58"/>
      <c r="FS136" s="58"/>
      <c r="FT136" s="58"/>
      <c r="FU136" s="58"/>
      <c r="FV136" s="58"/>
      <c r="FW136" s="58"/>
      <c r="FX136" s="58"/>
      <c r="FY136" s="58"/>
      <c r="FZ136" s="58"/>
      <c r="GA136" s="58"/>
      <c r="GB136" s="58"/>
      <c r="GC136" s="58"/>
      <c r="GD136" s="58"/>
      <c r="GE136" s="58"/>
      <c r="GF136" s="58"/>
      <c r="GG136" s="58"/>
      <c r="GH136" s="58"/>
      <c r="GI136" s="58"/>
      <c r="GJ136" s="58"/>
      <c r="GK136" s="58"/>
      <c r="GL136" s="58"/>
      <c r="GM136" s="58"/>
      <c r="GN136" s="58"/>
      <c r="GO136" s="58"/>
      <c r="GP136" s="58"/>
      <c r="GQ136" s="58"/>
      <c r="GR136" s="58"/>
      <c r="GS136" s="58"/>
      <c r="GT136" s="58"/>
      <c r="GU136" s="58"/>
      <c r="GV136" s="58"/>
      <c r="GW136" s="58"/>
      <c r="GX136" s="58"/>
      <c r="GY136" s="58"/>
      <c r="GZ136" s="58"/>
      <c r="HA136" s="58"/>
      <c r="HB136" s="58"/>
      <c r="HC136" s="58"/>
      <c r="HD136" s="58"/>
      <c r="HE136" s="58"/>
      <c r="HF136" s="58"/>
      <c r="HG136" s="58"/>
      <c r="HH136" s="58"/>
      <c r="HI136" s="58"/>
      <c r="HJ136" s="58"/>
      <c r="HK136" s="58"/>
      <c r="HL136" s="58"/>
      <c r="HM136" s="58"/>
      <c r="HN136" s="58"/>
      <c r="HO136" s="58"/>
      <c r="HP136" s="58"/>
      <c r="HQ136" s="58"/>
    </row>
  </sheetData>
  <mergeCells count="8">
    <mergeCell ref="AG6:AG7"/>
    <mergeCell ref="AB5:AC5"/>
    <mergeCell ref="A5:A6"/>
    <mergeCell ref="B5:B6"/>
    <mergeCell ref="C5:C6"/>
    <mergeCell ref="F5:G5"/>
    <mergeCell ref="K5:L5"/>
    <mergeCell ref="T5:U5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32" fitToHeight="2" orientation="landscape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9"/>
  <sheetViews>
    <sheetView workbookViewId="0">
      <selection activeCell="B2" sqref="B2:D29"/>
    </sheetView>
  </sheetViews>
  <sheetFormatPr baseColWidth="10" defaultRowHeight="15" x14ac:dyDescent="0.25"/>
  <cols>
    <col min="1" max="1" width="1.140625" customWidth="1"/>
    <col min="2" max="2" width="19.5703125" customWidth="1"/>
    <col min="3" max="3" width="96.5703125" customWidth="1"/>
    <col min="4" max="4" width="11.140625" style="33" bestFit="1" customWidth="1"/>
    <col min="257" max="257" width="1.140625" customWidth="1"/>
    <col min="258" max="258" width="16.85546875" customWidth="1"/>
    <col min="259" max="259" width="65.140625" customWidth="1"/>
    <col min="260" max="260" width="16.28515625" customWidth="1"/>
    <col min="513" max="513" width="1.140625" customWidth="1"/>
    <col min="514" max="514" width="16.85546875" customWidth="1"/>
    <col min="515" max="515" width="65.140625" customWidth="1"/>
    <col min="516" max="516" width="16.28515625" customWidth="1"/>
    <col min="769" max="769" width="1.140625" customWidth="1"/>
    <col min="770" max="770" width="16.85546875" customWidth="1"/>
    <col min="771" max="771" width="65.140625" customWidth="1"/>
    <col min="772" max="772" width="16.28515625" customWidth="1"/>
    <col min="1025" max="1025" width="1.140625" customWidth="1"/>
    <col min="1026" max="1026" width="16.85546875" customWidth="1"/>
    <col min="1027" max="1027" width="65.140625" customWidth="1"/>
    <col min="1028" max="1028" width="16.28515625" customWidth="1"/>
    <col min="1281" max="1281" width="1.140625" customWidth="1"/>
    <col min="1282" max="1282" width="16.85546875" customWidth="1"/>
    <col min="1283" max="1283" width="65.140625" customWidth="1"/>
    <col min="1284" max="1284" width="16.28515625" customWidth="1"/>
    <col min="1537" max="1537" width="1.140625" customWidth="1"/>
    <col min="1538" max="1538" width="16.85546875" customWidth="1"/>
    <col min="1539" max="1539" width="65.140625" customWidth="1"/>
    <col min="1540" max="1540" width="16.28515625" customWidth="1"/>
    <col min="1793" max="1793" width="1.140625" customWidth="1"/>
    <col min="1794" max="1794" width="16.85546875" customWidth="1"/>
    <col min="1795" max="1795" width="65.140625" customWidth="1"/>
    <col min="1796" max="1796" width="16.28515625" customWidth="1"/>
    <col min="2049" max="2049" width="1.140625" customWidth="1"/>
    <col min="2050" max="2050" width="16.85546875" customWidth="1"/>
    <col min="2051" max="2051" width="65.140625" customWidth="1"/>
    <col min="2052" max="2052" width="16.28515625" customWidth="1"/>
    <col min="2305" max="2305" width="1.140625" customWidth="1"/>
    <col min="2306" max="2306" width="16.85546875" customWidth="1"/>
    <col min="2307" max="2307" width="65.140625" customWidth="1"/>
    <col min="2308" max="2308" width="16.28515625" customWidth="1"/>
    <col min="2561" max="2561" width="1.140625" customWidth="1"/>
    <col min="2562" max="2562" width="16.85546875" customWidth="1"/>
    <col min="2563" max="2563" width="65.140625" customWidth="1"/>
    <col min="2564" max="2564" width="16.28515625" customWidth="1"/>
    <col min="2817" max="2817" width="1.140625" customWidth="1"/>
    <col min="2818" max="2818" width="16.85546875" customWidth="1"/>
    <col min="2819" max="2819" width="65.140625" customWidth="1"/>
    <col min="2820" max="2820" width="16.28515625" customWidth="1"/>
    <col min="3073" max="3073" width="1.140625" customWidth="1"/>
    <col min="3074" max="3074" width="16.85546875" customWidth="1"/>
    <col min="3075" max="3075" width="65.140625" customWidth="1"/>
    <col min="3076" max="3076" width="16.28515625" customWidth="1"/>
    <col min="3329" max="3329" width="1.140625" customWidth="1"/>
    <col min="3330" max="3330" width="16.85546875" customWidth="1"/>
    <col min="3331" max="3331" width="65.140625" customWidth="1"/>
    <col min="3332" max="3332" width="16.28515625" customWidth="1"/>
    <col min="3585" max="3585" width="1.140625" customWidth="1"/>
    <col min="3586" max="3586" width="16.85546875" customWidth="1"/>
    <col min="3587" max="3587" width="65.140625" customWidth="1"/>
    <col min="3588" max="3588" width="16.28515625" customWidth="1"/>
    <col min="3841" max="3841" width="1.140625" customWidth="1"/>
    <col min="3842" max="3842" width="16.85546875" customWidth="1"/>
    <col min="3843" max="3843" width="65.140625" customWidth="1"/>
    <col min="3844" max="3844" width="16.28515625" customWidth="1"/>
    <col min="4097" max="4097" width="1.140625" customWidth="1"/>
    <col min="4098" max="4098" width="16.85546875" customWidth="1"/>
    <col min="4099" max="4099" width="65.140625" customWidth="1"/>
    <col min="4100" max="4100" width="16.28515625" customWidth="1"/>
    <col min="4353" max="4353" width="1.140625" customWidth="1"/>
    <col min="4354" max="4354" width="16.85546875" customWidth="1"/>
    <col min="4355" max="4355" width="65.140625" customWidth="1"/>
    <col min="4356" max="4356" width="16.28515625" customWidth="1"/>
    <col min="4609" max="4609" width="1.140625" customWidth="1"/>
    <col min="4610" max="4610" width="16.85546875" customWidth="1"/>
    <col min="4611" max="4611" width="65.140625" customWidth="1"/>
    <col min="4612" max="4612" width="16.28515625" customWidth="1"/>
    <col min="4865" max="4865" width="1.140625" customWidth="1"/>
    <col min="4866" max="4866" width="16.85546875" customWidth="1"/>
    <col min="4867" max="4867" width="65.140625" customWidth="1"/>
    <col min="4868" max="4868" width="16.28515625" customWidth="1"/>
    <col min="5121" max="5121" width="1.140625" customWidth="1"/>
    <col min="5122" max="5122" width="16.85546875" customWidth="1"/>
    <col min="5123" max="5123" width="65.140625" customWidth="1"/>
    <col min="5124" max="5124" width="16.28515625" customWidth="1"/>
    <col min="5377" max="5377" width="1.140625" customWidth="1"/>
    <col min="5378" max="5378" width="16.85546875" customWidth="1"/>
    <col min="5379" max="5379" width="65.140625" customWidth="1"/>
    <col min="5380" max="5380" width="16.28515625" customWidth="1"/>
    <col min="5633" max="5633" width="1.140625" customWidth="1"/>
    <col min="5634" max="5634" width="16.85546875" customWidth="1"/>
    <col min="5635" max="5635" width="65.140625" customWidth="1"/>
    <col min="5636" max="5636" width="16.28515625" customWidth="1"/>
    <col min="5889" max="5889" width="1.140625" customWidth="1"/>
    <col min="5890" max="5890" width="16.85546875" customWidth="1"/>
    <col min="5891" max="5891" width="65.140625" customWidth="1"/>
    <col min="5892" max="5892" width="16.28515625" customWidth="1"/>
    <col min="6145" max="6145" width="1.140625" customWidth="1"/>
    <col min="6146" max="6146" width="16.85546875" customWidth="1"/>
    <col min="6147" max="6147" width="65.140625" customWidth="1"/>
    <col min="6148" max="6148" width="16.28515625" customWidth="1"/>
    <col min="6401" max="6401" width="1.140625" customWidth="1"/>
    <col min="6402" max="6402" width="16.85546875" customWidth="1"/>
    <col min="6403" max="6403" width="65.140625" customWidth="1"/>
    <col min="6404" max="6404" width="16.28515625" customWidth="1"/>
    <col min="6657" max="6657" width="1.140625" customWidth="1"/>
    <col min="6658" max="6658" width="16.85546875" customWidth="1"/>
    <col min="6659" max="6659" width="65.140625" customWidth="1"/>
    <col min="6660" max="6660" width="16.28515625" customWidth="1"/>
    <col min="6913" max="6913" width="1.140625" customWidth="1"/>
    <col min="6914" max="6914" width="16.85546875" customWidth="1"/>
    <col min="6915" max="6915" width="65.140625" customWidth="1"/>
    <col min="6916" max="6916" width="16.28515625" customWidth="1"/>
    <col min="7169" max="7169" width="1.140625" customWidth="1"/>
    <col min="7170" max="7170" width="16.85546875" customWidth="1"/>
    <col min="7171" max="7171" width="65.140625" customWidth="1"/>
    <col min="7172" max="7172" width="16.28515625" customWidth="1"/>
    <col min="7425" max="7425" width="1.140625" customWidth="1"/>
    <col min="7426" max="7426" width="16.85546875" customWidth="1"/>
    <col min="7427" max="7427" width="65.140625" customWidth="1"/>
    <col min="7428" max="7428" width="16.28515625" customWidth="1"/>
    <col min="7681" max="7681" width="1.140625" customWidth="1"/>
    <col min="7682" max="7682" width="16.85546875" customWidth="1"/>
    <col min="7683" max="7683" width="65.140625" customWidth="1"/>
    <col min="7684" max="7684" width="16.28515625" customWidth="1"/>
    <col min="7937" max="7937" width="1.140625" customWidth="1"/>
    <col min="7938" max="7938" width="16.85546875" customWidth="1"/>
    <col min="7939" max="7939" width="65.140625" customWidth="1"/>
    <col min="7940" max="7940" width="16.28515625" customWidth="1"/>
    <col min="8193" max="8193" width="1.140625" customWidth="1"/>
    <col min="8194" max="8194" width="16.85546875" customWidth="1"/>
    <col min="8195" max="8195" width="65.140625" customWidth="1"/>
    <col min="8196" max="8196" width="16.28515625" customWidth="1"/>
    <col min="8449" max="8449" width="1.140625" customWidth="1"/>
    <col min="8450" max="8450" width="16.85546875" customWidth="1"/>
    <col min="8451" max="8451" width="65.140625" customWidth="1"/>
    <col min="8452" max="8452" width="16.28515625" customWidth="1"/>
    <col min="8705" max="8705" width="1.140625" customWidth="1"/>
    <col min="8706" max="8706" width="16.85546875" customWidth="1"/>
    <col min="8707" max="8707" width="65.140625" customWidth="1"/>
    <col min="8708" max="8708" width="16.28515625" customWidth="1"/>
    <col min="8961" max="8961" width="1.140625" customWidth="1"/>
    <col min="8962" max="8962" width="16.85546875" customWidth="1"/>
    <col min="8963" max="8963" width="65.140625" customWidth="1"/>
    <col min="8964" max="8964" width="16.28515625" customWidth="1"/>
    <col min="9217" max="9217" width="1.140625" customWidth="1"/>
    <col min="9218" max="9218" width="16.85546875" customWidth="1"/>
    <col min="9219" max="9219" width="65.140625" customWidth="1"/>
    <col min="9220" max="9220" width="16.28515625" customWidth="1"/>
    <col min="9473" max="9473" width="1.140625" customWidth="1"/>
    <col min="9474" max="9474" width="16.85546875" customWidth="1"/>
    <col min="9475" max="9475" width="65.140625" customWidth="1"/>
    <col min="9476" max="9476" width="16.28515625" customWidth="1"/>
    <col min="9729" max="9729" width="1.140625" customWidth="1"/>
    <col min="9730" max="9730" width="16.85546875" customWidth="1"/>
    <col min="9731" max="9731" width="65.140625" customWidth="1"/>
    <col min="9732" max="9732" width="16.28515625" customWidth="1"/>
    <col min="9985" max="9985" width="1.140625" customWidth="1"/>
    <col min="9986" max="9986" width="16.85546875" customWidth="1"/>
    <col min="9987" max="9987" width="65.140625" customWidth="1"/>
    <col min="9988" max="9988" width="16.28515625" customWidth="1"/>
    <col min="10241" max="10241" width="1.140625" customWidth="1"/>
    <col min="10242" max="10242" width="16.85546875" customWidth="1"/>
    <col min="10243" max="10243" width="65.140625" customWidth="1"/>
    <col min="10244" max="10244" width="16.28515625" customWidth="1"/>
    <col min="10497" max="10497" width="1.140625" customWidth="1"/>
    <col min="10498" max="10498" width="16.85546875" customWidth="1"/>
    <col min="10499" max="10499" width="65.140625" customWidth="1"/>
    <col min="10500" max="10500" width="16.28515625" customWidth="1"/>
    <col min="10753" max="10753" width="1.140625" customWidth="1"/>
    <col min="10754" max="10754" width="16.85546875" customWidth="1"/>
    <col min="10755" max="10755" width="65.140625" customWidth="1"/>
    <col min="10756" max="10756" width="16.28515625" customWidth="1"/>
    <col min="11009" max="11009" width="1.140625" customWidth="1"/>
    <col min="11010" max="11010" width="16.85546875" customWidth="1"/>
    <col min="11011" max="11011" width="65.140625" customWidth="1"/>
    <col min="11012" max="11012" width="16.28515625" customWidth="1"/>
    <col min="11265" max="11265" width="1.140625" customWidth="1"/>
    <col min="11266" max="11266" width="16.85546875" customWidth="1"/>
    <col min="11267" max="11267" width="65.140625" customWidth="1"/>
    <col min="11268" max="11268" width="16.28515625" customWidth="1"/>
    <col min="11521" max="11521" width="1.140625" customWidth="1"/>
    <col min="11522" max="11522" width="16.85546875" customWidth="1"/>
    <col min="11523" max="11523" width="65.140625" customWidth="1"/>
    <col min="11524" max="11524" width="16.28515625" customWidth="1"/>
    <col min="11777" max="11777" width="1.140625" customWidth="1"/>
    <col min="11778" max="11778" width="16.85546875" customWidth="1"/>
    <col min="11779" max="11779" width="65.140625" customWidth="1"/>
    <col min="11780" max="11780" width="16.28515625" customWidth="1"/>
    <col min="12033" max="12033" width="1.140625" customWidth="1"/>
    <col min="12034" max="12034" width="16.85546875" customWidth="1"/>
    <col min="12035" max="12035" width="65.140625" customWidth="1"/>
    <col min="12036" max="12036" width="16.28515625" customWidth="1"/>
    <col min="12289" max="12289" width="1.140625" customWidth="1"/>
    <col min="12290" max="12290" width="16.85546875" customWidth="1"/>
    <col min="12291" max="12291" width="65.140625" customWidth="1"/>
    <col min="12292" max="12292" width="16.28515625" customWidth="1"/>
    <col min="12545" max="12545" width="1.140625" customWidth="1"/>
    <col min="12546" max="12546" width="16.85546875" customWidth="1"/>
    <col min="12547" max="12547" width="65.140625" customWidth="1"/>
    <col min="12548" max="12548" width="16.28515625" customWidth="1"/>
    <col min="12801" max="12801" width="1.140625" customWidth="1"/>
    <col min="12802" max="12802" width="16.85546875" customWidth="1"/>
    <col min="12803" max="12803" width="65.140625" customWidth="1"/>
    <col min="12804" max="12804" width="16.28515625" customWidth="1"/>
    <col min="13057" max="13057" width="1.140625" customWidth="1"/>
    <col min="13058" max="13058" width="16.85546875" customWidth="1"/>
    <col min="13059" max="13059" width="65.140625" customWidth="1"/>
    <col min="13060" max="13060" width="16.28515625" customWidth="1"/>
    <col min="13313" max="13313" width="1.140625" customWidth="1"/>
    <col min="13314" max="13314" width="16.85546875" customWidth="1"/>
    <col min="13315" max="13315" width="65.140625" customWidth="1"/>
    <col min="13316" max="13316" width="16.28515625" customWidth="1"/>
    <col min="13569" max="13569" width="1.140625" customWidth="1"/>
    <col min="13570" max="13570" width="16.85546875" customWidth="1"/>
    <col min="13571" max="13571" width="65.140625" customWidth="1"/>
    <col min="13572" max="13572" width="16.28515625" customWidth="1"/>
    <col min="13825" max="13825" width="1.140625" customWidth="1"/>
    <col min="13826" max="13826" width="16.85546875" customWidth="1"/>
    <col min="13827" max="13827" width="65.140625" customWidth="1"/>
    <col min="13828" max="13828" width="16.28515625" customWidth="1"/>
    <col min="14081" max="14081" width="1.140625" customWidth="1"/>
    <col min="14082" max="14082" width="16.85546875" customWidth="1"/>
    <col min="14083" max="14083" width="65.140625" customWidth="1"/>
    <col min="14084" max="14084" width="16.28515625" customWidth="1"/>
    <col min="14337" max="14337" width="1.140625" customWidth="1"/>
    <col min="14338" max="14338" width="16.85546875" customWidth="1"/>
    <col min="14339" max="14339" width="65.140625" customWidth="1"/>
    <col min="14340" max="14340" width="16.28515625" customWidth="1"/>
    <col min="14593" max="14593" width="1.140625" customWidth="1"/>
    <col min="14594" max="14594" width="16.85546875" customWidth="1"/>
    <col min="14595" max="14595" width="65.140625" customWidth="1"/>
    <col min="14596" max="14596" width="16.28515625" customWidth="1"/>
    <col min="14849" max="14849" width="1.140625" customWidth="1"/>
    <col min="14850" max="14850" width="16.85546875" customWidth="1"/>
    <col min="14851" max="14851" width="65.140625" customWidth="1"/>
    <col min="14852" max="14852" width="16.28515625" customWidth="1"/>
    <col min="15105" max="15105" width="1.140625" customWidth="1"/>
    <col min="15106" max="15106" width="16.85546875" customWidth="1"/>
    <col min="15107" max="15107" width="65.140625" customWidth="1"/>
    <col min="15108" max="15108" width="16.28515625" customWidth="1"/>
    <col min="15361" max="15361" width="1.140625" customWidth="1"/>
    <col min="15362" max="15362" width="16.85546875" customWidth="1"/>
    <col min="15363" max="15363" width="65.140625" customWidth="1"/>
    <col min="15364" max="15364" width="16.28515625" customWidth="1"/>
    <col min="15617" max="15617" width="1.140625" customWidth="1"/>
    <col min="15618" max="15618" width="16.85546875" customWidth="1"/>
    <col min="15619" max="15619" width="65.140625" customWidth="1"/>
    <col min="15620" max="15620" width="16.28515625" customWidth="1"/>
    <col min="15873" max="15873" width="1.140625" customWidth="1"/>
    <col min="15874" max="15874" width="16.85546875" customWidth="1"/>
    <col min="15875" max="15875" width="65.140625" customWidth="1"/>
    <col min="15876" max="15876" width="16.28515625" customWidth="1"/>
    <col min="16129" max="16129" width="1.140625" customWidth="1"/>
    <col min="16130" max="16130" width="16.85546875" customWidth="1"/>
    <col min="16131" max="16131" width="65.140625" customWidth="1"/>
    <col min="16132" max="16132" width="16.28515625" customWidth="1"/>
  </cols>
  <sheetData>
    <row r="2" spans="2:7" x14ac:dyDescent="0.25">
      <c r="B2" s="310" t="s">
        <v>63</v>
      </c>
      <c r="C2" s="310"/>
      <c r="D2" s="310"/>
    </row>
    <row r="3" spans="2:7" x14ac:dyDescent="0.25">
      <c r="B3" s="31" t="s">
        <v>313</v>
      </c>
      <c r="C3" s="31"/>
      <c r="D3" s="32"/>
    </row>
    <row r="4" spans="2:7" x14ac:dyDescent="0.25">
      <c r="B4" s="310" t="s">
        <v>314</v>
      </c>
      <c r="C4" s="310"/>
      <c r="D4" s="310"/>
    </row>
    <row r="5" spans="2:7" x14ac:dyDescent="0.25">
      <c r="B5" s="310"/>
      <c r="C5" s="310"/>
      <c r="D5" s="310"/>
    </row>
    <row r="7" spans="2:7" x14ac:dyDescent="0.25">
      <c r="B7" s="34" t="s">
        <v>65</v>
      </c>
      <c r="C7" s="35" t="s">
        <v>66</v>
      </c>
      <c r="D7" s="36" t="s">
        <v>67</v>
      </c>
    </row>
    <row r="8" spans="2:7" x14ac:dyDescent="0.25">
      <c r="B8" s="126">
        <v>1131</v>
      </c>
      <c r="C8" s="127" t="s">
        <v>102</v>
      </c>
      <c r="D8" s="182">
        <v>250000</v>
      </c>
    </row>
    <row r="9" spans="2:7" ht="15.75" x14ac:dyDescent="0.25">
      <c r="B9" s="138">
        <v>2711</v>
      </c>
      <c r="C9" s="146" t="s">
        <v>143</v>
      </c>
      <c r="D9" s="182">
        <v>11587</v>
      </c>
    </row>
    <row r="10" spans="2:7" ht="15.75" x14ac:dyDescent="0.25">
      <c r="B10" s="138">
        <v>3512</v>
      </c>
      <c r="C10" s="150" t="s">
        <v>307</v>
      </c>
      <c r="D10" s="182">
        <v>17400</v>
      </c>
    </row>
    <row r="11" spans="2:7" ht="15.75" x14ac:dyDescent="0.25">
      <c r="B11" s="138">
        <v>3531</v>
      </c>
      <c r="C11" s="150" t="s">
        <v>176</v>
      </c>
      <c r="D11" s="182">
        <v>8120</v>
      </c>
    </row>
    <row r="12" spans="2:7" ht="15.75" x14ac:dyDescent="0.25">
      <c r="B12" s="138">
        <v>7991</v>
      </c>
      <c r="C12" s="150" t="s">
        <v>207</v>
      </c>
      <c r="D12" s="182">
        <v>69999</v>
      </c>
    </row>
    <row r="13" spans="2:7" x14ac:dyDescent="0.25">
      <c r="B13" s="39"/>
      <c r="C13" s="34" t="s">
        <v>68</v>
      </c>
      <c r="D13" s="40">
        <f>SUM(D8:D12)</f>
        <v>357106</v>
      </c>
      <c r="G13" s="41"/>
    </row>
    <row r="15" spans="2:7" x14ac:dyDescent="0.25">
      <c r="B15" s="34" t="s">
        <v>69</v>
      </c>
      <c r="C15" s="35" t="s">
        <v>66</v>
      </c>
      <c r="D15" s="36" t="s">
        <v>67</v>
      </c>
    </row>
    <row r="16" spans="2:7" x14ac:dyDescent="0.25">
      <c r="B16" s="126">
        <v>1211</v>
      </c>
      <c r="C16" s="127" t="s">
        <v>322</v>
      </c>
      <c r="D16" s="182">
        <v>250000</v>
      </c>
    </row>
    <row r="17" spans="2:6" ht="15.75" x14ac:dyDescent="0.25">
      <c r="B17" s="138">
        <v>2551</v>
      </c>
      <c r="C17" s="146" t="s">
        <v>140</v>
      </c>
      <c r="D17" s="182">
        <v>11587</v>
      </c>
    </row>
    <row r="18" spans="2:6" ht="15.75" x14ac:dyDescent="0.25">
      <c r="B18" s="138">
        <v>2561</v>
      </c>
      <c r="C18" s="146" t="s">
        <v>263</v>
      </c>
      <c r="D18" s="182">
        <v>69999</v>
      </c>
    </row>
    <row r="19" spans="2:6" ht="15.75" x14ac:dyDescent="0.25">
      <c r="B19" s="138">
        <v>3231</v>
      </c>
      <c r="C19" s="150" t="s">
        <v>316</v>
      </c>
      <c r="D19" s="182">
        <v>8120</v>
      </c>
    </row>
    <row r="20" spans="2:6" ht="15.75" x14ac:dyDescent="0.25">
      <c r="B20" s="138">
        <v>3651</v>
      </c>
      <c r="C20" s="150" t="s">
        <v>309</v>
      </c>
      <c r="D20" s="182">
        <v>17400</v>
      </c>
    </row>
    <row r="21" spans="2:6" x14ac:dyDescent="0.25">
      <c r="B21" s="43"/>
      <c r="C21" s="44" t="s">
        <v>70</v>
      </c>
      <c r="D21" s="45">
        <f>SUM(D16:D20)</f>
        <v>357106</v>
      </c>
      <c r="F21" s="46"/>
    </row>
    <row r="23" spans="2:6" x14ac:dyDescent="0.25">
      <c r="B23" t="s">
        <v>323</v>
      </c>
    </row>
    <row r="24" spans="2:6" x14ac:dyDescent="0.25">
      <c r="B24" t="s">
        <v>324</v>
      </c>
    </row>
    <row r="25" spans="2:6" x14ac:dyDescent="0.25">
      <c r="B25" t="s">
        <v>310</v>
      </c>
    </row>
    <row r="26" spans="2:6" x14ac:dyDescent="0.25">
      <c r="B26" t="s">
        <v>320</v>
      </c>
    </row>
    <row r="27" spans="2:6" x14ac:dyDescent="0.25">
      <c r="B27" t="s">
        <v>318</v>
      </c>
    </row>
    <row r="28" spans="2:6" x14ac:dyDescent="0.25">
      <c r="B28" t="s">
        <v>319</v>
      </c>
    </row>
    <row r="29" spans="2:6" x14ac:dyDescent="0.25">
      <c r="B29" t="s">
        <v>317</v>
      </c>
    </row>
  </sheetData>
  <mergeCells count="3">
    <mergeCell ref="B2:D2"/>
    <mergeCell ref="B5:D5"/>
    <mergeCell ref="B4:D4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workbookViewId="0">
      <selection activeCell="A10" sqref="A1:XFD1048576"/>
    </sheetView>
  </sheetViews>
  <sheetFormatPr baseColWidth="10" defaultRowHeight="15" x14ac:dyDescent="0.25"/>
  <cols>
    <col min="5" max="5" width="35" customWidth="1"/>
    <col min="7" max="7" width="15.140625" bestFit="1" customWidth="1"/>
    <col min="261" max="261" width="35" customWidth="1"/>
    <col min="263" max="263" width="15.140625" bestFit="1" customWidth="1"/>
    <col min="517" max="517" width="35" customWidth="1"/>
    <col min="519" max="519" width="15.140625" bestFit="1" customWidth="1"/>
    <col min="773" max="773" width="35" customWidth="1"/>
    <col min="775" max="775" width="15.140625" bestFit="1" customWidth="1"/>
    <col min="1029" max="1029" width="35" customWidth="1"/>
    <col min="1031" max="1031" width="15.140625" bestFit="1" customWidth="1"/>
    <col min="1285" max="1285" width="35" customWidth="1"/>
    <col min="1287" max="1287" width="15.140625" bestFit="1" customWidth="1"/>
    <col min="1541" max="1541" width="35" customWidth="1"/>
    <col min="1543" max="1543" width="15.140625" bestFit="1" customWidth="1"/>
    <col min="1797" max="1797" width="35" customWidth="1"/>
    <col min="1799" max="1799" width="15.140625" bestFit="1" customWidth="1"/>
    <col min="2053" max="2053" width="35" customWidth="1"/>
    <col min="2055" max="2055" width="15.140625" bestFit="1" customWidth="1"/>
    <col min="2309" max="2309" width="35" customWidth="1"/>
    <col min="2311" max="2311" width="15.140625" bestFit="1" customWidth="1"/>
    <col min="2565" max="2565" width="35" customWidth="1"/>
    <col min="2567" max="2567" width="15.140625" bestFit="1" customWidth="1"/>
    <col min="2821" max="2821" width="35" customWidth="1"/>
    <col min="2823" max="2823" width="15.140625" bestFit="1" customWidth="1"/>
    <col min="3077" max="3077" width="35" customWidth="1"/>
    <col min="3079" max="3079" width="15.140625" bestFit="1" customWidth="1"/>
    <col min="3333" max="3333" width="35" customWidth="1"/>
    <col min="3335" max="3335" width="15.140625" bestFit="1" customWidth="1"/>
    <col min="3589" max="3589" width="35" customWidth="1"/>
    <col min="3591" max="3591" width="15.140625" bestFit="1" customWidth="1"/>
    <col min="3845" max="3845" width="35" customWidth="1"/>
    <col min="3847" max="3847" width="15.140625" bestFit="1" customWidth="1"/>
    <col min="4101" max="4101" width="35" customWidth="1"/>
    <col min="4103" max="4103" width="15.140625" bestFit="1" customWidth="1"/>
    <col min="4357" max="4357" width="35" customWidth="1"/>
    <col min="4359" max="4359" width="15.140625" bestFit="1" customWidth="1"/>
    <col min="4613" max="4613" width="35" customWidth="1"/>
    <col min="4615" max="4615" width="15.140625" bestFit="1" customWidth="1"/>
    <col min="4869" max="4869" width="35" customWidth="1"/>
    <col min="4871" max="4871" width="15.140625" bestFit="1" customWidth="1"/>
    <col min="5125" max="5125" width="35" customWidth="1"/>
    <col min="5127" max="5127" width="15.140625" bestFit="1" customWidth="1"/>
    <col min="5381" max="5381" width="35" customWidth="1"/>
    <col min="5383" max="5383" width="15.140625" bestFit="1" customWidth="1"/>
    <col min="5637" max="5637" width="35" customWidth="1"/>
    <col min="5639" max="5639" width="15.140625" bestFit="1" customWidth="1"/>
    <col min="5893" max="5893" width="35" customWidth="1"/>
    <col min="5895" max="5895" width="15.140625" bestFit="1" customWidth="1"/>
    <col min="6149" max="6149" width="35" customWidth="1"/>
    <col min="6151" max="6151" width="15.140625" bestFit="1" customWidth="1"/>
    <col min="6405" max="6405" width="35" customWidth="1"/>
    <col min="6407" max="6407" width="15.140625" bestFit="1" customWidth="1"/>
    <col min="6661" max="6661" width="35" customWidth="1"/>
    <col min="6663" max="6663" width="15.140625" bestFit="1" customWidth="1"/>
    <col min="6917" max="6917" width="35" customWidth="1"/>
    <col min="6919" max="6919" width="15.140625" bestFit="1" customWidth="1"/>
    <col min="7173" max="7173" width="35" customWidth="1"/>
    <col min="7175" max="7175" width="15.140625" bestFit="1" customWidth="1"/>
    <col min="7429" max="7429" width="35" customWidth="1"/>
    <col min="7431" max="7431" width="15.140625" bestFit="1" customWidth="1"/>
    <col min="7685" max="7685" width="35" customWidth="1"/>
    <col min="7687" max="7687" width="15.140625" bestFit="1" customWidth="1"/>
    <col min="7941" max="7941" width="35" customWidth="1"/>
    <col min="7943" max="7943" width="15.140625" bestFit="1" customWidth="1"/>
    <col min="8197" max="8197" width="35" customWidth="1"/>
    <col min="8199" max="8199" width="15.140625" bestFit="1" customWidth="1"/>
    <col min="8453" max="8453" width="35" customWidth="1"/>
    <col min="8455" max="8455" width="15.140625" bestFit="1" customWidth="1"/>
    <col min="8709" max="8709" width="35" customWidth="1"/>
    <col min="8711" max="8711" width="15.140625" bestFit="1" customWidth="1"/>
    <col min="8965" max="8965" width="35" customWidth="1"/>
    <col min="8967" max="8967" width="15.140625" bestFit="1" customWidth="1"/>
    <col min="9221" max="9221" width="35" customWidth="1"/>
    <col min="9223" max="9223" width="15.140625" bestFit="1" customWidth="1"/>
    <col min="9477" max="9477" width="35" customWidth="1"/>
    <col min="9479" max="9479" width="15.140625" bestFit="1" customWidth="1"/>
    <col min="9733" max="9733" width="35" customWidth="1"/>
    <col min="9735" max="9735" width="15.140625" bestFit="1" customWidth="1"/>
    <col min="9989" max="9989" width="35" customWidth="1"/>
    <col min="9991" max="9991" width="15.140625" bestFit="1" customWidth="1"/>
    <col min="10245" max="10245" width="35" customWidth="1"/>
    <col min="10247" max="10247" width="15.140625" bestFit="1" customWidth="1"/>
    <col min="10501" max="10501" width="35" customWidth="1"/>
    <col min="10503" max="10503" width="15.140625" bestFit="1" customWidth="1"/>
    <col min="10757" max="10757" width="35" customWidth="1"/>
    <col min="10759" max="10759" width="15.140625" bestFit="1" customWidth="1"/>
    <col min="11013" max="11013" width="35" customWidth="1"/>
    <col min="11015" max="11015" width="15.140625" bestFit="1" customWidth="1"/>
    <col min="11269" max="11269" width="35" customWidth="1"/>
    <col min="11271" max="11271" width="15.140625" bestFit="1" customWidth="1"/>
    <col min="11525" max="11525" width="35" customWidth="1"/>
    <col min="11527" max="11527" width="15.140625" bestFit="1" customWidth="1"/>
    <col min="11781" max="11781" width="35" customWidth="1"/>
    <col min="11783" max="11783" width="15.140625" bestFit="1" customWidth="1"/>
    <col min="12037" max="12037" width="35" customWidth="1"/>
    <col min="12039" max="12039" width="15.140625" bestFit="1" customWidth="1"/>
    <col min="12293" max="12293" width="35" customWidth="1"/>
    <col min="12295" max="12295" width="15.140625" bestFit="1" customWidth="1"/>
    <col min="12549" max="12549" width="35" customWidth="1"/>
    <col min="12551" max="12551" width="15.140625" bestFit="1" customWidth="1"/>
    <col min="12805" max="12805" width="35" customWidth="1"/>
    <col min="12807" max="12807" width="15.140625" bestFit="1" customWidth="1"/>
    <col min="13061" max="13061" width="35" customWidth="1"/>
    <col min="13063" max="13063" width="15.140625" bestFit="1" customWidth="1"/>
    <col min="13317" max="13317" width="35" customWidth="1"/>
    <col min="13319" max="13319" width="15.140625" bestFit="1" customWidth="1"/>
    <col min="13573" max="13573" width="35" customWidth="1"/>
    <col min="13575" max="13575" width="15.140625" bestFit="1" customWidth="1"/>
    <col min="13829" max="13829" width="35" customWidth="1"/>
    <col min="13831" max="13831" width="15.140625" bestFit="1" customWidth="1"/>
    <col min="14085" max="14085" width="35" customWidth="1"/>
    <col min="14087" max="14087" width="15.140625" bestFit="1" customWidth="1"/>
    <col min="14341" max="14341" width="35" customWidth="1"/>
    <col min="14343" max="14343" width="15.140625" bestFit="1" customWidth="1"/>
    <col min="14597" max="14597" width="35" customWidth="1"/>
    <col min="14599" max="14599" width="15.140625" bestFit="1" customWidth="1"/>
    <col min="14853" max="14853" width="35" customWidth="1"/>
    <col min="14855" max="14855" width="15.140625" bestFit="1" customWidth="1"/>
    <col min="15109" max="15109" width="35" customWidth="1"/>
    <col min="15111" max="15111" width="15.140625" bestFit="1" customWidth="1"/>
    <col min="15365" max="15365" width="35" customWidth="1"/>
    <col min="15367" max="15367" width="15.140625" bestFit="1" customWidth="1"/>
    <col min="15621" max="15621" width="35" customWidth="1"/>
    <col min="15623" max="15623" width="15.140625" bestFit="1" customWidth="1"/>
    <col min="15877" max="15877" width="35" customWidth="1"/>
    <col min="15879" max="15879" width="15.140625" bestFit="1" customWidth="1"/>
    <col min="16133" max="16133" width="35" customWidth="1"/>
    <col min="16135" max="16135" width="15.140625" bestFit="1" customWidth="1"/>
  </cols>
  <sheetData>
    <row r="1" spans="1:7" x14ac:dyDescent="0.25">
      <c r="A1" t="s">
        <v>75</v>
      </c>
    </row>
    <row r="2" spans="1:7" x14ac:dyDescent="0.25">
      <c r="A2" t="s">
        <v>302</v>
      </c>
    </row>
    <row r="5" spans="1:7" x14ac:dyDescent="0.25">
      <c r="B5" t="s">
        <v>76</v>
      </c>
      <c r="G5" s="52">
        <v>14132925.4</v>
      </c>
    </row>
    <row r="7" spans="1:7" x14ac:dyDescent="0.25">
      <c r="A7" t="s">
        <v>77</v>
      </c>
      <c r="B7" t="s">
        <v>78</v>
      </c>
      <c r="F7" s="53">
        <v>121941.65</v>
      </c>
      <c r="G7" s="54">
        <f>SUM(F7:F9)</f>
        <v>163563.75999999998</v>
      </c>
    </row>
    <row r="8" spans="1:7" x14ac:dyDescent="0.25">
      <c r="B8" t="s">
        <v>79</v>
      </c>
      <c r="F8" s="53">
        <v>19007.990000000002</v>
      </c>
    </row>
    <row r="9" spans="1:7" x14ac:dyDescent="0.25">
      <c r="B9" t="s">
        <v>80</v>
      </c>
      <c r="F9" s="53">
        <v>22614.12</v>
      </c>
    </row>
    <row r="10" spans="1:7" x14ac:dyDescent="0.25">
      <c r="B10" t="s">
        <v>81</v>
      </c>
      <c r="F10" s="53">
        <v>0</v>
      </c>
    </row>
    <row r="11" spans="1:7" x14ac:dyDescent="0.25">
      <c r="B11" t="s">
        <v>82</v>
      </c>
      <c r="F11" s="53">
        <v>0</v>
      </c>
    </row>
    <row r="13" spans="1:7" x14ac:dyDescent="0.25">
      <c r="A13" t="s">
        <v>83</v>
      </c>
      <c r="B13" t="s">
        <v>84</v>
      </c>
      <c r="F13" s="53">
        <v>436332.11</v>
      </c>
      <c r="G13" s="54">
        <f>SUM(F13:F21)</f>
        <v>508493.31</v>
      </c>
    </row>
    <row r="14" spans="1:7" x14ac:dyDescent="0.25">
      <c r="B14" t="s">
        <v>85</v>
      </c>
      <c r="F14" s="53">
        <v>6134</v>
      </c>
    </row>
    <row r="15" spans="1:7" x14ac:dyDescent="0.25">
      <c r="B15" t="s">
        <v>86</v>
      </c>
      <c r="F15" s="53">
        <v>66027.199999999997</v>
      </c>
    </row>
    <row r="16" spans="1:7" x14ac:dyDescent="0.25">
      <c r="B16" t="s">
        <v>87</v>
      </c>
      <c r="F16" s="53">
        <v>0</v>
      </c>
    </row>
    <row r="17" spans="1:7" x14ac:dyDescent="0.25">
      <c r="B17" t="s">
        <v>88</v>
      </c>
      <c r="F17" s="53">
        <v>0</v>
      </c>
    </row>
    <row r="18" spans="1:7" x14ac:dyDescent="0.25">
      <c r="B18" t="s">
        <v>89</v>
      </c>
      <c r="F18" s="53">
        <v>0</v>
      </c>
    </row>
    <row r="19" spans="1:7" x14ac:dyDescent="0.25">
      <c r="B19" t="s">
        <v>90</v>
      </c>
      <c r="F19" s="53">
        <v>0</v>
      </c>
    </row>
    <row r="20" spans="1:7" x14ac:dyDescent="0.25">
      <c r="B20" t="s">
        <v>91</v>
      </c>
      <c r="F20" s="53">
        <v>0</v>
      </c>
    </row>
    <row r="21" spans="1:7" x14ac:dyDescent="0.25">
      <c r="B21" t="s">
        <v>92</v>
      </c>
      <c r="F21" s="53">
        <v>0</v>
      </c>
    </row>
    <row r="22" spans="1:7" x14ac:dyDescent="0.25">
      <c r="B22" t="s">
        <v>93</v>
      </c>
      <c r="F22" s="53">
        <v>0</v>
      </c>
    </row>
    <row r="24" spans="1:7" x14ac:dyDescent="0.25">
      <c r="A24" t="s">
        <v>83</v>
      </c>
      <c r="B24" t="s">
        <v>94</v>
      </c>
      <c r="F24" s="53">
        <v>0</v>
      </c>
      <c r="G24" s="53">
        <v>0</v>
      </c>
    </row>
    <row r="26" spans="1:7" x14ac:dyDescent="0.25">
      <c r="A26" t="s">
        <v>95</v>
      </c>
      <c r="B26" t="s">
        <v>303</v>
      </c>
      <c r="G26" s="54">
        <f>+G5-G7+G13</f>
        <v>14477854.950000001</v>
      </c>
    </row>
  </sheetData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94"/>
  <sheetViews>
    <sheetView topLeftCell="B7" workbookViewId="0">
      <selection activeCell="E12" sqref="E12:F12"/>
    </sheetView>
  </sheetViews>
  <sheetFormatPr baseColWidth="10" defaultRowHeight="11.25" x14ac:dyDescent="0.2"/>
  <cols>
    <col min="1" max="2" width="6.85546875" style="1" customWidth="1"/>
    <col min="3" max="3" width="2.7109375" style="1" customWidth="1"/>
    <col min="4" max="4" width="24.5703125" style="1" customWidth="1"/>
    <col min="5" max="5" width="11.140625" style="1" customWidth="1"/>
    <col min="6" max="6" width="15.5703125" style="1" customWidth="1"/>
    <col min="7" max="7" width="12.5703125" style="4" customWidth="1"/>
    <col min="8" max="8" width="11.7109375" style="1" customWidth="1"/>
    <col min="9" max="9" width="16.28515625" style="1" customWidth="1"/>
    <col min="10" max="10" width="11.7109375" style="1" customWidth="1"/>
    <col min="11" max="11" width="10.28515625" style="1" customWidth="1"/>
    <col min="12" max="12" width="10.42578125" style="1" customWidth="1"/>
    <col min="13" max="14" width="10.140625" style="1" customWidth="1"/>
    <col min="15" max="15" width="9.42578125" style="1" customWidth="1"/>
    <col min="16" max="16" width="11.85546875" style="4" customWidth="1"/>
    <col min="17" max="17" width="13" style="1" customWidth="1"/>
    <col min="18" max="20" width="11.42578125" style="17"/>
    <col min="21" max="221" width="11.42578125" style="1"/>
    <col min="222" max="222" width="2.7109375" style="1" customWidth="1"/>
    <col min="223" max="223" width="9.85546875" style="1" customWidth="1"/>
    <col min="224" max="224" width="12.5703125" style="1" customWidth="1"/>
    <col min="225" max="225" width="12.85546875" style="1" customWidth="1"/>
    <col min="226" max="226" width="12.5703125" style="1" customWidth="1"/>
    <col min="227" max="227" width="10" style="1" customWidth="1"/>
    <col min="228" max="228" width="10.28515625" style="1" customWidth="1"/>
    <col min="229" max="229" width="10.42578125" style="1" customWidth="1"/>
    <col min="230" max="230" width="10.85546875" style="1" bestFit="1" customWidth="1"/>
    <col min="231" max="232" width="10.140625" style="1" customWidth="1"/>
    <col min="233" max="233" width="9.42578125" style="1" customWidth="1"/>
    <col min="234" max="234" width="12.140625" style="1" customWidth="1"/>
    <col min="235" max="235" width="11.85546875" style="1" customWidth="1"/>
    <col min="236" max="236" width="13" style="1" customWidth="1"/>
    <col min="237" max="237" width="18.85546875" style="1" customWidth="1"/>
    <col min="238" max="238" width="13" style="1" bestFit="1" customWidth="1"/>
    <col min="239" max="477" width="11.42578125" style="1"/>
    <col min="478" max="478" width="2.7109375" style="1" customWidth="1"/>
    <col min="479" max="479" width="9.85546875" style="1" customWidth="1"/>
    <col min="480" max="480" width="12.5703125" style="1" customWidth="1"/>
    <col min="481" max="481" width="12.85546875" style="1" customWidth="1"/>
    <col min="482" max="482" width="12.5703125" style="1" customWidth="1"/>
    <col min="483" max="483" width="10" style="1" customWidth="1"/>
    <col min="484" max="484" width="10.28515625" style="1" customWidth="1"/>
    <col min="485" max="485" width="10.42578125" style="1" customWidth="1"/>
    <col min="486" max="486" width="10.85546875" style="1" bestFit="1" customWidth="1"/>
    <col min="487" max="488" width="10.140625" style="1" customWidth="1"/>
    <col min="489" max="489" width="9.42578125" style="1" customWidth="1"/>
    <col min="490" max="490" width="12.140625" style="1" customWidth="1"/>
    <col min="491" max="491" width="11.85546875" style="1" customWidth="1"/>
    <col min="492" max="492" width="13" style="1" customWidth="1"/>
    <col min="493" max="493" width="18.85546875" style="1" customWidth="1"/>
    <col min="494" max="494" width="13" style="1" bestFit="1" customWidth="1"/>
    <col min="495" max="733" width="11.42578125" style="1"/>
    <col min="734" max="734" width="2.7109375" style="1" customWidth="1"/>
    <col min="735" max="735" width="9.85546875" style="1" customWidth="1"/>
    <col min="736" max="736" width="12.5703125" style="1" customWidth="1"/>
    <col min="737" max="737" width="12.85546875" style="1" customWidth="1"/>
    <col min="738" max="738" width="12.5703125" style="1" customWidth="1"/>
    <col min="739" max="739" width="10" style="1" customWidth="1"/>
    <col min="740" max="740" width="10.28515625" style="1" customWidth="1"/>
    <col min="741" max="741" width="10.42578125" style="1" customWidth="1"/>
    <col min="742" max="742" width="10.85546875" style="1" bestFit="1" customWidth="1"/>
    <col min="743" max="744" width="10.140625" style="1" customWidth="1"/>
    <col min="745" max="745" width="9.42578125" style="1" customWidth="1"/>
    <col min="746" max="746" width="12.140625" style="1" customWidth="1"/>
    <col min="747" max="747" width="11.85546875" style="1" customWidth="1"/>
    <col min="748" max="748" width="13" style="1" customWidth="1"/>
    <col min="749" max="749" width="18.85546875" style="1" customWidth="1"/>
    <col min="750" max="750" width="13" style="1" bestFit="1" customWidth="1"/>
    <col min="751" max="989" width="11.42578125" style="1"/>
    <col min="990" max="990" width="2.7109375" style="1" customWidth="1"/>
    <col min="991" max="991" width="9.85546875" style="1" customWidth="1"/>
    <col min="992" max="992" width="12.5703125" style="1" customWidth="1"/>
    <col min="993" max="993" width="12.85546875" style="1" customWidth="1"/>
    <col min="994" max="994" width="12.5703125" style="1" customWidth="1"/>
    <col min="995" max="995" width="10" style="1" customWidth="1"/>
    <col min="996" max="996" width="10.28515625" style="1" customWidth="1"/>
    <col min="997" max="997" width="10.42578125" style="1" customWidth="1"/>
    <col min="998" max="998" width="10.85546875" style="1" bestFit="1" customWidth="1"/>
    <col min="999" max="1000" width="10.140625" style="1" customWidth="1"/>
    <col min="1001" max="1001" width="9.42578125" style="1" customWidth="1"/>
    <col min="1002" max="1002" width="12.140625" style="1" customWidth="1"/>
    <col min="1003" max="1003" width="11.85546875" style="1" customWidth="1"/>
    <col min="1004" max="1004" width="13" style="1" customWidth="1"/>
    <col min="1005" max="1005" width="18.85546875" style="1" customWidth="1"/>
    <col min="1006" max="1006" width="13" style="1" bestFit="1" customWidth="1"/>
    <col min="1007" max="1245" width="11.42578125" style="1"/>
    <col min="1246" max="1246" width="2.7109375" style="1" customWidth="1"/>
    <col min="1247" max="1247" width="9.85546875" style="1" customWidth="1"/>
    <col min="1248" max="1248" width="12.5703125" style="1" customWidth="1"/>
    <col min="1249" max="1249" width="12.85546875" style="1" customWidth="1"/>
    <col min="1250" max="1250" width="12.5703125" style="1" customWidth="1"/>
    <col min="1251" max="1251" width="10" style="1" customWidth="1"/>
    <col min="1252" max="1252" width="10.28515625" style="1" customWidth="1"/>
    <col min="1253" max="1253" width="10.42578125" style="1" customWidth="1"/>
    <col min="1254" max="1254" width="10.85546875" style="1" bestFit="1" customWidth="1"/>
    <col min="1255" max="1256" width="10.140625" style="1" customWidth="1"/>
    <col min="1257" max="1257" width="9.42578125" style="1" customWidth="1"/>
    <col min="1258" max="1258" width="12.140625" style="1" customWidth="1"/>
    <col min="1259" max="1259" width="11.85546875" style="1" customWidth="1"/>
    <col min="1260" max="1260" width="13" style="1" customWidth="1"/>
    <col min="1261" max="1261" width="18.85546875" style="1" customWidth="1"/>
    <col min="1262" max="1262" width="13" style="1" bestFit="1" customWidth="1"/>
    <col min="1263" max="1501" width="11.42578125" style="1"/>
    <col min="1502" max="1502" width="2.7109375" style="1" customWidth="1"/>
    <col min="1503" max="1503" width="9.85546875" style="1" customWidth="1"/>
    <col min="1504" max="1504" width="12.5703125" style="1" customWidth="1"/>
    <col min="1505" max="1505" width="12.85546875" style="1" customWidth="1"/>
    <col min="1506" max="1506" width="12.5703125" style="1" customWidth="1"/>
    <col min="1507" max="1507" width="10" style="1" customWidth="1"/>
    <col min="1508" max="1508" width="10.28515625" style="1" customWidth="1"/>
    <col min="1509" max="1509" width="10.42578125" style="1" customWidth="1"/>
    <col min="1510" max="1510" width="10.85546875" style="1" bestFit="1" customWidth="1"/>
    <col min="1511" max="1512" width="10.140625" style="1" customWidth="1"/>
    <col min="1513" max="1513" width="9.42578125" style="1" customWidth="1"/>
    <col min="1514" max="1514" width="12.140625" style="1" customWidth="1"/>
    <col min="1515" max="1515" width="11.85546875" style="1" customWidth="1"/>
    <col min="1516" max="1516" width="13" style="1" customWidth="1"/>
    <col min="1517" max="1517" width="18.85546875" style="1" customWidth="1"/>
    <col min="1518" max="1518" width="13" style="1" bestFit="1" customWidth="1"/>
    <col min="1519" max="1757" width="11.42578125" style="1"/>
    <col min="1758" max="1758" width="2.7109375" style="1" customWidth="1"/>
    <col min="1759" max="1759" width="9.85546875" style="1" customWidth="1"/>
    <col min="1760" max="1760" width="12.5703125" style="1" customWidth="1"/>
    <col min="1761" max="1761" width="12.85546875" style="1" customWidth="1"/>
    <col min="1762" max="1762" width="12.5703125" style="1" customWidth="1"/>
    <col min="1763" max="1763" width="10" style="1" customWidth="1"/>
    <col min="1764" max="1764" width="10.28515625" style="1" customWidth="1"/>
    <col min="1765" max="1765" width="10.42578125" style="1" customWidth="1"/>
    <col min="1766" max="1766" width="10.85546875" style="1" bestFit="1" customWidth="1"/>
    <col min="1767" max="1768" width="10.140625" style="1" customWidth="1"/>
    <col min="1769" max="1769" width="9.42578125" style="1" customWidth="1"/>
    <col min="1770" max="1770" width="12.140625" style="1" customWidth="1"/>
    <col min="1771" max="1771" width="11.85546875" style="1" customWidth="1"/>
    <col min="1772" max="1772" width="13" style="1" customWidth="1"/>
    <col min="1773" max="1773" width="18.85546875" style="1" customWidth="1"/>
    <col min="1774" max="1774" width="13" style="1" bestFit="1" customWidth="1"/>
    <col min="1775" max="2013" width="11.42578125" style="1"/>
    <col min="2014" max="2014" width="2.7109375" style="1" customWidth="1"/>
    <col min="2015" max="2015" width="9.85546875" style="1" customWidth="1"/>
    <col min="2016" max="2016" width="12.5703125" style="1" customWidth="1"/>
    <col min="2017" max="2017" width="12.85546875" style="1" customWidth="1"/>
    <col min="2018" max="2018" width="12.5703125" style="1" customWidth="1"/>
    <col min="2019" max="2019" width="10" style="1" customWidth="1"/>
    <col min="2020" max="2020" width="10.28515625" style="1" customWidth="1"/>
    <col min="2021" max="2021" width="10.42578125" style="1" customWidth="1"/>
    <col min="2022" max="2022" width="10.85546875" style="1" bestFit="1" customWidth="1"/>
    <col min="2023" max="2024" width="10.140625" style="1" customWidth="1"/>
    <col min="2025" max="2025" width="9.42578125" style="1" customWidth="1"/>
    <col min="2026" max="2026" width="12.140625" style="1" customWidth="1"/>
    <col min="2027" max="2027" width="11.85546875" style="1" customWidth="1"/>
    <col min="2028" max="2028" width="13" style="1" customWidth="1"/>
    <col min="2029" max="2029" width="18.85546875" style="1" customWidth="1"/>
    <col min="2030" max="2030" width="13" style="1" bestFit="1" customWidth="1"/>
    <col min="2031" max="2269" width="11.42578125" style="1"/>
    <col min="2270" max="2270" width="2.7109375" style="1" customWidth="1"/>
    <col min="2271" max="2271" width="9.85546875" style="1" customWidth="1"/>
    <col min="2272" max="2272" width="12.5703125" style="1" customWidth="1"/>
    <col min="2273" max="2273" width="12.85546875" style="1" customWidth="1"/>
    <col min="2274" max="2274" width="12.5703125" style="1" customWidth="1"/>
    <col min="2275" max="2275" width="10" style="1" customWidth="1"/>
    <col min="2276" max="2276" width="10.28515625" style="1" customWidth="1"/>
    <col min="2277" max="2277" width="10.42578125" style="1" customWidth="1"/>
    <col min="2278" max="2278" width="10.85546875" style="1" bestFit="1" customWidth="1"/>
    <col min="2279" max="2280" width="10.140625" style="1" customWidth="1"/>
    <col min="2281" max="2281" width="9.42578125" style="1" customWidth="1"/>
    <col min="2282" max="2282" width="12.140625" style="1" customWidth="1"/>
    <col min="2283" max="2283" width="11.85546875" style="1" customWidth="1"/>
    <col min="2284" max="2284" width="13" style="1" customWidth="1"/>
    <col min="2285" max="2285" width="18.85546875" style="1" customWidth="1"/>
    <col min="2286" max="2286" width="13" style="1" bestFit="1" customWidth="1"/>
    <col min="2287" max="2525" width="11.42578125" style="1"/>
    <col min="2526" max="2526" width="2.7109375" style="1" customWidth="1"/>
    <col min="2527" max="2527" width="9.85546875" style="1" customWidth="1"/>
    <col min="2528" max="2528" width="12.5703125" style="1" customWidth="1"/>
    <col min="2529" max="2529" width="12.85546875" style="1" customWidth="1"/>
    <col min="2530" max="2530" width="12.5703125" style="1" customWidth="1"/>
    <col min="2531" max="2531" width="10" style="1" customWidth="1"/>
    <col min="2532" max="2532" width="10.28515625" style="1" customWidth="1"/>
    <col min="2533" max="2533" width="10.42578125" style="1" customWidth="1"/>
    <col min="2534" max="2534" width="10.85546875" style="1" bestFit="1" customWidth="1"/>
    <col min="2535" max="2536" width="10.140625" style="1" customWidth="1"/>
    <col min="2537" max="2537" width="9.42578125" style="1" customWidth="1"/>
    <col min="2538" max="2538" width="12.140625" style="1" customWidth="1"/>
    <col min="2539" max="2539" width="11.85546875" style="1" customWidth="1"/>
    <col min="2540" max="2540" width="13" style="1" customWidth="1"/>
    <col min="2541" max="2541" width="18.85546875" style="1" customWidth="1"/>
    <col min="2542" max="2542" width="13" style="1" bestFit="1" customWidth="1"/>
    <col min="2543" max="2781" width="11.42578125" style="1"/>
    <col min="2782" max="2782" width="2.7109375" style="1" customWidth="1"/>
    <col min="2783" max="2783" width="9.85546875" style="1" customWidth="1"/>
    <col min="2784" max="2784" width="12.5703125" style="1" customWidth="1"/>
    <col min="2785" max="2785" width="12.85546875" style="1" customWidth="1"/>
    <col min="2786" max="2786" width="12.5703125" style="1" customWidth="1"/>
    <col min="2787" max="2787" width="10" style="1" customWidth="1"/>
    <col min="2788" max="2788" width="10.28515625" style="1" customWidth="1"/>
    <col min="2789" max="2789" width="10.42578125" style="1" customWidth="1"/>
    <col min="2790" max="2790" width="10.85546875" style="1" bestFit="1" customWidth="1"/>
    <col min="2791" max="2792" width="10.140625" style="1" customWidth="1"/>
    <col min="2793" max="2793" width="9.42578125" style="1" customWidth="1"/>
    <col min="2794" max="2794" width="12.140625" style="1" customWidth="1"/>
    <col min="2795" max="2795" width="11.85546875" style="1" customWidth="1"/>
    <col min="2796" max="2796" width="13" style="1" customWidth="1"/>
    <col min="2797" max="2797" width="18.85546875" style="1" customWidth="1"/>
    <col min="2798" max="2798" width="13" style="1" bestFit="1" customWidth="1"/>
    <col min="2799" max="3037" width="11.42578125" style="1"/>
    <col min="3038" max="3038" width="2.7109375" style="1" customWidth="1"/>
    <col min="3039" max="3039" width="9.85546875" style="1" customWidth="1"/>
    <col min="3040" max="3040" width="12.5703125" style="1" customWidth="1"/>
    <col min="3041" max="3041" width="12.85546875" style="1" customWidth="1"/>
    <col min="3042" max="3042" width="12.5703125" style="1" customWidth="1"/>
    <col min="3043" max="3043" width="10" style="1" customWidth="1"/>
    <col min="3044" max="3044" width="10.28515625" style="1" customWidth="1"/>
    <col min="3045" max="3045" width="10.42578125" style="1" customWidth="1"/>
    <col min="3046" max="3046" width="10.85546875" style="1" bestFit="1" customWidth="1"/>
    <col min="3047" max="3048" width="10.140625" style="1" customWidth="1"/>
    <col min="3049" max="3049" width="9.42578125" style="1" customWidth="1"/>
    <col min="3050" max="3050" width="12.140625" style="1" customWidth="1"/>
    <col min="3051" max="3051" width="11.85546875" style="1" customWidth="1"/>
    <col min="3052" max="3052" width="13" style="1" customWidth="1"/>
    <col min="3053" max="3053" width="18.85546875" style="1" customWidth="1"/>
    <col min="3054" max="3054" width="13" style="1" bestFit="1" customWidth="1"/>
    <col min="3055" max="3293" width="11.42578125" style="1"/>
    <col min="3294" max="3294" width="2.7109375" style="1" customWidth="1"/>
    <col min="3295" max="3295" width="9.85546875" style="1" customWidth="1"/>
    <col min="3296" max="3296" width="12.5703125" style="1" customWidth="1"/>
    <col min="3297" max="3297" width="12.85546875" style="1" customWidth="1"/>
    <col min="3298" max="3298" width="12.5703125" style="1" customWidth="1"/>
    <col min="3299" max="3299" width="10" style="1" customWidth="1"/>
    <col min="3300" max="3300" width="10.28515625" style="1" customWidth="1"/>
    <col min="3301" max="3301" width="10.42578125" style="1" customWidth="1"/>
    <col min="3302" max="3302" width="10.85546875" style="1" bestFit="1" customWidth="1"/>
    <col min="3303" max="3304" width="10.140625" style="1" customWidth="1"/>
    <col min="3305" max="3305" width="9.42578125" style="1" customWidth="1"/>
    <col min="3306" max="3306" width="12.140625" style="1" customWidth="1"/>
    <col min="3307" max="3307" width="11.85546875" style="1" customWidth="1"/>
    <col min="3308" max="3308" width="13" style="1" customWidth="1"/>
    <col min="3309" max="3309" width="18.85546875" style="1" customWidth="1"/>
    <col min="3310" max="3310" width="13" style="1" bestFit="1" customWidth="1"/>
    <col min="3311" max="3549" width="11.42578125" style="1"/>
    <col min="3550" max="3550" width="2.7109375" style="1" customWidth="1"/>
    <col min="3551" max="3551" width="9.85546875" style="1" customWidth="1"/>
    <col min="3552" max="3552" width="12.5703125" style="1" customWidth="1"/>
    <col min="3553" max="3553" width="12.85546875" style="1" customWidth="1"/>
    <col min="3554" max="3554" width="12.5703125" style="1" customWidth="1"/>
    <col min="3555" max="3555" width="10" style="1" customWidth="1"/>
    <col min="3556" max="3556" width="10.28515625" style="1" customWidth="1"/>
    <col min="3557" max="3557" width="10.42578125" style="1" customWidth="1"/>
    <col min="3558" max="3558" width="10.85546875" style="1" bestFit="1" customWidth="1"/>
    <col min="3559" max="3560" width="10.140625" style="1" customWidth="1"/>
    <col min="3561" max="3561" width="9.42578125" style="1" customWidth="1"/>
    <col min="3562" max="3562" width="12.140625" style="1" customWidth="1"/>
    <col min="3563" max="3563" width="11.85546875" style="1" customWidth="1"/>
    <col min="3564" max="3564" width="13" style="1" customWidth="1"/>
    <col min="3565" max="3565" width="18.85546875" style="1" customWidth="1"/>
    <col min="3566" max="3566" width="13" style="1" bestFit="1" customWidth="1"/>
    <col min="3567" max="3805" width="11.42578125" style="1"/>
    <col min="3806" max="3806" width="2.7109375" style="1" customWidth="1"/>
    <col min="3807" max="3807" width="9.85546875" style="1" customWidth="1"/>
    <col min="3808" max="3808" width="12.5703125" style="1" customWidth="1"/>
    <col min="3809" max="3809" width="12.85546875" style="1" customWidth="1"/>
    <col min="3810" max="3810" width="12.5703125" style="1" customWidth="1"/>
    <col min="3811" max="3811" width="10" style="1" customWidth="1"/>
    <col min="3812" max="3812" width="10.28515625" style="1" customWidth="1"/>
    <col min="3813" max="3813" width="10.42578125" style="1" customWidth="1"/>
    <col min="3814" max="3814" width="10.85546875" style="1" bestFit="1" customWidth="1"/>
    <col min="3815" max="3816" width="10.140625" style="1" customWidth="1"/>
    <col min="3817" max="3817" width="9.42578125" style="1" customWidth="1"/>
    <col min="3818" max="3818" width="12.140625" style="1" customWidth="1"/>
    <col min="3819" max="3819" width="11.85546875" style="1" customWidth="1"/>
    <col min="3820" max="3820" width="13" style="1" customWidth="1"/>
    <col min="3821" max="3821" width="18.85546875" style="1" customWidth="1"/>
    <col min="3822" max="3822" width="13" style="1" bestFit="1" customWidth="1"/>
    <col min="3823" max="4061" width="11.42578125" style="1"/>
    <col min="4062" max="4062" width="2.7109375" style="1" customWidth="1"/>
    <col min="4063" max="4063" width="9.85546875" style="1" customWidth="1"/>
    <col min="4064" max="4064" width="12.5703125" style="1" customWidth="1"/>
    <col min="4065" max="4065" width="12.85546875" style="1" customWidth="1"/>
    <col min="4066" max="4066" width="12.5703125" style="1" customWidth="1"/>
    <col min="4067" max="4067" width="10" style="1" customWidth="1"/>
    <col min="4068" max="4068" width="10.28515625" style="1" customWidth="1"/>
    <col min="4069" max="4069" width="10.42578125" style="1" customWidth="1"/>
    <col min="4070" max="4070" width="10.85546875" style="1" bestFit="1" customWidth="1"/>
    <col min="4071" max="4072" width="10.140625" style="1" customWidth="1"/>
    <col min="4073" max="4073" width="9.42578125" style="1" customWidth="1"/>
    <col min="4074" max="4074" width="12.140625" style="1" customWidth="1"/>
    <col min="4075" max="4075" width="11.85546875" style="1" customWidth="1"/>
    <col min="4076" max="4076" width="13" style="1" customWidth="1"/>
    <col min="4077" max="4077" width="18.85546875" style="1" customWidth="1"/>
    <col min="4078" max="4078" width="13" style="1" bestFit="1" customWidth="1"/>
    <col min="4079" max="4317" width="11.42578125" style="1"/>
    <col min="4318" max="4318" width="2.7109375" style="1" customWidth="1"/>
    <col min="4319" max="4319" width="9.85546875" style="1" customWidth="1"/>
    <col min="4320" max="4320" width="12.5703125" style="1" customWidth="1"/>
    <col min="4321" max="4321" width="12.85546875" style="1" customWidth="1"/>
    <col min="4322" max="4322" width="12.5703125" style="1" customWidth="1"/>
    <col min="4323" max="4323" width="10" style="1" customWidth="1"/>
    <col min="4324" max="4324" width="10.28515625" style="1" customWidth="1"/>
    <col min="4325" max="4325" width="10.42578125" style="1" customWidth="1"/>
    <col min="4326" max="4326" width="10.85546875" style="1" bestFit="1" customWidth="1"/>
    <col min="4327" max="4328" width="10.140625" style="1" customWidth="1"/>
    <col min="4329" max="4329" width="9.42578125" style="1" customWidth="1"/>
    <col min="4330" max="4330" width="12.140625" style="1" customWidth="1"/>
    <col min="4331" max="4331" width="11.85546875" style="1" customWidth="1"/>
    <col min="4332" max="4332" width="13" style="1" customWidth="1"/>
    <col min="4333" max="4333" width="18.85546875" style="1" customWidth="1"/>
    <col min="4334" max="4334" width="13" style="1" bestFit="1" customWidth="1"/>
    <col min="4335" max="4573" width="11.42578125" style="1"/>
    <col min="4574" max="4574" width="2.7109375" style="1" customWidth="1"/>
    <col min="4575" max="4575" width="9.85546875" style="1" customWidth="1"/>
    <col min="4576" max="4576" width="12.5703125" style="1" customWidth="1"/>
    <col min="4577" max="4577" width="12.85546875" style="1" customWidth="1"/>
    <col min="4578" max="4578" width="12.5703125" style="1" customWidth="1"/>
    <col min="4579" max="4579" width="10" style="1" customWidth="1"/>
    <col min="4580" max="4580" width="10.28515625" style="1" customWidth="1"/>
    <col min="4581" max="4581" width="10.42578125" style="1" customWidth="1"/>
    <col min="4582" max="4582" width="10.85546875" style="1" bestFit="1" customWidth="1"/>
    <col min="4583" max="4584" width="10.140625" style="1" customWidth="1"/>
    <col min="4585" max="4585" width="9.42578125" style="1" customWidth="1"/>
    <col min="4586" max="4586" width="12.140625" style="1" customWidth="1"/>
    <col min="4587" max="4587" width="11.85546875" style="1" customWidth="1"/>
    <col min="4588" max="4588" width="13" style="1" customWidth="1"/>
    <col min="4589" max="4589" width="18.85546875" style="1" customWidth="1"/>
    <col min="4590" max="4590" width="13" style="1" bestFit="1" customWidth="1"/>
    <col min="4591" max="4829" width="11.42578125" style="1"/>
    <col min="4830" max="4830" width="2.7109375" style="1" customWidth="1"/>
    <col min="4831" max="4831" width="9.85546875" style="1" customWidth="1"/>
    <col min="4832" max="4832" width="12.5703125" style="1" customWidth="1"/>
    <col min="4833" max="4833" width="12.85546875" style="1" customWidth="1"/>
    <col min="4834" max="4834" width="12.5703125" style="1" customWidth="1"/>
    <col min="4835" max="4835" width="10" style="1" customWidth="1"/>
    <col min="4836" max="4836" width="10.28515625" style="1" customWidth="1"/>
    <col min="4837" max="4837" width="10.42578125" style="1" customWidth="1"/>
    <col min="4838" max="4838" width="10.85546875" style="1" bestFit="1" customWidth="1"/>
    <col min="4839" max="4840" width="10.140625" style="1" customWidth="1"/>
    <col min="4841" max="4841" width="9.42578125" style="1" customWidth="1"/>
    <col min="4842" max="4842" width="12.140625" style="1" customWidth="1"/>
    <col min="4843" max="4843" width="11.85546875" style="1" customWidth="1"/>
    <col min="4844" max="4844" width="13" style="1" customWidth="1"/>
    <col min="4845" max="4845" width="18.85546875" style="1" customWidth="1"/>
    <col min="4846" max="4846" width="13" style="1" bestFit="1" customWidth="1"/>
    <col min="4847" max="5085" width="11.42578125" style="1"/>
    <col min="5086" max="5086" width="2.7109375" style="1" customWidth="1"/>
    <col min="5087" max="5087" width="9.85546875" style="1" customWidth="1"/>
    <col min="5088" max="5088" width="12.5703125" style="1" customWidth="1"/>
    <col min="5089" max="5089" width="12.85546875" style="1" customWidth="1"/>
    <col min="5090" max="5090" width="12.5703125" style="1" customWidth="1"/>
    <col min="5091" max="5091" width="10" style="1" customWidth="1"/>
    <col min="5092" max="5092" width="10.28515625" style="1" customWidth="1"/>
    <col min="5093" max="5093" width="10.42578125" style="1" customWidth="1"/>
    <col min="5094" max="5094" width="10.85546875" style="1" bestFit="1" customWidth="1"/>
    <col min="5095" max="5096" width="10.140625" style="1" customWidth="1"/>
    <col min="5097" max="5097" width="9.42578125" style="1" customWidth="1"/>
    <col min="5098" max="5098" width="12.140625" style="1" customWidth="1"/>
    <col min="5099" max="5099" width="11.85546875" style="1" customWidth="1"/>
    <col min="5100" max="5100" width="13" style="1" customWidth="1"/>
    <col min="5101" max="5101" width="18.85546875" style="1" customWidth="1"/>
    <col min="5102" max="5102" width="13" style="1" bestFit="1" customWidth="1"/>
    <col min="5103" max="5341" width="11.42578125" style="1"/>
    <col min="5342" max="5342" width="2.7109375" style="1" customWidth="1"/>
    <col min="5343" max="5343" width="9.85546875" style="1" customWidth="1"/>
    <col min="5344" max="5344" width="12.5703125" style="1" customWidth="1"/>
    <col min="5345" max="5345" width="12.85546875" style="1" customWidth="1"/>
    <col min="5346" max="5346" width="12.5703125" style="1" customWidth="1"/>
    <col min="5347" max="5347" width="10" style="1" customWidth="1"/>
    <col min="5348" max="5348" width="10.28515625" style="1" customWidth="1"/>
    <col min="5349" max="5349" width="10.42578125" style="1" customWidth="1"/>
    <col min="5350" max="5350" width="10.85546875" style="1" bestFit="1" customWidth="1"/>
    <col min="5351" max="5352" width="10.140625" style="1" customWidth="1"/>
    <col min="5353" max="5353" width="9.42578125" style="1" customWidth="1"/>
    <col min="5354" max="5354" width="12.140625" style="1" customWidth="1"/>
    <col min="5355" max="5355" width="11.85546875" style="1" customWidth="1"/>
    <col min="5356" max="5356" width="13" style="1" customWidth="1"/>
    <col min="5357" max="5357" width="18.85546875" style="1" customWidth="1"/>
    <col min="5358" max="5358" width="13" style="1" bestFit="1" customWidth="1"/>
    <col min="5359" max="5597" width="11.42578125" style="1"/>
    <col min="5598" max="5598" width="2.7109375" style="1" customWidth="1"/>
    <col min="5599" max="5599" width="9.85546875" style="1" customWidth="1"/>
    <col min="5600" max="5600" width="12.5703125" style="1" customWidth="1"/>
    <col min="5601" max="5601" width="12.85546875" style="1" customWidth="1"/>
    <col min="5602" max="5602" width="12.5703125" style="1" customWidth="1"/>
    <col min="5603" max="5603" width="10" style="1" customWidth="1"/>
    <col min="5604" max="5604" width="10.28515625" style="1" customWidth="1"/>
    <col min="5605" max="5605" width="10.42578125" style="1" customWidth="1"/>
    <col min="5606" max="5606" width="10.85546875" style="1" bestFit="1" customWidth="1"/>
    <col min="5607" max="5608" width="10.140625" style="1" customWidth="1"/>
    <col min="5609" max="5609" width="9.42578125" style="1" customWidth="1"/>
    <col min="5610" max="5610" width="12.140625" style="1" customWidth="1"/>
    <col min="5611" max="5611" width="11.85546875" style="1" customWidth="1"/>
    <col min="5612" max="5612" width="13" style="1" customWidth="1"/>
    <col min="5613" max="5613" width="18.85546875" style="1" customWidth="1"/>
    <col min="5614" max="5614" width="13" style="1" bestFit="1" customWidth="1"/>
    <col min="5615" max="5853" width="11.42578125" style="1"/>
    <col min="5854" max="5854" width="2.7109375" style="1" customWidth="1"/>
    <col min="5855" max="5855" width="9.85546875" style="1" customWidth="1"/>
    <col min="5856" max="5856" width="12.5703125" style="1" customWidth="1"/>
    <col min="5857" max="5857" width="12.85546875" style="1" customWidth="1"/>
    <col min="5858" max="5858" width="12.5703125" style="1" customWidth="1"/>
    <col min="5859" max="5859" width="10" style="1" customWidth="1"/>
    <col min="5860" max="5860" width="10.28515625" style="1" customWidth="1"/>
    <col min="5861" max="5861" width="10.42578125" style="1" customWidth="1"/>
    <col min="5862" max="5862" width="10.85546875" style="1" bestFit="1" customWidth="1"/>
    <col min="5863" max="5864" width="10.140625" style="1" customWidth="1"/>
    <col min="5865" max="5865" width="9.42578125" style="1" customWidth="1"/>
    <col min="5866" max="5866" width="12.140625" style="1" customWidth="1"/>
    <col min="5867" max="5867" width="11.85546875" style="1" customWidth="1"/>
    <col min="5868" max="5868" width="13" style="1" customWidth="1"/>
    <col min="5869" max="5869" width="18.85546875" style="1" customWidth="1"/>
    <col min="5870" max="5870" width="13" style="1" bestFit="1" customWidth="1"/>
    <col min="5871" max="6109" width="11.42578125" style="1"/>
    <col min="6110" max="6110" width="2.7109375" style="1" customWidth="1"/>
    <col min="6111" max="6111" width="9.85546875" style="1" customWidth="1"/>
    <col min="6112" max="6112" width="12.5703125" style="1" customWidth="1"/>
    <col min="6113" max="6113" width="12.85546875" style="1" customWidth="1"/>
    <col min="6114" max="6114" width="12.5703125" style="1" customWidth="1"/>
    <col min="6115" max="6115" width="10" style="1" customWidth="1"/>
    <col min="6116" max="6116" width="10.28515625" style="1" customWidth="1"/>
    <col min="6117" max="6117" width="10.42578125" style="1" customWidth="1"/>
    <col min="6118" max="6118" width="10.85546875" style="1" bestFit="1" customWidth="1"/>
    <col min="6119" max="6120" width="10.140625" style="1" customWidth="1"/>
    <col min="6121" max="6121" width="9.42578125" style="1" customWidth="1"/>
    <col min="6122" max="6122" width="12.140625" style="1" customWidth="1"/>
    <col min="6123" max="6123" width="11.85546875" style="1" customWidth="1"/>
    <col min="6124" max="6124" width="13" style="1" customWidth="1"/>
    <col min="6125" max="6125" width="18.85546875" style="1" customWidth="1"/>
    <col min="6126" max="6126" width="13" style="1" bestFit="1" customWidth="1"/>
    <col min="6127" max="6365" width="11.42578125" style="1"/>
    <col min="6366" max="6366" width="2.7109375" style="1" customWidth="1"/>
    <col min="6367" max="6367" width="9.85546875" style="1" customWidth="1"/>
    <col min="6368" max="6368" width="12.5703125" style="1" customWidth="1"/>
    <col min="6369" max="6369" width="12.85546875" style="1" customWidth="1"/>
    <col min="6370" max="6370" width="12.5703125" style="1" customWidth="1"/>
    <col min="6371" max="6371" width="10" style="1" customWidth="1"/>
    <col min="6372" max="6372" width="10.28515625" style="1" customWidth="1"/>
    <col min="6373" max="6373" width="10.42578125" style="1" customWidth="1"/>
    <col min="6374" max="6374" width="10.85546875" style="1" bestFit="1" customWidth="1"/>
    <col min="6375" max="6376" width="10.140625" style="1" customWidth="1"/>
    <col min="6377" max="6377" width="9.42578125" style="1" customWidth="1"/>
    <col min="6378" max="6378" width="12.140625" style="1" customWidth="1"/>
    <col min="6379" max="6379" width="11.85546875" style="1" customWidth="1"/>
    <col min="6380" max="6380" width="13" style="1" customWidth="1"/>
    <col min="6381" max="6381" width="18.85546875" style="1" customWidth="1"/>
    <col min="6382" max="6382" width="13" style="1" bestFit="1" customWidth="1"/>
    <col min="6383" max="6621" width="11.42578125" style="1"/>
    <col min="6622" max="6622" width="2.7109375" style="1" customWidth="1"/>
    <col min="6623" max="6623" width="9.85546875" style="1" customWidth="1"/>
    <col min="6624" max="6624" width="12.5703125" style="1" customWidth="1"/>
    <col min="6625" max="6625" width="12.85546875" style="1" customWidth="1"/>
    <col min="6626" max="6626" width="12.5703125" style="1" customWidth="1"/>
    <col min="6627" max="6627" width="10" style="1" customWidth="1"/>
    <col min="6628" max="6628" width="10.28515625" style="1" customWidth="1"/>
    <col min="6629" max="6629" width="10.42578125" style="1" customWidth="1"/>
    <col min="6630" max="6630" width="10.85546875" style="1" bestFit="1" customWidth="1"/>
    <col min="6631" max="6632" width="10.140625" style="1" customWidth="1"/>
    <col min="6633" max="6633" width="9.42578125" style="1" customWidth="1"/>
    <col min="6634" max="6634" width="12.140625" style="1" customWidth="1"/>
    <col min="6635" max="6635" width="11.85546875" style="1" customWidth="1"/>
    <col min="6636" max="6636" width="13" style="1" customWidth="1"/>
    <col min="6637" max="6637" width="18.85546875" style="1" customWidth="1"/>
    <col min="6638" max="6638" width="13" style="1" bestFit="1" customWidth="1"/>
    <col min="6639" max="6877" width="11.42578125" style="1"/>
    <col min="6878" max="6878" width="2.7109375" style="1" customWidth="1"/>
    <col min="6879" max="6879" width="9.85546875" style="1" customWidth="1"/>
    <col min="6880" max="6880" width="12.5703125" style="1" customWidth="1"/>
    <col min="6881" max="6881" width="12.85546875" style="1" customWidth="1"/>
    <col min="6882" max="6882" width="12.5703125" style="1" customWidth="1"/>
    <col min="6883" max="6883" width="10" style="1" customWidth="1"/>
    <col min="6884" max="6884" width="10.28515625" style="1" customWidth="1"/>
    <col min="6885" max="6885" width="10.42578125" style="1" customWidth="1"/>
    <col min="6886" max="6886" width="10.85546875" style="1" bestFit="1" customWidth="1"/>
    <col min="6887" max="6888" width="10.140625" style="1" customWidth="1"/>
    <col min="6889" max="6889" width="9.42578125" style="1" customWidth="1"/>
    <col min="6890" max="6890" width="12.140625" style="1" customWidth="1"/>
    <col min="6891" max="6891" width="11.85546875" style="1" customWidth="1"/>
    <col min="6892" max="6892" width="13" style="1" customWidth="1"/>
    <col min="6893" max="6893" width="18.85546875" style="1" customWidth="1"/>
    <col min="6894" max="6894" width="13" style="1" bestFit="1" customWidth="1"/>
    <col min="6895" max="7133" width="11.42578125" style="1"/>
    <col min="7134" max="7134" width="2.7109375" style="1" customWidth="1"/>
    <col min="7135" max="7135" width="9.85546875" style="1" customWidth="1"/>
    <col min="7136" max="7136" width="12.5703125" style="1" customWidth="1"/>
    <col min="7137" max="7137" width="12.85546875" style="1" customWidth="1"/>
    <col min="7138" max="7138" width="12.5703125" style="1" customWidth="1"/>
    <col min="7139" max="7139" width="10" style="1" customWidth="1"/>
    <col min="7140" max="7140" width="10.28515625" style="1" customWidth="1"/>
    <col min="7141" max="7141" width="10.42578125" style="1" customWidth="1"/>
    <col min="7142" max="7142" width="10.85546875" style="1" bestFit="1" customWidth="1"/>
    <col min="7143" max="7144" width="10.140625" style="1" customWidth="1"/>
    <col min="7145" max="7145" width="9.42578125" style="1" customWidth="1"/>
    <col min="7146" max="7146" width="12.140625" style="1" customWidth="1"/>
    <col min="7147" max="7147" width="11.85546875" style="1" customWidth="1"/>
    <col min="7148" max="7148" width="13" style="1" customWidth="1"/>
    <col min="7149" max="7149" width="18.85546875" style="1" customWidth="1"/>
    <col min="7150" max="7150" width="13" style="1" bestFit="1" customWidth="1"/>
    <col min="7151" max="7389" width="11.42578125" style="1"/>
    <col min="7390" max="7390" width="2.7109375" style="1" customWidth="1"/>
    <col min="7391" max="7391" width="9.85546875" style="1" customWidth="1"/>
    <col min="7392" max="7392" width="12.5703125" style="1" customWidth="1"/>
    <col min="7393" max="7393" width="12.85546875" style="1" customWidth="1"/>
    <col min="7394" max="7394" width="12.5703125" style="1" customWidth="1"/>
    <col min="7395" max="7395" width="10" style="1" customWidth="1"/>
    <col min="7396" max="7396" width="10.28515625" style="1" customWidth="1"/>
    <col min="7397" max="7397" width="10.42578125" style="1" customWidth="1"/>
    <col min="7398" max="7398" width="10.85546875" style="1" bestFit="1" customWidth="1"/>
    <col min="7399" max="7400" width="10.140625" style="1" customWidth="1"/>
    <col min="7401" max="7401" width="9.42578125" style="1" customWidth="1"/>
    <col min="7402" max="7402" width="12.140625" style="1" customWidth="1"/>
    <col min="7403" max="7403" width="11.85546875" style="1" customWidth="1"/>
    <col min="7404" max="7404" width="13" style="1" customWidth="1"/>
    <col min="7405" max="7405" width="18.85546875" style="1" customWidth="1"/>
    <col min="7406" max="7406" width="13" style="1" bestFit="1" customWidth="1"/>
    <col min="7407" max="7645" width="11.42578125" style="1"/>
    <col min="7646" max="7646" width="2.7109375" style="1" customWidth="1"/>
    <col min="7647" max="7647" width="9.85546875" style="1" customWidth="1"/>
    <col min="7648" max="7648" width="12.5703125" style="1" customWidth="1"/>
    <col min="7649" max="7649" width="12.85546875" style="1" customWidth="1"/>
    <col min="7650" max="7650" width="12.5703125" style="1" customWidth="1"/>
    <col min="7651" max="7651" width="10" style="1" customWidth="1"/>
    <col min="7652" max="7652" width="10.28515625" style="1" customWidth="1"/>
    <col min="7653" max="7653" width="10.42578125" style="1" customWidth="1"/>
    <col min="7654" max="7654" width="10.85546875" style="1" bestFit="1" customWidth="1"/>
    <col min="7655" max="7656" width="10.140625" style="1" customWidth="1"/>
    <col min="7657" max="7657" width="9.42578125" style="1" customWidth="1"/>
    <col min="7658" max="7658" width="12.140625" style="1" customWidth="1"/>
    <col min="7659" max="7659" width="11.85546875" style="1" customWidth="1"/>
    <col min="7660" max="7660" width="13" style="1" customWidth="1"/>
    <col min="7661" max="7661" width="18.85546875" style="1" customWidth="1"/>
    <col min="7662" max="7662" width="13" style="1" bestFit="1" customWidth="1"/>
    <col min="7663" max="7901" width="11.42578125" style="1"/>
    <col min="7902" max="7902" width="2.7109375" style="1" customWidth="1"/>
    <col min="7903" max="7903" width="9.85546875" style="1" customWidth="1"/>
    <col min="7904" max="7904" width="12.5703125" style="1" customWidth="1"/>
    <col min="7905" max="7905" width="12.85546875" style="1" customWidth="1"/>
    <col min="7906" max="7906" width="12.5703125" style="1" customWidth="1"/>
    <col min="7907" max="7907" width="10" style="1" customWidth="1"/>
    <col min="7908" max="7908" width="10.28515625" style="1" customWidth="1"/>
    <col min="7909" max="7909" width="10.42578125" style="1" customWidth="1"/>
    <col min="7910" max="7910" width="10.85546875" style="1" bestFit="1" customWidth="1"/>
    <col min="7911" max="7912" width="10.140625" style="1" customWidth="1"/>
    <col min="7913" max="7913" width="9.42578125" style="1" customWidth="1"/>
    <col min="7914" max="7914" width="12.140625" style="1" customWidth="1"/>
    <col min="7915" max="7915" width="11.85546875" style="1" customWidth="1"/>
    <col min="7916" max="7916" width="13" style="1" customWidth="1"/>
    <col min="7917" max="7917" width="18.85546875" style="1" customWidth="1"/>
    <col min="7918" max="7918" width="13" style="1" bestFit="1" customWidth="1"/>
    <col min="7919" max="8157" width="11.42578125" style="1"/>
    <col min="8158" max="8158" width="2.7109375" style="1" customWidth="1"/>
    <col min="8159" max="8159" width="9.85546875" style="1" customWidth="1"/>
    <col min="8160" max="8160" width="12.5703125" style="1" customWidth="1"/>
    <col min="8161" max="8161" width="12.85546875" style="1" customWidth="1"/>
    <col min="8162" max="8162" width="12.5703125" style="1" customWidth="1"/>
    <col min="8163" max="8163" width="10" style="1" customWidth="1"/>
    <col min="8164" max="8164" width="10.28515625" style="1" customWidth="1"/>
    <col min="8165" max="8165" width="10.42578125" style="1" customWidth="1"/>
    <col min="8166" max="8166" width="10.85546875" style="1" bestFit="1" customWidth="1"/>
    <col min="8167" max="8168" width="10.140625" style="1" customWidth="1"/>
    <col min="8169" max="8169" width="9.42578125" style="1" customWidth="1"/>
    <col min="8170" max="8170" width="12.140625" style="1" customWidth="1"/>
    <col min="8171" max="8171" width="11.85546875" style="1" customWidth="1"/>
    <col min="8172" max="8172" width="13" style="1" customWidth="1"/>
    <col min="8173" max="8173" width="18.85546875" style="1" customWidth="1"/>
    <col min="8174" max="8174" width="13" style="1" bestFit="1" customWidth="1"/>
    <col min="8175" max="8413" width="11.42578125" style="1"/>
    <col min="8414" max="8414" width="2.7109375" style="1" customWidth="1"/>
    <col min="8415" max="8415" width="9.85546875" style="1" customWidth="1"/>
    <col min="8416" max="8416" width="12.5703125" style="1" customWidth="1"/>
    <col min="8417" max="8417" width="12.85546875" style="1" customWidth="1"/>
    <col min="8418" max="8418" width="12.5703125" style="1" customWidth="1"/>
    <col min="8419" max="8419" width="10" style="1" customWidth="1"/>
    <col min="8420" max="8420" width="10.28515625" style="1" customWidth="1"/>
    <col min="8421" max="8421" width="10.42578125" style="1" customWidth="1"/>
    <col min="8422" max="8422" width="10.85546875" style="1" bestFit="1" customWidth="1"/>
    <col min="8423" max="8424" width="10.140625" style="1" customWidth="1"/>
    <col min="8425" max="8425" width="9.42578125" style="1" customWidth="1"/>
    <col min="8426" max="8426" width="12.140625" style="1" customWidth="1"/>
    <col min="8427" max="8427" width="11.85546875" style="1" customWidth="1"/>
    <col min="8428" max="8428" width="13" style="1" customWidth="1"/>
    <col min="8429" max="8429" width="18.85546875" style="1" customWidth="1"/>
    <col min="8430" max="8430" width="13" style="1" bestFit="1" customWidth="1"/>
    <col min="8431" max="8669" width="11.42578125" style="1"/>
    <col min="8670" max="8670" width="2.7109375" style="1" customWidth="1"/>
    <col min="8671" max="8671" width="9.85546875" style="1" customWidth="1"/>
    <col min="8672" max="8672" width="12.5703125" style="1" customWidth="1"/>
    <col min="8673" max="8673" width="12.85546875" style="1" customWidth="1"/>
    <col min="8674" max="8674" width="12.5703125" style="1" customWidth="1"/>
    <col min="8675" max="8675" width="10" style="1" customWidth="1"/>
    <col min="8676" max="8676" width="10.28515625" style="1" customWidth="1"/>
    <col min="8677" max="8677" width="10.42578125" style="1" customWidth="1"/>
    <col min="8678" max="8678" width="10.85546875" style="1" bestFit="1" customWidth="1"/>
    <col min="8679" max="8680" width="10.140625" style="1" customWidth="1"/>
    <col min="8681" max="8681" width="9.42578125" style="1" customWidth="1"/>
    <col min="8682" max="8682" width="12.140625" style="1" customWidth="1"/>
    <col min="8683" max="8683" width="11.85546875" style="1" customWidth="1"/>
    <col min="8684" max="8684" width="13" style="1" customWidth="1"/>
    <col min="8685" max="8685" width="18.85546875" style="1" customWidth="1"/>
    <col min="8686" max="8686" width="13" style="1" bestFit="1" customWidth="1"/>
    <col min="8687" max="8925" width="11.42578125" style="1"/>
    <col min="8926" max="8926" width="2.7109375" style="1" customWidth="1"/>
    <col min="8927" max="8927" width="9.85546875" style="1" customWidth="1"/>
    <col min="8928" max="8928" width="12.5703125" style="1" customWidth="1"/>
    <col min="8929" max="8929" width="12.85546875" style="1" customWidth="1"/>
    <col min="8930" max="8930" width="12.5703125" style="1" customWidth="1"/>
    <col min="8931" max="8931" width="10" style="1" customWidth="1"/>
    <col min="8932" max="8932" width="10.28515625" style="1" customWidth="1"/>
    <col min="8933" max="8933" width="10.42578125" style="1" customWidth="1"/>
    <col min="8934" max="8934" width="10.85546875" style="1" bestFit="1" customWidth="1"/>
    <col min="8935" max="8936" width="10.140625" style="1" customWidth="1"/>
    <col min="8937" max="8937" width="9.42578125" style="1" customWidth="1"/>
    <col min="8938" max="8938" width="12.140625" style="1" customWidth="1"/>
    <col min="8939" max="8939" width="11.85546875" style="1" customWidth="1"/>
    <col min="8940" max="8940" width="13" style="1" customWidth="1"/>
    <col min="8941" max="8941" width="18.85546875" style="1" customWidth="1"/>
    <col min="8942" max="8942" width="13" style="1" bestFit="1" customWidth="1"/>
    <col min="8943" max="9181" width="11.42578125" style="1"/>
    <col min="9182" max="9182" width="2.7109375" style="1" customWidth="1"/>
    <col min="9183" max="9183" width="9.85546875" style="1" customWidth="1"/>
    <col min="9184" max="9184" width="12.5703125" style="1" customWidth="1"/>
    <col min="9185" max="9185" width="12.85546875" style="1" customWidth="1"/>
    <col min="9186" max="9186" width="12.5703125" style="1" customWidth="1"/>
    <col min="9187" max="9187" width="10" style="1" customWidth="1"/>
    <col min="9188" max="9188" width="10.28515625" style="1" customWidth="1"/>
    <col min="9189" max="9189" width="10.42578125" style="1" customWidth="1"/>
    <col min="9190" max="9190" width="10.85546875" style="1" bestFit="1" customWidth="1"/>
    <col min="9191" max="9192" width="10.140625" style="1" customWidth="1"/>
    <col min="9193" max="9193" width="9.42578125" style="1" customWidth="1"/>
    <col min="9194" max="9194" width="12.140625" style="1" customWidth="1"/>
    <col min="9195" max="9195" width="11.85546875" style="1" customWidth="1"/>
    <col min="9196" max="9196" width="13" style="1" customWidth="1"/>
    <col min="9197" max="9197" width="18.85546875" style="1" customWidth="1"/>
    <col min="9198" max="9198" width="13" style="1" bestFit="1" customWidth="1"/>
    <col min="9199" max="9437" width="11.42578125" style="1"/>
    <col min="9438" max="9438" width="2.7109375" style="1" customWidth="1"/>
    <col min="9439" max="9439" width="9.85546875" style="1" customWidth="1"/>
    <col min="9440" max="9440" width="12.5703125" style="1" customWidth="1"/>
    <col min="9441" max="9441" width="12.85546875" style="1" customWidth="1"/>
    <col min="9442" max="9442" width="12.5703125" style="1" customWidth="1"/>
    <col min="9443" max="9443" width="10" style="1" customWidth="1"/>
    <col min="9444" max="9444" width="10.28515625" style="1" customWidth="1"/>
    <col min="9445" max="9445" width="10.42578125" style="1" customWidth="1"/>
    <col min="9446" max="9446" width="10.85546875" style="1" bestFit="1" customWidth="1"/>
    <col min="9447" max="9448" width="10.140625" style="1" customWidth="1"/>
    <col min="9449" max="9449" width="9.42578125" style="1" customWidth="1"/>
    <col min="9450" max="9450" width="12.140625" style="1" customWidth="1"/>
    <col min="9451" max="9451" width="11.85546875" style="1" customWidth="1"/>
    <col min="9452" max="9452" width="13" style="1" customWidth="1"/>
    <col min="9453" max="9453" width="18.85546875" style="1" customWidth="1"/>
    <col min="9454" max="9454" width="13" style="1" bestFit="1" customWidth="1"/>
    <col min="9455" max="9693" width="11.42578125" style="1"/>
    <col min="9694" max="9694" width="2.7109375" style="1" customWidth="1"/>
    <col min="9695" max="9695" width="9.85546875" style="1" customWidth="1"/>
    <col min="9696" max="9696" width="12.5703125" style="1" customWidth="1"/>
    <col min="9697" max="9697" width="12.85546875" style="1" customWidth="1"/>
    <col min="9698" max="9698" width="12.5703125" style="1" customWidth="1"/>
    <col min="9699" max="9699" width="10" style="1" customWidth="1"/>
    <col min="9700" max="9700" width="10.28515625" style="1" customWidth="1"/>
    <col min="9701" max="9701" width="10.42578125" style="1" customWidth="1"/>
    <col min="9702" max="9702" width="10.85546875" style="1" bestFit="1" customWidth="1"/>
    <col min="9703" max="9704" width="10.140625" style="1" customWidth="1"/>
    <col min="9705" max="9705" width="9.42578125" style="1" customWidth="1"/>
    <col min="9706" max="9706" width="12.140625" style="1" customWidth="1"/>
    <col min="9707" max="9707" width="11.85546875" style="1" customWidth="1"/>
    <col min="9708" max="9708" width="13" style="1" customWidth="1"/>
    <col min="9709" max="9709" width="18.85546875" style="1" customWidth="1"/>
    <col min="9710" max="9710" width="13" style="1" bestFit="1" customWidth="1"/>
    <col min="9711" max="9949" width="11.42578125" style="1"/>
    <col min="9950" max="9950" width="2.7109375" style="1" customWidth="1"/>
    <col min="9951" max="9951" width="9.85546875" style="1" customWidth="1"/>
    <col min="9952" max="9952" width="12.5703125" style="1" customWidth="1"/>
    <col min="9953" max="9953" width="12.85546875" style="1" customWidth="1"/>
    <col min="9954" max="9954" width="12.5703125" style="1" customWidth="1"/>
    <col min="9955" max="9955" width="10" style="1" customWidth="1"/>
    <col min="9956" max="9956" width="10.28515625" style="1" customWidth="1"/>
    <col min="9957" max="9957" width="10.42578125" style="1" customWidth="1"/>
    <col min="9958" max="9958" width="10.85546875" style="1" bestFit="1" customWidth="1"/>
    <col min="9959" max="9960" width="10.140625" style="1" customWidth="1"/>
    <col min="9961" max="9961" width="9.42578125" style="1" customWidth="1"/>
    <col min="9962" max="9962" width="12.140625" style="1" customWidth="1"/>
    <col min="9963" max="9963" width="11.85546875" style="1" customWidth="1"/>
    <col min="9964" max="9964" width="13" style="1" customWidth="1"/>
    <col min="9965" max="9965" width="18.85546875" style="1" customWidth="1"/>
    <col min="9966" max="9966" width="13" style="1" bestFit="1" customWidth="1"/>
    <col min="9967" max="10205" width="11.42578125" style="1"/>
    <col min="10206" max="10206" width="2.7109375" style="1" customWidth="1"/>
    <col min="10207" max="10207" width="9.85546875" style="1" customWidth="1"/>
    <col min="10208" max="10208" width="12.5703125" style="1" customWidth="1"/>
    <col min="10209" max="10209" width="12.85546875" style="1" customWidth="1"/>
    <col min="10210" max="10210" width="12.5703125" style="1" customWidth="1"/>
    <col min="10211" max="10211" width="10" style="1" customWidth="1"/>
    <col min="10212" max="10212" width="10.28515625" style="1" customWidth="1"/>
    <col min="10213" max="10213" width="10.42578125" style="1" customWidth="1"/>
    <col min="10214" max="10214" width="10.85546875" style="1" bestFit="1" customWidth="1"/>
    <col min="10215" max="10216" width="10.140625" style="1" customWidth="1"/>
    <col min="10217" max="10217" width="9.42578125" style="1" customWidth="1"/>
    <col min="10218" max="10218" width="12.140625" style="1" customWidth="1"/>
    <col min="10219" max="10219" width="11.85546875" style="1" customWidth="1"/>
    <col min="10220" max="10220" width="13" style="1" customWidth="1"/>
    <col min="10221" max="10221" width="18.85546875" style="1" customWidth="1"/>
    <col min="10222" max="10222" width="13" style="1" bestFit="1" customWidth="1"/>
    <col min="10223" max="10461" width="11.42578125" style="1"/>
    <col min="10462" max="10462" width="2.7109375" style="1" customWidth="1"/>
    <col min="10463" max="10463" width="9.85546875" style="1" customWidth="1"/>
    <col min="10464" max="10464" width="12.5703125" style="1" customWidth="1"/>
    <col min="10465" max="10465" width="12.85546875" style="1" customWidth="1"/>
    <col min="10466" max="10466" width="12.5703125" style="1" customWidth="1"/>
    <col min="10467" max="10467" width="10" style="1" customWidth="1"/>
    <col min="10468" max="10468" width="10.28515625" style="1" customWidth="1"/>
    <col min="10469" max="10469" width="10.42578125" style="1" customWidth="1"/>
    <col min="10470" max="10470" width="10.85546875" style="1" bestFit="1" customWidth="1"/>
    <col min="10471" max="10472" width="10.140625" style="1" customWidth="1"/>
    <col min="10473" max="10473" width="9.42578125" style="1" customWidth="1"/>
    <col min="10474" max="10474" width="12.140625" style="1" customWidth="1"/>
    <col min="10475" max="10475" width="11.85546875" style="1" customWidth="1"/>
    <col min="10476" max="10476" width="13" style="1" customWidth="1"/>
    <col min="10477" max="10477" width="18.85546875" style="1" customWidth="1"/>
    <col min="10478" max="10478" width="13" style="1" bestFit="1" customWidth="1"/>
    <col min="10479" max="10717" width="11.42578125" style="1"/>
    <col min="10718" max="10718" width="2.7109375" style="1" customWidth="1"/>
    <col min="10719" max="10719" width="9.85546875" style="1" customWidth="1"/>
    <col min="10720" max="10720" width="12.5703125" style="1" customWidth="1"/>
    <col min="10721" max="10721" width="12.85546875" style="1" customWidth="1"/>
    <col min="10722" max="10722" width="12.5703125" style="1" customWidth="1"/>
    <col min="10723" max="10723" width="10" style="1" customWidth="1"/>
    <col min="10724" max="10724" width="10.28515625" style="1" customWidth="1"/>
    <col min="10725" max="10725" width="10.42578125" style="1" customWidth="1"/>
    <col min="10726" max="10726" width="10.85546875" style="1" bestFit="1" customWidth="1"/>
    <col min="10727" max="10728" width="10.140625" style="1" customWidth="1"/>
    <col min="10729" max="10729" width="9.42578125" style="1" customWidth="1"/>
    <col min="10730" max="10730" width="12.140625" style="1" customWidth="1"/>
    <col min="10731" max="10731" width="11.85546875" style="1" customWidth="1"/>
    <col min="10732" max="10732" width="13" style="1" customWidth="1"/>
    <col min="10733" max="10733" width="18.85546875" style="1" customWidth="1"/>
    <col min="10734" max="10734" width="13" style="1" bestFit="1" customWidth="1"/>
    <col min="10735" max="10973" width="11.42578125" style="1"/>
    <col min="10974" max="10974" width="2.7109375" style="1" customWidth="1"/>
    <col min="10975" max="10975" width="9.85546875" style="1" customWidth="1"/>
    <col min="10976" max="10976" width="12.5703125" style="1" customWidth="1"/>
    <col min="10977" max="10977" width="12.85546875" style="1" customWidth="1"/>
    <col min="10978" max="10978" width="12.5703125" style="1" customWidth="1"/>
    <col min="10979" max="10979" width="10" style="1" customWidth="1"/>
    <col min="10980" max="10980" width="10.28515625" style="1" customWidth="1"/>
    <col min="10981" max="10981" width="10.42578125" style="1" customWidth="1"/>
    <col min="10982" max="10982" width="10.85546875" style="1" bestFit="1" customWidth="1"/>
    <col min="10983" max="10984" width="10.140625" style="1" customWidth="1"/>
    <col min="10985" max="10985" width="9.42578125" style="1" customWidth="1"/>
    <col min="10986" max="10986" width="12.140625" style="1" customWidth="1"/>
    <col min="10987" max="10987" width="11.85546875" style="1" customWidth="1"/>
    <col min="10988" max="10988" width="13" style="1" customWidth="1"/>
    <col min="10989" max="10989" width="18.85546875" style="1" customWidth="1"/>
    <col min="10990" max="10990" width="13" style="1" bestFit="1" customWidth="1"/>
    <col min="10991" max="11229" width="11.42578125" style="1"/>
    <col min="11230" max="11230" width="2.7109375" style="1" customWidth="1"/>
    <col min="11231" max="11231" width="9.85546875" style="1" customWidth="1"/>
    <col min="11232" max="11232" width="12.5703125" style="1" customWidth="1"/>
    <col min="11233" max="11233" width="12.85546875" style="1" customWidth="1"/>
    <col min="11234" max="11234" width="12.5703125" style="1" customWidth="1"/>
    <col min="11235" max="11235" width="10" style="1" customWidth="1"/>
    <col min="11236" max="11236" width="10.28515625" style="1" customWidth="1"/>
    <col min="11237" max="11237" width="10.42578125" style="1" customWidth="1"/>
    <col min="11238" max="11238" width="10.85546875" style="1" bestFit="1" customWidth="1"/>
    <col min="11239" max="11240" width="10.140625" style="1" customWidth="1"/>
    <col min="11241" max="11241" width="9.42578125" style="1" customWidth="1"/>
    <col min="11242" max="11242" width="12.140625" style="1" customWidth="1"/>
    <col min="11243" max="11243" width="11.85546875" style="1" customWidth="1"/>
    <col min="11244" max="11244" width="13" style="1" customWidth="1"/>
    <col min="11245" max="11245" width="18.85546875" style="1" customWidth="1"/>
    <col min="11246" max="11246" width="13" style="1" bestFit="1" customWidth="1"/>
    <col min="11247" max="11485" width="11.42578125" style="1"/>
    <col min="11486" max="11486" width="2.7109375" style="1" customWidth="1"/>
    <col min="11487" max="11487" width="9.85546875" style="1" customWidth="1"/>
    <col min="11488" max="11488" width="12.5703125" style="1" customWidth="1"/>
    <col min="11489" max="11489" width="12.85546875" style="1" customWidth="1"/>
    <col min="11490" max="11490" width="12.5703125" style="1" customWidth="1"/>
    <col min="11491" max="11491" width="10" style="1" customWidth="1"/>
    <col min="11492" max="11492" width="10.28515625" style="1" customWidth="1"/>
    <col min="11493" max="11493" width="10.42578125" style="1" customWidth="1"/>
    <col min="11494" max="11494" width="10.85546875" style="1" bestFit="1" customWidth="1"/>
    <col min="11495" max="11496" width="10.140625" style="1" customWidth="1"/>
    <col min="11497" max="11497" width="9.42578125" style="1" customWidth="1"/>
    <col min="11498" max="11498" width="12.140625" style="1" customWidth="1"/>
    <col min="11499" max="11499" width="11.85546875" style="1" customWidth="1"/>
    <col min="11500" max="11500" width="13" style="1" customWidth="1"/>
    <col min="11501" max="11501" width="18.85546875" style="1" customWidth="1"/>
    <col min="11502" max="11502" width="13" style="1" bestFit="1" customWidth="1"/>
    <col min="11503" max="11741" width="11.42578125" style="1"/>
    <col min="11742" max="11742" width="2.7109375" style="1" customWidth="1"/>
    <col min="11743" max="11743" width="9.85546875" style="1" customWidth="1"/>
    <col min="11744" max="11744" width="12.5703125" style="1" customWidth="1"/>
    <col min="11745" max="11745" width="12.85546875" style="1" customWidth="1"/>
    <col min="11746" max="11746" width="12.5703125" style="1" customWidth="1"/>
    <col min="11747" max="11747" width="10" style="1" customWidth="1"/>
    <col min="11748" max="11748" width="10.28515625" style="1" customWidth="1"/>
    <col min="11749" max="11749" width="10.42578125" style="1" customWidth="1"/>
    <col min="11750" max="11750" width="10.85546875" style="1" bestFit="1" customWidth="1"/>
    <col min="11751" max="11752" width="10.140625" style="1" customWidth="1"/>
    <col min="11753" max="11753" width="9.42578125" style="1" customWidth="1"/>
    <col min="11754" max="11754" width="12.140625" style="1" customWidth="1"/>
    <col min="11755" max="11755" width="11.85546875" style="1" customWidth="1"/>
    <col min="11756" max="11756" width="13" style="1" customWidth="1"/>
    <col min="11757" max="11757" width="18.85546875" style="1" customWidth="1"/>
    <col min="11758" max="11758" width="13" style="1" bestFit="1" customWidth="1"/>
    <col min="11759" max="11997" width="11.42578125" style="1"/>
    <col min="11998" max="11998" width="2.7109375" style="1" customWidth="1"/>
    <col min="11999" max="11999" width="9.85546875" style="1" customWidth="1"/>
    <col min="12000" max="12000" width="12.5703125" style="1" customWidth="1"/>
    <col min="12001" max="12001" width="12.85546875" style="1" customWidth="1"/>
    <col min="12002" max="12002" width="12.5703125" style="1" customWidth="1"/>
    <col min="12003" max="12003" width="10" style="1" customWidth="1"/>
    <col min="12004" max="12004" width="10.28515625" style="1" customWidth="1"/>
    <col min="12005" max="12005" width="10.42578125" style="1" customWidth="1"/>
    <col min="12006" max="12006" width="10.85546875" style="1" bestFit="1" customWidth="1"/>
    <col min="12007" max="12008" width="10.140625" style="1" customWidth="1"/>
    <col min="12009" max="12009" width="9.42578125" style="1" customWidth="1"/>
    <col min="12010" max="12010" width="12.140625" style="1" customWidth="1"/>
    <col min="12011" max="12011" width="11.85546875" style="1" customWidth="1"/>
    <col min="12012" max="12012" width="13" style="1" customWidth="1"/>
    <col min="12013" max="12013" width="18.85546875" style="1" customWidth="1"/>
    <col min="12014" max="12014" width="13" style="1" bestFit="1" customWidth="1"/>
    <col min="12015" max="12253" width="11.42578125" style="1"/>
    <col min="12254" max="12254" width="2.7109375" style="1" customWidth="1"/>
    <col min="12255" max="12255" width="9.85546875" style="1" customWidth="1"/>
    <col min="12256" max="12256" width="12.5703125" style="1" customWidth="1"/>
    <col min="12257" max="12257" width="12.85546875" style="1" customWidth="1"/>
    <col min="12258" max="12258" width="12.5703125" style="1" customWidth="1"/>
    <col min="12259" max="12259" width="10" style="1" customWidth="1"/>
    <col min="12260" max="12260" width="10.28515625" style="1" customWidth="1"/>
    <col min="12261" max="12261" width="10.42578125" style="1" customWidth="1"/>
    <col min="12262" max="12262" width="10.85546875" style="1" bestFit="1" customWidth="1"/>
    <col min="12263" max="12264" width="10.140625" style="1" customWidth="1"/>
    <col min="12265" max="12265" width="9.42578125" style="1" customWidth="1"/>
    <col min="12266" max="12266" width="12.140625" style="1" customWidth="1"/>
    <col min="12267" max="12267" width="11.85546875" style="1" customWidth="1"/>
    <col min="12268" max="12268" width="13" style="1" customWidth="1"/>
    <col min="12269" max="12269" width="18.85546875" style="1" customWidth="1"/>
    <col min="12270" max="12270" width="13" style="1" bestFit="1" customWidth="1"/>
    <col min="12271" max="12509" width="11.42578125" style="1"/>
    <col min="12510" max="12510" width="2.7109375" style="1" customWidth="1"/>
    <col min="12511" max="12511" width="9.85546875" style="1" customWidth="1"/>
    <col min="12512" max="12512" width="12.5703125" style="1" customWidth="1"/>
    <col min="12513" max="12513" width="12.85546875" style="1" customWidth="1"/>
    <col min="12514" max="12514" width="12.5703125" style="1" customWidth="1"/>
    <col min="12515" max="12515" width="10" style="1" customWidth="1"/>
    <col min="12516" max="12516" width="10.28515625" style="1" customWidth="1"/>
    <col min="12517" max="12517" width="10.42578125" style="1" customWidth="1"/>
    <col min="12518" max="12518" width="10.85546875" style="1" bestFit="1" customWidth="1"/>
    <col min="12519" max="12520" width="10.140625" style="1" customWidth="1"/>
    <col min="12521" max="12521" width="9.42578125" style="1" customWidth="1"/>
    <col min="12522" max="12522" width="12.140625" style="1" customWidth="1"/>
    <col min="12523" max="12523" width="11.85546875" style="1" customWidth="1"/>
    <col min="12524" max="12524" width="13" style="1" customWidth="1"/>
    <col min="12525" max="12525" width="18.85546875" style="1" customWidth="1"/>
    <col min="12526" max="12526" width="13" style="1" bestFit="1" customWidth="1"/>
    <col min="12527" max="12765" width="11.42578125" style="1"/>
    <col min="12766" max="12766" width="2.7109375" style="1" customWidth="1"/>
    <col min="12767" max="12767" width="9.85546875" style="1" customWidth="1"/>
    <col min="12768" max="12768" width="12.5703125" style="1" customWidth="1"/>
    <col min="12769" max="12769" width="12.85546875" style="1" customWidth="1"/>
    <col min="12770" max="12770" width="12.5703125" style="1" customWidth="1"/>
    <col min="12771" max="12771" width="10" style="1" customWidth="1"/>
    <col min="12772" max="12772" width="10.28515625" style="1" customWidth="1"/>
    <col min="12773" max="12773" width="10.42578125" style="1" customWidth="1"/>
    <col min="12774" max="12774" width="10.85546875" style="1" bestFit="1" customWidth="1"/>
    <col min="12775" max="12776" width="10.140625" style="1" customWidth="1"/>
    <col min="12777" max="12777" width="9.42578125" style="1" customWidth="1"/>
    <col min="12778" max="12778" width="12.140625" style="1" customWidth="1"/>
    <col min="12779" max="12779" width="11.85546875" style="1" customWidth="1"/>
    <col min="12780" max="12780" width="13" style="1" customWidth="1"/>
    <col min="12781" max="12781" width="18.85546875" style="1" customWidth="1"/>
    <col min="12782" max="12782" width="13" style="1" bestFit="1" customWidth="1"/>
    <col min="12783" max="13021" width="11.42578125" style="1"/>
    <col min="13022" max="13022" width="2.7109375" style="1" customWidth="1"/>
    <col min="13023" max="13023" width="9.85546875" style="1" customWidth="1"/>
    <col min="13024" max="13024" width="12.5703125" style="1" customWidth="1"/>
    <col min="13025" max="13025" width="12.85546875" style="1" customWidth="1"/>
    <col min="13026" max="13026" width="12.5703125" style="1" customWidth="1"/>
    <col min="13027" max="13027" width="10" style="1" customWidth="1"/>
    <col min="13028" max="13028" width="10.28515625" style="1" customWidth="1"/>
    <col min="13029" max="13029" width="10.42578125" style="1" customWidth="1"/>
    <col min="13030" max="13030" width="10.85546875" style="1" bestFit="1" customWidth="1"/>
    <col min="13031" max="13032" width="10.140625" style="1" customWidth="1"/>
    <col min="13033" max="13033" width="9.42578125" style="1" customWidth="1"/>
    <col min="13034" max="13034" width="12.140625" style="1" customWidth="1"/>
    <col min="13035" max="13035" width="11.85546875" style="1" customWidth="1"/>
    <col min="13036" max="13036" width="13" style="1" customWidth="1"/>
    <col min="13037" max="13037" width="18.85546875" style="1" customWidth="1"/>
    <col min="13038" max="13038" width="13" style="1" bestFit="1" customWidth="1"/>
    <col min="13039" max="13277" width="11.42578125" style="1"/>
    <col min="13278" max="13278" width="2.7109375" style="1" customWidth="1"/>
    <col min="13279" max="13279" width="9.85546875" style="1" customWidth="1"/>
    <col min="13280" max="13280" width="12.5703125" style="1" customWidth="1"/>
    <col min="13281" max="13281" width="12.85546875" style="1" customWidth="1"/>
    <col min="13282" max="13282" width="12.5703125" style="1" customWidth="1"/>
    <col min="13283" max="13283" width="10" style="1" customWidth="1"/>
    <col min="13284" max="13284" width="10.28515625" style="1" customWidth="1"/>
    <col min="13285" max="13285" width="10.42578125" style="1" customWidth="1"/>
    <col min="13286" max="13286" width="10.85546875" style="1" bestFit="1" customWidth="1"/>
    <col min="13287" max="13288" width="10.140625" style="1" customWidth="1"/>
    <col min="13289" max="13289" width="9.42578125" style="1" customWidth="1"/>
    <col min="13290" max="13290" width="12.140625" style="1" customWidth="1"/>
    <col min="13291" max="13291" width="11.85546875" style="1" customWidth="1"/>
    <col min="13292" max="13292" width="13" style="1" customWidth="1"/>
    <col min="13293" max="13293" width="18.85546875" style="1" customWidth="1"/>
    <col min="13294" max="13294" width="13" style="1" bestFit="1" customWidth="1"/>
    <col min="13295" max="13533" width="11.42578125" style="1"/>
    <col min="13534" max="13534" width="2.7109375" style="1" customWidth="1"/>
    <col min="13535" max="13535" width="9.85546875" style="1" customWidth="1"/>
    <col min="13536" max="13536" width="12.5703125" style="1" customWidth="1"/>
    <col min="13537" max="13537" width="12.85546875" style="1" customWidth="1"/>
    <col min="13538" max="13538" width="12.5703125" style="1" customWidth="1"/>
    <col min="13539" max="13539" width="10" style="1" customWidth="1"/>
    <col min="13540" max="13540" width="10.28515625" style="1" customWidth="1"/>
    <col min="13541" max="13541" width="10.42578125" style="1" customWidth="1"/>
    <col min="13542" max="13542" width="10.85546875" style="1" bestFit="1" customWidth="1"/>
    <col min="13543" max="13544" width="10.140625" style="1" customWidth="1"/>
    <col min="13545" max="13545" width="9.42578125" style="1" customWidth="1"/>
    <col min="13546" max="13546" width="12.140625" style="1" customWidth="1"/>
    <col min="13547" max="13547" width="11.85546875" style="1" customWidth="1"/>
    <col min="13548" max="13548" width="13" style="1" customWidth="1"/>
    <col min="13549" max="13549" width="18.85546875" style="1" customWidth="1"/>
    <col min="13550" max="13550" width="13" style="1" bestFit="1" customWidth="1"/>
    <col min="13551" max="13789" width="11.42578125" style="1"/>
    <col min="13790" max="13790" width="2.7109375" style="1" customWidth="1"/>
    <col min="13791" max="13791" width="9.85546875" style="1" customWidth="1"/>
    <col min="13792" max="13792" width="12.5703125" style="1" customWidth="1"/>
    <col min="13793" max="13793" width="12.85546875" style="1" customWidth="1"/>
    <col min="13794" max="13794" width="12.5703125" style="1" customWidth="1"/>
    <col min="13795" max="13795" width="10" style="1" customWidth="1"/>
    <col min="13796" max="13796" width="10.28515625" style="1" customWidth="1"/>
    <col min="13797" max="13797" width="10.42578125" style="1" customWidth="1"/>
    <col min="13798" max="13798" width="10.85546875" style="1" bestFit="1" customWidth="1"/>
    <col min="13799" max="13800" width="10.140625" style="1" customWidth="1"/>
    <col min="13801" max="13801" width="9.42578125" style="1" customWidth="1"/>
    <col min="13802" max="13802" width="12.140625" style="1" customWidth="1"/>
    <col min="13803" max="13803" width="11.85546875" style="1" customWidth="1"/>
    <col min="13804" max="13804" width="13" style="1" customWidth="1"/>
    <col min="13805" max="13805" width="18.85546875" style="1" customWidth="1"/>
    <col min="13806" max="13806" width="13" style="1" bestFit="1" customWidth="1"/>
    <col min="13807" max="14045" width="11.42578125" style="1"/>
    <col min="14046" max="14046" width="2.7109375" style="1" customWidth="1"/>
    <col min="14047" max="14047" width="9.85546875" style="1" customWidth="1"/>
    <col min="14048" max="14048" width="12.5703125" style="1" customWidth="1"/>
    <col min="14049" max="14049" width="12.85546875" style="1" customWidth="1"/>
    <col min="14050" max="14050" width="12.5703125" style="1" customWidth="1"/>
    <col min="14051" max="14051" width="10" style="1" customWidth="1"/>
    <col min="14052" max="14052" width="10.28515625" style="1" customWidth="1"/>
    <col min="14053" max="14053" width="10.42578125" style="1" customWidth="1"/>
    <col min="14054" max="14054" width="10.85546875" style="1" bestFit="1" customWidth="1"/>
    <col min="14055" max="14056" width="10.140625" style="1" customWidth="1"/>
    <col min="14057" max="14057" width="9.42578125" style="1" customWidth="1"/>
    <col min="14058" max="14058" width="12.140625" style="1" customWidth="1"/>
    <col min="14059" max="14059" width="11.85546875" style="1" customWidth="1"/>
    <col min="14060" max="14060" width="13" style="1" customWidth="1"/>
    <col min="14061" max="14061" width="18.85546875" style="1" customWidth="1"/>
    <col min="14062" max="14062" width="13" style="1" bestFit="1" customWidth="1"/>
    <col min="14063" max="14301" width="11.42578125" style="1"/>
    <col min="14302" max="14302" width="2.7109375" style="1" customWidth="1"/>
    <col min="14303" max="14303" width="9.85546875" style="1" customWidth="1"/>
    <col min="14304" max="14304" width="12.5703125" style="1" customWidth="1"/>
    <col min="14305" max="14305" width="12.85546875" style="1" customWidth="1"/>
    <col min="14306" max="14306" width="12.5703125" style="1" customWidth="1"/>
    <col min="14307" max="14307" width="10" style="1" customWidth="1"/>
    <col min="14308" max="14308" width="10.28515625" style="1" customWidth="1"/>
    <col min="14309" max="14309" width="10.42578125" style="1" customWidth="1"/>
    <col min="14310" max="14310" width="10.85546875" style="1" bestFit="1" customWidth="1"/>
    <col min="14311" max="14312" width="10.140625" style="1" customWidth="1"/>
    <col min="14313" max="14313" width="9.42578125" style="1" customWidth="1"/>
    <col min="14314" max="14314" width="12.140625" style="1" customWidth="1"/>
    <col min="14315" max="14315" width="11.85546875" style="1" customWidth="1"/>
    <col min="14316" max="14316" width="13" style="1" customWidth="1"/>
    <col min="14317" max="14317" width="18.85546875" style="1" customWidth="1"/>
    <col min="14318" max="14318" width="13" style="1" bestFit="1" customWidth="1"/>
    <col min="14319" max="14557" width="11.42578125" style="1"/>
    <col min="14558" max="14558" width="2.7109375" style="1" customWidth="1"/>
    <col min="14559" max="14559" width="9.85546875" style="1" customWidth="1"/>
    <col min="14560" max="14560" width="12.5703125" style="1" customWidth="1"/>
    <col min="14561" max="14561" width="12.85546875" style="1" customWidth="1"/>
    <col min="14562" max="14562" width="12.5703125" style="1" customWidth="1"/>
    <col min="14563" max="14563" width="10" style="1" customWidth="1"/>
    <col min="14564" max="14564" width="10.28515625" style="1" customWidth="1"/>
    <col min="14565" max="14565" width="10.42578125" style="1" customWidth="1"/>
    <col min="14566" max="14566" width="10.85546875" style="1" bestFit="1" customWidth="1"/>
    <col min="14567" max="14568" width="10.140625" style="1" customWidth="1"/>
    <col min="14569" max="14569" width="9.42578125" style="1" customWidth="1"/>
    <col min="14570" max="14570" width="12.140625" style="1" customWidth="1"/>
    <col min="14571" max="14571" width="11.85546875" style="1" customWidth="1"/>
    <col min="14572" max="14572" width="13" style="1" customWidth="1"/>
    <col min="14573" max="14573" width="18.85546875" style="1" customWidth="1"/>
    <col min="14574" max="14574" width="13" style="1" bestFit="1" customWidth="1"/>
    <col min="14575" max="14813" width="11.42578125" style="1"/>
    <col min="14814" max="14814" width="2.7109375" style="1" customWidth="1"/>
    <col min="14815" max="14815" width="9.85546875" style="1" customWidth="1"/>
    <col min="14816" max="14816" width="12.5703125" style="1" customWidth="1"/>
    <col min="14817" max="14817" width="12.85546875" style="1" customWidth="1"/>
    <col min="14818" max="14818" width="12.5703125" style="1" customWidth="1"/>
    <col min="14819" max="14819" width="10" style="1" customWidth="1"/>
    <col min="14820" max="14820" width="10.28515625" style="1" customWidth="1"/>
    <col min="14821" max="14821" width="10.42578125" style="1" customWidth="1"/>
    <col min="14822" max="14822" width="10.85546875" style="1" bestFit="1" customWidth="1"/>
    <col min="14823" max="14824" width="10.140625" style="1" customWidth="1"/>
    <col min="14825" max="14825" width="9.42578125" style="1" customWidth="1"/>
    <col min="14826" max="14826" width="12.140625" style="1" customWidth="1"/>
    <col min="14827" max="14827" width="11.85546875" style="1" customWidth="1"/>
    <col min="14828" max="14828" width="13" style="1" customWidth="1"/>
    <col min="14829" max="14829" width="18.85546875" style="1" customWidth="1"/>
    <col min="14830" max="14830" width="13" style="1" bestFit="1" customWidth="1"/>
    <col min="14831" max="15069" width="11.42578125" style="1"/>
    <col min="15070" max="15070" width="2.7109375" style="1" customWidth="1"/>
    <col min="15071" max="15071" width="9.85546875" style="1" customWidth="1"/>
    <col min="15072" max="15072" width="12.5703125" style="1" customWidth="1"/>
    <col min="15073" max="15073" width="12.85546875" style="1" customWidth="1"/>
    <col min="15074" max="15074" width="12.5703125" style="1" customWidth="1"/>
    <col min="15075" max="15075" width="10" style="1" customWidth="1"/>
    <col min="15076" max="15076" width="10.28515625" style="1" customWidth="1"/>
    <col min="15077" max="15077" width="10.42578125" style="1" customWidth="1"/>
    <col min="15078" max="15078" width="10.85546875" style="1" bestFit="1" customWidth="1"/>
    <col min="15079" max="15080" width="10.140625" style="1" customWidth="1"/>
    <col min="15081" max="15081" width="9.42578125" style="1" customWidth="1"/>
    <col min="15082" max="15082" width="12.140625" style="1" customWidth="1"/>
    <col min="15083" max="15083" width="11.85546875" style="1" customWidth="1"/>
    <col min="15084" max="15084" width="13" style="1" customWidth="1"/>
    <col min="15085" max="15085" width="18.85546875" style="1" customWidth="1"/>
    <col min="15086" max="15086" width="13" style="1" bestFit="1" customWidth="1"/>
    <col min="15087" max="15325" width="11.42578125" style="1"/>
    <col min="15326" max="15326" width="2.7109375" style="1" customWidth="1"/>
    <col min="15327" max="15327" width="9.85546875" style="1" customWidth="1"/>
    <col min="15328" max="15328" width="12.5703125" style="1" customWidth="1"/>
    <col min="15329" max="15329" width="12.85546875" style="1" customWidth="1"/>
    <col min="15330" max="15330" width="12.5703125" style="1" customWidth="1"/>
    <col min="15331" max="15331" width="10" style="1" customWidth="1"/>
    <col min="15332" max="15332" width="10.28515625" style="1" customWidth="1"/>
    <col min="15333" max="15333" width="10.42578125" style="1" customWidth="1"/>
    <col min="15334" max="15334" width="10.85546875" style="1" bestFit="1" customWidth="1"/>
    <col min="15335" max="15336" width="10.140625" style="1" customWidth="1"/>
    <col min="15337" max="15337" width="9.42578125" style="1" customWidth="1"/>
    <col min="15338" max="15338" width="12.140625" style="1" customWidth="1"/>
    <col min="15339" max="15339" width="11.85546875" style="1" customWidth="1"/>
    <col min="15340" max="15340" width="13" style="1" customWidth="1"/>
    <col min="15341" max="15341" width="18.85546875" style="1" customWidth="1"/>
    <col min="15342" max="15342" width="13" style="1" bestFit="1" customWidth="1"/>
    <col min="15343" max="15581" width="11.42578125" style="1"/>
    <col min="15582" max="15582" width="2.7109375" style="1" customWidth="1"/>
    <col min="15583" max="15583" width="9.85546875" style="1" customWidth="1"/>
    <col min="15584" max="15584" width="12.5703125" style="1" customWidth="1"/>
    <col min="15585" max="15585" width="12.85546875" style="1" customWidth="1"/>
    <col min="15586" max="15586" width="12.5703125" style="1" customWidth="1"/>
    <col min="15587" max="15587" width="10" style="1" customWidth="1"/>
    <col min="15588" max="15588" width="10.28515625" style="1" customWidth="1"/>
    <col min="15589" max="15589" width="10.42578125" style="1" customWidth="1"/>
    <col min="15590" max="15590" width="10.85546875" style="1" bestFit="1" customWidth="1"/>
    <col min="15591" max="15592" width="10.140625" style="1" customWidth="1"/>
    <col min="15593" max="15593" width="9.42578125" style="1" customWidth="1"/>
    <col min="15594" max="15594" width="12.140625" style="1" customWidth="1"/>
    <col min="15595" max="15595" width="11.85546875" style="1" customWidth="1"/>
    <col min="15596" max="15596" width="13" style="1" customWidth="1"/>
    <col min="15597" max="15597" width="18.85546875" style="1" customWidth="1"/>
    <col min="15598" max="15598" width="13" style="1" bestFit="1" customWidth="1"/>
    <col min="15599" max="15837" width="11.42578125" style="1"/>
    <col min="15838" max="15838" width="2.7109375" style="1" customWidth="1"/>
    <col min="15839" max="15839" width="9.85546875" style="1" customWidth="1"/>
    <col min="15840" max="15840" width="12.5703125" style="1" customWidth="1"/>
    <col min="15841" max="15841" width="12.85546875" style="1" customWidth="1"/>
    <col min="15842" max="15842" width="12.5703125" style="1" customWidth="1"/>
    <col min="15843" max="15843" width="10" style="1" customWidth="1"/>
    <col min="15844" max="15844" width="10.28515625" style="1" customWidth="1"/>
    <col min="15845" max="15845" width="10.42578125" style="1" customWidth="1"/>
    <col min="15846" max="15846" width="10.85546875" style="1" bestFit="1" customWidth="1"/>
    <col min="15847" max="15848" width="10.140625" style="1" customWidth="1"/>
    <col min="15849" max="15849" width="9.42578125" style="1" customWidth="1"/>
    <col min="15850" max="15850" width="12.140625" style="1" customWidth="1"/>
    <col min="15851" max="15851" width="11.85546875" style="1" customWidth="1"/>
    <col min="15852" max="15852" width="13" style="1" customWidth="1"/>
    <col min="15853" max="15853" width="18.85546875" style="1" customWidth="1"/>
    <col min="15854" max="15854" width="13" style="1" bestFit="1" customWidth="1"/>
    <col min="15855" max="16093" width="11.42578125" style="1"/>
    <col min="16094" max="16094" width="2.7109375" style="1" customWidth="1"/>
    <col min="16095" max="16095" width="9.85546875" style="1" customWidth="1"/>
    <col min="16096" max="16096" width="12.5703125" style="1" customWidth="1"/>
    <col min="16097" max="16097" width="12.85546875" style="1" customWidth="1"/>
    <col min="16098" max="16098" width="12.5703125" style="1" customWidth="1"/>
    <col min="16099" max="16099" width="10" style="1" customWidth="1"/>
    <col min="16100" max="16100" width="10.28515625" style="1" customWidth="1"/>
    <col min="16101" max="16101" width="10.42578125" style="1" customWidth="1"/>
    <col min="16102" max="16102" width="10.85546875" style="1" bestFit="1" customWidth="1"/>
    <col min="16103" max="16104" width="10.140625" style="1" customWidth="1"/>
    <col min="16105" max="16105" width="9.42578125" style="1" customWidth="1"/>
    <col min="16106" max="16106" width="12.140625" style="1" customWidth="1"/>
    <col min="16107" max="16107" width="11.85546875" style="1" customWidth="1"/>
    <col min="16108" max="16108" width="13" style="1" customWidth="1"/>
    <col min="16109" max="16109" width="18.85546875" style="1" customWidth="1"/>
    <col min="16110" max="16110" width="13" style="1" bestFit="1" customWidth="1"/>
    <col min="16111" max="16384" width="11.42578125" style="1"/>
  </cols>
  <sheetData>
    <row r="3" spans="4:17" ht="15.75" x14ac:dyDescent="0.25">
      <c r="F3" s="2"/>
      <c r="G3" s="3" t="s">
        <v>60</v>
      </c>
    </row>
    <row r="4" spans="4:17" ht="15.75" x14ac:dyDescent="0.25">
      <c r="F4" s="2"/>
      <c r="G4" s="3"/>
    </row>
    <row r="5" spans="4:17" ht="12" thickBot="1" x14ac:dyDescent="0.25">
      <c r="F5" s="2"/>
    </row>
    <row r="6" spans="4:17" ht="11.25" customHeight="1" x14ac:dyDescent="0.2">
      <c r="D6" s="284" t="s">
        <v>0</v>
      </c>
      <c r="E6" s="290" t="s">
        <v>1</v>
      </c>
      <c r="F6" s="292"/>
      <c r="G6" s="286" t="s">
        <v>2</v>
      </c>
      <c r="H6" s="286"/>
      <c r="I6" s="287"/>
      <c r="J6" s="284" t="s">
        <v>3</v>
      </c>
      <c r="K6" s="290" t="s">
        <v>4</v>
      </c>
      <c r="L6" s="291"/>
      <c r="M6" s="291"/>
      <c r="N6" s="291"/>
      <c r="O6" s="291"/>
      <c r="P6" s="292"/>
      <c r="Q6" s="284" t="s">
        <v>5</v>
      </c>
    </row>
    <row r="7" spans="4:17" ht="25.5" customHeight="1" thickBot="1" x14ac:dyDescent="0.25">
      <c r="D7" s="285"/>
      <c r="E7" s="293"/>
      <c r="F7" s="295"/>
      <c r="G7" s="288"/>
      <c r="H7" s="288"/>
      <c r="I7" s="289"/>
      <c r="J7" s="285"/>
      <c r="K7" s="293"/>
      <c r="L7" s="294"/>
      <c r="M7" s="294"/>
      <c r="N7" s="294"/>
      <c r="O7" s="294"/>
      <c r="P7" s="295"/>
      <c r="Q7" s="285"/>
    </row>
    <row r="8" spans="4:17" ht="12.75" customHeight="1" x14ac:dyDescent="0.2">
      <c r="D8" s="26"/>
      <c r="E8" s="26"/>
      <c r="F8" s="100" t="s">
        <v>239</v>
      </c>
      <c r="G8" s="26" t="s">
        <v>6</v>
      </c>
      <c r="H8" s="26" t="s">
        <v>6</v>
      </c>
      <c r="I8" s="100" t="s">
        <v>237</v>
      </c>
      <c r="J8" s="26"/>
      <c r="K8" s="26"/>
      <c r="L8" s="26" t="s">
        <v>7</v>
      </c>
      <c r="M8" s="26" t="s">
        <v>8</v>
      </c>
      <c r="N8" s="26" t="s">
        <v>9</v>
      </c>
      <c r="O8" s="26" t="s">
        <v>10</v>
      </c>
      <c r="P8" s="26" t="s">
        <v>11</v>
      </c>
      <c r="Q8" s="26"/>
    </row>
    <row r="9" spans="4:17" x14ac:dyDescent="0.2">
      <c r="D9" s="26" t="s">
        <v>12</v>
      </c>
      <c r="E9" s="26" t="s">
        <v>13</v>
      </c>
      <c r="F9" s="100" t="s">
        <v>240</v>
      </c>
      <c r="G9" s="26" t="s">
        <v>14</v>
      </c>
      <c r="H9" s="26" t="s">
        <v>14</v>
      </c>
      <c r="I9" s="100" t="s">
        <v>238</v>
      </c>
      <c r="J9" s="26" t="s">
        <v>15</v>
      </c>
      <c r="K9" s="26" t="s">
        <v>16</v>
      </c>
      <c r="L9" s="26" t="s">
        <v>17</v>
      </c>
      <c r="M9" s="26" t="s">
        <v>18</v>
      </c>
      <c r="N9" s="26" t="s">
        <v>18</v>
      </c>
      <c r="O9" s="26" t="s">
        <v>19</v>
      </c>
      <c r="P9" s="26" t="s">
        <v>20</v>
      </c>
      <c r="Q9" s="26" t="s">
        <v>59</v>
      </c>
    </row>
    <row r="10" spans="4:17" x14ac:dyDescent="0.2">
      <c r="D10" s="26" t="s">
        <v>21</v>
      </c>
      <c r="E10" s="26" t="s">
        <v>22</v>
      </c>
      <c r="F10" s="100" t="s">
        <v>241</v>
      </c>
      <c r="G10" s="26" t="s">
        <v>23</v>
      </c>
      <c r="H10" s="26" t="s">
        <v>24</v>
      </c>
      <c r="I10" s="100" t="s">
        <v>236</v>
      </c>
      <c r="J10" s="26" t="s">
        <v>25</v>
      </c>
      <c r="K10" s="26" t="s">
        <v>26</v>
      </c>
      <c r="L10" s="26" t="s">
        <v>27</v>
      </c>
      <c r="M10" s="26" t="s">
        <v>28</v>
      </c>
      <c r="N10" s="26" t="s">
        <v>29</v>
      </c>
      <c r="O10" s="26" t="s">
        <v>30</v>
      </c>
      <c r="P10" s="26" t="s">
        <v>31</v>
      </c>
      <c r="Q10" s="26" t="s">
        <v>32</v>
      </c>
    </row>
    <row r="11" spans="4:17" x14ac:dyDescent="0.2">
      <c r="D11" s="26" t="s">
        <v>61</v>
      </c>
      <c r="E11" s="27">
        <f>7255100.58-3333333.33</f>
        <v>3921767.25</v>
      </c>
      <c r="F11" s="27">
        <v>3333333.33</v>
      </c>
      <c r="G11" s="27">
        <v>143741.75</v>
      </c>
      <c r="H11" s="27">
        <v>178843</v>
      </c>
      <c r="I11" s="27">
        <v>12632625.140000001</v>
      </c>
      <c r="J11" s="27">
        <v>51000</v>
      </c>
      <c r="K11" s="27">
        <v>180</v>
      </c>
      <c r="L11" s="27"/>
      <c r="M11" s="27">
        <v>7200</v>
      </c>
      <c r="N11" s="27">
        <v>185</v>
      </c>
      <c r="O11" s="27">
        <v>2000</v>
      </c>
      <c r="P11" s="27">
        <v>100000</v>
      </c>
      <c r="Q11" s="27">
        <f>SUM(E11:P11)</f>
        <v>20370875.469999999</v>
      </c>
    </row>
    <row r="12" spans="4:17" x14ac:dyDescent="0.2">
      <c r="D12" s="26" t="s">
        <v>246</v>
      </c>
      <c r="E12" s="29">
        <v>3921767.22</v>
      </c>
      <c r="F12" s="29">
        <v>3333333.34</v>
      </c>
      <c r="G12" s="5">
        <f>85645.9+10908.1+3200</f>
        <v>99754</v>
      </c>
      <c r="H12" s="5">
        <v>297736.92</v>
      </c>
      <c r="I12" s="5">
        <v>12632625.140000001</v>
      </c>
      <c r="J12" s="5">
        <v>70807.839999999997</v>
      </c>
      <c r="K12" s="5">
        <v>80</v>
      </c>
      <c r="L12" s="5"/>
      <c r="M12" s="5">
        <v>10737</v>
      </c>
      <c r="N12" s="5"/>
      <c r="O12" s="5">
        <v>870</v>
      </c>
      <c r="P12" s="5">
        <f>58900+7000</f>
        <v>65900</v>
      </c>
      <c r="Q12" s="5">
        <f>SUM(E12:P12)</f>
        <v>20433611.460000001</v>
      </c>
    </row>
    <row r="13" spans="4:17" x14ac:dyDescent="0.2">
      <c r="D13" s="26" t="s">
        <v>62</v>
      </c>
      <c r="E13" s="28">
        <f>E12-E11</f>
        <v>-2.9999999795109034E-2</v>
      </c>
      <c r="F13" s="28">
        <f>F12-F11</f>
        <v>9.9999997764825821E-3</v>
      </c>
      <c r="G13" s="28">
        <f t="shared" ref="G13" si="0">G12-G11</f>
        <v>-43987.75</v>
      </c>
      <c r="H13" s="28">
        <f t="shared" ref="H13" si="1">H12-H11</f>
        <v>118893.91999999998</v>
      </c>
      <c r="I13" s="28">
        <f t="shared" ref="I13" si="2">I12-I11</f>
        <v>0</v>
      </c>
      <c r="J13" s="28">
        <f t="shared" ref="J13" si="3">J12-J11</f>
        <v>19807.839999999997</v>
      </c>
      <c r="K13" s="28">
        <f t="shared" ref="K13" si="4">K12-K11</f>
        <v>-100</v>
      </c>
      <c r="L13" s="28">
        <f t="shared" ref="L13" si="5">L12-L11</f>
        <v>0</v>
      </c>
      <c r="M13" s="28">
        <f t="shared" ref="M13" si="6">M12-M11</f>
        <v>3537</v>
      </c>
      <c r="N13" s="28">
        <f t="shared" ref="N13" si="7">N12-N11</f>
        <v>-185</v>
      </c>
      <c r="O13" s="28">
        <f t="shared" ref="O13" si="8">O12-O11</f>
        <v>-1130</v>
      </c>
      <c r="P13" s="28">
        <f t="shared" ref="P13" si="9">P12-P11</f>
        <v>-34100</v>
      </c>
      <c r="Q13" s="28">
        <f t="shared" ref="Q13" si="10">Q12-Q11</f>
        <v>62735.990000002086</v>
      </c>
    </row>
    <row r="14" spans="4:17" x14ac:dyDescent="0.2">
      <c r="D14" s="26" t="s">
        <v>34</v>
      </c>
      <c r="E14" s="29">
        <f t="shared" ref="E14:E24" si="11">7255100.58-3333333.33</f>
        <v>3921767.25</v>
      </c>
      <c r="F14" s="29">
        <v>3333333.33</v>
      </c>
      <c r="G14" s="5">
        <v>198742</v>
      </c>
      <c r="H14" s="5">
        <v>178843</v>
      </c>
      <c r="I14" s="5"/>
      <c r="J14" s="5">
        <v>51000</v>
      </c>
      <c r="K14" s="5">
        <v>180</v>
      </c>
      <c r="L14" s="5"/>
      <c r="M14" s="5">
        <v>7200</v>
      </c>
      <c r="N14" s="5">
        <v>176</v>
      </c>
      <c r="O14" s="5">
        <v>2000</v>
      </c>
      <c r="P14" s="5">
        <v>100000</v>
      </c>
      <c r="Q14" s="5">
        <f t="shared" ref="Q14:Q25" si="12">SUM(E14:P14)</f>
        <v>7793241.5800000001</v>
      </c>
    </row>
    <row r="15" spans="4:17" x14ac:dyDescent="0.2">
      <c r="D15" s="26" t="s">
        <v>35</v>
      </c>
      <c r="E15" s="29">
        <f t="shared" si="11"/>
        <v>3921767.25</v>
      </c>
      <c r="F15" s="29">
        <v>3333333.33</v>
      </c>
      <c r="G15" s="5">
        <v>231142</v>
      </c>
      <c r="H15" s="5">
        <v>178843</v>
      </c>
      <c r="I15" s="5"/>
      <c r="J15" s="5">
        <v>51000</v>
      </c>
      <c r="K15" s="5">
        <v>180</v>
      </c>
      <c r="L15" s="5"/>
      <c r="M15" s="5">
        <v>7200</v>
      </c>
      <c r="N15" s="5">
        <v>175</v>
      </c>
      <c r="O15" s="5">
        <v>2000</v>
      </c>
      <c r="P15" s="5">
        <v>100000</v>
      </c>
      <c r="Q15" s="5">
        <f t="shared" si="12"/>
        <v>7825640.5800000001</v>
      </c>
    </row>
    <row r="16" spans="4:17" x14ac:dyDescent="0.2">
      <c r="D16" s="26" t="s">
        <v>36</v>
      </c>
      <c r="E16" s="29">
        <f t="shared" si="11"/>
        <v>3921767.25</v>
      </c>
      <c r="F16" s="29">
        <v>3333333.33</v>
      </c>
      <c r="G16" s="5">
        <v>258742</v>
      </c>
      <c r="H16" s="5">
        <v>178843</v>
      </c>
      <c r="I16" s="5"/>
      <c r="J16" s="5">
        <v>51000</v>
      </c>
      <c r="K16" s="5">
        <v>180</v>
      </c>
      <c r="L16" s="5"/>
      <c r="M16" s="5">
        <v>7200</v>
      </c>
      <c r="N16" s="5">
        <v>195</v>
      </c>
      <c r="O16" s="5">
        <v>2000</v>
      </c>
      <c r="P16" s="5">
        <v>100000</v>
      </c>
      <c r="Q16" s="5">
        <f t="shared" si="12"/>
        <v>7853260.5800000001</v>
      </c>
    </row>
    <row r="17" spans="1:20" x14ac:dyDescent="0.2">
      <c r="D17" s="26" t="s">
        <v>37</v>
      </c>
      <c r="E17" s="29">
        <f t="shared" si="11"/>
        <v>3921767.25</v>
      </c>
      <c r="F17" s="29">
        <v>3333333.33</v>
      </c>
      <c r="G17" s="5">
        <v>223742</v>
      </c>
      <c r="H17" s="5">
        <v>178843</v>
      </c>
      <c r="I17" s="5"/>
      <c r="J17" s="5">
        <v>51000</v>
      </c>
      <c r="K17" s="5">
        <v>180</v>
      </c>
      <c r="L17" s="5"/>
      <c r="M17" s="5">
        <v>7200</v>
      </c>
      <c r="N17" s="5">
        <v>184</v>
      </c>
      <c r="O17" s="5">
        <v>2000</v>
      </c>
      <c r="P17" s="5">
        <v>100000</v>
      </c>
      <c r="Q17" s="5">
        <f t="shared" si="12"/>
        <v>7818249.5800000001</v>
      </c>
    </row>
    <row r="18" spans="1:20" x14ac:dyDescent="0.2">
      <c r="D18" s="26" t="s">
        <v>38</v>
      </c>
      <c r="E18" s="29">
        <f t="shared" si="11"/>
        <v>3921767.25</v>
      </c>
      <c r="F18" s="29">
        <v>3333333.33</v>
      </c>
      <c r="G18" s="5">
        <v>223741.75</v>
      </c>
      <c r="H18" s="5">
        <v>178843</v>
      </c>
      <c r="I18" s="5"/>
      <c r="J18" s="5">
        <v>51000</v>
      </c>
      <c r="K18" s="5">
        <v>180</v>
      </c>
      <c r="L18" s="5"/>
      <c r="M18" s="5">
        <v>7200</v>
      </c>
      <c r="N18" s="5">
        <v>182</v>
      </c>
      <c r="O18" s="5">
        <v>2000</v>
      </c>
      <c r="P18" s="5">
        <v>100000</v>
      </c>
      <c r="Q18" s="5">
        <f t="shared" si="12"/>
        <v>7818247.3300000001</v>
      </c>
    </row>
    <row r="19" spans="1:20" x14ac:dyDescent="0.2">
      <c r="D19" s="26" t="s">
        <v>39</v>
      </c>
      <c r="E19" s="29">
        <f t="shared" si="11"/>
        <v>3921767.25</v>
      </c>
      <c r="F19" s="29">
        <v>3333333.33</v>
      </c>
      <c r="G19" s="5">
        <v>223741.75</v>
      </c>
      <c r="H19" s="5">
        <v>178843</v>
      </c>
      <c r="I19" s="5"/>
      <c r="J19" s="5">
        <v>51000</v>
      </c>
      <c r="K19" s="5">
        <v>180</v>
      </c>
      <c r="L19" s="5"/>
      <c r="M19" s="5">
        <v>10800</v>
      </c>
      <c r="N19" s="5">
        <v>235</v>
      </c>
      <c r="O19" s="5">
        <v>2000</v>
      </c>
      <c r="P19" s="5">
        <v>100000</v>
      </c>
      <c r="Q19" s="5">
        <f t="shared" si="12"/>
        <v>7821900.3300000001</v>
      </c>
    </row>
    <row r="20" spans="1:20" x14ac:dyDescent="0.2">
      <c r="D20" s="26" t="s">
        <v>40</v>
      </c>
      <c r="E20" s="29">
        <f t="shared" si="11"/>
        <v>3921767.25</v>
      </c>
      <c r="F20" s="29">
        <v>3333333.33</v>
      </c>
      <c r="G20" s="5">
        <f>223741.75+25000</f>
        <v>248741.75</v>
      </c>
      <c r="H20" s="5">
        <v>178843</v>
      </c>
      <c r="I20" s="5"/>
      <c r="J20" s="5">
        <v>51000</v>
      </c>
      <c r="K20" s="5">
        <v>180</v>
      </c>
      <c r="L20" s="5"/>
      <c r="M20" s="5">
        <v>10800</v>
      </c>
      <c r="N20" s="5">
        <v>290</v>
      </c>
      <c r="O20" s="5">
        <v>2000</v>
      </c>
      <c r="P20" s="5">
        <v>100000</v>
      </c>
      <c r="Q20" s="5">
        <f t="shared" si="12"/>
        <v>7846955.3300000001</v>
      </c>
    </row>
    <row r="21" spans="1:20" x14ac:dyDescent="0.2">
      <c r="D21" s="26" t="s">
        <v>41</v>
      </c>
      <c r="E21" s="29">
        <f t="shared" si="11"/>
        <v>3921767.25</v>
      </c>
      <c r="F21" s="29">
        <v>3333333.33</v>
      </c>
      <c r="G21" s="5">
        <v>223741.75</v>
      </c>
      <c r="H21" s="5">
        <v>178843</v>
      </c>
      <c r="I21" s="5"/>
      <c r="J21" s="5">
        <v>51000</v>
      </c>
      <c r="K21" s="5">
        <v>180</v>
      </c>
      <c r="L21" s="5"/>
      <c r="M21" s="5">
        <v>10800</v>
      </c>
      <c r="N21" s="5">
        <v>293</v>
      </c>
      <c r="O21" s="5">
        <v>2000</v>
      </c>
      <c r="P21" s="5">
        <v>100000</v>
      </c>
      <c r="Q21" s="5">
        <f t="shared" si="12"/>
        <v>7821958.3300000001</v>
      </c>
    </row>
    <row r="22" spans="1:20" x14ac:dyDescent="0.2">
      <c r="D22" s="26" t="s">
        <v>42</v>
      </c>
      <c r="E22" s="29">
        <f t="shared" si="11"/>
        <v>3921767.25</v>
      </c>
      <c r="F22" s="29">
        <v>3333333.33</v>
      </c>
      <c r="G22" s="5">
        <v>223741.75</v>
      </c>
      <c r="H22" s="5">
        <v>178843</v>
      </c>
      <c r="I22" s="5"/>
      <c r="J22" s="5">
        <v>51000</v>
      </c>
      <c r="K22" s="5">
        <v>180</v>
      </c>
      <c r="L22" s="5"/>
      <c r="M22" s="5">
        <v>10800</v>
      </c>
      <c r="N22" s="5">
        <v>205</v>
      </c>
      <c r="O22" s="5">
        <v>2000</v>
      </c>
      <c r="P22" s="5">
        <v>100000</v>
      </c>
      <c r="Q22" s="5">
        <f t="shared" si="12"/>
        <v>7821870.3300000001</v>
      </c>
    </row>
    <row r="23" spans="1:20" x14ac:dyDescent="0.2">
      <c r="D23" s="26" t="s">
        <v>43</v>
      </c>
      <c r="E23" s="29">
        <f t="shared" si="11"/>
        <v>3921767.25</v>
      </c>
      <c r="F23" s="29">
        <v>3333333.33</v>
      </c>
      <c r="G23" s="5">
        <v>223741.75</v>
      </c>
      <c r="H23" s="5">
        <v>178843</v>
      </c>
      <c r="I23" s="5"/>
      <c r="J23" s="5">
        <v>51000</v>
      </c>
      <c r="K23" s="5">
        <v>180</v>
      </c>
      <c r="L23" s="5"/>
      <c r="M23" s="5">
        <v>10800</v>
      </c>
      <c r="N23" s="5">
        <v>210</v>
      </c>
      <c r="O23" s="5">
        <v>2000</v>
      </c>
      <c r="P23" s="5">
        <v>100000</v>
      </c>
      <c r="Q23" s="5">
        <f t="shared" si="12"/>
        <v>7821875.3300000001</v>
      </c>
    </row>
    <row r="24" spans="1:20" x14ac:dyDescent="0.2">
      <c r="D24" s="26" t="s">
        <v>44</v>
      </c>
      <c r="E24" s="29">
        <f t="shared" si="11"/>
        <v>3921767.25</v>
      </c>
      <c r="F24" s="29">
        <v>3333333.33</v>
      </c>
      <c r="G24" s="5">
        <f>223741.75+80000</f>
        <v>303741.75</v>
      </c>
      <c r="H24" s="5">
        <v>400000</v>
      </c>
      <c r="I24" s="5"/>
      <c r="J24" s="5">
        <v>51000</v>
      </c>
      <c r="K24" s="5">
        <v>180</v>
      </c>
      <c r="L24" s="5"/>
      <c r="M24" s="5">
        <v>10800</v>
      </c>
      <c r="N24" s="5">
        <v>250</v>
      </c>
      <c r="O24" s="5">
        <v>2615.83</v>
      </c>
      <c r="P24" s="5">
        <v>500000</v>
      </c>
      <c r="Q24" s="5">
        <f t="shared" si="12"/>
        <v>8523688.1600000001</v>
      </c>
    </row>
    <row r="25" spans="1:20" s="7" customFormat="1" x14ac:dyDescent="0.2">
      <c r="A25" s="17"/>
      <c r="B25" s="17"/>
      <c r="C25" s="17"/>
      <c r="D25" s="26" t="s">
        <v>45</v>
      </c>
      <c r="E25" s="30">
        <f t="shared" ref="E25:P25" si="13">E11+E14+E15+E16+E17+E18+E19+E20+E21+E22+E23+E24</f>
        <v>47061207</v>
      </c>
      <c r="F25" s="30">
        <f t="shared" si="13"/>
        <v>39999999.959999993</v>
      </c>
      <c r="G25" s="30">
        <f t="shared" si="13"/>
        <v>2727302</v>
      </c>
      <c r="H25" s="30">
        <f t="shared" si="13"/>
        <v>2367273</v>
      </c>
      <c r="I25" s="30">
        <f t="shared" si="13"/>
        <v>12632625.140000001</v>
      </c>
      <c r="J25" s="30">
        <f t="shared" si="13"/>
        <v>612000</v>
      </c>
      <c r="K25" s="30">
        <f t="shared" si="13"/>
        <v>2160</v>
      </c>
      <c r="L25" s="30">
        <f t="shared" si="13"/>
        <v>0</v>
      </c>
      <c r="M25" s="30">
        <f t="shared" si="13"/>
        <v>108000</v>
      </c>
      <c r="N25" s="30">
        <f t="shared" si="13"/>
        <v>2580</v>
      </c>
      <c r="O25" s="30">
        <f t="shared" si="13"/>
        <v>24615.83</v>
      </c>
      <c r="P25" s="30">
        <f t="shared" si="13"/>
        <v>1600000</v>
      </c>
      <c r="Q25" s="30">
        <f t="shared" si="12"/>
        <v>107137762.92999999</v>
      </c>
      <c r="R25" s="17"/>
      <c r="S25" s="17"/>
      <c r="T25" s="17"/>
    </row>
    <row r="26" spans="1:20" s="7" customFormat="1" x14ac:dyDescent="0.2">
      <c r="A26" s="17"/>
      <c r="B26" s="17"/>
      <c r="C26" s="17"/>
      <c r="D26" s="183" t="s">
        <v>244</v>
      </c>
      <c r="E26" s="55">
        <f t="shared" ref="E26:Q26" si="14">E11</f>
        <v>3921767.25</v>
      </c>
      <c r="F26" s="55">
        <f t="shared" si="14"/>
        <v>3333333.33</v>
      </c>
      <c r="G26" s="55">
        <f t="shared" si="14"/>
        <v>143741.75</v>
      </c>
      <c r="H26" s="55">
        <f t="shared" si="14"/>
        <v>178843</v>
      </c>
      <c r="I26" s="55">
        <f t="shared" si="14"/>
        <v>12632625.140000001</v>
      </c>
      <c r="J26" s="55">
        <f t="shared" si="14"/>
        <v>51000</v>
      </c>
      <c r="K26" s="55">
        <f t="shared" si="14"/>
        <v>180</v>
      </c>
      <c r="L26" s="55">
        <f t="shared" si="14"/>
        <v>0</v>
      </c>
      <c r="M26" s="55">
        <f t="shared" si="14"/>
        <v>7200</v>
      </c>
      <c r="N26" s="55">
        <f t="shared" si="14"/>
        <v>185</v>
      </c>
      <c r="O26" s="55">
        <f t="shared" si="14"/>
        <v>2000</v>
      </c>
      <c r="P26" s="55">
        <f t="shared" si="14"/>
        <v>100000</v>
      </c>
      <c r="Q26" s="55">
        <f t="shared" si="14"/>
        <v>20370875.469999999</v>
      </c>
      <c r="R26" s="17"/>
      <c r="S26" s="17"/>
      <c r="T26" s="17"/>
    </row>
    <row r="27" spans="1:20" s="7" customFormat="1" x14ac:dyDescent="0.2">
      <c r="A27" s="17"/>
      <c r="B27" s="17"/>
      <c r="C27" s="17"/>
      <c r="D27" s="184" t="s">
        <v>245</v>
      </c>
      <c r="E27" s="56">
        <f t="shared" ref="E27:Q27" si="15">E12</f>
        <v>3921767.22</v>
      </c>
      <c r="F27" s="56">
        <f t="shared" si="15"/>
        <v>3333333.34</v>
      </c>
      <c r="G27" s="56">
        <f t="shared" si="15"/>
        <v>99754</v>
      </c>
      <c r="H27" s="56">
        <f t="shared" si="15"/>
        <v>297736.92</v>
      </c>
      <c r="I27" s="56">
        <f t="shared" si="15"/>
        <v>12632625.140000001</v>
      </c>
      <c r="J27" s="56">
        <f t="shared" si="15"/>
        <v>70807.839999999997</v>
      </c>
      <c r="K27" s="56">
        <f t="shared" si="15"/>
        <v>80</v>
      </c>
      <c r="L27" s="56">
        <f t="shared" si="15"/>
        <v>0</v>
      </c>
      <c r="M27" s="56">
        <f t="shared" si="15"/>
        <v>10737</v>
      </c>
      <c r="N27" s="56">
        <f t="shared" si="15"/>
        <v>0</v>
      </c>
      <c r="O27" s="56">
        <f t="shared" si="15"/>
        <v>870</v>
      </c>
      <c r="P27" s="56">
        <f t="shared" si="15"/>
        <v>65900</v>
      </c>
      <c r="Q27" s="56">
        <f t="shared" si="15"/>
        <v>20433611.460000001</v>
      </c>
      <c r="R27" s="17"/>
      <c r="S27" s="17"/>
      <c r="T27" s="17"/>
    </row>
    <row r="28" spans="1:20" s="7" customFormat="1" x14ac:dyDescent="0.2">
      <c r="A28" s="17"/>
      <c r="B28" s="17"/>
      <c r="C28" s="17"/>
      <c r="D28" s="184" t="s">
        <v>97</v>
      </c>
      <c r="E28" s="57">
        <f>E27-E26</f>
        <v>-2.9999999795109034E-2</v>
      </c>
      <c r="F28" s="57">
        <f>F27-F26</f>
        <v>9.9999997764825821E-3</v>
      </c>
      <c r="G28" s="57">
        <f t="shared" ref="G28:Q28" si="16">G27-G26</f>
        <v>-43987.75</v>
      </c>
      <c r="H28" s="57">
        <f t="shared" si="16"/>
        <v>118893.91999999998</v>
      </c>
      <c r="I28" s="57">
        <f t="shared" si="16"/>
        <v>0</v>
      </c>
      <c r="J28" s="57">
        <f t="shared" si="16"/>
        <v>19807.839999999997</v>
      </c>
      <c r="K28" s="57">
        <f t="shared" si="16"/>
        <v>-100</v>
      </c>
      <c r="L28" s="57">
        <f t="shared" si="16"/>
        <v>0</v>
      </c>
      <c r="M28" s="57">
        <f t="shared" si="16"/>
        <v>3537</v>
      </c>
      <c r="N28" s="57">
        <f t="shared" si="16"/>
        <v>-185</v>
      </c>
      <c r="O28" s="57">
        <f t="shared" si="16"/>
        <v>-1130</v>
      </c>
      <c r="P28" s="57">
        <f t="shared" si="16"/>
        <v>-34100</v>
      </c>
      <c r="Q28" s="57">
        <f t="shared" si="16"/>
        <v>62735.990000002086</v>
      </c>
      <c r="R28" s="17"/>
      <c r="S28" s="17"/>
      <c r="T28" s="17"/>
    </row>
    <row r="29" spans="1:20" s="2" customFormat="1" x14ac:dyDescent="0.2">
      <c r="D29" s="8" t="s">
        <v>46</v>
      </c>
      <c r="E29" s="8">
        <v>1</v>
      </c>
      <c r="F29" s="8">
        <v>1</v>
      </c>
      <c r="G29" s="8">
        <v>2</v>
      </c>
      <c r="H29" s="8">
        <v>3</v>
      </c>
      <c r="I29" s="8"/>
      <c r="J29" s="8">
        <v>4</v>
      </c>
      <c r="K29" s="8">
        <v>5</v>
      </c>
      <c r="L29" s="8">
        <v>6</v>
      </c>
      <c r="M29" s="8">
        <v>7</v>
      </c>
      <c r="N29" s="8">
        <v>8</v>
      </c>
      <c r="O29" s="8">
        <v>9</v>
      </c>
      <c r="P29" s="8">
        <v>10</v>
      </c>
      <c r="Q29" s="9" t="s">
        <v>47</v>
      </c>
      <c r="R29" s="16"/>
      <c r="S29" s="16"/>
      <c r="T29" s="16"/>
    </row>
    <row r="30" spans="1:20" s="2" customFormat="1" x14ac:dyDescent="0.2">
      <c r="D30" s="10" t="s">
        <v>48</v>
      </c>
      <c r="E30" s="11">
        <f>+E25*100/Q25</f>
        <v>43.925881699385606</v>
      </c>
      <c r="F30" s="11">
        <f>+F25*100/Q25</f>
        <v>37.335108430567637</v>
      </c>
      <c r="G30" s="11">
        <f>+G25*100/Q25</f>
        <v>2.5456028998682028</v>
      </c>
      <c r="H30" s="11">
        <f>+H25*100/Q25</f>
        <v>2.2095598557034388</v>
      </c>
      <c r="I30" s="11">
        <f>+I25*100/Q25</f>
        <v>11.791010745906378</v>
      </c>
      <c r="J30" s="11">
        <f>+J25*100/Q25</f>
        <v>0.57122715955891201</v>
      </c>
      <c r="K30" s="11">
        <f>+K25*100/Q25</f>
        <v>2.0160958572667483E-3</v>
      </c>
      <c r="L30" s="11">
        <f>+L25*100/Q25</f>
        <v>0</v>
      </c>
      <c r="M30" s="11">
        <f>+M25*100/Q25</f>
        <v>0.10080479286333742</v>
      </c>
      <c r="N30" s="11">
        <f>+N25*100/Q25</f>
        <v>2.4081144961797273E-3</v>
      </c>
      <c r="O30" s="11">
        <f>+O25*100/Q25</f>
        <v>2.2975867076936364E-2</v>
      </c>
      <c r="P30" s="11">
        <f>+P25*100/Q25</f>
        <v>1.49340433871611</v>
      </c>
      <c r="Q30" s="12">
        <f>SUM(E30:P30)</f>
        <v>100</v>
      </c>
      <c r="R30" s="16"/>
      <c r="S30" s="16"/>
      <c r="T30" s="16"/>
    </row>
    <row r="31" spans="1:20" x14ac:dyDescent="0.2">
      <c r="D31" s="13"/>
      <c r="E31" s="13"/>
      <c r="F31" s="13"/>
      <c r="G31" s="14"/>
      <c r="H31" s="6"/>
      <c r="I31" s="6"/>
      <c r="J31" s="6"/>
      <c r="K31" s="6"/>
      <c r="L31" s="15"/>
      <c r="Q31" s="6"/>
    </row>
    <row r="32" spans="1:20" x14ac:dyDescent="0.2">
      <c r="C32" s="110"/>
      <c r="D32" s="107"/>
      <c r="E32" s="107"/>
      <c r="F32" s="107"/>
      <c r="G32" s="108"/>
      <c r="H32" s="96"/>
      <c r="I32" s="96"/>
      <c r="J32" s="96"/>
      <c r="K32" s="96"/>
      <c r="L32" s="96"/>
      <c r="M32" s="96"/>
      <c r="N32" s="96"/>
      <c r="O32" s="96"/>
      <c r="P32" s="99"/>
      <c r="Q32" s="96"/>
    </row>
    <row r="33" spans="3:17" x14ac:dyDescent="0.2">
      <c r="C33" s="110"/>
      <c r="D33" s="107"/>
      <c r="E33" s="107"/>
      <c r="F33" s="107"/>
      <c r="G33" s="108"/>
      <c r="H33" s="96"/>
      <c r="I33" s="281" t="s">
        <v>229</v>
      </c>
      <c r="J33" s="282"/>
      <c r="K33" s="282"/>
      <c r="L33" s="282"/>
      <c r="M33" s="283"/>
      <c r="N33" s="96"/>
      <c r="O33" s="96"/>
      <c r="P33" s="99"/>
      <c r="Q33" s="96"/>
    </row>
    <row r="34" spans="3:17" x14ac:dyDescent="0.2">
      <c r="C34" s="110"/>
      <c r="D34" s="107"/>
      <c r="E34" s="107"/>
      <c r="F34" s="107"/>
      <c r="G34" s="108"/>
      <c r="H34" s="96"/>
      <c r="I34" s="96" t="s">
        <v>230</v>
      </c>
      <c r="J34" s="96"/>
      <c r="K34" s="96"/>
      <c r="L34" s="96"/>
      <c r="M34" s="122">
        <v>87061206.959999993</v>
      </c>
      <c r="N34" s="96"/>
      <c r="O34" s="96"/>
      <c r="P34" s="99"/>
      <c r="Q34" s="96"/>
    </row>
    <row r="35" spans="3:17" x14ac:dyDescent="0.2">
      <c r="C35" s="110"/>
      <c r="D35" s="107"/>
      <c r="E35" s="107"/>
      <c r="F35" s="107"/>
      <c r="G35" s="108"/>
      <c r="H35" s="96" t="s">
        <v>83</v>
      </c>
      <c r="I35" s="96" t="s">
        <v>231</v>
      </c>
      <c r="J35" s="96"/>
      <c r="K35" s="96"/>
      <c r="L35" s="96"/>
      <c r="M35" s="96">
        <v>20076555</v>
      </c>
      <c r="N35" s="96"/>
      <c r="O35" s="96"/>
      <c r="P35" s="99"/>
      <c r="Q35" s="96"/>
    </row>
    <row r="36" spans="3:17" x14ac:dyDescent="0.2">
      <c r="C36" s="110"/>
      <c r="D36" s="107"/>
      <c r="E36" s="107"/>
      <c r="F36" s="107"/>
      <c r="G36" s="108"/>
      <c r="H36" s="96"/>
      <c r="I36" s="96" t="s">
        <v>232</v>
      </c>
      <c r="J36" s="96"/>
      <c r="K36" s="96"/>
      <c r="L36" s="122">
        <v>12632625</v>
      </c>
      <c r="M36" s="96"/>
      <c r="N36" s="96"/>
      <c r="O36" s="96"/>
      <c r="P36" s="99"/>
      <c r="Q36" s="96"/>
    </row>
    <row r="37" spans="3:17" x14ac:dyDescent="0.2">
      <c r="C37" s="110"/>
      <c r="D37" s="107"/>
      <c r="E37" s="107"/>
      <c r="F37" s="107"/>
      <c r="G37" s="108"/>
      <c r="H37" s="96"/>
      <c r="I37" s="96" t="s">
        <v>233</v>
      </c>
      <c r="J37" s="96"/>
      <c r="K37" s="96"/>
      <c r="L37" s="96">
        <v>7443930</v>
      </c>
      <c r="M37" s="96"/>
      <c r="N37" s="96"/>
      <c r="O37" s="96"/>
      <c r="P37" s="99"/>
      <c r="Q37" s="96"/>
    </row>
    <row r="38" spans="3:17" x14ac:dyDescent="0.2">
      <c r="C38" s="110"/>
      <c r="D38" s="107"/>
      <c r="E38" s="107"/>
      <c r="F38" s="107"/>
      <c r="G38" s="108"/>
      <c r="H38" s="96" t="s">
        <v>95</v>
      </c>
      <c r="I38" s="96" t="s">
        <v>234</v>
      </c>
      <c r="J38" s="96"/>
      <c r="K38" s="96"/>
      <c r="L38" s="96"/>
      <c r="M38" s="123">
        <f>SUM(M34:M37)</f>
        <v>107137761.95999999</v>
      </c>
      <c r="N38" s="96"/>
      <c r="O38" s="96"/>
      <c r="P38" s="99"/>
      <c r="Q38" s="96"/>
    </row>
    <row r="39" spans="3:17" x14ac:dyDescent="0.2">
      <c r="C39" s="110"/>
      <c r="D39" s="107"/>
      <c r="E39" s="107"/>
      <c r="F39" s="107"/>
      <c r="G39" s="108"/>
      <c r="H39" s="96"/>
      <c r="I39" s="96"/>
      <c r="J39" s="96"/>
      <c r="K39" s="96"/>
      <c r="L39" s="96"/>
      <c r="M39" s="96"/>
      <c r="N39" s="96"/>
      <c r="O39" s="96"/>
      <c r="P39" s="99"/>
      <c r="Q39" s="96"/>
    </row>
    <row r="40" spans="3:17" x14ac:dyDescent="0.2">
      <c r="C40" s="110"/>
      <c r="D40" s="107"/>
      <c r="E40" s="107"/>
      <c r="F40" s="107"/>
      <c r="G40" s="108"/>
      <c r="H40" s="96"/>
      <c r="I40" s="96"/>
      <c r="J40" s="96"/>
      <c r="K40" s="96"/>
      <c r="L40" s="96"/>
      <c r="M40" s="96"/>
      <c r="N40" s="96"/>
      <c r="O40" s="96"/>
      <c r="P40" s="99"/>
      <c r="Q40" s="96"/>
    </row>
    <row r="41" spans="3:17" ht="12.75" x14ac:dyDescent="0.2">
      <c r="C41" s="110"/>
      <c r="D41" s="269" t="s">
        <v>49</v>
      </c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</row>
    <row r="42" spans="3:17" x14ac:dyDescent="0.2">
      <c r="C42" s="109">
        <v>1</v>
      </c>
      <c r="D42" s="110" t="s">
        <v>242</v>
      </c>
      <c r="E42" s="110"/>
      <c r="F42" s="110"/>
      <c r="G42" s="111"/>
      <c r="H42" s="110"/>
      <c r="I42" s="110"/>
      <c r="J42" s="110"/>
      <c r="K42" s="110"/>
      <c r="L42" s="110"/>
      <c r="M42" s="110"/>
      <c r="N42" s="110"/>
      <c r="O42" s="110"/>
      <c r="P42" s="111"/>
      <c r="Q42" s="110"/>
    </row>
    <row r="43" spans="3:17" x14ac:dyDescent="0.2">
      <c r="C43" s="109"/>
      <c r="D43" s="110" t="s">
        <v>243</v>
      </c>
      <c r="E43" s="110"/>
      <c r="F43" s="110"/>
      <c r="G43" s="111"/>
      <c r="H43" s="110"/>
      <c r="I43" s="110"/>
      <c r="J43" s="110"/>
      <c r="K43" s="110"/>
      <c r="L43" s="110"/>
      <c r="M43" s="110"/>
      <c r="N43" s="110"/>
      <c r="O43" s="110"/>
      <c r="P43" s="111"/>
      <c r="Q43" s="110"/>
    </row>
    <row r="44" spans="3:17" x14ac:dyDescent="0.2">
      <c r="C44" s="109"/>
      <c r="D44" s="110" t="s">
        <v>50</v>
      </c>
      <c r="E44" s="110"/>
      <c r="F44" s="110"/>
      <c r="G44" s="111"/>
      <c r="H44" s="110"/>
      <c r="I44" s="110"/>
      <c r="J44" s="110"/>
      <c r="K44" s="110"/>
      <c r="L44" s="110"/>
      <c r="M44" s="110"/>
      <c r="N44" s="110"/>
      <c r="O44" s="110"/>
      <c r="P44" s="111"/>
      <c r="Q44" s="110"/>
    </row>
    <row r="45" spans="3:17" x14ac:dyDescent="0.2">
      <c r="C45" s="109">
        <v>2</v>
      </c>
      <c r="D45" s="110" t="s">
        <v>51</v>
      </c>
      <c r="E45" s="110"/>
      <c r="F45" s="96"/>
      <c r="G45" s="99"/>
      <c r="H45" s="96"/>
      <c r="I45" s="96"/>
      <c r="J45" s="96"/>
      <c r="K45" s="96"/>
      <c r="L45" s="96"/>
      <c r="M45" s="96"/>
      <c r="N45" s="96"/>
      <c r="O45" s="96"/>
      <c r="P45" s="112"/>
      <c r="Q45" s="96"/>
    </row>
    <row r="46" spans="3:17" x14ac:dyDescent="0.2">
      <c r="C46" s="109">
        <v>3</v>
      </c>
      <c r="D46" s="110" t="s">
        <v>52</v>
      </c>
      <c r="E46" s="110"/>
      <c r="F46" s="96"/>
      <c r="G46" s="99"/>
      <c r="H46" s="96"/>
      <c r="I46" s="96"/>
      <c r="J46" s="96"/>
      <c r="K46" s="96"/>
      <c r="L46" s="96"/>
      <c r="M46" s="96"/>
      <c r="N46" s="96"/>
      <c r="O46" s="96"/>
      <c r="P46" s="99"/>
      <c r="Q46" s="96"/>
    </row>
    <row r="47" spans="3:17" x14ac:dyDescent="0.2">
      <c r="C47" s="109">
        <v>4</v>
      </c>
      <c r="D47" s="110" t="s">
        <v>53</v>
      </c>
      <c r="E47" s="110"/>
      <c r="F47" s="96"/>
      <c r="G47" s="99"/>
      <c r="H47" s="96"/>
      <c r="I47" s="96"/>
      <c r="J47" s="96"/>
      <c r="K47" s="96"/>
      <c r="L47" s="96"/>
      <c r="M47" s="96"/>
      <c r="N47" s="96"/>
      <c r="O47" s="96"/>
      <c r="P47" s="99"/>
      <c r="Q47" s="96"/>
    </row>
    <row r="48" spans="3:17" ht="13.5" customHeight="1" x14ac:dyDescent="0.2">
      <c r="C48" s="109">
        <v>5</v>
      </c>
      <c r="D48" s="110" t="s">
        <v>54</v>
      </c>
      <c r="E48" s="110"/>
      <c r="F48" s="96"/>
      <c r="G48" s="99"/>
      <c r="H48" s="96"/>
      <c r="I48" s="96"/>
      <c r="J48" s="96"/>
      <c r="K48" s="96"/>
      <c r="L48" s="96"/>
      <c r="M48" s="96"/>
      <c r="N48" s="96"/>
      <c r="O48" s="96"/>
      <c r="P48" s="99"/>
      <c r="Q48" s="96"/>
    </row>
    <row r="49" spans="3:17" x14ac:dyDescent="0.2">
      <c r="C49" s="109">
        <v>6</v>
      </c>
      <c r="D49" s="110" t="s">
        <v>228</v>
      </c>
      <c r="E49" s="110"/>
      <c r="F49" s="96"/>
      <c r="G49" s="99"/>
      <c r="H49" s="96"/>
      <c r="I49" s="96"/>
      <c r="J49" s="96"/>
      <c r="K49" s="96"/>
      <c r="L49" s="96"/>
      <c r="M49" s="96"/>
      <c r="N49" s="96"/>
      <c r="O49" s="96"/>
      <c r="P49" s="99"/>
      <c r="Q49" s="96"/>
    </row>
    <row r="50" spans="3:17" x14ac:dyDescent="0.2">
      <c r="C50" s="109">
        <v>7</v>
      </c>
      <c r="D50" s="110" t="s">
        <v>235</v>
      </c>
      <c r="E50" s="110"/>
      <c r="F50" s="96"/>
      <c r="G50" s="99"/>
      <c r="H50" s="96"/>
      <c r="I50" s="96"/>
      <c r="J50" s="96"/>
      <c r="K50" s="96"/>
      <c r="L50" s="96"/>
      <c r="M50" s="96"/>
      <c r="N50" s="96"/>
      <c r="O50" s="96"/>
      <c r="P50" s="99"/>
      <c r="Q50" s="96"/>
    </row>
    <row r="51" spans="3:17" x14ac:dyDescent="0.2">
      <c r="C51" s="109">
        <v>8</v>
      </c>
      <c r="D51" s="110" t="s">
        <v>55</v>
      </c>
      <c r="E51" s="110"/>
      <c r="F51" s="96"/>
      <c r="G51" s="99"/>
      <c r="H51" s="96"/>
      <c r="I51" s="96"/>
      <c r="J51" s="96"/>
      <c r="K51" s="96"/>
      <c r="L51" s="96"/>
      <c r="M51" s="96"/>
      <c r="N51" s="96"/>
      <c r="O51" s="96"/>
      <c r="P51" s="99"/>
      <c r="Q51" s="96"/>
    </row>
    <row r="52" spans="3:17" x14ac:dyDescent="0.2">
      <c r="C52" s="109">
        <v>9</v>
      </c>
      <c r="D52" s="110" t="s">
        <v>56</v>
      </c>
      <c r="E52" s="110"/>
      <c r="F52" s="96"/>
      <c r="G52" s="99"/>
      <c r="H52" s="113"/>
      <c r="I52" s="113"/>
      <c r="J52" s="113"/>
      <c r="K52" s="113"/>
      <c r="L52" s="113"/>
      <c r="M52" s="113"/>
      <c r="N52" s="113"/>
      <c r="O52" s="113"/>
      <c r="P52" s="114"/>
      <c r="Q52" s="113"/>
    </row>
    <row r="53" spans="3:17" x14ac:dyDescent="0.2">
      <c r="C53" s="109">
        <v>10</v>
      </c>
      <c r="D53" s="110" t="s">
        <v>57</v>
      </c>
      <c r="E53" s="110"/>
      <c r="F53" s="96"/>
      <c r="G53" s="99"/>
      <c r="H53" s="113"/>
      <c r="I53" s="113"/>
      <c r="J53" s="113"/>
      <c r="K53" s="113"/>
      <c r="L53" s="113"/>
      <c r="M53" s="113"/>
      <c r="N53" s="113"/>
      <c r="O53" s="113"/>
      <c r="P53" s="114"/>
      <c r="Q53" s="113"/>
    </row>
    <row r="54" spans="3:17" x14ac:dyDescent="0.2">
      <c r="D54" s="18"/>
      <c r="E54" s="18"/>
      <c r="F54" s="18"/>
      <c r="G54" s="19"/>
      <c r="H54" s="18"/>
      <c r="I54" s="18"/>
      <c r="J54" s="18"/>
      <c r="K54" s="20"/>
      <c r="L54" s="20"/>
      <c r="M54" s="18"/>
      <c r="N54" s="18"/>
      <c r="O54" s="18"/>
    </row>
    <row r="55" spans="3:17" x14ac:dyDescent="0.2">
      <c r="D55" s="18"/>
      <c r="E55" s="18"/>
      <c r="F55" s="18"/>
      <c r="G55" s="19"/>
      <c r="H55" s="18"/>
      <c r="I55" s="18"/>
      <c r="J55" s="18"/>
      <c r="K55" s="20"/>
      <c r="L55" s="20"/>
      <c r="M55" s="18"/>
      <c r="N55" s="18"/>
      <c r="O55" s="18"/>
    </row>
    <row r="56" spans="3:17" x14ac:dyDescent="0.2">
      <c r="D56" s="18"/>
      <c r="E56" s="18"/>
      <c r="F56" s="18"/>
      <c r="G56" s="19"/>
      <c r="H56" s="18"/>
      <c r="I56" s="18"/>
      <c r="J56" s="18"/>
      <c r="K56" s="19"/>
      <c r="L56" s="19"/>
      <c r="M56" s="18"/>
      <c r="N56" s="18"/>
      <c r="O56" s="18"/>
    </row>
    <row r="57" spans="3:17" x14ac:dyDescent="0.2">
      <c r="D57" s="18"/>
      <c r="E57" s="18"/>
      <c r="F57" s="18"/>
      <c r="G57" s="19"/>
      <c r="H57" s="18"/>
      <c r="I57" s="18"/>
      <c r="J57" s="18"/>
      <c r="K57" s="19"/>
      <c r="L57" s="19"/>
      <c r="M57" s="18"/>
      <c r="N57" s="18"/>
      <c r="O57" s="18"/>
    </row>
    <row r="58" spans="3:17" x14ac:dyDescent="0.2">
      <c r="D58" s="18"/>
      <c r="E58" s="18"/>
      <c r="F58" s="18"/>
      <c r="G58" s="19"/>
      <c r="H58" s="18"/>
      <c r="I58" s="18"/>
      <c r="J58" s="18"/>
      <c r="K58" s="19"/>
      <c r="L58" s="19"/>
      <c r="M58" s="18"/>
      <c r="N58" s="18"/>
      <c r="O58" s="18"/>
    </row>
    <row r="59" spans="3:17" x14ac:dyDescent="0.2">
      <c r="D59" s="18"/>
      <c r="E59" s="18"/>
      <c r="F59" s="18"/>
      <c r="G59" s="19"/>
      <c r="H59" s="18"/>
      <c r="I59" s="18"/>
      <c r="J59" s="18"/>
      <c r="K59" s="19"/>
      <c r="L59" s="19"/>
      <c r="M59" s="18"/>
      <c r="N59" s="18"/>
      <c r="O59" s="18"/>
    </row>
    <row r="60" spans="3:17" x14ac:dyDescent="0.2">
      <c r="D60" s="18"/>
      <c r="E60" s="18"/>
      <c r="F60" s="18"/>
      <c r="G60" s="19"/>
      <c r="H60" s="18"/>
      <c r="I60" s="18"/>
      <c r="J60" s="18"/>
      <c r="K60" s="19"/>
      <c r="L60" s="19"/>
      <c r="M60" s="18"/>
      <c r="N60" s="18"/>
      <c r="O60" s="18"/>
    </row>
    <row r="61" spans="3:17" x14ac:dyDescent="0.2">
      <c r="D61" s="21"/>
      <c r="E61" s="21"/>
      <c r="F61" s="21"/>
      <c r="G61" s="24"/>
      <c r="H61" s="18"/>
      <c r="I61" s="18"/>
      <c r="J61" s="18"/>
      <c r="K61" s="22"/>
      <c r="L61" s="22"/>
      <c r="M61" s="25"/>
      <c r="N61" s="18"/>
      <c r="O61" s="18"/>
    </row>
    <row r="62" spans="3:17" x14ac:dyDescent="0.2">
      <c r="D62" s="18"/>
      <c r="E62" s="18"/>
      <c r="F62" s="18"/>
      <c r="G62" s="19"/>
      <c r="H62" s="18"/>
      <c r="I62" s="18"/>
      <c r="J62" s="18"/>
      <c r="K62" s="18"/>
      <c r="L62" s="18"/>
      <c r="M62" s="23"/>
      <c r="N62" s="18"/>
      <c r="O62" s="18"/>
    </row>
    <row r="63" spans="3:17" x14ac:dyDescent="0.2">
      <c r="D63" s="18"/>
      <c r="E63" s="18"/>
      <c r="F63" s="18"/>
      <c r="G63" s="19"/>
      <c r="H63" s="18"/>
      <c r="I63" s="18"/>
      <c r="J63" s="18"/>
      <c r="K63" s="18"/>
      <c r="L63" s="18"/>
      <c r="M63" s="18"/>
      <c r="N63" s="18"/>
      <c r="O63" s="18"/>
    </row>
    <row r="64" spans="3:17" x14ac:dyDescent="0.2">
      <c r="D64" s="18"/>
      <c r="E64" s="18"/>
      <c r="F64" s="18"/>
      <c r="G64" s="19"/>
      <c r="H64" s="18"/>
      <c r="I64" s="18"/>
      <c r="J64" s="18"/>
      <c r="K64" s="18"/>
      <c r="L64" s="18"/>
      <c r="M64" s="23"/>
      <c r="N64" s="18"/>
      <c r="O64" s="18"/>
    </row>
    <row r="65" spans="4:15" x14ac:dyDescent="0.2">
      <c r="D65" s="18"/>
      <c r="E65" s="18"/>
      <c r="F65" s="18"/>
      <c r="G65" s="19"/>
      <c r="H65" s="18"/>
      <c r="I65" s="18"/>
      <c r="J65" s="18"/>
      <c r="K65" s="18"/>
      <c r="L65" s="18"/>
      <c r="M65" s="18"/>
      <c r="N65" s="18"/>
      <c r="O65" s="18"/>
    </row>
    <row r="66" spans="4:15" x14ac:dyDescent="0.2">
      <c r="D66" s="18"/>
      <c r="E66" s="18"/>
      <c r="F66" s="18"/>
      <c r="G66" s="19"/>
      <c r="H66" s="18"/>
      <c r="I66" s="18"/>
      <c r="J66" s="18"/>
      <c r="K66" s="18"/>
      <c r="L66" s="18"/>
      <c r="M66" s="18"/>
      <c r="N66" s="18"/>
      <c r="O66" s="18"/>
    </row>
    <row r="67" spans="4:15" x14ac:dyDescent="0.2">
      <c r="D67" s="18"/>
      <c r="E67" s="18"/>
      <c r="F67" s="18"/>
      <c r="G67" s="19"/>
      <c r="H67" s="18"/>
      <c r="I67" s="18"/>
      <c r="J67" s="18"/>
      <c r="K67" s="18"/>
      <c r="L67" s="18"/>
      <c r="M67" s="18"/>
      <c r="N67" s="18"/>
      <c r="O67" s="18"/>
    </row>
    <row r="68" spans="4:15" x14ac:dyDescent="0.2">
      <c r="D68" s="18"/>
      <c r="E68" s="18"/>
      <c r="F68" s="18"/>
      <c r="G68" s="19"/>
      <c r="H68" s="18"/>
      <c r="I68" s="18"/>
      <c r="J68" s="18"/>
      <c r="K68" s="18"/>
      <c r="L68" s="18"/>
      <c r="M68" s="18"/>
      <c r="N68" s="18"/>
      <c r="O68" s="18"/>
    </row>
    <row r="69" spans="4:15" x14ac:dyDescent="0.2">
      <c r="D69" s="18"/>
      <c r="E69" s="18"/>
      <c r="F69" s="18"/>
      <c r="G69" s="19"/>
      <c r="H69" s="18"/>
      <c r="I69" s="18"/>
      <c r="J69" s="18"/>
      <c r="K69" s="18"/>
      <c r="L69" s="18"/>
      <c r="M69" s="18"/>
      <c r="N69" s="18"/>
      <c r="O69" s="18"/>
    </row>
    <row r="70" spans="4:15" x14ac:dyDescent="0.2">
      <c r="D70" s="18"/>
      <c r="E70" s="18"/>
      <c r="F70" s="18"/>
      <c r="G70" s="19"/>
      <c r="H70" s="18"/>
      <c r="I70" s="18"/>
      <c r="J70" s="18"/>
      <c r="K70" s="18"/>
      <c r="L70" s="18"/>
      <c r="M70" s="18"/>
      <c r="N70" s="18"/>
      <c r="O70" s="18"/>
    </row>
    <row r="71" spans="4:15" x14ac:dyDescent="0.2">
      <c r="D71" s="18"/>
      <c r="E71" s="18"/>
      <c r="F71" s="18"/>
      <c r="G71" s="19"/>
      <c r="H71" s="18"/>
      <c r="I71" s="18"/>
      <c r="J71" s="18"/>
      <c r="K71" s="18"/>
      <c r="L71" s="18"/>
      <c r="M71" s="18"/>
      <c r="N71" s="18"/>
      <c r="O71" s="18"/>
    </row>
    <row r="72" spans="4:15" x14ac:dyDescent="0.2">
      <c r="D72" s="18"/>
      <c r="E72" s="18"/>
      <c r="F72" s="18"/>
      <c r="G72" s="19"/>
      <c r="H72" s="18"/>
      <c r="I72" s="18"/>
      <c r="J72" s="18"/>
      <c r="K72" s="18"/>
      <c r="L72" s="18"/>
      <c r="M72" s="18"/>
      <c r="N72" s="18"/>
      <c r="O72" s="18"/>
    </row>
    <row r="73" spans="4:15" x14ac:dyDescent="0.2">
      <c r="D73" s="18"/>
      <c r="E73" s="18"/>
      <c r="F73" s="18"/>
      <c r="G73" s="19"/>
      <c r="H73" s="18"/>
      <c r="I73" s="18"/>
      <c r="J73" s="18"/>
      <c r="K73" s="18"/>
      <c r="L73" s="18"/>
      <c r="M73" s="18"/>
      <c r="N73" s="18"/>
      <c r="O73" s="18"/>
    </row>
    <row r="74" spans="4:15" x14ac:dyDescent="0.2">
      <c r="D74" s="18"/>
      <c r="E74" s="18"/>
      <c r="F74" s="18"/>
      <c r="G74" s="19"/>
      <c r="H74" s="18"/>
      <c r="I74" s="18"/>
      <c r="J74" s="18"/>
      <c r="K74" s="18"/>
      <c r="L74" s="18"/>
      <c r="M74" s="18"/>
      <c r="N74" s="18"/>
      <c r="O74" s="18"/>
    </row>
    <row r="75" spans="4:15" x14ac:dyDescent="0.2">
      <c r="D75" s="18"/>
      <c r="E75" s="18"/>
      <c r="F75" s="18"/>
      <c r="G75" s="19"/>
      <c r="H75" s="18"/>
      <c r="I75" s="18"/>
      <c r="J75" s="18"/>
      <c r="K75" s="18"/>
      <c r="L75" s="18"/>
      <c r="M75" s="18"/>
      <c r="N75" s="18"/>
      <c r="O75" s="18"/>
    </row>
    <row r="76" spans="4:15" x14ac:dyDescent="0.2">
      <c r="D76" s="18"/>
      <c r="E76" s="18"/>
      <c r="F76" s="18"/>
      <c r="G76" s="19"/>
      <c r="H76" s="18"/>
      <c r="I76" s="18"/>
      <c r="J76" s="18"/>
      <c r="K76" s="18"/>
      <c r="L76" s="18"/>
      <c r="M76" s="18"/>
      <c r="N76" s="18"/>
      <c r="O76" s="18"/>
    </row>
    <row r="77" spans="4:15" x14ac:dyDescent="0.2">
      <c r="D77" s="18"/>
      <c r="E77" s="18"/>
      <c r="F77" s="18"/>
      <c r="G77" s="19"/>
      <c r="H77" s="18"/>
      <c r="I77" s="18"/>
      <c r="J77" s="18"/>
      <c r="K77" s="18"/>
      <c r="L77" s="18"/>
      <c r="M77" s="18"/>
      <c r="N77" s="18"/>
      <c r="O77" s="18"/>
    </row>
    <row r="78" spans="4:15" x14ac:dyDescent="0.2">
      <c r="D78" s="18"/>
      <c r="E78" s="18"/>
      <c r="F78" s="18"/>
      <c r="G78" s="19"/>
      <c r="H78" s="18"/>
      <c r="I78" s="18"/>
      <c r="J78" s="18"/>
      <c r="K78" s="18"/>
      <c r="L78" s="18"/>
      <c r="M78" s="18"/>
      <c r="N78" s="18"/>
      <c r="O78" s="18"/>
    </row>
    <row r="79" spans="4:15" x14ac:dyDescent="0.2">
      <c r="D79" s="18"/>
      <c r="E79" s="18"/>
      <c r="F79" s="18"/>
      <c r="G79" s="19"/>
      <c r="H79" s="18"/>
      <c r="I79" s="18"/>
      <c r="J79" s="18"/>
      <c r="K79" s="18"/>
      <c r="L79" s="18"/>
      <c r="M79" s="18"/>
      <c r="N79" s="18"/>
      <c r="O79" s="18"/>
    </row>
    <row r="80" spans="4:15" x14ac:dyDescent="0.2">
      <c r="D80" s="18"/>
      <c r="E80" s="18"/>
      <c r="F80" s="18"/>
      <c r="G80" s="19"/>
      <c r="H80" s="18"/>
      <c r="I80" s="18"/>
      <c r="J80" s="18"/>
      <c r="K80" s="18"/>
      <c r="L80" s="18"/>
      <c r="M80" s="18"/>
      <c r="N80" s="18"/>
      <c r="O80" s="18"/>
    </row>
    <row r="81" spans="4:15" x14ac:dyDescent="0.2">
      <c r="D81" s="18"/>
      <c r="E81" s="18"/>
      <c r="F81" s="18"/>
      <c r="G81" s="19"/>
      <c r="H81" s="18"/>
      <c r="I81" s="18"/>
      <c r="J81" s="18"/>
      <c r="K81" s="18"/>
      <c r="L81" s="18"/>
      <c r="M81" s="18"/>
      <c r="N81" s="18"/>
      <c r="O81" s="18"/>
    </row>
    <row r="82" spans="4:15" x14ac:dyDescent="0.2">
      <c r="D82" s="18"/>
      <c r="E82" s="18"/>
      <c r="F82" s="18"/>
      <c r="G82" s="19"/>
      <c r="H82" s="18"/>
      <c r="I82" s="18"/>
      <c r="J82" s="18"/>
      <c r="K82" s="18"/>
      <c r="L82" s="18"/>
      <c r="M82" s="18"/>
      <c r="N82" s="18"/>
      <c r="O82" s="18"/>
    </row>
    <row r="83" spans="4:15" x14ac:dyDescent="0.2">
      <c r="D83" s="18"/>
      <c r="E83" s="18"/>
      <c r="F83" s="18"/>
      <c r="G83" s="19"/>
      <c r="H83" s="18"/>
      <c r="I83" s="18"/>
      <c r="J83" s="18"/>
      <c r="K83" s="18"/>
      <c r="L83" s="18"/>
      <c r="M83" s="18"/>
      <c r="N83" s="18"/>
      <c r="O83" s="18"/>
    </row>
    <row r="84" spans="4:15" x14ac:dyDescent="0.2">
      <c r="D84" s="18"/>
      <c r="E84" s="18"/>
      <c r="F84" s="18"/>
      <c r="G84" s="19"/>
      <c r="H84" s="18"/>
      <c r="I84" s="18"/>
      <c r="J84" s="18"/>
      <c r="K84" s="18"/>
      <c r="L84" s="18"/>
      <c r="M84" s="18"/>
      <c r="N84" s="18"/>
      <c r="O84" s="18"/>
    </row>
    <row r="85" spans="4:15" x14ac:dyDescent="0.2">
      <c r="D85" s="18"/>
      <c r="E85" s="18"/>
      <c r="F85" s="18"/>
      <c r="G85" s="19"/>
      <c r="H85" s="18"/>
      <c r="I85" s="18"/>
      <c r="J85" s="18"/>
      <c r="K85" s="18"/>
      <c r="L85" s="18"/>
      <c r="M85" s="18"/>
      <c r="N85" s="18"/>
      <c r="O85" s="18"/>
    </row>
    <row r="86" spans="4:15" x14ac:dyDescent="0.2">
      <c r="D86" s="18"/>
      <c r="E86" s="18"/>
      <c r="F86" s="18"/>
      <c r="G86" s="19"/>
      <c r="H86" s="18"/>
      <c r="I86" s="18"/>
      <c r="J86" s="18"/>
      <c r="K86" s="18"/>
      <c r="L86" s="18"/>
      <c r="M86" s="18"/>
      <c r="N86" s="18"/>
      <c r="O86" s="18"/>
    </row>
    <row r="87" spans="4:15" x14ac:dyDescent="0.2">
      <c r="D87" s="18"/>
      <c r="E87" s="18"/>
      <c r="F87" s="18"/>
      <c r="G87" s="19"/>
      <c r="H87" s="18"/>
      <c r="I87" s="18"/>
      <c r="J87" s="18"/>
      <c r="K87" s="18"/>
      <c r="L87" s="18"/>
      <c r="M87" s="18"/>
      <c r="N87" s="18"/>
      <c r="O87" s="18"/>
    </row>
    <row r="88" spans="4:15" x14ac:dyDescent="0.2">
      <c r="D88" s="18"/>
      <c r="E88" s="18"/>
      <c r="F88" s="18"/>
      <c r="G88" s="19"/>
      <c r="H88" s="18"/>
      <c r="I88" s="18"/>
      <c r="J88" s="18"/>
      <c r="K88" s="18"/>
      <c r="L88" s="18"/>
      <c r="M88" s="18"/>
      <c r="N88" s="18"/>
      <c r="O88" s="18"/>
    </row>
    <row r="89" spans="4:15" x14ac:dyDescent="0.2">
      <c r="D89" s="18"/>
      <c r="E89" s="18"/>
      <c r="F89" s="18"/>
      <c r="G89" s="19"/>
      <c r="H89" s="18"/>
      <c r="I89" s="18"/>
      <c r="J89" s="18"/>
      <c r="K89" s="18"/>
      <c r="L89" s="18"/>
      <c r="M89" s="18"/>
      <c r="N89" s="18"/>
      <c r="O89" s="18"/>
    </row>
    <row r="90" spans="4:15" x14ac:dyDescent="0.2">
      <c r="D90" s="18"/>
      <c r="E90" s="18"/>
      <c r="F90" s="18"/>
      <c r="G90" s="19"/>
      <c r="H90" s="18"/>
      <c r="I90" s="18"/>
      <c r="J90" s="18"/>
      <c r="K90" s="18"/>
      <c r="L90" s="18"/>
      <c r="M90" s="18"/>
      <c r="N90" s="18"/>
      <c r="O90" s="18"/>
    </row>
    <row r="91" spans="4:15" x14ac:dyDescent="0.2">
      <c r="D91" s="18"/>
      <c r="E91" s="18"/>
      <c r="F91" s="18"/>
      <c r="G91" s="19"/>
      <c r="H91" s="18"/>
      <c r="I91" s="18"/>
      <c r="J91" s="18"/>
      <c r="K91" s="18"/>
      <c r="L91" s="18"/>
      <c r="M91" s="18"/>
      <c r="N91" s="18"/>
      <c r="O91" s="18"/>
    </row>
    <row r="92" spans="4:15" x14ac:dyDescent="0.2">
      <c r="D92" s="18"/>
      <c r="E92" s="18"/>
      <c r="F92" s="18"/>
      <c r="G92" s="19"/>
      <c r="H92" s="18"/>
      <c r="I92" s="18"/>
      <c r="J92" s="18"/>
      <c r="K92" s="18"/>
      <c r="L92" s="18"/>
      <c r="M92" s="18"/>
      <c r="N92" s="18"/>
      <c r="O92" s="18"/>
    </row>
    <row r="93" spans="4:15" x14ac:dyDescent="0.2">
      <c r="D93" s="18"/>
      <c r="E93" s="18"/>
      <c r="F93" s="18"/>
      <c r="G93" s="19"/>
      <c r="H93" s="18"/>
      <c r="I93" s="18"/>
      <c r="J93" s="18"/>
      <c r="K93" s="18"/>
      <c r="L93" s="18"/>
      <c r="M93" s="18"/>
      <c r="N93" s="18"/>
      <c r="O93" s="18"/>
    </row>
    <row r="94" spans="4:15" x14ac:dyDescent="0.2">
      <c r="D94" s="18"/>
      <c r="E94" s="18"/>
      <c r="F94" s="18"/>
      <c r="G94" s="19"/>
      <c r="H94" s="18"/>
      <c r="I94" s="18"/>
      <c r="J94" s="18"/>
      <c r="K94" s="18"/>
      <c r="L94" s="18"/>
      <c r="M94" s="18"/>
      <c r="N94" s="18"/>
      <c r="O94" s="18"/>
    </row>
  </sheetData>
  <mergeCells count="8">
    <mergeCell ref="I33:M33"/>
    <mergeCell ref="D41:Q41"/>
    <mergeCell ref="Q6:Q7"/>
    <mergeCell ref="D6:D7"/>
    <mergeCell ref="G6:I7"/>
    <mergeCell ref="J6:J7"/>
    <mergeCell ref="K6:P7"/>
    <mergeCell ref="E6:F7"/>
  </mergeCells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2"/>
  <sheetViews>
    <sheetView workbookViewId="0">
      <selection activeCell="B5" sqref="B5"/>
    </sheetView>
  </sheetViews>
  <sheetFormatPr baseColWidth="10" defaultRowHeight="15" x14ac:dyDescent="0.25"/>
  <cols>
    <col min="1" max="1" width="1.140625" customWidth="1"/>
    <col min="2" max="2" width="19.5703125" customWidth="1"/>
    <col min="3" max="3" width="96.5703125" customWidth="1"/>
    <col min="4" max="4" width="11.140625" style="33" bestFit="1" customWidth="1"/>
    <col min="257" max="257" width="1.140625" customWidth="1"/>
    <col min="258" max="258" width="16.85546875" customWidth="1"/>
    <col min="259" max="259" width="65.140625" customWidth="1"/>
    <col min="260" max="260" width="16.28515625" customWidth="1"/>
    <col min="513" max="513" width="1.140625" customWidth="1"/>
    <col min="514" max="514" width="16.85546875" customWidth="1"/>
    <col min="515" max="515" width="65.140625" customWidth="1"/>
    <col min="516" max="516" width="16.28515625" customWidth="1"/>
    <col min="769" max="769" width="1.140625" customWidth="1"/>
    <col min="770" max="770" width="16.85546875" customWidth="1"/>
    <col min="771" max="771" width="65.140625" customWidth="1"/>
    <col min="772" max="772" width="16.28515625" customWidth="1"/>
    <col min="1025" max="1025" width="1.140625" customWidth="1"/>
    <col min="1026" max="1026" width="16.85546875" customWidth="1"/>
    <col min="1027" max="1027" width="65.140625" customWidth="1"/>
    <col min="1028" max="1028" width="16.28515625" customWidth="1"/>
    <col min="1281" max="1281" width="1.140625" customWidth="1"/>
    <col min="1282" max="1282" width="16.85546875" customWidth="1"/>
    <col min="1283" max="1283" width="65.140625" customWidth="1"/>
    <col min="1284" max="1284" width="16.28515625" customWidth="1"/>
    <col min="1537" max="1537" width="1.140625" customWidth="1"/>
    <col min="1538" max="1538" width="16.85546875" customWidth="1"/>
    <col min="1539" max="1539" width="65.140625" customWidth="1"/>
    <col min="1540" max="1540" width="16.28515625" customWidth="1"/>
    <col min="1793" max="1793" width="1.140625" customWidth="1"/>
    <col min="1794" max="1794" width="16.85546875" customWidth="1"/>
    <col min="1795" max="1795" width="65.140625" customWidth="1"/>
    <col min="1796" max="1796" width="16.28515625" customWidth="1"/>
    <col min="2049" max="2049" width="1.140625" customWidth="1"/>
    <col min="2050" max="2050" width="16.85546875" customWidth="1"/>
    <col min="2051" max="2051" width="65.140625" customWidth="1"/>
    <col min="2052" max="2052" width="16.28515625" customWidth="1"/>
    <col min="2305" max="2305" width="1.140625" customWidth="1"/>
    <col min="2306" max="2306" width="16.85546875" customWidth="1"/>
    <col min="2307" max="2307" width="65.140625" customWidth="1"/>
    <col min="2308" max="2308" width="16.28515625" customWidth="1"/>
    <col min="2561" max="2561" width="1.140625" customWidth="1"/>
    <col min="2562" max="2562" width="16.85546875" customWidth="1"/>
    <col min="2563" max="2563" width="65.140625" customWidth="1"/>
    <col min="2564" max="2564" width="16.28515625" customWidth="1"/>
    <col min="2817" max="2817" width="1.140625" customWidth="1"/>
    <col min="2818" max="2818" width="16.85546875" customWidth="1"/>
    <col min="2819" max="2819" width="65.140625" customWidth="1"/>
    <col min="2820" max="2820" width="16.28515625" customWidth="1"/>
    <col min="3073" max="3073" width="1.140625" customWidth="1"/>
    <col min="3074" max="3074" width="16.85546875" customWidth="1"/>
    <col min="3075" max="3075" width="65.140625" customWidth="1"/>
    <col min="3076" max="3076" width="16.28515625" customWidth="1"/>
    <col min="3329" max="3329" width="1.140625" customWidth="1"/>
    <col min="3330" max="3330" width="16.85546875" customWidth="1"/>
    <col min="3331" max="3331" width="65.140625" customWidth="1"/>
    <col min="3332" max="3332" width="16.28515625" customWidth="1"/>
    <col min="3585" max="3585" width="1.140625" customWidth="1"/>
    <col min="3586" max="3586" width="16.85546875" customWidth="1"/>
    <col min="3587" max="3587" width="65.140625" customWidth="1"/>
    <col min="3588" max="3588" width="16.28515625" customWidth="1"/>
    <col min="3841" max="3841" width="1.140625" customWidth="1"/>
    <col min="3842" max="3842" width="16.85546875" customWidth="1"/>
    <col min="3843" max="3843" width="65.140625" customWidth="1"/>
    <col min="3844" max="3844" width="16.28515625" customWidth="1"/>
    <col min="4097" max="4097" width="1.140625" customWidth="1"/>
    <col min="4098" max="4098" width="16.85546875" customWidth="1"/>
    <col min="4099" max="4099" width="65.140625" customWidth="1"/>
    <col min="4100" max="4100" width="16.28515625" customWidth="1"/>
    <col min="4353" max="4353" width="1.140625" customWidth="1"/>
    <col min="4354" max="4354" width="16.85546875" customWidth="1"/>
    <col min="4355" max="4355" width="65.140625" customWidth="1"/>
    <col min="4356" max="4356" width="16.28515625" customWidth="1"/>
    <col min="4609" max="4609" width="1.140625" customWidth="1"/>
    <col min="4610" max="4610" width="16.85546875" customWidth="1"/>
    <col min="4611" max="4611" width="65.140625" customWidth="1"/>
    <col min="4612" max="4612" width="16.28515625" customWidth="1"/>
    <col min="4865" max="4865" width="1.140625" customWidth="1"/>
    <col min="4866" max="4866" width="16.85546875" customWidth="1"/>
    <col min="4867" max="4867" width="65.140625" customWidth="1"/>
    <col min="4868" max="4868" width="16.28515625" customWidth="1"/>
    <col min="5121" max="5121" width="1.140625" customWidth="1"/>
    <col min="5122" max="5122" width="16.85546875" customWidth="1"/>
    <col min="5123" max="5123" width="65.140625" customWidth="1"/>
    <col min="5124" max="5124" width="16.28515625" customWidth="1"/>
    <col min="5377" max="5377" width="1.140625" customWidth="1"/>
    <col min="5378" max="5378" width="16.85546875" customWidth="1"/>
    <col min="5379" max="5379" width="65.140625" customWidth="1"/>
    <col min="5380" max="5380" width="16.28515625" customWidth="1"/>
    <col min="5633" max="5633" width="1.140625" customWidth="1"/>
    <col min="5634" max="5634" width="16.85546875" customWidth="1"/>
    <col min="5635" max="5635" width="65.140625" customWidth="1"/>
    <col min="5636" max="5636" width="16.28515625" customWidth="1"/>
    <col min="5889" max="5889" width="1.140625" customWidth="1"/>
    <col min="5890" max="5890" width="16.85546875" customWidth="1"/>
    <col min="5891" max="5891" width="65.140625" customWidth="1"/>
    <col min="5892" max="5892" width="16.28515625" customWidth="1"/>
    <col min="6145" max="6145" width="1.140625" customWidth="1"/>
    <col min="6146" max="6146" width="16.85546875" customWidth="1"/>
    <col min="6147" max="6147" width="65.140625" customWidth="1"/>
    <col min="6148" max="6148" width="16.28515625" customWidth="1"/>
    <col min="6401" max="6401" width="1.140625" customWidth="1"/>
    <col min="6402" max="6402" width="16.85546875" customWidth="1"/>
    <col min="6403" max="6403" width="65.140625" customWidth="1"/>
    <col min="6404" max="6404" width="16.28515625" customWidth="1"/>
    <col min="6657" max="6657" width="1.140625" customWidth="1"/>
    <col min="6658" max="6658" width="16.85546875" customWidth="1"/>
    <col min="6659" max="6659" width="65.140625" customWidth="1"/>
    <col min="6660" max="6660" width="16.28515625" customWidth="1"/>
    <col min="6913" max="6913" width="1.140625" customWidth="1"/>
    <col min="6914" max="6914" width="16.85546875" customWidth="1"/>
    <col min="6915" max="6915" width="65.140625" customWidth="1"/>
    <col min="6916" max="6916" width="16.28515625" customWidth="1"/>
    <col min="7169" max="7169" width="1.140625" customWidth="1"/>
    <col min="7170" max="7170" width="16.85546875" customWidth="1"/>
    <col min="7171" max="7171" width="65.140625" customWidth="1"/>
    <col min="7172" max="7172" width="16.28515625" customWidth="1"/>
    <col min="7425" max="7425" width="1.140625" customWidth="1"/>
    <col min="7426" max="7426" width="16.85546875" customWidth="1"/>
    <col min="7427" max="7427" width="65.140625" customWidth="1"/>
    <col min="7428" max="7428" width="16.28515625" customWidth="1"/>
    <col min="7681" max="7681" width="1.140625" customWidth="1"/>
    <col min="7682" max="7682" width="16.85546875" customWidth="1"/>
    <col min="7683" max="7683" width="65.140625" customWidth="1"/>
    <col min="7684" max="7684" width="16.28515625" customWidth="1"/>
    <col min="7937" max="7937" width="1.140625" customWidth="1"/>
    <col min="7938" max="7938" width="16.85546875" customWidth="1"/>
    <col min="7939" max="7939" width="65.140625" customWidth="1"/>
    <col min="7940" max="7940" width="16.28515625" customWidth="1"/>
    <col min="8193" max="8193" width="1.140625" customWidth="1"/>
    <col min="8194" max="8194" width="16.85546875" customWidth="1"/>
    <col min="8195" max="8195" width="65.140625" customWidth="1"/>
    <col min="8196" max="8196" width="16.28515625" customWidth="1"/>
    <col min="8449" max="8449" width="1.140625" customWidth="1"/>
    <col min="8450" max="8450" width="16.85546875" customWidth="1"/>
    <col min="8451" max="8451" width="65.140625" customWidth="1"/>
    <col min="8452" max="8452" width="16.28515625" customWidth="1"/>
    <col min="8705" max="8705" width="1.140625" customWidth="1"/>
    <col min="8706" max="8706" width="16.85546875" customWidth="1"/>
    <col min="8707" max="8707" width="65.140625" customWidth="1"/>
    <col min="8708" max="8708" width="16.28515625" customWidth="1"/>
    <col min="8961" max="8961" width="1.140625" customWidth="1"/>
    <col min="8962" max="8962" width="16.85546875" customWidth="1"/>
    <col min="8963" max="8963" width="65.140625" customWidth="1"/>
    <col min="8964" max="8964" width="16.28515625" customWidth="1"/>
    <col min="9217" max="9217" width="1.140625" customWidth="1"/>
    <col min="9218" max="9218" width="16.85546875" customWidth="1"/>
    <col min="9219" max="9219" width="65.140625" customWidth="1"/>
    <col min="9220" max="9220" width="16.28515625" customWidth="1"/>
    <col min="9473" max="9473" width="1.140625" customWidth="1"/>
    <col min="9474" max="9474" width="16.85546875" customWidth="1"/>
    <col min="9475" max="9475" width="65.140625" customWidth="1"/>
    <col min="9476" max="9476" width="16.28515625" customWidth="1"/>
    <col min="9729" max="9729" width="1.140625" customWidth="1"/>
    <col min="9730" max="9730" width="16.85546875" customWidth="1"/>
    <col min="9731" max="9731" width="65.140625" customWidth="1"/>
    <col min="9732" max="9732" width="16.28515625" customWidth="1"/>
    <col min="9985" max="9985" width="1.140625" customWidth="1"/>
    <col min="9986" max="9986" width="16.85546875" customWidth="1"/>
    <col min="9987" max="9987" width="65.140625" customWidth="1"/>
    <col min="9988" max="9988" width="16.28515625" customWidth="1"/>
    <col min="10241" max="10241" width="1.140625" customWidth="1"/>
    <col min="10242" max="10242" width="16.85546875" customWidth="1"/>
    <col min="10243" max="10243" width="65.140625" customWidth="1"/>
    <col min="10244" max="10244" width="16.28515625" customWidth="1"/>
    <col min="10497" max="10497" width="1.140625" customWidth="1"/>
    <col min="10498" max="10498" width="16.85546875" customWidth="1"/>
    <col min="10499" max="10499" width="65.140625" customWidth="1"/>
    <col min="10500" max="10500" width="16.28515625" customWidth="1"/>
    <col min="10753" max="10753" width="1.140625" customWidth="1"/>
    <col min="10754" max="10754" width="16.85546875" customWidth="1"/>
    <col min="10755" max="10755" width="65.140625" customWidth="1"/>
    <col min="10756" max="10756" width="16.28515625" customWidth="1"/>
    <col min="11009" max="11009" width="1.140625" customWidth="1"/>
    <col min="11010" max="11010" width="16.85546875" customWidth="1"/>
    <col min="11011" max="11011" width="65.140625" customWidth="1"/>
    <col min="11012" max="11012" width="16.28515625" customWidth="1"/>
    <col min="11265" max="11265" width="1.140625" customWidth="1"/>
    <col min="11266" max="11266" width="16.85546875" customWidth="1"/>
    <col min="11267" max="11267" width="65.140625" customWidth="1"/>
    <col min="11268" max="11268" width="16.28515625" customWidth="1"/>
    <col min="11521" max="11521" width="1.140625" customWidth="1"/>
    <col min="11522" max="11522" width="16.85546875" customWidth="1"/>
    <col min="11523" max="11523" width="65.140625" customWidth="1"/>
    <col min="11524" max="11524" width="16.28515625" customWidth="1"/>
    <col min="11777" max="11777" width="1.140625" customWidth="1"/>
    <col min="11778" max="11778" width="16.85546875" customWidth="1"/>
    <col min="11779" max="11779" width="65.140625" customWidth="1"/>
    <col min="11780" max="11780" width="16.28515625" customWidth="1"/>
    <col min="12033" max="12033" width="1.140625" customWidth="1"/>
    <col min="12034" max="12034" width="16.85546875" customWidth="1"/>
    <col min="12035" max="12035" width="65.140625" customWidth="1"/>
    <col min="12036" max="12036" width="16.28515625" customWidth="1"/>
    <col min="12289" max="12289" width="1.140625" customWidth="1"/>
    <col min="12290" max="12290" width="16.85546875" customWidth="1"/>
    <col min="12291" max="12291" width="65.140625" customWidth="1"/>
    <col min="12292" max="12292" width="16.28515625" customWidth="1"/>
    <col min="12545" max="12545" width="1.140625" customWidth="1"/>
    <col min="12546" max="12546" width="16.85546875" customWidth="1"/>
    <col min="12547" max="12547" width="65.140625" customWidth="1"/>
    <col min="12548" max="12548" width="16.28515625" customWidth="1"/>
    <col min="12801" max="12801" width="1.140625" customWidth="1"/>
    <col min="12802" max="12802" width="16.85546875" customWidth="1"/>
    <col min="12803" max="12803" width="65.140625" customWidth="1"/>
    <col min="12804" max="12804" width="16.28515625" customWidth="1"/>
    <col min="13057" max="13057" width="1.140625" customWidth="1"/>
    <col min="13058" max="13058" width="16.85546875" customWidth="1"/>
    <col min="13059" max="13059" width="65.140625" customWidth="1"/>
    <col min="13060" max="13060" width="16.28515625" customWidth="1"/>
    <col min="13313" max="13313" width="1.140625" customWidth="1"/>
    <col min="13314" max="13314" width="16.85546875" customWidth="1"/>
    <col min="13315" max="13315" width="65.140625" customWidth="1"/>
    <col min="13316" max="13316" width="16.28515625" customWidth="1"/>
    <col min="13569" max="13569" width="1.140625" customWidth="1"/>
    <col min="13570" max="13570" width="16.85546875" customWidth="1"/>
    <col min="13571" max="13571" width="65.140625" customWidth="1"/>
    <col min="13572" max="13572" width="16.28515625" customWidth="1"/>
    <col min="13825" max="13825" width="1.140625" customWidth="1"/>
    <col min="13826" max="13826" width="16.85546875" customWidth="1"/>
    <col min="13827" max="13827" width="65.140625" customWidth="1"/>
    <col min="13828" max="13828" width="16.28515625" customWidth="1"/>
    <col min="14081" max="14081" width="1.140625" customWidth="1"/>
    <col min="14082" max="14082" width="16.85546875" customWidth="1"/>
    <col min="14083" max="14083" width="65.140625" customWidth="1"/>
    <col min="14084" max="14084" width="16.28515625" customWidth="1"/>
    <col min="14337" max="14337" width="1.140625" customWidth="1"/>
    <col min="14338" max="14338" width="16.85546875" customWidth="1"/>
    <col min="14339" max="14339" width="65.140625" customWidth="1"/>
    <col min="14340" max="14340" width="16.28515625" customWidth="1"/>
    <col min="14593" max="14593" width="1.140625" customWidth="1"/>
    <col min="14594" max="14594" width="16.85546875" customWidth="1"/>
    <col min="14595" max="14595" width="65.140625" customWidth="1"/>
    <col min="14596" max="14596" width="16.28515625" customWidth="1"/>
    <col min="14849" max="14849" width="1.140625" customWidth="1"/>
    <col min="14850" max="14850" width="16.85546875" customWidth="1"/>
    <col min="14851" max="14851" width="65.140625" customWidth="1"/>
    <col min="14852" max="14852" width="16.28515625" customWidth="1"/>
    <col min="15105" max="15105" width="1.140625" customWidth="1"/>
    <col min="15106" max="15106" width="16.85546875" customWidth="1"/>
    <col min="15107" max="15107" width="65.140625" customWidth="1"/>
    <col min="15108" max="15108" width="16.28515625" customWidth="1"/>
    <col min="15361" max="15361" width="1.140625" customWidth="1"/>
    <col min="15362" max="15362" width="16.85546875" customWidth="1"/>
    <col min="15363" max="15363" width="65.140625" customWidth="1"/>
    <col min="15364" max="15364" width="16.28515625" customWidth="1"/>
    <col min="15617" max="15617" width="1.140625" customWidth="1"/>
    <col min="15618" max="15618" width="16.85546875" customWidth="1"/>
    <col min="15619" max="15619" width="65.140625" customWidth="1"/>
    <col min="15620" max="15620" width="16.28515625" customWidth="1"/>
    <col min="15873" max="15873" width="1.140625" customWidth="1"/>
    <col min="15874" max="15874" width="16.85546875" customWidth="1"/>
    <col min="15875" max="15875" width="65.140625" customWidth="1"/>
    <col min="15876" max="15876" width="16.28515625" customWidth="1"/>
    <col min="16129" max="16129" width="1.140625" customWidth="1"/>
    <col min="16130" max="16130" width="16.85546875" customWidth="1"/>
    <col min="16131" max="16131" width="65.140625" customWidth="1"/>
    <col min="16132" max="16132" width="16.28515625" customWidth="1"/>
  </cols>
  <sheetData>
    <row r="2" spans="2:7" x14ac:dyDescent="0.25">
      <c r="B2" s="310" t="s">
        <v>63</v>
      </c>
      <c r="C2" s="310"/>
      <c r="D2" s="310"/>
    </row>
    <row r="3" spans="2:7" x14ac:dyDescent="0.25">
      <c r="B3" s="31" t="s">
        <v>313</v>
      </c>
      <c r="C3" s="31"/>
      <c r="D3" s="32"/>
    </row>
    <row r="4" spans="2:7" x14ac:dyDescent="0.25">
      <c r="B4" s="310" t="s">
        <v>321</v>
      </c>
      <c r="C4" s="310"/>
      <c r="D4" s="310"/>
    </row>
    <row r="6" spans="2:7" x14ac:dyDescent="0.25">
      <c r="B6" s="34" t="s">
        <v>65</v>
      </c>
      <c r="C6" s="35" t="s">
        <v>66</v>
      </c>
      <c r="D6" s="36" t="s">
        <v>67</v>
      </c>
    </row>
    <row r="7" spans="2:7" ht="15.75" x14ac:dyDescent="0.25">
      <c r="B7" s="138"/>
      <c r="C7" s="146"/>
      <c r="D7" s="182"/>
    </row>
    <row r="8" spans="2:7" ht="15.75" x14ac:dyDescent="0.25">
      <c r="B8" s="138"/>
      <c r="C8" s="150"/>
      <c r="D8" s="182"/>
    </row>
    <row r="9" spans="2:7" ht="15.75" x14ac:dyDescent="0.25">
      <c r="B9" s="138"/>
      <c r="C9" s="150"/>
      <c r="D9" s="182"/>
    </row>
    <row r="10" spans="2:7" ht="15.75" x14ac:dyDescent="0.25">
      <c r="B10" s="161"/>
      <c r="C10" s="174"/>
      <c r="D10" s="182"/>
    </row>
    <row r="11" spans="2:7" x14ac:dyDescent="0.25">
      <c r="B11" s="180"/>
      <c r="C11" s="181"/>
      <c r="D11" s="182"/>
    </row>
    <row r="12" spans="2:7" x14ac:dyDescent="0.25">
      <c r="B12" s="39"/>
      <c r="C12" s="34" t="s">
        <v>68</v>
      </c>
      <c r="D12" s="40">
        <f>SUM(D7:D11)</f>
        <v>0</v>
      </c>
      <c r="G12" s="41"/>
    </row>
    <row r="14" spans="2:7" x14ac:dyDescent="0.25">
      <c r="B14" s="34" t="s">
        <v>69</v>
      </c>
      <c r="C14" s="35" t="s">
        <v>66</v>
      </c>
      <c r="D14" s="36" t="s">
        <v>67</v>
      </c>
    </row>
    <row r="15" spans="2:7" ht="15.75" x14ac:dyDescent="0.25">
      <c r="B15" s="138"/>
      <c r="C15" s="146"/>
      <c r="D15" s="182"/>
    </row>
    <row r="16" spans="2:7" ht="15.75" x14ac:dyDescent="0.25">
      <c r="B16" s="138"/>
      <c r="C16" s="146"/>
      <c r="D16" s="182"/>
    </row>
    <row r="17" spans="2:6" ht="15.75" x14ac:dyDescent="0.25">
      <c r="B17" s="138"/>
      <c r="C17" s="150"/>
      <c r="D17" s="182"/>
    </row>
    <row r="18" spans="2:6" ht="15.75" x14ac:dyDescent="0.25">
      <c r="B18" s="138"/>
      <c r="C18" s="150"/>
      <c r="D18" s="182"/>
    </row>
    <row r="19" spans="2:6" x14ac:dyDescent="0.25">
      <c r="B19" s="38"/>
      <c r="C19" s="42"/>
      <c r="D19" s="37"/>
    </row>
    <row r="20" spans="2:6" x14ac:dyDescent="0.25">
      <c r="B20" s="43"/>
      <c r="C20" s="44" t="s">
        <v>70</v>
      </c>
      <c r="D20" s="45">
        <f>SUM(D15:D19)</f>
        <v>0</v>
      </c>
      <c r="F20" s="46"/>
    </row>
    <row r="22" spans="2:6" x14ac:dyDescent="0.25">
      <c r="B22" s="248" t="s">
        <v>304</v>
      </c>
      <c r="C22" s="248"/>
      <c r="D22" s="253"/>
    </row>
    <row r="23" spans="2:6" hidden="1" x14ac:dyDescent="0.25">
      <c r="B23" s="249"/>
      <c r="C23" s="35" t="s">
        <v>72</v>
      </c>
      <c r="D23" s="36" t="s">
        <v>67</v>
      </c>
    </row>
    <row r="24" spans="2:6" ht="15.75" hidden="1" x14ac:dyDescent="0.25">
      <c r="B24" s="250"/>
      <c r="C24" s="146" t="s">
        <v>121</v>
      </c>
      <c r="D24" s="182">
        <v>1564</v>
      </c>
    </row>
    <row r="25" spans="2:6" ht="15.75" hidden="1" x14ac:dyDescent="0.25">
      <c r="B25" s="250"/>
      <c r="C25" s="146" t="s">
        <v>124</v>
      </c>
      <c r="D25" s="182">
        <v>4136</v>
      </c>
    </row>
    <row r="26" spans="2:6" ht="15.75" hidden="1" x14ac:dyDescent="0.25">
      <c r="B26" s="250"/>
      <c r="C26" s="150" t="s">
        <v>154</v>
      </c>
      <c r="D26" s="182">
        <v>2967</v>
      </c>
    </row>
    <row r="27" spans="2:6" ht="15.75" hidden="1" x14ac:dyDescent="0.25">
      <c r="B27" s="250"/>
      <c r="C27" s="150" t="s">
        <v>155</v>
      </c>
      <c r="D27" s="182">
        <v>706</v>
      </c>
    </row>
    <row r="28" spans="2:6" ht="15.75" hidden="1" x14ac:dyDescent="0.25">
      <c r="B28" s="250"/>
      <c r="C28" s="150" t="s">
        <v>159</v>
      </c>
      <c r="D28" s="182">
        <v>87</v>
      </c>
    </row>
    <row r="29" spans="2:6" ht="15.75" hidden="1" x14ac:dyDescent="0.25">
      <c r="B29" s="250"/>
      <c r="C29" s="150" t="s">
        <v>180</v>
      </c>
      <c r="D29" s="182">
        <v>3331</v>
      </c>
    </row>
    <row r="30" spans="2:6" hidden="1" x14ac:dyDescent="0.25">
      <c r="B30" s="251"/>
      <c r="C30" s="65"/>
      <c r="D30" s="47"/>
    </row>
    <row r="31" spans="2:6" hidden="1" x14ac:dyDescent="0.25">
      <c r="B31" s="252"/>
      <c r="C31" s="35" t="s">
        <v>73</v>
      </c>
      <c r="D31" s="48">
        <f>SUM(D24:D30)</f>
        <v>12791</v>
      </c>
    </row>
    <row r="32" spans="2:6" x14ac:dyDescent="0.25">
      <c r="B32" s="248" t="s">
        <v>305</v>
      </c>
      <c r="C32" s="50"/>
      <c r="D32" s="51"/>
    </row>
  </sheetData>
  <mergeCells count="2">
    <mergeCell ref="B2:D2"/>
    <mergeCell ref="B4:D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A3" sqref="A3"/>
    </sheetView>
  </sheetViews>
  <sheetFormatPr baseColWidth="10" defaultRowHeight="15" x14ac:dyDescent="0.25"/>
  <cols>
    <col min="5" max="5" width="35" customWidth="1"/>
    <col min="7" max="7" width="15.140625" bestFit="1" customWidth="1"/>
    <col min="261" max="261" width="35" customWidth="1"/>
    <col min="263" max="263" width="15.140625" bestFit="1" customWidth="1"/>
    <col min="517" max="517" width="35" customWidth="1"/>
    <col min="519" max="519" width="15.140625" bestFit="1" customWidth="1"/>
    <col min="773" max="773" width="35" customWidth="1"/>
    <col min="775" max="775" width="15.140625" bestFit="1" customWidth="1"/>
    <col min="1029" max="1029" width="35" customWidth="1"/>
    <col min="1031" max="1031" width="15.140625" bestFit="1" customWidth="1"/>
    <col min="1285" max="1285" width="35" customWidth="1"/>
    <col min="1287" max="1287" width="15.140625" bestFit="1" customWidth="1"/>
    <col min="1541" max="1541" width="35" customWidth="1"/>
    <col min="1543" max="1543" width="15.140625" bestFit="1" customWidth="1"/>
    <col min="1797" max="1797" width="35" customWidth="1"/>
    <col min="1799" max="1799" width="15.140625" bestFit="1" customWidth="1"/>
    <col min="2053" max="2053" width="35" customWidth="1"/>
    <col min="2055" max="2055" width="15.140625" bestFit="1" customWidth="1"/>
    <col min="2309" max="2309" width="35" customWidth="1"/>
    <col min="2311" max="2311" width="15.140625" bestFit="1" customWidth="1"/>
    <col min="2565" max="2565" width="35" customWidth="1"/>
    <col min="2567" max="2567" width="15.140625" bestFit="1" customWidth="1"/>
    <col min="2821" max="2821" width="35" customWidth="1"/>
    <col min="2823" max="2823" width="15.140625" bestFit="1" customWidth="1"/>
    <col min="3077" max="3077" width="35" customWidth="1"/>
    <col min="3079" max="3079" width="15.140625" bestFit="1" customWidth="1"/>
    <col min="3333" max="3333" width="35" customWidth="1"/>
    <col min="3335" max="3335" width="15.140625" bestFit="1" customWidth="1"/>
    <col min="3589" max="3589" width="35" customWidth="1"/>
    <col min="3591" max="3591" width="15.140625" bestFit="1" customWidth="1"/>
    <col min="3845" max="3845" width="35" customWidth="1"/>
    <col min="3847" max="3847" width="15.140625" bestFit="1" customWidth="1"/>
    <col min="4101" max="4101" width="35" customWidth="1"/>
    <col min="4103" max="4103" width="15.140625" bestFit="1" customWidth="1"/>
    <col min="4357" max="4357" width="35" customWidth="1"/>
    <col min="4359" max="4359" width="15.140625" bestFit="1" customWidth="1"/>
    <col min="4613" max="4613" width="35" customWidth="1"/>
    <col min="4615" max="4615" width="15.140625" bestFit="1" customWidth="1"/>
    <col min="4869" max="4869" width="35" customWidth="1"/>
    <col min="4871" max="4871" width="15.140625" bestFit="1" customWidth="1"/>
    <col min="5125" max="5125" width="35" customWidth="1"/>
    <col min="5127" max="5127" width="15.140625" bestFit="1" customWidth="1"/>
    <col min="5381" max="5381" width="35" customWidth="1"/>
    <col min="5383" max="5383" width="15.140625" bestFit="1" customWidth="1"/>
    <col min="5637" max="5637" width="35" customWidth="1"/>
    <col min="5639" max="5639" width="15.140625" bestFit="1" customWidth="1"/>
    <col min="5893" max="5893" width="35" customWidth="1"/>
    <col min="5895" max="5895" width="15.140625" bestFit="1" customWidth="1"/>
    <col min="6149" max="6149" width="35" customWidth="1"/>
    <col min="6151" max="6151" width="15.140625" bestFit="1" customWidth="1"/>
    <col min="6405" max="6405" width="35" customWidth="1"/>
    <col min="6407" max="6407" width="15.140625" bestFit="1" customWidth="1"/>
    <col min="6661" max="6661" width="35" customWidth="1"/>
    <col min="6663" max="6663" width="15.140625" bestFit="1" customWidth="1"/>
    <col min="6917" max="6917" width="35" customWidth="1"/>
    <col min="6919" max="6919" width="15.140625" bestFit="1" customWidth="1"/>
    <col min="7173" max="7173" width="35" customWidth="1"/>
    <col min="7175" max="7175" width="15.140625" bestFit="1" customWidth="1"/>
    <col min="7429" max="7429" width="35" customWidth="1"/>
    <col min="7431" max="7431" width="15.140625" bestFit="1" customWidth="1"/>
    <col min="7685" max="7685" width="35" customWidth="1"/>
    <col min="7687" max="7687" width="15.140625" bestFit="1" customWidth="1"/>
    <col min="7941" max="7941" width="35" customWidth="1"/>
    <col min="7943" max="7943" width="15.140625" bestFit="1" customWidth="1"/>
    <col min="8197" max="8197" width="35" customWidth="1"/>
    <col min="8199" max="8199" width="15.140625" bestFit="1" customWidth="1"/>
    <col min="8453" max="8453" width="35" customWidth="1"/>
    <col min="8455" max="8455" width="15.140625" bestFit="1" customWidth="1"/>
    <col min="8709" max="8709" width="35" customWidth="1"/>
    <col min="8711" max="8711" width="15.140625" bestFit="1" customWidth="1"/>
    <col min="8965" max="8965" width="35" customWidth="1"/>
    <col min="8967" max="8967" width="15.140625" bestFit="1" customWidth="1"/>
    <col min="9221" max="9221" width="35" customWidth="1"/>
    <col min="9223" max="9223" width="15.140625" bestFit="1" customWidth="1"/>
    <col min="9477" max="9477" width="35" customWidth="1"/>
    <col min="9479" max="9479" width="15.140625" bestFit="1" customWidth="1"/>
    <col min="9733" max="9733" width="35" customWidth="1"/>
    <col min="9735" max="9735" width="15.140625" bestFit="1" customWidth="1"/>
    <col min="9989" max="9989" width="35" customWidth="1"/>
    <col min="9991" max="9991" width="15.140625" bestFit="1" customWidth="1"/>
    <col min="10245" max="10245" width="35" customWidth="1"/>
    <col min="10247" max="10247" width="15.140625" bestFit="1" customWidth="1"/>
    <col min="10501" max="10501" width="35" customWidth="1"/>
    <col min="10503" max="10503" width="15.140625" bestFit="1" customWidth="1"/>
    <col min="10757" max="10757" width="35" customWidth="1"/>
    <col min="10759" max="10759" width="15.140625" bestFit="1" customWidth="1"/>
    <col min="11013" max="11013" width="35" customWidth="1"/>
    <col min="11015" max="11015" width="15.140625" bestFit="1" customWidth="1"/>
    <col min="11269" max="11269" width="35" customWidth="1"/>
    <col min="11271" max="11271" width="15.140625" bestFit="1" customWidth="1"/>
    <col min="11525" max="11525" width="35" customWidth="1"/>
    <col min="11527" max="11527" width="15.140625" bestFit="1" customWidth="1"/>
    <col min="11781" max="11781" width="35" customWidth="1"/>
    <col min="11783" max="11783" width="15.140625" bestFit="1" customWidth="1"/>
    <col min="12037" max="12037" width="35" customWidth="1"/>
    <col min="12039" max="12039" width="15.140625" bestFit="1" customWidth="1"/>
    <col min="12293" max="12293" width="35" customWidth="1"/>
    <col min="12295" max="12295" width="15.140625" bestFit="1" customWidth="1"/>
    <col min="12549" max="12549" width="35" customWidth="1"/>
    <col min="12551" max="12551" width="15.140625" bestFit="1" customWidth="1"/>
    <col min="12805" max="12805" width="35" customWidth="1"/>
    <col min="12807" max="12807" width="15.140625" bestFit="1" customWidth="1"/>
    <col min="13061" max="13061" width="35" customWidth="1"/>
    <col min="13063" max="13063" width="15.140625" bestFit="1" customWidth="1"/>
    <col min="13317" max="13317" width="35" customWidth="1"/>
    <col min="13319" max="13319" width="15.140625" bestFit="1" customWidth="1"/>
    <col min="13573" max="13573" width="35" customWidth="1"/>
    <col min="13575" max="13575" width="15.140625" bestFit="1" customWidth="1"/>
    <col min="13829" max="13829" width="35" customWidth="1"/>
    <col min="13831" max="13831" width="15.140625" bestFit="1" customWidth="1"/>
    <col min="14085" max="14085" width="35" customWidth="1"/>
    <col min="14087" max="14087" width="15.140625" bestFit="1" customWidth="1"/>
    <col min="14341" max="14341" width="35" customWidth="1"/>
    <col min="14343" max="14343" width="15.140625" bestFit="1" customWidth="1"/>
    <col min="14597" max="14597" width="35" customWidth="1"/>
    <col min="14599" max="14599" width="15.140625" bestFit="1" customWidth="1"/>
    <col min="14853" max="14853" width="35" customWidth="1"/>
    <col min="14855" max="14855" width="15.140625" bestFit="1" customWidth="1"/>
    <col min="15109" max="15109" width="35" customWidth="1"/>
    <col min="15111" max="15111" width="15.140625" bestFit="1" customWidth="1"/>
    <col min="15365" max="15365" width="35" customWidth="1"/>
    <col min="15367" max="15367" width="15.140625" bestFit="1" customWidth="1"/>
    <col min="15621" max="15621" width="35" customWidth="1"/>
    <col min="15623" max="15623" width="15.140625" bestFit="1" customWidth="1"/>
    <col min="15877" max="15877" width="35" customWidth="1"/>
    <col min="15879" max="15879" width="15.140625" bestFit="1" customWidth="1"/>
    <col min="16133" max="16133" width="35" customWidth="1"/>
    <col min="16135" max="16135" width="15.140625" bestFit="1" customWidth="1"/>
  </cols>
  <sheetData>
    <row r="1" spans="1:7" x14ac:dyDescent="0.25">
      <c r="A1" t="s">
        <v>75</v>
      </c>
    </row>
    <row r="2" spans="1:7" x14ac:dyDescent="0.25">
      <c r="A2" t="s">
        <v>312</v>
      </c>
    </row>
    <row r="5" spans="1:7" x14ac:dyDescent="0.25">
      <c r="B5" t="s">
        <v>76</v>
      </c>
      <c r="G5" s="52">
        <v>14132925.4</v>
      </c>
    </row>
    <row r="7" spans="1:7" x14ac:dyDescent="0.25">
      <c r="A7" t="s">
        <v>77</v>
      </c>
      <c r="B7" t="s">
        <v>78</v>
      </c>
      <c r="F7" s="53">
        <v>121941.65</v>
      </c>
      <c r="G7" s="54">
        <f>SUM(F7:F9)</f>
        <v>163563.75999999998</v>
      </c>
    </row>
    <row r="8" spans="1:7" x14ac:dyDescent="0.25">
      <c r="B8" t="s">
        <v>79</v>
      </c>
      <c r="F8" s="53">
        <v>19007.990000000002</v>
      </c>
    </row>
    <row r="9" spans="1:7" x14ac:dyDescent="0.25">
      <c r="B9" t="s">
        <v>80</v>
      </c>
      <c r="F9" s="53">
        <v>22614.12</v>
      </c>
    </row>
    <row r="10" spans="1:7" x14ac:dyDescent="0.25">
      <c r="B10" t="s">
        <v>81</v>
      </c>
      <c r="F10" s="53">
        <v>0</v>
      </c>
    </row>
    <row r="11" spans="1:7" x14ac:dyDescent="0.25">
      <c r="B11" t="s">
        <v>82</v>
      </c>
      <c r="F11" s="53">
        <v>0</v>
      </c>
    </row>
    <row r="13" spans="1:7" x14ac:dyDescent="0.25">
      <c r="A13" t="s">
        <v>83</v>
      </c>
      <c r="B13" t="s">
        <v>84</v>
      </c>
      <c r="F13" s="53">
        <v>436332.11</v>
      </c>
      <c r="G13" s="54">
        <f>SUM(F13:F21)</f>
        <v>508493.31</v>
      </c>
    </row>
    <row r="14" spans="1:7" x14ac:dyDescent="0.25">
      <c r="B14" t="s">
        <v>85</v>
      </c>
      <c r="F14" s="53">
        <v>6134</v>
      </c>
    </row>
    <row r="15" spans="1:7" x14ac:dyDescent="0.25">
      <c r="B15" t="s">
        <v>86</v>
      </c>
      <c r="F15" s="53">
        <v>66027.199999999997</v>
      </c>
    </row>
    <row r="16" spans="1:7" x14ac:dyDescent="0.25">
      <c r="B16" t="s">
        <v>87</v>
      </c>
      <c r="F16" s="53">
        <v>0</v>
      </c>
    </row>
    <row r="17" spans="1:7" x14ac:dyDescent="0.25">
      <c r="B17" t="s">
        <v>88</v>
      </c>
      <c r="F17" s="53">
        <v>0</v>
      </c>
    </row>
    <row r="18" spans="1:7" x14ac:dyDescent="0.25">
      <c r="B18" t="s">
        <v>89</v>
      </c>
      <c r="F18" s="53">
        <v>0</v>
      </c>
    </row>
    <row r="19" spans="1:7" x14ac:dyDescent="0.25">
      <c r="B19" t="s">
        <v>90</v>
      </c>
      <c r="F19" s="53">
        <v>0</v>
      </c>
    </row>
    <row r="20" spans="1:7" x14ac:dyDescent="0.25">
      <c r="B20" t="s">
        <v>91</v>
      </c>
      <c r="F20" s="53">
        <v>0</v>
      </c>
    </row>
    <row r="21" spans="1:7" x14ac:dyDescent="0.25">
      <c r="B21" t="s">
        <v>92</v>
      </c>
      <c r="F21" s="53">
        <v>0</v>
      </c>
    </row>
    <row r="22" spans="1:7" x14ac:dyDescent="0.25">
      <c r="B22" t="s">
        <v>93</v>
      </c>
      <c r="F22" s="53">
        <v>0</v>
      </c>
    </row>
    <row r="24" spans="1:7" x14ac:dyDescent="0.25">
      <c r="A24" t="s">
        <v>83</v>
      </c>
      <c r="B24" t="s">
        <v>94</v>
      </c>
      <c r="F24" s="53">
        <v>0</v>
      </c>
      <c r="G24" s="53">
        <v>0</v>
      </c>
    </row>
    <row r="26" spans="1:7" x14ac:dyDescent="0.25">
      <c r="A26" t="s">
        <v>95</v>
      </c>
      <c r="B26" t="s">
        <v>311</v>
      </c>
      <c r="G26" s="54">
        <f>+G5-G7+G13</f>
        <v>14477854.950000001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96"/>
  <sheetViews>
    <sheetView topLeftCell="A8" workbookViewId="0">
      <selection activeCell="E15" sqref="E15:F15"/>
    </sheetView>
  </sheetViews>
  <sheetFormatPr baseColWidth="10" defaultRowHeight="11.25" x14ac:dyDescent="0.2"/>
  <cols>
    <col min="1" max="2" width="6.85546875" style="1" customWidth="1"/>
    <col min="3" max="3" width="2.7109375" style="1" customWidth="1"/>
    <col min="4" max="4" width="24.5703125" style="1" customWidth="1"/>
    <col min="5" max="5" width="11.140625" style="1" customWidth="1"/>
    <col min="6" max="6" width="15.5703125" style="1" customWidth="1"/>
    <col min="7" max="7" width="12.5703125" style="4" customWidth="1"/>
    <col min="8" max="8" width="11.7109375" style="1" customWidth="1"/>
    <col min="9" max="9" width="16.28515625" style="1" customWidth="1"/>
    <col min="10" max="10" width="11.7109375" style="1" customWidth="1"/>
    <col min="11" max="11" width="10.28515625" style="1" customWidth="1"/>
    <col min="12" max="12" width="10.42578125" style="1" customWidth="1"/>
    <col min="13" max="14" width="10.140625" style="1" customWidth="1"/>
    <col min="15" max="15" width="9.42578125" style="1" customWidth="1"/>
    <col min="16" max="16" width="11.85546875" style="4" customWidth="1"/>
    <col min="17" max="17" width="13" style="1" customWidth="1"/>
    <col min="18" max="20" width="11.42578125" style="17"/>
    <col min="21" max="221" width="11.42578125" style="1"/>
    <col min="222" max="222" width="2.7109375" style="1" customWidth="1"/>
    <col min="223" max="223" width="9.85546875" style="1" customWidth="1"/>
    <col min="224" max="224" width="12.5703125" style="1" customWidth="1"/>
    <col min="225" max="225" width="12.85546875" style="1" customWidth="1"/>
    <col min="226" max="226" width="12.5703125" style="1" customWidth="1"/>
    <col min="227" max="227" width="10" style="1" customWidth="1"/>
    <col min="228" max="228" width="10.28515625" style="1" customWidth="1"/>
    <col min="229" max="229" width="10.42578125" style="1" customWidth="1"/>
    <col min="230" max="230" width="10.85546875" style="1" bestFit="1" customWidth="1"/>
    <col min="231" max="232" width="10.140625" style="1" customWidth="1"/>
    <col min="233" max="233" width="9.42578125" style="1" customWidth="1"/>
    <col min="234" max="234" width="12.140625" style="1" customWidth="1"/>
    <col min="235" max="235" width="11.85546875" style="1" customWidth="1"/>
    <col min="236" max="236" width="13" style="1" customWidth="1"/>
    <col min="237" max="237" width="18.85546875" style="1" customWidth="1"/>
    <col min="238" max="238" width="13" style="1" bestFit="1" customWidth="1"/>
    <col min="239" max="477" width="11.42578125" style="1"/>
    <col min="478" max="478" width="2.7109375" style="1" customWidth="1"/>
    <col min="479" max="479" width="9.85546875" style="1" customWidth="1"/>
    <col min="480" max="480" width="12.5703125" style="1" customWidth="1"/>
    <col min="481" max="481" width="12.85546875" style="1" customWidth="1"/>
    <col min="482" max="482" width="12.5703125" style="1" customWidth="1"/>
    <col min="483" max="483" width="10" style="1" customWidth="1"/>
    <col min="484" max="484" width="10.28515625" style="1" customWidth="1"/>
    <col min="485" max="485" width="10.42578125" style="1" customWidth="1"/>
    <col min="486" max="486" width="10.85546875" style="1" bestFit="1" customWidth="1"/>
    <col min="487" max="488" width="10.140625" style="1" customWidth="1"/>
    <col min="489" max="489" width="9.42578125" style="1" customWidth="1"/>
    <col min="490" max="490" width="12.140625" style="1" customWidth="1"/>
    <col min="491" max="491" width="11.85546875" style="1" customWidth="1"/>
    <col min="492" max="492" width="13" style="1" customWidth="1"/>
    <col min="493" max="493" width="18.85546875" style="1" customWidth="1"/>
    <col min="494" max="494" width="13" style="1" bestFit="1" customWidth="1"/>
    <col min="495" max="733" width="11.42578125" style="1"/>
    <col min="734" max="734" width="2.7109375" style="1" customWidth="1"/>
    <col min="735" max="735" width="9.85546875" style="1" customWidth="1"/>
    <col min="736" max="736" width="12.5703125" style="1" customWidth="1"/>
    <col min="737" max="737" width="12.85546875" style="1" customWidth="1"/>
    <col min="738" max="738" width="12.5703125" style="1" customWidth="1"/>
    <col min="739" max="739" width="10" style="1" customWidth="1"/>
    <col min="740" max="740" width="10.28515625" style="1" customWidth="1"/>
    <col min="741" max="741" width="10.42578125" style="1" customWidth="1"/>
    <col min="742" max="742" width="10.85546875" style="1" bestFit="1" customWidth="1"/>
    <col min="743" max="744" width="10.140625" style="1" customWidth="1"/>
    <col min="745" max="745" width="9.42578125" style="1" customWidth="1"/>
    <col min="746" max="746" width="12.140625" style="1" customWidth="1"/>
    <col min="747" max="747" width="11.85546875" style="1" customWidth="1"/>
    <col min="748" max="748" width="13" style="1" customWidth="1"/>
    <col min="749" max="749" width="18.85546875" style="1" customWidth="1"/>
    <col min="750" max="750" width="13" style="1" bestFit="1" customWidth="1"/>
    <col min="751" max="989" width="11.42578125" style="1"/>
    <col min="990" max="990" width="2.7109375" style="1" customWidth="1"/>
    <col min="991" max="991" width="9.85546875" style="1" customWidth="1"/>
    <col min="992" max="992" width="12.5703125" style="1" customWidth="1"/>
    <col min="993" max="993" width="12.85546875" style="1" customWidth="1"/>
    <col min="994" max="994" width="12.5703125" style="1" customWidth="1"/>
    <col min="995" max="995" width="10" style="1" customWidth="1"/>
    <col min="996" max="996" width="10.28515625" style="1" customWidth="1"/>
    <col min="997" max="997" width="10.42578125" style="1" customWidth="1"/>
    <col min="998" max="998" width="10.85546875" style="1" bestFit="1" customWidth="1"/>
    <col min="999" max="1000" width="10.140625" style="1" customWidth="1"/>
    <col min="1001" max="1001" width="9.42578125" style="1" customWidth="1"/>
    <col min="1002" max="1002" width="12.140625" style="1" customWidth="1"/>
    <col min="1003" max="1003" width="11.85546875" style="1" customWidth="1"/>
    <col min="1004" max="1004" width="13" style="1" customWidth="1"/>
    <col min="1005" max="1005" width="18.85546875" style="1" customWidth="1"/>
    <col min="1006" max="1006" width="13" style="1" bestFit="1" customWidth="1"/>
    <col min="1007" max="1245" width="11.42578125" style="1"/>
    <col min="1246" max="1246" width="2.7109375" style="1" customWidth="1"/>
    <col min="1247" max="1247" width="9.85546875" style="1" customWidth="1"/>
    <col min="1248" max="1248" width="12.5703125" style="1" customWidth="1"/>
    <col min="1249" max="1249" width="12.85546875" style="1" customWidth="1"/>
    <col min="1250" max="1250" width="12.5703125" style="1" customWidth="1"/>
    <col min="1251" max="1251" width="10" style="1" customWidth="1"/>
    <col min="1252" max="1252" width="10.28515625" style="1" customWidth="1"/>
    <col min="1253" max="1253" width="10.42578125" style="1" customWidth="1"/>
    <col min="1254" max="1254" width="10.85546875" style="1" bestFit="1" customWidth="1"/>
    <col min="1255" max="1256" width="10.140625" style="1" customWidth="1"/>
    <col min="1257" max="1257" width="9.42578125" style="1" customWidth="1"/>
    <col min="1258" max="1258" width="12.140625" style="1" customWidth="1"/>
    <col min="1259" max="1259" width="11.85546875" style="1" customWidth="1"/>
    <col min="1260" max="1260" width="13" style="1" customWidth="1"/>
    <col min="1261" max="1261" width="18.85546875" style="1" customWidth="1"/>
    <col min="1262" max="1262" width="13" style="1" bestFit="1" customWidth="1"/>
    <col min="1263" max="1501" width="11.42578125" style="1"/>
    <col min="1502" max="1502" width="2.7109375" style="1" customWidth="1"/>
    <col min="1503" max="1503" width="9.85546875" style="1" customWidth="1"/>
    <col min="1504" max="1504" width="12.5703125" style="1" customWidth="1"/>
    <col min="1505" max="1505" width="12.85546875" style="1" customWidth="1"/>
    <col min="1506" max="1506" width="12.5703125" style="1" customWidth="1"/>
    <col min="1507" max="1507" width="10" style="1" customWidth="1"/>
    <col min="1508" max="1508" width="10.28515625" style="1" customWidth="1"/>
    <col min="1509" max="1509" width="10.42578125" style="1" customWidth="1"/>
    <col min="1510" max="1510" width="10.85546875" style="1" bestFit="1" customWidth="1"/>
    <col min="1511" max="1512" width="10.140625" style="1" customWidth="1"/>
    <col min="1513" max="1513" width="9.42578125" style="1" customWidth="1"/>
    <col min="1514" max="1514" width="12.140625" style="1" customWidth="1"/>
    <col min="1515" max="1515" width="11.85546875" style="1" customWidth="1"/>
    <col min="1516" max="1516" width="13" style="1" customWidth="1"/>
    <col min="1517" max="1517" width="18.85546875" style="1" customWidth="1"/>
    <col min="1518" max="1518" width="13" style="1" bestFit="1" customWidth="1"/>
    <col min="1519" max="1757" width="11.42578125" style="1"/>
    <col min="1758" max="1758" width="2.7109375" style="1" customWidth="1"/>
    <col min="1759" max="1759" width="9.85546875" style="1" customWidth="1"/>
    <col min="1760" max="1760" width="12.5703125" style="1" customWidth="1"/>
    <col min="1761" max="1761" width="12.85546875" style="1" customWidth="1"/>
    <col min="1762" max="1762" width="12.5703125" style="1" customWidth="1"/>
    <col min="1763" max="1763" width="10" style="1" customWidth="1"/>
    <col min="1764" max="1764" width="10.28515625" style="1" customWidth="1"/>
    <col min="1765" max="1765" width="10.42578125" style="1" customWidth="1"/>
    <col min="1766" max="1766" width="10.85546875" style="1" bestFit="1" customWidth="1"/>
    <col min="1767" max="1768" width="10.140625" style="1" customWidth="1"/>
    <col min="1769" max="1769" width="9.42578125" style="1" customWidth="1"/>
    <col min="1770" max="1770" width="12.140625" style="1" customWidth="1"/>
    <col min="1771" max="1771" width="11.85546875" style="1" customWidth="1"/>
    <col min="1772" max="1772" width="13" style="1" customWidth="1"/>
    <col min="1773" max="1773" width="18.85546875" style="1" customWidth="1"/>
    <col min="1774" max="1774" width="13" style="1" bestFit="1" customWidth="1"/>
    <col min="1775" max="2013" width="11.42578125" style="1"/>
    <col min="2014" max="2014" width="2.7109375" style="1" customWidth="1"/>
    <col min="2015" max="2015" width="9.85546875" style="1" customWidth="1"/>
    <col min="2016" max="2016" width="12.5703125" style="1" customWidth="1"/>
    <col min="2017" max="2017" width="12.85546875" style="1" customWidth="1"/>
    <col min="2018" max="2018" width="12.5703125" style="1" customWidth="1"/>
    <col min="2019" max="2019" width="10" style="1" customWidth="1"/>
    <col min="2020" max="2020" width="10.28515625" style="1" customWidth="1"/>
    <col min="2021" max="2021" width="10.42578125" style="1" customWidth="1"/>
    <col min="2022" max="2022" width="10.85546875" style="1" bestFit="1" customWidth="1"/>
    <col min="2023" max="2024" width="10.140625" style="1" customWidth="1"/>
    <col min="2025" max="2025" width="9.42578125" style="1" customWidth="1"/>
    <col min="2026" max="2026" width="12.140625" style="1" customWidth="1"/>
    <col min="2027" max="2027" width="11.85546875" style="1" customWidth="1"/>
    <col min="2028" max="2028" width="13" style="1" customWidth="1"/>
    <col min="2029" max="2029" width="18.85546875" style="1" customWidth="1"/>
    <col min="2030" max="2030" width="13" style="1" bestFit="1" customWidth="1"/>
    <col min="2031" max="2269" width="11.42578125" style="1"/>
    <col min="2270" max="2270" width="2.7109375" style="1" customWidth="1"/>
    <col min="2271" max="2271" width="9.85546875" style="1" customWidth="1"/>
    <col min="2272" max="2272" width="12.5703125" style="1" customWidth="1"/>
    <col min="2273" max="2273" width="12.85546875" style="1" customWidth="1"/>
    <col min="2274" max="2274" width="12.5703125" style="1" customWidth="1"/>
    <col min="2275" max="2275" width="10" style="1" customWidth="1"/>
    <col min="2276" max="2276" width="10.28515625" style="1" customWidth="1"/>
    <col min="2277" max="2277" width="10.42578125" style="1" customWidth="1"/>
    <col min="2278" max="2278" width="10.85546875" style="1" bestFit="1" customWidth="1"/>
    <col min="2279" max="2280" width="10.140625" style="1" customWidth="1"/>
    <col min="2281" max="2281" width="9.42578125" style="1" customWidth="1"/>
    <col min="2282" max="2282" width="12.140625" style="1" customWidth="1"/>
    <col min="2283" max="2283" width="11.85546875" style="1" customWidth="1"/>
    <col min="2284" max="2284" width="13" style="1" customWidth="1"/>
    <col min="2285" max="2285" width="18.85546875" style="1" customWidth="1"/>
    <col min="2286" max="2286" width="13" style="1" bestFit="1" customWidth="1"/>
    <col min="2287" max="2525" width="11.42578125" style="1"/>
    <col min="2526" max="2526" width="2.7109375" style="1" customWidth="1"/>
    <col min="2527" max="2527" width="9.85546875" style="1" customWidth="1"/>
    <col min="2528" max="2528" width="12.5703125" style="1" customWidth="1"/>
    <col min="2529" max="2529" width="12.85546875" style="1" customWidth="1"/>
    <col min="2530" max="2530" width="12.5703125" style="1" customWidth="1"/>
    <col min="2531" max="2531" width="10" style="1" customWidth="1"/>
    <col min="2532" max="2532" width="10.28515625" style="1" customWidth="1"/>
    <col min="2533" max="2533" width="10.42578125" style="1" customWidth="1"/>
    <col min="2534" max="2534" width="10.85546875" style="1" bestFit="1" customWidth="1"/>
    <col min="2535" max="2536" width="10.140625" style="1" customWidth="1"/>
    <col min="2537" max="2537" width="9.42578125" style="1" customWidth="1"/>
    <col min="2538" max="2538" width="12.140625" style="1" customWidth="1"/>
    <col min="2539" max="2539" width="11.85546875" style="1" customWidth="1"/>
    <col min="2540" max="2540" width="13" style="1" customWidth="1"/>
    <col min="2541" max="2541" width="18.85546875" style="1" customWidth="1"/>
    <col min="2542" max="2542" width="13" style="1" bestFit="1" customWidth="1"/>
    <col min="2543" max="2781" width="11.42578125" style="1"/>
    <col min="2782" max="2782" width="2.7109375" style="1" customWidth="1"/>
    <col min="2783" max="2783" width="9.85546875" style="1" customWidth="1"/>
    <col min="2784" max="2784" width="12.5703125" style="1" customWidth="1"/>
    <col min="2785" max="2785" width="12.85546875" style="1" customWidth="1"/>
    <col min="2786" max="2786" width="12.5703125" style="1" customWidth="1"/>
    <col min="2787" max="2787" width="10" style="1" customWidth="1"/>
    <col min="2788" max="2788" width="10.28515625" style="1" customWidth="1"/>
    <col min="2789" max="2789" width="10.42578125" style="1" customWidth="1"/>
    <col min="2790" max="2790" width="10.85546875" style="1" bestFit="1" customWidth="1"/>
    <col min="2791" max="2792" width="10.140625" style="1" customWidth="1"/>
    <col min="2793" max="2793" width="9.42578125" style="1" customWidth="1"/>
    <col min="2794" max="2794" width="12.140625" style="1" customWidth="1"/>
    <col min="2795" max="2795" width="11.85546875" style="1" customWidth="1"/>
    <col min="2796" max="2796" width="13" style="1" customWidth="1"/>
    <col min="2797" max="2797" width="18.85546875" style="1" customWidth="1"/>
    <col min="2798" max="2798" width="13" style="1" bestFit="1" customWidth="1"/>
    <col min="2799" max="3037" width="11.42578125" style="1"/>
    <col min="3038" max="3038" width="2.7109375" style="1" customWidth="1"/>
    <col min="3039" max="3039" width="9.85546875" style="1" customWidth="1"/>
    <col min="3040" max="3040" width="12.5703125" style="1" customWidth="1"/>
    <col min="3041" max="3041" width="12.85546875" style="1" customWidth="1"/>
    <col min="3042" max="3042" width="12.5703125" style="1" customWidth="1"/>
    <col min="3043" max="3043" width="10" style="1" customWidth="1"/>
    <col min="3044" max="3044" width="10.28515625" style="1" customWidth="1"/>
    <col min="3045" max="3045" width="10.42578125" style="1" customWidth="1"/>
    <col min="3046" max="3046" width="10.85546875" style="1" bestFit="1" customWidth="1"/>
    <col min="3047" max="3048" width="10.140625" style="1" customWidth="1"/>
    <col min="3049" max="3049" width="9.42578125" style="1" customWidth="1"/>
    <col min="3050" max="3050" width="12.140625" style="1" customWidth="1"/>
    <col min="3051" max="3051" width="11.85546875" style="1" customWidth="1"/>
    <col min="3052" max="3052" width="13" style="1" customWidth="1"/>
    <col min="3053" max="3053" width="18.85546875" style="1" customWidth="1"/>
    <col min="3054" max="3054" width="13" style="1" bestFit="1" customWidth="1"/>
    <col min="3055" max="3293" width="11.42578125" style="1"/>
    <col min="3294" max="3294" width="2.7109375" style="1" customWidth="1"/>
    <col min="3295" max="3295" width="9.85546875" style="1" customWidth="1"/>
    <col min="3296" max="3296" width="12.5703125" style="1" customWidth="1"/>
    <col min="3297" max="3297" width="12.85546875" style="1" customWidth="1"/>
    <col min="3298" max="3298" width="12.5703125" style="1" customWidth="1"/>
    <col min="3299" max="3299" width="10" style="1" customWidth="1"/>
    <col min="3300" max="3300" width="10.28515625" style="1" customWidth="1"/>
    <col min="3301" max="3301" width="10.42578125" style="1" customWidth="1"/>
    <col min="3302" max="3302" width="10.85546875" style="1" bestFit="1" customWidth="1"/>
    <col min="3303" max="3304" width="10.140625" style="1" customWidth="1"/>
    <col min="3305" max="3305" width="9.42578125" style="1" customWidth="1"/>
    <col min="3306" max="3306" width="12.140625" style="1" customWidth="1"/>
    <col min="3307" max="3307" width="11.85546875" style="1" customWidth="1"/>
    <col min="3308" max="3308" width="13" style="1" customWidth="1"/>
    <col min="3309" max="3309" width="18.85546875" style="1" customWidth="1"/>
    <col min="3310" max="3310" width="13" style="1" bestFit="1" customWidth="1"/>
    <col min="3311" max="3549" width="11.42578125" style="1"/>
    <col min="3550" max="3550" width="2.7109375" style="1" customWidth="1"/>
    <col min="3551" max="3551" width="9.85546875" style="1" customWidth="1"/>
    <col min="3552" max="3552" width="12.5703125" style="1" customWidth="1"/>
    <col min="3553" max="3553" width="12.85546875" style="1" customWidth="1"/>
    <col min="3554" max="3554" width="12.5703125" style="1" customWidth="1"/>
    <col min="3555" max="3555" width="10" style="1" customWidth="1"/>
    <col min="3556" max="3556" width="10.28515625" style="1" customWidth="1"/>
    <col min="3557" max="3557" width="10.42578125" style="1" customWidth="1"/>
    <col min="3558" max="3558" width="10.85546875" style="1" bestFit="1" customWidth="1"/>
    <col min="3559" max="3560" width="10.140625" style="1" customWidth="1"/>
    <col min="3561" max="3561" width="9.42578125" style="1" customWidth="1"/>
    <col min="3562" max="3562" width="12.140625" style="1" customWidth="1"/>
    <col min="3563" max="3563" width="11.85546875" style="1" customWidth="1"/>
    <col min="3564" max="3564" width="13" style="1" customWidth="1"/>
    <col min="3565" max="3565" width="18.85546875" style="1" customWidth="1"/>
    <col min="3566" max="3566" width="13" style="1" bestFit="1" customWidth="1"/>
    <col min="3567" max="3805" width="11.42578125" style="1"/>
    <col min="3806" max="3806" width="2.7109375" style="1" customWidth="1"/>
    <col min="3807" max="3807" width="9.85546875" style="1" customWidth="1"/>
    <col min="3808" max="3808" width="12.5703125" style="1" customWidth="1"/>
    <col min="3809" max="3809" width="12.85546875" style="1" customWidth="1"/>
    <col min="3810" max="3810" width="12.5703125" style="1" customWidth="1"/>
    <col min="3811" max="3811" width="10" style="1" customWidth="1"/>
    <col min="3812" max="3812" width="10.28515625" style="1" customWidth="1"/>
    <col min="3813" max="3813" width="10.42578125" style="1" customWidth="1"/>
    <col min="3814" max="3814" width="10.85546875" style="1" bestFit="1" customWidth="1"/>
    <col min="3815" max="3816" width="10.140625" style="1" customWidth="1"/>
    <col min="3817" max="3817" width="9.42578125" style="1" customWidth="1"/>
    <col min="3818" max="3818" width="12.140625" style="1" customWidth="1"/>
    <col min="3819" max="3819" width="11.85546875" style="1" customWidth="1"/>
    <col min="3820" max="3820" width="13" style="1" customWidth="1"/>
    <col min="3821" max="3821" width="18.85546875" style="1" customWidth="1"/>
    <col min="3822" max="3822" width="13" style="1" bestFit="1" customWidth="1"/>
    <col min="3823" max="4061" width="11.42578125" style="1"/>
    <col min="4062" max="4062" width="2.7109375" style="1" customWidth="1"/>
    <col min="4063" max="4063" width="9.85546875" style="1" customWidth="1"/>
    <col min="4064" max="4064" width="12.5703125" style="1" customWidth="1"/>
    <col min="4065" max="4065" width="12.85546875" style="1" customWidth="1"/>
    <col min="4066" max="4066" width="12.5703125" style="1" customWidth="1"/>
    <col min="4067" max="4067" width="10" style="1" customWidth="1"/>
    <col min="4068" max="4068" width="10.28515625" style="1" customWidth="1"/>
    <col min="4069" max="4069" width="10.42578125" style="1" customWidth="1"/>
    <col min="4070" max="4070" width="10.85546875" style="1" bestFit="1" customWidth="1"/>
    <col min="4071" max="4072" width="10.140625" style="1" customWidth="1"/>
    <col min="4073" max="4073" width="9.42578125" style="1" customWidth="1"/>
    <col min="4074" max="4074" width="12.140625" style="1" customWidth="1"/>
    <col min="4075" max="4075" width="11.85546875" style="1" customWidth="1"/>
    <col min="4076" max="4076" width="13" style="1" customWidth="1"/>
    <col min="4077" max="4077" width="18.85546875" style="1" customWidth="1"/>
    <col min="4078" max="4078" width="13" style="1" bestFit="1" customWidth="1"/>
    <col min="4079" max="4317" width="11.42578125" style="1"/>
    <col min="4318" max="4318" width="2.7109375" style="1" customWidth="1"/>
    <col min="4319" max="4319" width="9.85546875" style="1" customWidth="1"/>
    <col min="4320" max="4320" width="12.5703125" style="1" customWidth="1"/>
    <col min="4321" max="4321" width="12.85546875" style="1" customWidth="1"/>
    <col min="4322" max="4322" width="12.5703125" style="1" customWidth="1"/>
    <col min="4323" max="4323" width="10" style="1" customWidth="1"/>
    <col min="4324" max="4324" width="10.28515625" style="1" customWidth="1"/>
    <col min="4325" max="4325" width="10.42578125" style="1" customWidth="1"/>
    <col min="4326" max="4326" width="10.85546875" style="1" bestFit="1" customWidth="1"/>
    <col min="4327" max="4328" width="10.140625" style="1" customWidth="1"/>
    <col min="4329" max="4329" width="9.42578125" style="1" customWidth="1"/>
    <col min="4330" max="4330" width="12.140625" style="1" customWidth="1"/>
    <col min="4331" max="4331" width="11.85546875" style="1" customWidth="1"/>
    <col min="4332" max="4332" width="13" style="1" customWidth="1"/>
    <col min="4333" max="4333" width="18.85546875" style="1" customWidth="1"/>
    <col min="4334" max="4334" width="13" style="1" bestFit="1" customWidth="1"/>
    <col min="4335" max="4573" width="11.42578125" style="1"/>
    <col min="4574" max="4574" width="2.7109375" style="1" customWidth="1"/>
    <col min="4575" max="4575" width="9.85546875" style="1" customWidth="1"/>
    <col min="4576" max="4576" width="12.5703125" style="1" customWidth="1"/>
    <col min="4577" max="4577" width="12.85546875" style="1" customWidth="1"/>
    <col min="4578" max="4578" width="12.5703125" style="1" customWidth="1"/>
    <col min="4579" max="4579" width="10" style="1" customWidth="1"/>
    <col min="4580" max="4580" width="10.28515625" style="1" customWidth="1"/>
    <col min="4581" max="4581" width="10.42578125" style="1" customWidth="1"/>
    <col min="4582" max="4582" width="10.85546875" style="1" bestFit="1" customWidth="1"/>
    <col min="4583" max="4584" width="10.140625" style="1" customWidth="1"/>
    <col min="4585" max="4585" width="9.42578125" style="1" customWidth="1"/>
    <col min="4586" max="4586" width="12.140625" style="1" customWidth="1"/>
    <col min="4587" max="4587" width="11.85546875" style="1" customWidth="1"/>
    <col min="4588" max="4588" width="13" style="1" customWidth="1"/>
    <col min="4589" max="4589" width="18.85546875" style="1" customWidth="1"/>
    <col min="4590" max="4590" width="13" style="1" bestFit="1" customWidth="1"/>
    <col min="4591" max="4829" width="11.42578125" style="1"/>
    <col min="4830" max="4830" width="2.7109375" style="1" customWidth="1"/>
    <col min="4831" max="4831" width="9.85546875" style="1" customWidth="1"/>
    <col min="4832" max="4832" width="12.5703125" style="1" customWidth="1"/>
    <col min="4833" max="4833" width="12.85546875" style="1" customWidth="1"/>
    <col min="4834" max="4834" width="12.5703125" style="1" customWidth="1"/>
    <col min="4835" max="4835" width="10" style="1" customWidth="1"/>
    <col min="4836" max="4836" width="10.28515625" style="1" customWidth="1"/>
    <col min="4837" max="4837" width="10.42578125" style="1" customWidth="1"/>
    <col min="4838" max="4838" width="10.85546875" style="1" bestFit="1" customWidth="1"/>
    <col min="4839" max="4840" width="10.140625" style="1" customWidth="1"/>
    <col min="4841" max="4841" width="9.42578125" style="1" customWidth="1"/>
    <col min="4842" max="4842" width="12.140625" style="1" customWidth="1"/>
    <col min="4843" max="4843" width="11.85546875" style="1" customWidth="1"/>
    <col min="4844" max="4844" width="13" style="1" customWidth="1"/>
    <col min="4845" max="4845" width="18.85546875" style="1" customWidth="1"/>
    <col min="4846" max="4846" width="13" style="1" bestFit="1" customWidth="1"/>
    <col min="4847" max="5085" width="11.42578125" style="1"/>
    <col min="5086" max="5086" width="2.7109375" style="1" customWidth="1"/>
    <col min="5087" max="5087" width="9.85546875" style="1" customWidth="1"/>
    <col min="5088" max="5088" width="12.5703125" style="1" customWidth="1"/>
    <col min="5089" max="5089" width="12.85546875" style="1" customWidth="1"/>
    <col min="5090" max="5090" width="12.5703125" style="1" customWidth="1"/>
    <col min="5091" max="5091" width="10" style="1" customWidth="1"/>
    <col min="5092" max="5092" width="10.28515625" style="1" customWidth="1"/>
    <col min="5093" max="5093" width="10.42578125" style="1" customWidth="1"/>
    <col min="5094" max="5094" width="10.85546875" style="1" bestFit="1" customWidth="1"/>
    <col min="5095" max="5096" width="10.140625" style="1" customWidth="1"/>
    <col min="5097" max="5097" width="9.42578125" style="1" customWidth="1"/>
    <col min="5098" max="5098" width="12.140625" style="1" customWidth="1"/>
    <col min="5099" max="5099" width="11.85546875" style="1" customWidth="1"/>
    <col min="5100" max="5100" width="13" style="1" customWidth="1"/>
    <col min="5101" max="5101" width="18.85546875" style="1" customWidth="1"/>
    <col min="5102" max="5102" width="13" style="1" bestFit="1" customWidth="1"/>
    <col min="5103" max="5341" width="11.42578125" style="1"/>
    <col min="5342" max="5342" width="2.7109375" style="1" customWidth="1"/>
    <col min="5343" max="5343" width="9.85546875" style="1" customWidth="1"/>
    <col min="5344" max="5344" width="12.5703125" style="1" customWidth="1"/>
    <col min="5345" max="5345" width="12.85546875" style="1" customWidth="1"/>
    <col min="5346" max="5346" width="12.5703125" style="1" customWidth="1"/>
    <col min="5347" max="5347" width="10" style="1" customWidth="1"/>
    <col min="5348" max="5348" width="10.28515625" style="1" customWidth="1"/>
    <col min="5349" max="5349" width="10.42578125" style="1" customWidth="1"/>
    <col min="5350" max="5350" width="10.85546875" style="1" bestFit="1" customWidth="1"/>
    <col min="5351" max="5352" width="10.140625" style="1" customWidth="1"/>
    <col min="5353" max="5353" width="9.42578125" style="1" customWidth="1"/>
    <col min="5354" max="5354" width="12.140625" style="1" customWidth="1"/>
    <col min="5355" max="5355" width="11.85546875" style="1" customWidth="1"/>
    <col min="5356" max="5356" width="13" style="1" customWidth="1"/>
    <col min="5357" max="5357" width="18.85546875" style="1" customWidth="1"/>
    <col min="5358" max="5358" width="13" style="1" bestFit="1" customWidth="1"/>
    <col min="5359" max="5597" width="11.42578125" style="1"/>
    <col min="5598" max="5598" width="2.7109375" style="1" customWidth="1"/>
    <col min="5599" max="5599" width="9.85546875" style="1" customWidth="1"/>
    <col min="5600" max="5600" width="12.5703125" style="1" customWidth="1"/>
    <col min="5601" max="5601" width="12.85546875" style="1" customWidth="1"/>
    <col min="5602" max="5602" width="12.5703125" style="1" customWidth="1"/>
    <col min="5603" max="5603" width="10" style="1" customWidth="1"/>
    <col min="5604" max="5604" width="10.28515625" style="1" customWidth="1"/>
    <col min="5605" max="5605" width="10.42578125" style="1" customWidth="1"/>
    <col min="5606" max="5606" width="10.85546875" style="1" bestFit="1" customWidth="1"/>
    <col min="5607" max="5608" width="10.140625" style="1" customWidth="1"/>
    <col min="5609" max="5609" width="9.42578125" style="1" customWidth="1"/>
    <col min="5610" max="5610" width="12.140625" style="1" customWidth="1"/>
    <col min="5611" max="5611" width="11.85546875" style="1" customWidth="1"/>
    <col min="5612" max="5612" width="13" style="1" customWidth="1"/>
    <col min="5613" max="5613" width="18.85546875" style="1" customWidth="1"/>
    <col min="5614" max="5614" width="13" style="1" bestFit="1" customWidth="1"/>
    <col min="5615" max="5853" width="11.42578125" style="1"/>
    <col min="5854" max="5854" width="2.7109375" style="1" customWidth="1"/>
    <col min="5855" max="5855" width="9.85546875" style="1" customWidth="1"/>
    <col min="5856" max="5856" width="12.5703125" style="1" customWidth="1"/>
    <col min="5857" max="5857" width="12.85546875" style="1" customWidth="1"/>
    <col min="5858" max="5858" width="12.5703125" style="1" customWidth="1"/>
    <col min="5859" max="5859" width="10" style="1" customWidth="1"/>
    <col min="5860" max="5860" width="10.28515625" style="1" customWidth="1"/>
    <col min="5861" max="5861" width="10.42578125" style="1" customWidth="1"/>
    <col min="5862" max="5862" width="10.85546875" style="1" bestFit="1" customWidth="1"/>
    <col min="5863" max="5864" width="10.140625" style="1" customWidth="1"/>
    <col min="5865" max="5865" width="9.42578125" style="1" customWidth="1"/>
    <col min="5866" max="5866" width="12.140625" style="1" customWidth="1"/>
    <col min="5867" max="5867" width="11.85546875" style="1" customWidth="1"/>
    <col min="5868" max="5868" width="13" style="1" customWidth="1"/>
    <col min="5869" max="5869" width="18.85546875" style="1" customWidth="1"/>
    <col min="5870" max="5870" width="13" style="1" bestFit="1" customWidth="1"/>
    <col min="5871" max="6109" width="11.42578125" style="1"/>
    <col min="6110" max="6110" width="2.7109375" style="1" customWidth="1"/>
    <col min="6111" max="6111" width="9.85546875" style="1" customWidth="1"/>
    <col min="6112" max="6112" width="12.5703125" style="1" customWidth="1"/>
    <col min="6113" max="6113" width="12.85546875" style="1" customWidth="1"/>
    <col min="6114" max="6114" width="12.5703125" style="1" customWidth="1"/>
    <col min="6115" max="6115" width="10" style="1" customWidth="1"/>
    <col min="6116" max="6116" width="10.28515625" style="1" customWidth="1"/>
    <col min="6117" max="6117" width="10.42578125" style="1" customWidth="1"/>
    <col min="6118" max="6118" width="10.85546875" style="1" bestFit="1" customWidth="1"/>
    <col min="6119" max="6120" width="10.140625" style="1" customWidth="1"/>
    <col min="6121" max="6121" width="9.42578125" style="1" customWidth="1"/>
    <col min="6122" max="6122" width="12.140625" style="1" customWidth="1"/>
    <col min="6123" max="6123" width="11.85546875" style="1" customWidth="1"/>
    <col min="6124" max="6124" width="13" style="1" customWidth="1"/>
    <col min="6125" max="6125" width="18.85546875" style="1" customWidth="1"/>
    <col min="6126" max="6126" width="13" style="1" bestFit="1" customWidth="1"/>
    <col min="6127" max="6365" width="11.42578125" style="1"/>
    <col min="6366" max="6366" width="2.7109375" style="1" customWidth="1"/>
    <col min="6367" max="6367" width="9.85546875" style="1" customWidth="1"/>
    <col min="6368" max="6368" width="12.5703125" style="1" customWidth="1"/>
    <col min="6369" max="6369" width="12.85546875" style="1" customWidth="1"/>
    <col min="6370" max="6370" width="12.5703125" style="1" customWidth="1"/>
    <col min="6371" max="6371" width="10" style="1" customWidth="1"/>
    <col min="6372" max="6372" width="10.28515625" style="1" customWidth="1"/>
    <col min="6373" max="6373" width="10.42578125" style="1" customWidth="1"/>
    <col min="6374" max="6374" width="10.85546875" style="1" bestFit="1" customWidth="1"/>
    <col min="6375" max="6376" width="10.140625" style="1" customWidth="1"/>
    <col min="6377" max="6377" width="9.42578125" style="1" customWidth="1"/>
    <col min="6378" max="6378" width="12.140625" style="1" customWidth="1"/>
    <col min="6379" max="6379" width="11.85546875" style="1" customWidth="1"/>
    <col min="6380" max="6380" width="13" style="1" customWidth="1"/>
    <col min="6381" max="6381" width="18.85546875" style="1" customWidth="1"/>
    <col min="6382" max="6382" width="13" style="1" bestFit="1" customWidth="1"/>
    <col min="6383" max="6621" width="11.42578125" style="1"/>
    <col min="6622" max="6622" width="2.7109375" style="1" customWidth="1"/>
    <col min="6623" max="6623" width="9.85546875" style="1" customWidth="1"/>
    <col min="6624" max="6624" width="12.5703125" style="1" customWidth="1"/>
    <col min="6625" max="6625" width="12.85546875" style="1" customWidth="1"/>
    <col min="6626" max="6626" width="12.5703125" style="1" customWidth="1"/>
    <col min="6627" max="6627" width="10" style="1" customWidth="1"/>
    <col min="6628" max="6628" width="10.28515625" style="1" customWidth="1"/>
    <col min="6629" max="6629" width="10.42578125" style="1" customWidth="1"/>
    <col min="6630" max="6630" width="10.85546875" style="1" bestFit="1" customWidth="1"/>
    <col min="6631" max="6632" width="10.140625" style="1" customWidth="1"/>
    <col min="6633" max="6633" width="9.42578125" style="1" customWidth="1"/>
    <col min="6634" max="6634" width="12.140625" style="1" customWidth="1"/>
    <col min="6635" max="6635" width="11.85546875" style="1" customWidth="1"/>
    <col min="6636" max="6636" width="13" style="1" customWidth="1"/>
    <col min="6637" max="6637" width="18.85546875" style="1" customWidth="1"/>
    <col min="6638" max="6638" width="13" style="1" bestFit="1" customWidth="1"/>
    <col min="6639" max="6877" width="11.42578125" style="1"/>
    <col min="6878" max="6878" width="2.7109375" style="1" customWidth="1"/>
    <col min="6879" max="6879" width="9.85546875" style="1" customWidth="1"/>
    <col min="6880" max="6880" width="12.5703125" style="1" customWidth="1"/>
    <col min="6881" max="6881" width="12.85546875" style="1" customWidth="1"/>
    <col min="6882" max="6882" width="12.5703125" style="1" customWidth="1"/>
    <col min="6883" max="6883" width="10" style="1" customWidth="1"/>
    <col min="6884" max="6884" width="10.28515625" style="1" customWidth="1"/>
    <col min="6885" max="6885" width="10.42578125" style="1" customWidth="1"/>
    <col min="6886" max="6886" width="10.85546875" style="1" bestFit="1" customWidth="1"/>
    <col min="6887" max="6888" width="10.140625" style="1" customWidth="1"/>
    <col min="6889" max="6889" width="9.42578125" style="1" customWidth="1"/>
    <col min="6890" max="6890" width="12.140625" style="1" customWidth="1"/>
    <col min="6891" max="6891" width="11.85546875" style="1" customWidth="1"/>
    <col min="6892" max="6892" width="13" style="1" customWidth="1"/>
    <col min="6893" max="6893" width="18.85546875" style="1" customWidth="1"/>
    <col min="6894" max="6894" width="13" style="1" bestFit="1" customWidth="1"/>
    <col min="6895" max="7133" width="11.42578125" style="1"/>
    <col min="7134" max="7134" width="2.7109375" style="1" customWidth="1"/>
    <col min="7135" max="7135" width="9.85546875" style="1" customWidth="1"/>
    <col min="7136" max="7136" width="12.5703125" style="1" customWidth="1"/>
    <col min="7137" max="7137" width="12.85546875" style="1" customWidth="1"/>
    <col min="7138" max="7138" width="12.5703125" style="1" customWidth="1"/>
    <col min="7139" max="7139" width="10" style="1" customWidth="1"/>
    <col min="7140" max="7140" width="10.28515625" style="1" customWidth="1"/>
    <col min="7141" max="7141" width="10.42578125" style="1" customWidth="1"/>
    <col min="7142" max="7142" width="10.85546875" style="1" bestFit="1" customWidth="1"/>
    <col min="7143" max="7144" width="10.140625" style="1" customWidth="1"/>
    <col min="7145" max="7145" width="9.42578125" style="1" customWidth="1"/>
    <col min="7146" max="7146" width="12.140625" style="1" customWidth="1"/>
    <col min="7147" max="7147" width="11.85546875" style="1" customWidth="1"/>
    <col min="7148" max="7148" width="13" style="1" customWidth="1"/>
    <col min="7149" max="7149" width="18.85546875" style="1" customWidth="1"/>
    <col min="7150" max="7150" width="13" style="1" bestFit="1" customWidth="1"/>
    <col min="7151" max="7389" width="11.42578125" style="1"/>
    <col min="7390" max="7390" width="2.7109375" style="1" customWidth="1"/>
    <col min="7391" max="7391" width="9.85546875" style="1" customWidth="1"/>
    <col min="7392" max="7392" width="12.5703125" style="1" customWidth="1"/>
    <col min="7393" max="7393" width="12.85546875" style="1" customWidth="1"/>
    <col min="7394" max="7394" width="12.5703125" style="1" customWidth="1"/>
    <col min="7395" max="7395" width="10" style="1" customWidth="1"/>
    <col min="7396" max="7396" width="10.28515625" style="1" customWidth="1"/>
    <col min="7397" max="7397" width="10.42578125" style="1" customWidth="1"/>
    <col min="7398" max="7398" width="10.85546875" style="1" bestFit="1" customWidth="1"/>
    <col min="7399" max="7400" width="10.140625" style="1" customWidth="1"/>
    <col min="7401" max="7401" width="9.42578125" style="1" customWidth="1"/>
    <col min="7402" max="7402" width="12.140625" style="1" customWidth="1"/>
    <col min="7403" max="7403" width="11.85546875" style="1" customWidth="1"/>
    <col min="7404" max="7404" width="13" style="1" customWidth="1"/>
    <col min="7405" max="7405" width="18.85546875" style="1" customWidth="1"/>
    <col min="7406" max="7406" width="13" style="1" bestFit="1" customWidth="1"/>
    <col min="7407" max="7645" width="11.42578125" style="1"/>
    <col min="7646" max="7646" width="2.7109375" style="1" customWidth="1"/>
    <col min="7647" max="7647" width="9.85546875" style="1" customWidth="1"/>
    <col min="7648" max="7648" width="12.5703125" style="1" customWidth="1"/>
    <col min="7649" max="7649" width="12.85546875" style="1" customWidth="1"/>
    <col min="7650" max="7650" width="12.5703125" style="1" customWidth="1"/>
    <col min="7651" max="7651" width="10" style="1" customWidth="1"/>
    <col min="7652" max="7652" width="10.28515625" style="1" customWidth="1"/>
    <col min="7653" max="7653" width="10.42578125" style="1" customWidth="1"/>
    <col min="7654" max="7654" width="10.85546875" style="1" bestFit="1" customWidth="1"/>
    <col min="7655" max="7656" width="10.140625" style="1" customWidth="1"/>
    <col min="7657" max="7657" width="9.42578125" style="1" customWidth="1"/>
    <col min="7658" max="7658" width="12.140625" style="1" customWidth="1"/>
    <col min="7659" max="7659" width="11.85546875" style="1" customWidth="1"/>
    <col min="7660" max="7660" width="13" style="1" customWidth="1"/>
    <col min="7661" max="7661" width="18.85546875" style="1" customWidth="1"/>
    <col min="7662" max="7662" width="13" style="1" bestFit="1" customWidth="1"/>
    <col min="7663" max="7901" width="11.42578125" style="1"/>
    <col min="7902" max="7902" width="2.7109375" style="1" customWidth="1"/>
    <col min="7903" max="7903" width="9.85546875" style="1" customWidth="1"/>
    <col min="7904" max="7904" width="12.5703125" style="1" customWidth="1"/>
    <col min="7905" max="7905" width="12.85546875" style="1" customWidth="1"/>
    <col min="7906" max="7906" width="12.5703125" style="1" customWidth="1"/>
    <col min="7907" max="7907" width="10" style="1" customWidth="1"/>
    <col min="7908" max="7908" width="10.28515625" style="1" customWidth="1"/>
    <col min="7909" max="7909" width="10.42578125" style="1" customWidth="1"/>
    <col min="7910" max="7910" width="10.85546875" style="1" bestFit="1" customWidth="1"/>
    <col min="7911" max="7912" width="10.140625" style="1" customWidth="1"/>
    <col min="7913" max="7913" width="9.42578125" style="1" customWidth="1"/>
    <col min="7914" max="7914" width="12.140625" style="1" customWidth="1"/>
    <col min="7915" max="7915" width="11.85546875" style="1" customWidth="1"/>
    <col min="7916" max="7916" width="13" style="1" customWidth="1"/>
    <col min="7917" max="7917" width="18.85546875" style="1" customWidth="1"/>
    <col min="7918" max="7918" width="13" style="1" bestFit="1" customWidth="1"/>
    <col min="7919" max="8157" width="11.42578125" style="1"/>
    <col min="8158" max="8158" width="2.7109375" style="1" customWidth="1"/>
    <col min="8159" max="8159" width="9.85546875" style="1" customWidth="1"/>
    <col min="8160" max="8160" width="12.5703125" style="1" customWidth="1"/>
    <col min="8161" max="8161" width="12.85546875" style="1" customWidth="1"/>
    <col min="8162" max="8162" width="12.5703125" style="1" customWidth="1"/>
    <col min="8163" max="8163" width="10" style="1" customWidth="1"/>
    <col min="8164" max="8164" width="10.28515625" style="1" customWidth="1"/>
    <col min="8165" max="8165" width="10.42578125" style="1" customWidth="1"/>
    <col min="8166" max="8166" width="10.85546875" style="1" bestFit="1" customWidth="1"/>
    <col min="8167" max="8168" width="10.140625" style="1" customWidth="1"/>
    <col min="8169" max="8169" width="9.42578125" style="1" customWidth="1"/>
    <col min="8170" max="8170" width="12.140625" style="1" customWidth="1"/>
    <col min="8171" max="8171" width="11.85546875" style="1" customWidth="1"/>
    <col min="8172" max="8172" width="13" style="1" customWidth="1"/>
    <col min="8173" max="8173" width="18.85546875" style="1" customWidth="1"/>
    <col min="8174" max="8174" width="13" style="1" bestFit="1" customWidth="1"/>
    <col min="8175" max="8413" width="11.42578125" style="1"/>
    <col min="8414" max="8414" width="2.7109375" style="1" customWidth="1"/>
    <col min="8415" max="8415" width="9.85546875" style="1" customWidth="1"/>
    <col min="8416" max="8416" width="12.5703125" style="1" customWidth="1"/>
    <col min="8417" max="8417" width="12.85546875" style="1" customWidth="1"/>
    <col min="8418" max="8418" width="12.5703125" style="1" customWidth="1"/>
    <col min="8419" max="8419" width="10" style="1" customWidth="1"/>
    <col min="8420" max="8420" width="10.28515625" style="1" customWidth="1"/>
    <col min="8421" max="8421" width="10.42578125" style="1" customWidth="1"/>
    <col min="8422" max="8422" width="10.85546875" style="1" bestFit="1" customWidth="1"/>
    <col min="8423" max="8424" width="10.140625" style="1" customWidth="1"/>
    <col min="8425" max="8425" width="9.42578125" style="1" customWidth="1"/>
    <col min="8426" max="8426" width="12.140625" style="1" customWidth="1"/>
    <col min="8427" max="8427" width="11.85546875" style="1" customWidth="1"/>
    <col min="8428" max="8428" width="13" style="1" customWidth="1"/>
    <col min="8429" max="8429" width="18.85546875" style="1" customWidth="1"/>
    <col min="8430" max="8430" width="13" style="1" bestFit="1" customWidth="1"/>
    <col min="8431" max="8669" width="11.42578125" style="1"/>
    <col min="8670" max="8670" width="2.7109375" style="1" customWidth="1"/>
    <col min="8671" max="8671" width="9.85546875" style="1" customWidth="1"/>
    <col min="8672" max="8672" width="12.5703125" style="1" customWidth="1"/>
    <col min="8673" max="8673" width="12.85546875" style="1" customWidth="1"/>
    <col min="8674" max="8674" width="12.5703125" style="1" customWidth="1"/>
    <col min="8675" max="8675" width="10" style="1" customWidth="1"/>
    <col min="8676" max="8676" width="10.28515625" style="1" customWidth="1"/>
    <col min="8677" max="8677" width="10.42578125" style="1" customWidth="1"/>
    <col min="8678" max="8678" width="10.85546875" style="1" bestFit="1" customWidth="1"/>
    <col min="8679" max="8680" width="10.140625" style="1" customWidth="1"/>
    <col min="8681" max="8681" width="9.42578125" style="1" customWidth="1"/>
    <col min="8682" max="8682" width="12.140625" style="1" customWidth="1"/>
    <col min="8683" max="8683" width="11.85546875" style="1" customWidth="1"/>
    <col min="8684" max="8684" width="13" style="1" customWidth="1"/>
    <col min="8685" max="8685" width="18.85546875" style="1" customWidth="1"/>
    <col min="8686" max="8686" width="13" style="1" bestFit="1" customWidth="1"/>
    <col min="8687" max="8925" width="11.42578125" style="1"/>
    <col min="8926" max="8926" width="2.7109375" style="1" customWidth="1"/>
    <col min="8927" max="8927" width="9.85546875" style="1" customWidth="1"/>
    <col min="8928" max="8928" width="12.5703125" style="1" customWidth="1"/>
    <col min="8929" max="8929" width="12.85546875" style="1" customWidth="1"/>
    <col min="8930" max="8930" width="12.5703125" style="1" customWidth="1"/>
    <col min="8931" max="8931" width="10" style="1" customWidth="1"/>
    <col min="8932" max="8932" width="10.28515625" style="1" customWidth="1"/>
    <col min="8933" max="8933" width="10.42578125" style="1" customWidth="1"/>
    <col min="8934" max="8934" width="10.85546875" style="1" bestFit="1" customWidth="1"/>
    <col min="8935" max="8936" width="10.140625" style="1" customWidth="1"/>
    <col min="8937" max="8937" width="9.42578125" style="1" customWidth="1"/>
    <col min="8938" max="8938" width="12.140625" style="1" customWidth="1"/>
    <col min="8939" max="8939" width="11.85546875" style="1" customWidth="1"/>
    <col min="8940" max="8940" width="13" style="1" customWidth="1"/>
    <col min="8941" max="8941" width="18.85546875" style="1" customWidth="1"/>
    <col min="8942" max="8942" width="13" style="1" bestFit="1" customWidth="1"/>
    <col min="8943" max="9181" width="11.42578125" style="1"/>
    <col min="9182" max="9182" width="2.7109375" style="1" customWidth="1"/>
    <col min="9183" max="9183" width="9.85546875" style="1" customWidth="1"/>
    <col min="9184" max="9184" width="12.5703125" style="1" customWidth="1"/>
    <col min="9185" max="9185" width="12.85546875" style="1" customWidth="1"/>
    <col min="9186" max="9186" width="12.5703125" style="1" customWidth="1"/>
    <col min="9187" max="9187" width="10" style="1" customWidth="1"/>
    <col min="9188" max="9188" width="10.28515625" style="1" customWidth="1"/>
    <col min="9189" max="9189" width="10.42578125" style="1" customWidth="1"/>
    <col min="9190" max="9190" width="10.85546875" style="1" bestFit="1" customWidth="1"/>
    <col min="9191" max="9192" width="10.140625" style="1" customWidth="1"/>
    <col min="9193" max="9193" width="9.42578125" style="1" customWidth="1"/>
    <col min="9194" max="9194" width="12.140625" style="1" customWidth="1"/>
    <col min="9195" max="9195" width="11.85546875" style="1" customWidth="1"/>
    <col min="9196" max="9196" width="13" style="1" customWidth="1"/>
    <col min="9197" max="9197" width="18.85546875" style="1" customWidth="1"/>
    <col min="9198" max="9198" width="13" style="1" bestFit="1" customWidth="1"/>
    <col min="9199" max="9437" width="11.42578125" style="1"/>
    <col min="9438" max="9438" width="2.7109375" style="1" customWidth="1"/>
    <col min="9439" max="9439" width="9.85546875" style="1" customWidth="1"/>
    <col min="9440" max="9440" width="12.5703125" style="1" customWidth="1"/>
    <col min="9441" max="9441" width="12.85546875" style="1" customWidth="1"/>
    <col min="9442" max="9442" width="12.5703125" style="1" customWidth="1"/>
    <col min="9443" max="9443" width="10" style="1" customWidth="1"/>
    <col min="9444" max="9444" width="10.28515625" style="1" customWidth="1"/>
    <col min="9445" max="9445" width="10.42578125" style="1" customWidth="1"/>
    <col min="9446" max="9446" width="10.85546875" style="1" bestFit="1" customWidth="1"/>
    <col min="9447" max="9448" width="10.140625" style="1" customWidth="1"/>
    <col min="9449" max="9449" width="9.42578125" style="1" customWidth="1"/>
    <col min="9450" max="9450" width="12.140625" style="1" customWidth="1"/>
    <col min="9451" max="9451" width="11.85546875" style="1" customWidth="1"/>
    <col min="9452" max="9452" width="13" style="1" customWidth="1"/>
    <col min="9453" max="9453" width="18.85546875" style="1" customWidth="1"/>
    <col min="9454" max="9454" width="13" style="1" bestFit="1" customWidth="1"/>
    <col min="9455" max="9693" width="11.42578125" style="1"/>
    <col min="9694" max="9694" width="2.7109375" style="1" customWidth="1"/>
    <col min="9695" max="9695" width="9.85546875" style="1" customWidth="1"/>
    <col min="9696" max="9696" width="12.5703125" style="1" customWidth="1"/>
    <col min="9697" max="9697" width="12.85546875" style="1" customWidth="1"/>
    <col min="9698" max="9698" width="12.5703125" style="1" customWidth="1"/>
    <col min="9699" max="9699" width="10" style="1" customWidth="1"/>
    <col min="9700" max="9700" width="10.28515625" style="1" customWidth="1"/>
    <col min="9701" max="9701" width="10.42578125" style="1" customWidth="1"/>
    <col min="9702" max="9702" width="10.85546875" style="1" bestFit="1" customWidth="1"/>
    <col min="9703" max="9704" width="10.140625" style="1" customWidth="1"/>
    <col min="9705" max="9705" width="9.42578125" style="1" customWidth="1"/>
    <col min="9706" max="9706" width="12.140625" style="1" customWidth="1"/>
    <col min="9707" max="9707" width="11.85546875" style="1" customWidth="1"/>
    <col min="9708" max="9708" width="13" style="1" customWidth="1"/>
    <col min="9709" max="9709" width="18.85546875" style="1" customWidth="1"/>
    <col min="9710" max="9710" width="13" style="1" bestFit="1" customWidth="1"/>
    <col min="9711" max="9949" width="11.42578125" style="1"/>
    <col min="9950" max="9950" width="2.7109375" style="1" customWidth="1"/>
    <col min="9951" max="9951" width="9.85546875" style="1" customWidth="1"/>
    <col min="9952" max="9952" width="12.5703125" style="1" customWidth="1"/>
    <col min="9953" max="9953" width="12.85546875" style="1" customWidth="1"/>
    <col min="9954" max="9954" width="12.5703125" style="1" customWidth="1"/>
    <col min="9955" max="9955" width="10" style="1" customWidth="1"/>
    <col min="9956" max="9956" width="10.28515625" style="1" customWidth="1"/>
    <col min="9957" max="9957" width="10.42578125" style="1" customWidth="1"/>
    <col min="9958" max="9958" width="10.85546875" style="1" bestFit="1" customWidth="1"/>
    <col min="9959" max="9960" width="10.140625" style="1" customWidth="1"/>
    <col min="9961" max="9961" width="9.42578125" style="1" customWidth="1"/>
    <col min="9962" max="9962" width="12.140625" style="1" customWidth="1"/>
    <col min="9963" max="9963" width="11.85546875" style="1" customWidth="1"/>
    <col min="9964" max="9964" width="13" style="1" customWidth="1"/>
    <col min="9965" max="9965" width="18.85546875" style="1" customWidth="1"/>
    <col min="9966" max="9966" width="13" style="1" bestFit="1" customWidth="1"/>
    <col min="9967" max="10205" width="11.42578125" style="1"/>
    <col min="10206" max="10206" width="2.7109375" style="1" customWidth="1"/>
    <col min="10207" max="10207" width="9.85546875" style="1" customWidth="1"/>
    <col min="10208" max="10208" width="12.5703125" style="1" customWidth="1"/>
    <col min="10209" max="10209" width="12.85546875" style="1" customWidth="1"/>
    <col min="10210" max="10210" width="12.5703125" style="1" customWidth="1"/>
    <col min="10211" max="10211" width="10" style="1" customWidth="1"/>
    <col min="10212" max="10212" width="10.28515625" style="1" customWidth="1"/>
    <col min="10213" max="10213" width="10.42578125" style="1" customWidth="1"/>
    <col min="10214" max="10214" width="10.85546875" style="1" bestFit="1" customWidth="1"/>
    <col min="10215" max="10216" width="10.140625" style="1" customWidth="1"/>
    <col min="10217" max="10217" width="9.42578125" style="1" customWidth="1"/>
    <col min="10218" max="10218" width="12.140625" style="1" customWidth="1"/>
    <col min="10219" max="10219" width="11.85546875" style="1" customWidth="1"/>
    <col min="10220" max="10220" width="13" style="1" customWidth="1"/>
    <col min="10221" max="10221" width="18.85546875" style="1" customWidth="1"/>
    <col min="10222" max="10222" width="13" style="1" bestFit="1" customWidth="1"/>
    <col min="10223" max="10461" width="11.42578125" style="1"/>
    <col min="10462" max="10462" width="2.7109375" style="1" customWidth="1"/>
    <col min="10463" max="10463" width="9.85546875" style="1" customWidth="1"/>
    <col min="10464" max="10464" width="12.5703125" style="1" customWidth="1"/>
    <col min="10465" max="10465" width="12.85546875" style="1" customWidth="1"/>
    <col min="10466" max="10466" width="12.5703125" style="1" customWidth="1"/>
    <col min="10467" max="10467" width="10" style="1" customWidth="1"/>
    <col min="10468" max="10468" width="10.28515625" style="1" customWidth="1"/>
    <col min="10469" max="10469" width="10.42578125" style="1" customWidth="1"/>
    <col min="10470" max="10470" width="10.85546875" style="1" bestFit="1" customWidth="1"/>
    <col min="10471" max="10472" width="10.140625" style="1" customWidth="1"/>
    <col min="10473" max="10473" width="9.42578125" style="1" customWidth="1"/>
    <col min="10474" max="10474" width="12.140625" style="1" customWidth="1"/>
    <col min="10475" max="10475" width="11.85546875" style="1" customWidth="1"/>
    <col min="10476" max="10476" width="13" style="1" customWidth="1"/>
    <col min="10477" max="10477" width="18.85546875" style="1" customWidth="1"/>
    <col min="10478" max="10478" width="13" style="1" bestFit="1" customWidth="1"/>
    <col min="10479" max="10717" width="11.42578125" style="1"/>
    <col min="10718" max="10718" width="2.7109375" style="1" customWidth="1"/>
    <col min="10719" max="10719" width="9.85546875" style="1" customWidth="1"/>
    <col min="10720" max="10720" width="12.5703125" style="1" customWidth="1"/>
    <col min="10721" max="10721" width="12.85546875" style="1" customWidth="1"/>
    <col min="10722" max="10722" width="12.5703125" style="1" customWidth="1"/>
    <col min="10723" max="10723" width="10" style="1" customWidth="1"/>
    <col min="10724" max="10724" width="10.28515625" style="1" customWidth="1"/>
    <col min="10725" max="10725" width="10.42578125" style="1" customWidth="1"/>
    <col min="10726" max="10726" width="10.85546875" style="1" bestFit="1" customWidth="1"/>
    <col min="10727" max="10728" width="10.140625" style="1" customWidth="1"/>
    <col min="10729" max="10729" width="9.42578125" style="1" customWidth="1"/>
    <col min="10730" max="10730" width="12.140625" style="1" customWidth="1"/>
    <col min="10731" max="10731" width="11.85546875" style="1" customWidth="1"/>
    <col min="10732" max="10732" width="13" style="1" customWidth="1"/>
    <col min="10733" max="10733" width="18.85546875" style="1" customWidth="1"/>
    <col min="10734" max="10734" width="13" style="1" bestFit="1" customWidth="1"/>
    <col min="10735" max="10973" width="11.42578125" style="1"/>
    <col min="10974" max="10974" width="2.7109375" style="1" customWidth="1"/>
    <col min="10975" max="10975" width="9.85546875" style="1" customWidth="1"/>
    <col min="10976" max="10976" width="12.5703125" style="1" customWidth="1"/>
    <col min="10977" max="10977" width="12.85546875" style="1" customWidth="1"/>
    <col min="10978" max="10978" width="12.5703125" style="1" customWidth="1"/>
    <col min="10979" max="10979" width="10" style="1" customWidth="1"/>
    <col min="10980" max="10980" width="10.28515625" style="1" customWidth="1"/>
    <col min="10981" max="10981" width="10.42578125" style="1" customWidth="1"/>
    <col min="10982" max="10982" width="10.85546875" style="1" bestFit="1" customWidth="1"/>
    <col min="10983" max="10984" width="10.140625" style="1" customWidth="1"/>
    <col min="10985" max="10985" width="9.42578125" style="1" customWidth="1"/>
    <col min="10986" max="10986" width="12.140625" style="1" customWidth="1"/>
    <col min="10987" max="10987" width="11.85546875" style="1" customWidth="1"/>
    <col min="10988" max="10988" width="13" style="1" customWidth="1"/>
    <col min="10989" max="10989" width="18.85546875" style="1" customWidth="1"/>
    <col min="10990" max="10990" width="13" style="1" bestFit="1" customWidth="1"/>
    <col min="10991" max="11229" width="11.42578125" style="1"/>
    <col min="11230" max="11230" width="2.7109375" style="1" customWidth="1"/>
    <col min="11231" max="11231" width="9.85546875" style="1" customWidth="1"/>
    <col min="11232" max="11232" width="12.5703125" style="1" customWidth="1"/>
    <col min="11233" max="11233" width="12.85546875" style="1" customWidth="1"/>
    <col min="11234" max="11234" width="12.5703125" style="1" customWidth="1"/>
    <col min="11235" max="11235" width="10" style="1" customWidth="1"/>
    <col min="11236" max="11236" width="10.28515625" style="1" customWidth="1"/>
    <col min="11237" max="11237" width="10.42578125" style="1" customWidth="1"/>
    <col min="11238" max="11238" width="10.85546875" style="1" bestFit="1" customWidth="1"/>
    <col min="11239" max="11240" width="10.140625" style="1" customWidth="1"/>
    <col min="11241" max="11241" width="9.42578125" style="1" customWidth="1"/>
    <col min="11242" max="11242" width="12.140625" style="1" customWidth="1"/>
    <col min="11243" max="11243" width="11.85546875" style="1" customWidth="1"/>
    <col min="11244" max="11244" width="13" style="1" customWidth="1"/>
    <col min="11245" max="11245" width="18.85546875" style="1" customWidth="1"/>
    <col min="11246" max="11246" width="13" style="1" bestFit="1" customWidth="1"/>
    <col min="11247" max="11485" width="11.42578125" style="1"/>
    <col min="11486" max="11486" width="2.7109375" style="1" customWidth="1"/>
    <col min="11487" max="11487" width="9.85546875" style="1" customWidth="1"/>
    <col min="11488" max="11488" width="12.5703125" style="1" customWidth="1"/>
    <col min="11489" max="11489" width="12.85546875" style="1" customWidth="1"/>
    <col min="11490" max="11490" width="12.5703125" style="1" customWidth="1"/>
    <col min="11491" max="11491" width="10" style="1" customWidth="1"/>
    <col min="11492" max="11492" width="10.28515625" style="1" customWidth="1"/>
    <col min="11493" max="11493" width="10.42578125" style="1" customWidth="1"/>
    <col min="11494" max="11494" width="10.85546875" style="1" bestFit="1" customWidth="1"/>
    <col min="11495" max="11496" width="10.140625" style="1" customWidth="1"/>
    <col min="11497" max="11497" width="9.42578125" style="1" customWidth="1"/>
    <col min="11498" max="11498" width="12.140625" style="1" customWidth="1"/>
    <col min="11499" max="11499" width="11.85546875" style="1" customWidth="1"/>
    <col min="11500" max="11500" width="13" style="1" customWidth="1"/>
    <col min="11501" max="11501" width="18.85546875" style="1" customWidth="1"/>
    <col min="11502" max="11502" width="13" style="1" bestFit="1" customWidth="1"/>
    <col min="11503" max="11741" width="11.42578125" style="1"/>
    <col min="11742" max="11742" width="2.7109375" style="1" customWidth="1"/>
    <col min="11743" max="11743" width="9.85546875" style="1" customWidth="1"/>
    <col min="11744" max="11744" width="12.5703125" style="1" customWidth="1"/>
    <col min="11745" max="11745" width="12.85546875" style="1" customWidth="1"/>
    <col min="11746" max="11746" width="12.5703125" style="1" customWidth="1"/>
    <col min="11747" max="11747" width="10" style="1" customWidth="1"/>
    <col min="11748" max="11748" width="10.28515625" style="1" customWidth="1"/>
    <col min="11749" max="11749" width="10.42578125" style="1" customWidth="1"/>
    <col min="11750" max="11750" width="10.85546875" style="1" bestFit="1" customWidth="1"/>
    <col min="11751" max="11752" width="10.140625" style="1" customWidth="1"/>
    <col min="11753" max="11753" width="9.42578125" style="1" customWidth="1"/>
    <col min="11754" max="11754" width="12.140625" style="1" customWidth="1"/>
    <col min="11755" max="11755" width="11.85546875" style="1" customWidth="1"/>
    <col min="11756" max="11756" width="13" style="1" customWidth="1"/>
    <col min="11757" max="11757" width="18.85546875" style="1" customWidth="1"/>
    <col min="11758" max="11758" width="13" style="1" bestFit="1" customWidth="1"/>
    <col min="11759" max="11997" width="11.42578125" style="1"/>
    <col min="11998" max="11998" width="2.7109375" style="1" customWidth="1"/>
    <col min="11999" max="11999" width="9.85546875" style="1" customWidth="1"/>
    <col min="12000" max="12000" width="12.5703125" style="1" customWidth="1"/>
    <col min="12001" max="12001" width="12.85546875" style="1" customWidth="1"/>
    <col min="12002" max="12002" width="12.5703125" style="1" customWidth="1"/>
    <col min="12003" max="12003" width="10" style="1" customWidth="1"/>
    <col min="12004" max="12004" width="10.28515625" style="1" customWidth="1"/>
    <col min="12005" max="12005" width="10.42578125" style="1" customWidth="1"/>
    <col min="12006" max="12006" width="10.85546875" style="1" bestFit="1" customWidth="1"/>
    <col min="12007" max="12008" width="10.140625" style="1" customWidth="1"/>
    <col min="12009" max="12009" width="9.42578125" style="1" customWidth="1"/>
    <col min="12010" max="12010" width="12.140625" style="1" customWidth="1"/>
    <col min="12011" max="12011" width="11.85546875" style="1" customWidth="1"/>
    <col min="12012" max="12012" width="13" style="1" customWidth="1"/>
    <col min="12013" max="12013" width="18.85546875" style="1" customWidth="1"/>
    <col min="12014" max="12014" width="13" style="1" bestFit="1" customWidth="1"/>
    <col min="12015" max="12253" width="11.42578125" style="1"/>
    <col min="12254" max="12254" width="2.7109375" style="1" customWidth="1"/>
    <col min="12255" max="12255" width="9.85546875" style="1" customWidth="1"/>
    <col min="12256" max="12256" width="12.5703125" style="1" customWidth="1"/>
    <col min="12257" max="12257" width="12.85546875" style="1" customWidth="1"/>
    <col min="12258" max="12258" width="12.5703125" style="1" customWidth="1"/>
    <col min="12259" max="12259" width="10" style="1" customWidth="1"/>
    <col min="12260" max="12260" width="10.28515625" style="1" customWidth="1"/>
    <col min="12261" max="12261" width="10.42578125" style="1" customWidth="1"/>
    <col min="12262" max="12262" width="10.85546875" style="1" bestFit="1" customWidth="1"/>
    <col min="12263" max="12264" width="10.140625" style="1" customWidth="1"/>
    <col min="12265" max="12265" width="9.42578125" style="1" customWidth="1"/>
    <col min="12266" max="12266" width="12.140625" style="1" customWidth="1"/>
    <col min="12267" max="12267" width="11.85546875" style="1" customWidth="1"/>
    <col min="12268" max="12268" width="13" style="1" customWidth="1"/>
    <col min="12269" max="12269" width="18.85546875" style="1" customWidth="1"/>
    <col min="12270" max="12270" width="13" style="1" bestFit="1" customWidth="1"/>
    <col min="12271" max="12509" width="11.42578125" style="1"/>
    <col min="12510" max="12510" width="2.7109375" style="1" customWidth="1"/>
    <col min="12511" max="12511" width="9.85546875" style="1" customWidth="1"/>
    <col min="12512" max="12512" width="12.5703125" style="1" customWidth="1"/>
    <col min="12513" max="12513" width="12.85546875" style="1" customWidth="1"/>
    <col min="12514" max="12514" width="12.5703125" style="1" customWidth="1"/>
    <col min="12515" max="12515" width="10" style="1" customWidth="1"/>
    <col min="12516" max="12516" width="10.28515625" style="1" customWidth="1"/>
    <col min="12517" max="12517" width="10.42578125" style="1" customWidth="1"/>
    <col min="12518" max="12518" width="10.85546875" style="1" bestFit="1" customWidth="1"/>
    <col min="12519" max="12520" width="10.140625" style="1" customWidth="1"/>
    <col min="12521" max="12521" width="9.42578125" style="1" customWidth="1"/>
    <col min="12522" max="12522" width="12.140625" style="1" customWidth="1"/>
    <col min="12523" max="12523" width="11.85546875" style="1" customWidth="1"/>
    <col min="12524" max="12524" width="13" style="1" customWidth="1"/>
    <col min="12525" max="12525" width="18.85546875" style="1" customWidth="1"/>
    <col min="12526" max="12526" width="13" style="1" bestFit="1" customWidth="1"/>
    <col min="12527" max="12765" width="11.42578125" style="1"/>
    <col min="12766" max="12766" width="2.7109375" style="1" customWidth="1"/>
    <col min="12767" max="12767" width="9.85546875" style="1" customWidth="1"/>
    <col min="12768" max="12768" width="12.5703125" style="1" customWidth="1"/>
    <col min="12769" max="12769" width="12.85546875" style="1" customWidth="1"/>
    <col min="12770" max="12770" width="12.5703125" style="1" customWidth="1"/>
    <col min="12771" max="12771" width="10" style="1" customWidth="1"/>
    <col min="12772" max="12772" width="10.28515625" style="1" customWidth="1"/>
    <col min="12773" max="12773" width="10.42578125" style="1" customWidth="1"/>
    <col min="12774" max="12774" width="10.85546875" style="1" bestFit="1" customWidth="1"/>
    <col min="12775" max="12776" width="10.140625" style="1" customWidth="1"/>
    <col min="12777" max="12777" width="9.42578125" style="1" customWidth="1"/>
    <col min="12778" max="12778" width="12.140625" style="1" customWidth="1"/>
    <col min="12779" max="12779" width="11.85546875" style="1" customWidth="1"/>
    <col min="12780" max="12780" width="13" style="1" customWidth="1"/>
    <col min="12781" max="12781" width="18.85546875" style="1" customWidth="1"/>
    <col min="12782" max="12782" width="13" style="1" bestFit="1" customWidth="1"/>
    <col min="12783" max="13021" width="11.42578125" style="1"/>
    <col min="13022" max="13022" width="2.7109375" style="1" customWidth="1"/>
    <col min="13023" max="13023" width="9.85546875" style="1" customWidth="1"/>
    <col min="13024" max="13024" width="12.5703125" style="1" customWidth="1"/>
    <col min="13025" max="13025" width="12.85546875" style="1" customWidth="1"/>
    <col min="13026" max="13026" width="12.5703125" style="1" customWidth="1"/>
    <col min="13027" max="13027" width="10" style="1" customWidth="1"/>
    <col min="13028" max="13028" width="10.28515625" style="1" customWidth="1"/>
    <col min="13029" max="13029" width="10.42578125" style="1" customWidth="1"/>
    <col min="13030" max="13030" width="10.85546875" style="1" bestFit="1" customWidth="1"/>
    <col min="13031" max="13032" width="10.140625" style="1" customWidth="1"/>
    <col min="13033" max="13033" width="9.42578125" style="1" customWidth="1"/>
    <col min="13034" max="13034" width="12.140625" style="1" customWidth="1"/>
    <col min="13035" max="13035" width="11.85546875" style="1" customWidth="1"/>
    <col min="13036" max="13036" width="13" style="1" customWidth="1"/>
    <col min="13037" max="13037" width="18.85546875" style="1" customWidth="1"/>
    <col min="13038" max="13038" width="13" style="1" bestFit="1" customWidth="1"/>
    <col min="13039" max="13277" width="11.42578125" style="1"/>
    <col min="13278" max="13278" width="2.7109375" style="1" customWidth="1"/>
    <col min="13279" max="13279" width="9.85546875" style="1" customWidth="1"/>
    <col min="13280" max="13280" width="12.5703125" style="1" customWidth="1"/>
    <col min="13281" max="13281" width="12.85546875" style="1" customWidth="1"/>
    <col min="13282" max="13282" width="12.5703125" style="1" customWidth="1"/>
    <col min="13283" max="13283" width="10" style="1" customWidth="1"/>
    <col min="13284" max="13284" width="10.28515625" style="1" customWidth="1"/>
    <col min="13285" max="13285" width="10.42578125" style="1" customWidth="1"/>
    <col min="13286" max="13286" width="10.85546875" style="1" bestFit="1" customWidth="1"/>
    <col min="13287" max="13288" width="10.140625" style="1" customWidth="1"/>
    <col min="13289" max="13289" width="9.42578125" style="1" customWidth="1"/>
    <col min="13290" max="13290" width="12.140625" style="1" customWidth="1"/>
    <col min="13291" max="13291" width="11.85546875" style="1" customWidth="1"/>
    <col min="13292" max="13292" width="13" style="1" customWidth="1"/>
    <col min="13293" max="13293" width="18.85546875" style="1" customWidth="1"/>
    <col min="13294" max="13294" width="13" style="1" bestFit="1" customWidth="1"/>
    <col min="13295" max="13533" width="11.42578125" style="1"/>
    <col min="13534" max="13534" width="2.7109375" style="1" customWidth="1"/>
    <col min="13535" max="13535" width="9.85546875" style="1" customWidth="1"/>
    <col min="13536" max="13536" width="12.5703125" style="1" customWidth="1"/>
    <col min="13537" max="13537" width="12.85546875" style="1" customWidth="1"/>
    <col min="13538" max="13538" width="12.5703125" style="1" customWidth="1"/>
    <col min="13539" max="13539" width="10" style="1" customWidth="1"/>
    <col min="13540" max="13540" width="10.28515625" style="1" customWidth="1"/>
    <col min="13541" max="13541" width="10.42578125" style="1" customWidth="1"/>
    <col min="13542" max="13542" width="10.85546875" style="1" bestFit="1" customWidth="1"/>
    <col min="13543" max="13544" width="10.140625" style="1" customWidth="1"/>
    <col min="13545" max="13545" width="9.42578125" style="1" customWidth="1"/>
    <col min="13546" max="13546" width="12.140625" style="1" customWidth="1"/>
    <col min="13547" max="13547" width="11.85546875" style="1" customWidth="1"/>
    <col min="13548" max="13548" width="13" style="1" customWidth="1"/>
    <col min="13549" max="13549" width="18.85546875" style="1" customWidth="1"/>
    <col min="13550" max="13550" width="13" style="1" bestFit="1" customWidth="1"/>
    <col min="13551" max="13789" width="11.42578125" style="1"/>
    <col min="13790" max="13790" width="2.7109375" style="1" customWidth="1"/>
    <col min="13791" max="13791" width="9.85546875" style="1" customWidth="1"/>
    <col min="13792" max="13792" width="12.5703125" style="1" customWidth="1"/>
    <col min="13793" max="13793" width="12.85546875" style="1" customWidth="1"/>
    <col min="13794" max="13794" width="12.5703125" style="1" customWidth="1"/>
    <col min="13795" max="13795" width="10" style="1" customWidth="1"/>
    <col min="13796" max="13796" width="10.28515625" style="1" customWidth="1"/>
    <col min="13797" max="13797" width="10.42578125" style="1" customWidth="1"/>
    <col min="13798" max="13798" width="10.85546875" style="1" bestFit="1" customWidth="1"/>
    <col min="13799" max="13800" width="10.140625" style="1" customWidth="1"/>
    <col min="13801" max="13801" width="9.42578125" style="1" customWidth="1"/>
    <col min="13802" max="13802" width="12.140625" style="1" customWidth="1"/>
    <col min="13803" max="13803" width="11.85546875" style="1" customWidth="1"/>
    <col min="13804" max="13804" width="13" style="1" customWidth="1"/>
    <col min="13805" max="13805" width="18.85546875" style="1" customWidth="1"/>
    <col min="13806" max="13806" width="13" style="1" bestFit="1" customWidth="1"/>
    <col min="13807" max="14045" width="11.42578125" style="1"/>
    <col min="14046" max="14046" width="2.7109375" style="1" customWidth="1"/>
    <col min="14047" max="14047" width="9.85546875" style="1" customWidth="1"/>
    <col min="14048" max="14048" width="12.5703125" style="1" customWidth="1"/>
    <col min="14049" max="14049" width="12.85546875" style="1" customWidth="1"/>
    <col min="14050" max="14050" width="12.5703125" style="1" customWidth="1"/>
    <col min="14051" max="14051" width="10" style="1" customWidth="1"/>
    <col min="14052" max="14052" width="10.28515625" style="1" customWidth="1"/>
    <col min="14053" max="14053" width="10.42578125" style="1" customWidth="1"/>
    <col min="14054" max="14054" width="10.85546875" style="1" bestFit="1" customWidth="1"/>
    <col min="14055" max="14056" width="10.140625" style="1" customWidth="1"/>
    <col min="14057" max="14057" width="9.42578125" style="1" customWidth="1"/>
    <col min="14058" max="14058" width="12.140625" style="1" customWidth="1"/>
    <col min="14059" max="14059" width="11.85546875" style="1" customWidth="1"/>
    <col min="14060" max="14060" width="13" style="1" customWidth="1"/>
    <col min="14061" max="14061" width="18.85546875" style="1" customWidth="1"/>
    <col min="14062" max="14062" width="13" style="1" bestFit="1" customWidth="1"/>
    <col min="14063" max="14301" width="11.42578125" style="1"/>
    <col min="14302" max="14302" width="2.7109375" style="1" customWidth="1"/>
    <col min="14303" max="14303" width="9.85546875" style="1" customWidth="1"/>
    <col min="14304" max="14304" width="12.5703125" style="1" customWidth="1"/>
    <col min="14305" max="14305" width="12.85546875" style="1" customWidth="1"/>
    <col min="14306" max="14306" width="12.5703125" style="1" customWidth="1"/>
    <col min="14307" max="14307" width="10" style="1" customWidth="1"/>
    <col min="14308" max="14308" width="10.28515625" style="1" customWidth="1"/>
    <col min="14309" max="14309" width="10.42578125" style="1" customWidth="1"/>
    <col min="14310" max="14310" width="10.85546875" style="1" bestFit="1" customWidth="1"/>
    <col min="14311" max="14312" width="10.140625" style="1" customWidth="1"/>
    <col min="14313" max="14313" width="9.42578125" style="1" customWidth="1"/>
    <col min="14314" max="14314" width="12.140625" style="1" customWidth="1"/>
    <col min="14315" max="14315" width="11.85546875" style="1" customWidth="1"/>
    <col min="14316" max="14316" width="13" style="1" customWidth="1"/>
    <col min="14317" max="14317" width="18.85546875" style="1" customWidth="1"/>
    <col min="14318" max="14318" width="13" style="1" bestFit="1" customWidth="1"/>
    <col min="14319" max="14557" width="11.42578125" style="1"/>
    <col min="14558" max="14558" width="2.7109375" style="1" customWidth="1"/>
    <col min="14559" max="14559" width="9.85546875" style="1" customWidth="1"/>
    <col min="14560" max="14560" width="12.5703125" style="1" customWidth="1"/>
    <col min="14561" max="14561" width="12.85546875" style="1" customWidth="1"/>
    <col min="14562" max="14562" width="12.5703125" style="1" customWidth="1"/>
    <col min="14563" max="14563" width="10" style="1" customWidth="1"/>
    <col min="14564" max="14564" width="10.28515625" style="1" customWidth="1"/>
    <col min="14565" max="14565" width="10.42578125" style="1" customWidth="1"/>
    <col min="14566" max="14566" width="10.85546875" style="1" bestFit="1" customWidth="1"/>
    <col min="14567" max="14568" width="10.140625" style="1" customWidth="1"/>
    <col min="14569" max="14569" width="9.42578125" style="1" customWidth="1"/>
    <col min="14570" max="14570" width="12.140625" style="1" customWidth="1"/>
    <col min="14571" max="14571" width="11.85546875" style="1" customWidth="1"/>
    <col min="14572" max="14572" width="13" style="1" customWidth="1"/>
    <col min="14573" max="14573" width="18.85546875" style="1" customWidth="1"/>
    <col min="14574" max="14574" width="13" style="1" bestFit="1" customWidth="1"/>
    <col min="14575" max="14813" width="11.42578125" style="1"/>
    <col min="14814" max="14814" width="2.7109375" style="1" customWidth="1"/>
    <col min="14815" max="14815" width="9.85546875" style="1" customWidth="1"/>
    <col min="14816" max="14816" width="12.5703125" style="1" customWidth="1"/>
    <col min="14817" max="14817" width="12.85546875" style="1" customWidth="1"/>
    <col min="14818" max="14818" width="12.5703125" style="1" customWidth="1"/>
    <col min="14819" max="14819" width="10" style="1" customWidth="1"/>
    <col min="14820" max="14820" width="10.28515625" style="1" customWidth="1"/>
    <col min="14821" max="14821" width="10.42578125" style="1" customWidth="1"/>
    <col min="14822" max="14822" width="10.85546875" style="1" bestFit="1" customWidth="1"/>
    <col min="14823" max="14824" width="10.140625" style="1" customWidth="1"/>
    <col min="14825" max="14825" width="9.42578125" style="1" customWidth="1"/>
    <col min="14826" max="14826" width="12.140625" style="1" customWidth="1"/>
    <col min="14827" max="14827" width="11.85546875" style="1" customWidth="1"/>
    <col min="14828" max="14828" width="13" style="1" customWidth="1"/>
    <col min="14829" max="14829" width="18.85546875" style="1" customWidth="1"/>
    <col min="14830" max="14830" width="13" style="1" bestFit="1" customWidth="1"/>
    <col min="14831" max="15069" width="11.42578125" style="1"/>
    <col min="15070" max="15070" width="2.7109375" style="1" customWidth="1"/>
    <col min="15071" max="15071" width="9.85546875" style="1" customWidth="1"/>
    <col min="15072" max="15072" width="12.5703125" style="1" customWidth="1"/>
    <col min="15073" max="15073" width="12.85546875" style="1" customWidth="1"/>
    <col min="15074" max="15074" width="12.5703125" style="1" customWidth="1"/>
    <col min="15075" max="15075" width="10" style="1" customWidth="1"/>
    <col min="15076" max="15076" width="10.28515625" style="1" customWidth="1"/>
    <col min="15077" max="15077" width="10.42578125" style="1" customWidth="1"/>
    <col min="15078" max="15078" width="10.85546875" style="1" bestFit="1" customWidth="1"/>
    <col min="15079" max="15080" width="10.140625" style="1" customWidth="1"/>
    <col min="15081" max="15081" width="9.42578125" style="1" customWidth="1"/>
    <col min="15082" max="15082" width="12.140625" style="1" customWidth="1"/>
    <col min="15083" max="15083" width="11.85546875" style="1" customWidth="1"/>
    <col min="15084" max="15084" width="13" style="1" customWidth="1"/>
    <col min="15085" max="15085" width="18.85546875" style="1" customWidth="1"/>
    <col min="15086" max="15086" width="13" style="1" bestFit="1" customWidth="1"/>
    <col min="15087" max="15325" width="11.42578125" style="1"/>
    <col min="15326" max="15326" width="2.7109375" style="1" customWidth="1"/>
    <col min="15327" max="15327" width="9.85546875" style="1" customWidth="1"/>
    <col min="15328" max="15328" width="12.5703125" style="1" customWidth="1"/>
    <col min="15329" max="15329" width="12.85546875" style="1" customWidth="1"/>
    <col min="15330" max="15330" width="12.5703125" style="1" customWidth="1"/>
    <col min="15331" max="15331" width="10" style="1" customWidth="1"/>
    <col min="15332" max="15332" width="10.28515625" style="1" customWidth="1"/>
    <col min="15333" max="15333" width="10.42578125" style="1" customWidth="1"/>
    <col min="15334" max="15334" width="10.85546875" style="1" bestFit="1" customWidth="1"/>
    <col min="15335" max="15336" width="10.140625" style="1" customWidth="1"/>
    <col min="15337" max="15337" width="9.42578125" style="1" customWidth="1"/>
    <col min="15338" max="15338" width="12.140625" style="1" customWidth="1"/>
    <col min="15339" max="15339" width="11.85546875" style="1" customWidth="1"/>
    <col min="15340" max="15340" width="13" style="1" customWidth="1"/>
    <col min="15341" max="15341" width="18.85546875" style="1" customWidth="1"/>
    <col min="15342" max="15342" width="13" style="1" bestFit="1" customWidth="1"/>
    <col min="15343" max="15581" width="11.42578125" style="1"/>
    <col min="15582" max="15582" width="2.7109375" style="1" customWidth="1"/>
    <col min="15583" max="15583" width="9.85546875" style="1" customWidth="1"/>
    <col min="15584" max="15584" width="12.5703125" style="1" customWidth="1"/>
    <col min="15585" max="15585" width="12.85546875" style="1" customWidth="1"/>
    <col min="15586" max="15586" width="12.5703125" style="1" customWidth="1"/>
    <col min="15587" max="15587" width="10" style="1" customWidth="1"/>
    <col min="15588" max="15588" width="10.28515625" style="1" customWidth="1"/>
    <col min="15589" max="15589" width="10.42578125" style="1" customWidth="1"/>
    <col min="15590" max="15590" width="10.85546875" style="1" bestFit="1" customWidth="1"/>
    <col min="15591" max="15592" width="10.140625" style="1" customWidth="1"/>
    <col min="15593" max="15593" width="9.42578125" style="1" customWidth="1"/>
    <col min="15594" max="15594" width="12.140625" style="1" customWidth="1"/>
    <col min="15595" max="15595" width="11.85546875" style="1" customWidth="1"/>
    <col min="15596" max="15596" width="13" style="1" customWidth="1"/>
    <col min="15597" max="15597" width="18.85546875" style="1" customWidth="1"/>
    <col min="15598" max="15598" width="13" style="1" bestFit="1" customWidth="1"/>
    <col min="15599" max="15837" width="11.42578125" style="1"/>
    <col min="15838" max="15838" width="2.7109375" style="1" customWidth="1"/>
    <col min="15839" max="15839" width="9.85546875" style="1" customWidth="1"/>
    <col min="15840" max="15840" width="12.5703125" style="1" customWidth="1"/>
    <col min="15841" max="15841" width="12.85546875" style="1" customWidth="1"/>
    <col min="15842" max="15842" width="12.5703125" style="1" customWidth="1"/>
    <col min="15843" max="15843" width="10" style="1" customWidth="1"/>
    <col min="15844" max="15844" width="10.28515625" style="1" customWidth="1"/>
    <col min="15845" max="15845" width="10.42578125" style="1" customWidth="1"/>
    <col min="15846" max="15846" width="10.85546875" style="1" bestFit="1" customWidth="1"/>
    <col min="15847" max="15848" width="10.140625" style="1" customWidth="1"/>
    <col min="15849" max="15849" width="9.42578125" style="1" customWidth="1"/>
    <col min="15850" max="15850" width="12.140625" style="1" customWidth="1"/>
    <col min="15851" max="15851" width="11.85546875" style="1" customWidth="1"/>
    <col min="15852" max="15852" width="13" style="1" customWidth="1"/>
    <col min="15853" max="15853" width="18.85546875" style="1" customWidth="1"/>
    <col min="15854" max="15854" width="13" style="1" bestFit="1" customWidth="1"/>
    <col min="15855" max="16093" width="11.42578125" style="1"/>
    <col min="16094" max="16094" width="2.7109375" style="1" customWidth="1"/>
    <col min="16095" max="16095" width="9.85546875" style="1" customWidth="1"/>
    <col min="16096" max="16096" width="12.5703125" style="1" customWidth="1"/>
    <col min="16097" max="16097" width="12.85546875" style="1" customWidth="1"/>
    <col min="16098" max="16098" width="12.5703125" style="1" customWidth="1"/>
    <col min="16099" max="16099" width="10" style="1" customWidth="1"/>
    <col min="16100" max="16100" width="10.28515625" style="1" customWidth="1"/>
    <col min="16101" max="16101" width="10.42578125" style="1" customWidth="1"/>
    <col min="16102" max="16102" width="10.85546875" style="1" bestFit="1" customWidth="1"/>
    <col min="16103" max="16104" width="10.140625" style="1" customWidth="1"/>
    <col min="16105" max="16105" width="9.42578125" style="1" customWidth="1"/>
    <col min="16106" max="16106" width="12.140625" style="1" customWidth="1"/>
    <col min="16107" max="16107" width="11.85546875" style="1" customWidth="1"/>
    <col min="16108" max="16108" width="13" style="1" customWidth="1"/>
    <col min="16109" max="16109" width="18.85546875" style="1" customWidth="1"/>
    <col min="16110" max="16110" width="13" style="1" bestFit="1" customWidth="1"/>
    <col min="16111" max="16384" width="11.42578125" style="1"/>
  </cols>
  <sheetData>
    <row r="3" spans="4:17" ht="15.75" x14ac:dyDescent="0.25">
      <c r="F3" s="2"/>
      <c r="G3" s="3" t="s">
        <v>266</v>
      </c>
    </row>
    <row r="4" spans="4:17" ht="15.75" x14ac:dyDescent="0.25">
      <c r="F4" s="2"/>
      <c r="G4" s="3"/>
    </row>
    <row r="5" spans="4:17" ht="12" thickBot="1" x14ac:dyDescent="0.25">
      <c r="F5" s="2"/>
    </row>
    <row r="6" spans="4:17" ht="11.25" customHeight="1" x14ac:dyDescent="0.2">
      <c r="D6" s="284" t="s">
        <v>0</v>
      </c>
      <c r="E6" s="290" t="s">
        <v>1</v>
      </c>
      <c r="F6" s="292"/>
      <c r="G6" s="286" t="s">
        <v>2</v>
      </c>
      <c r="H6" s="286"/>
      <c r="I6" s="287"/>
      <c r="J6" s="284" t="s">
        <v>3</v>
      </c>
      <c r="K6" s="290" t="s">
        <v>4</v>
      </c>
      <c r="L6" s="291"/>
      <c r="M6" s="291"/>
      <c r="N6" s="291"/>
      <c r="O6" s="291"/>
      <c r="P6" s="292"/>
      <c r="Q6" s="284" t="s">
        <v>5</v>
      </c>
    </row>
    <row r="7" spans="4:17" ht="25.5" customHeight="1" thickBot="1" x14ac:dyDescent="0.25">
      <c r="D7" s="285"/>
      <c r="E7" s="293"/>
      <c r="F7" s="295"/>
      <c r="G7" s="288"/>
      <c r="H7" s="288"/>
      <c r="I7" s="289"/>
      <c r="J7" s="285"/>
      <c r="K7" s="293"/>
      <c r="L7" s="294"/>
      <c r="M7" s="294"/>
      <c r="N7" s="294"/>
      <c r="O7" s="294"/>
      <c r="P7" s="295"/>
      <c r="Q7" s="285"/>
    </row>
    <row r="8" spans="4:17" ht="12.75" customHeight="1" x14ac:dyDescent="0.2">
      <c r="D8" s="26"/>
      <c r="E8" s="26"/>
      <c r="F8" s="100" t="s">
        <v>239</v>
      </c>
      <c r="G8" s="26" t="s">
        <v>6</v>
      </c>
      <c r="H8" s="26" t="s">
        <v>6</v>
      </c>
      <c r="I8" s="100" t="s">
        <v>237</v>
      </c>
      <c r="J8" s="26"/>
      <c r="K8" s="26"/>
      <c r="L8" s="26" t="s">
        <v>7</v>
      </c>
      <c r="M8" s="26" t="s">
        <v>8</v>
      </c>
      <c r="N8" s="26" t="s">
        <v>9</v>
      </c>
      <c r="O8" s="26" t="s">
        <v>10</v>
      </c>
      <c r="P8" s="26" t="s">
        <v>11</v>
      </c>
      <c r="Q8" s="26"/>
    </row>
    <row r="9" spans="4:17" x14ac:dyDescent="0.2">
      <c r="D9" s="26" t="s">
        <v>12</v>
      </c>
      <c r="E9" s="26" t="s">
        <v>13</v>
      </c>
      <c r="F9" s="100" t="s">
        <v>240</v>
      </c>
      <c r="G9" s="26" t="s">
        <v>14</v>
      </c>
      <c r="H9" s="26" t="s">
        <v>14</v>
      </c>
      <c r="I9" s="100" t="s">
        <v>238</v>
      </c>
      <c r="J9" s="26" t="s">
        <v>15</v>
      </c>
      <c r="K9" s="26" t="s">
        <v>16</v>
      </c>
      <c r="L9" s="26" t="s">
        <v>17</v>
      </c>
      <c r="M9" s="26" t="s">
        <v>18</v>
      </c>
      <c r="N9" s="26" t="s">
        <v>18</v>
      </c>
      <c r="O9" s="26" t="s">
        <v>19</v>
      </c>
      <c r="P9" s="26" t="s">
        <v>20</v>
      </c>
      <c r="Q9" s="26" t="s">
        <v>59</v>
      </c>
    </row>
    <row r="10" spans="4:17" x14ac:dyDescent="0.2">
      <c r="D10" s="26" t="s">
        <v>21</v>
      </c>
      <c r="E10" s="26" t="s">
        <v>22</v>
      </c>
      <c r="F10" s="100" t="s">
        <v>241</v>
      </c>
      <c r="G10" s="26" t="s">
        <v>23</v>
      </c>
      <c r="H10" s="26" t="s">
        <v>24</v>
      </c>
      <c r="I10" s="100" t="s">
        <v>236</v>
      </c>
      <c r="J10" s="26" t="s">
        <v>25</v>
      </c>
      <c r="K10" s="26" t="s">
        <v>26</v>
      </c>
      <c r="L10" s="26" t="s">
        <v>27</v>
      </c>
      <c r="M10" s="26" t="s">
        <v>28</v>
      </c>
      <c r="N10" s="26" t="s">
        <v>29</v>
      </c>
      <c r="O10" s="26" t="s">
        <v>30</v>
      </c>
      <c r="P10" s="26" t="s">
        <v>31</v>
      </c>
      <c r="Q10" s="26" t="s">
        <v>32</v>
      </c>
    </row>
    <row r="11" spans="4:17" x14ac:dyDescent="0.2">
      <c r="D11" s="26" t="s">
        <v>61</v>
      </c>
      <c r="E11" s="27">
        <f>7255100.58-3333333.33</f>
        <v>3921767.25</v>
      </c>
      <c r="F11" s="27">
        <v>3333333.33</v>
      </c>
      <c r="G11" s="27">
        <v>143741.75</v>
      </c>
      <c r="H11" s="27">
        <v>178843</v>
      </c>
      <c r="I11" s="27">
        <v>12632625.140000001</v>
      </c>
      <c r="J11" s="27">
        <v>51000</v>
      </c>
      <c r="K11" s="27">
        <v>180</v>
      </c>
      <c r="L11" s="27"/>
      <c r="M11" s="27">
        <v>7200</v>
      </c>
      <c r="N11" s="27">
        <v>185</v>
      </c>
      <c r="O11" s="27">
        <v>2000</v>
      </c>
      <c r="P11" s="27">
        <v>100000</v>
      </c>
      <c r="Q11" s="27">
        <f>SUM(E11:P11)</f>
        <v>20370875.469999999</v>
      </c>
    </row>
    <row r="12" spans="4:17" x14ac:dyDescent="0.2">
      <c r="D12" s="26" t="s">
        <v>246</v>
      </c>
      <c r="E12" s="29">
        <v>3921767.22</v>
      </c>
      <c r="F12" s="29">
        <v>3333333.34</v>
      </c>
      <c r="G12" s="5">
        <f>85645.9+10908.1+3200</f>
        <v>99754</v>
      </c>
      <c r="H12" s="5">
        <v>297736.92</v>
      </c>
      <c r="I12" s="5">
        <v>12632625.140000001</v>
      </c>
      <c r="J12" s="5">
        <v>70807.839999999997</v>
      </c>
      <c r="K12" s="5">
        <v>80</v>
      </c>
      <c r="L12" s="5"/>
      <c r="M12" s="5">
        <v>10737</v>
      </c>
      <c r="N12" s="5"/>
      <c r="O12" s="5">
        <v>870</v>
      </c>
      <c r="P12" s="5">
        <f>58900+7000</f>
        <v>65900</v>
      </c>
      <c r="Q12" s="5">
        <f>SUM(E12:P12)</f>
        <v>20433611.460000001</v>
      </c>
    </row>
    <row r="13" spans="4:17" x14ac:dyDescent="0.2">
      <c r="D13" s="26" t="s">
        <v>62</v>
      </c>
      <c r="E13" s="28">
        <f>E12-E11</f>
        <v>-2.9999999795109034E-2</v>
      </c>
      <c r="F13" s="28">
        <f>F12-F11</f>
        <v>9.9999997764825821E-3</v>
      </c>
      <c r="G13" s="28">
        <f t="shared" ref="G13:Q13" si="0">G12-G11</f>
        <v>-43987.75</v>
      </c>
      <c r="H13" s="28">
        <f t="shared" si="0"/>
        <v>118893.91999999998</v>
      </c>
      <c r="I13" s="28">
        <f t="shared" si="0"/>
        <v>0</v>
      </c>
      <c r="J13" s="28">
        <f t="shared" si="0"/>
        <v>19807.839999999997</v>
      </c>
      <c r="K13" s="28">
        <f t="shared" si="0"/>
        <v>-100</v>
      </c>
      <c r="L13" s="28">
        <f t="shared" si="0"/>
        <v>0</v>
      </c>
      <c r="M13" s="28">
        <f t="shared" si="0"/>
        <v>3537</v>
      </c>
      <c r="N13" s="28">
        <f t="shared" si="0"/>
        <v>-185</v>
      </c>
      <c r="O13" s="28">
        <f t="shared" si="0"/>
        <v>-1130</v>
      </c>
      <c r="P13" s="28">
        <f t="shared" si="0"/>
        <v>-34100</v>
      </c>
      <c r="Q13" s="28">
        <f t="shared" si="0"/>
        <v>62735.990000002086</v>
      </c>
    </row>
    <row r="14" spans="4:17" x14ac:dyDescent="0.2">
      <c r="D14" s="26" t="s">
        <v>268</v>
      </c>
      <c r="E14" s="27">
        <f t="shared" ref="E14:E26" si="1">7255100.58-3333333.33</f>
        <v>3921767.25</v>
      </c>
      <c r="F14" s="27">
        <v>3333333.33</v>
      </c>
      <c r="G14" s="27">
        <v>198742</v>
      </c>
      <c r="H14" s="27">
        <v>178843</v>
      </c>
      <c r="I14" s="27"/>
      <c r="J14" s="27">
        <v>51000</v>
      </c>
      <c r="K14" s="27">
        <v>180</v>
      </c>
      <c r="L14" s="27"/>
      <c r="M14" s="27">
        <v>7200</v>
      </c>
      <c r="N14" s="27">
        <v>176</v>
      </c>
      <c r="O14" s="27">
        <v>2000</v>
      </c>
      <c r="P14" s="27">
        <v>100000</v>
      </c>
      <c r="Q14" s="27">
        <f t="shared" ref="Q14" si="2">SUM(E14:P14)</f>
        <v>7793241.5800000001</v>
      </c>
    </row>
    <row r="15" spans="4:17" x14ac:dyDescent="0.2">
      <c r="D15" s="26" t="s">
        <v>267</v>
      </c>
      <c r="E15" s="29">
        <v>3921767.25</v>
      </c>
      <c r="F15" s="29">
        <v>3333333.33</v>
      </c>
      <c r="G15" s="5">
        <v>100154.7</v>
      </c>
      <c r="H15" s="5">
        <v>141184.35999999999</v>
      </c>
      <c r="I15" s="5"/>
      <c r="J15" s="5">
        <v>76915.33</v>
      </c>
      <c r="K15" s="5">
        <v>80</v>
      </c>
      <c r="L15" s="5"/>
      <c r="M15" s="5">
        <v>7600</v>
      </c>
      <c r="N15" s="5">
        <v>490</v>
      </c>
      <c r="O15" s="5">
        <v>0</v>
      </c>
      <c r="P15" s="5">
        <f>83201.6+1000</f>
        <v>84201.600000000006</v>
      </c>
      <c r="Q15" s="5">
        <f>SUM(E15:P15)</f>
        <v>7665726.5700000003</v>
      </c>
    </row>
    <row r="16" spans="4:17" x14ac:dyDescent="0.2">
      <c r="D16" s="26" t="s">
        <v>62</v>
      </c>
      <c r="E16" s="28">
        <f>E15-E14</f>
        <v>0</v>
      </c>
      <c r="F16" s="28">
        <f>F15-F14</f>
        <v>0</v>
      </c>
      <c r="G16" s="28">
        <f t="shared" ref="G16:Q16" si="3">G15-G14</f>
        <v>-98587.3</v>
      </c>
      <c r="H16" s="28">
        <f t="shared" si="3"/>
        <v>-37658.640000000014</v>
      </c>
      <c r="I16" s="28">
        <f t="shared" si="3"/>
        <v>0</v>
      </c>
      <c r="J16" s="28">
        <f t="shared" si="3"/>
        <v>25915.33</v>
      </c>
      <c r="K16" s="28">
        <f t="shared" si="3"/>
        <v>-100</v>
      </c>
      <c r="L16" s="28">
        <f t="shared" si="3"/>
        <v>0</v>
      </c>
      <c r="M16" s="28">
        <f t="shared" si="3"/>
        <v>400</v>
      </c>
      <c r="N16" s="28">
        <f t="shared" si="3"/>
        <v>314</v>
      </c>
      <c r="O16" s="28">
        <f t="shared" si="3"/>
        <v>-2000</v>
      </c>
      <c r="P16" s="28">
        <f t="shared" si="3"/>
        <v>-15798.399999999994</v>
      </c>
      <c r="Q16" s="28">
        <f t="shared" si="3"/>
        <v>-127515.00999999978</v>
      </c>
    </row>
    <row r="17" spans="1:20" x14ac:dyDescent="0.2">
      <c r="D17" s="26" t="s">
        <v>35</v>
      </c>
      <c r="E17" s="29">
        <f t="shared" si="1"/>
        <v>3921767.25</v>
      </c>
      <c r="F17" s="29">
        <v>3333333.33</v>
      </c>
      <c r="G17" s="5">
        <v>231142</v>
      </c>
      <c r="H17" s="5">
        <v>178843</v>
      </c>
      <c r="I17" s="5"/>
      <c r="J17" s="5">
        <v>51000</v>
      </c>
      <c r="K17" s="5">
        <v>180</v>
      </c>
      <c r="L17" s="5"/>
      <c r="M17" s="5">
        <v>7200</v>
      </c>
      <c r="N17" s="5">
        <v>175</v>
      </c>
      <c r="O17" s="5">
        <v>2000</v>
      </c>
      <c r="P17" s="5">
        <v>100000</v>
      </c>
      <c r="Q17" s="5">
        <f t="shared" ref="Q17:Q26" si="4">SUM(E17:P17)</f>
        <v>7825640.5800000001</v>
      </c>
    </row>
    <row r="18" spans="1:20" x14ac:dyDescent="0.2">
      <c r="D18" s="26" t="s">
        <v>36</v>
      </c>
      <c r="E18" s="29">
        <f t="shared" si="1"/>
        <v>3921767.25</v>
      </c>
      <c r="F18" s="29">
        <v>3333333.33</v>
      </c>
      <c r="G18" s="5">
        <v>258742</v>
      </c>
      <c r="H18" s="5">
        <v>178843</v>
      </c>
      <c r="I18" s="5"/>
      <c r="J18" s="5">
        <v>51000</v>
      </c>
      <c r="K18" s="5">
        <v>180</v>
      </c>
      <c r="L18" s="5"/>
      <c r="M18" s="5">
        <v>7200</v>
      </c>
      <c r="N18" s="5">
        <v>195</v>
      </c>
      <c r="O18" s="5">
        <v>2000</v>
      </c>
      <c r="P18" s="5">
        <v>100000</v>
      </c>
      <c r="Q18" s="5">
        <f t="shared" si="4"/>
        <v>7853260.5800000001</v>
      </c>
    </row>
    <row r="19" spans="1:20" x14ac:dyDescent="0.2">
      <c r="D19" s="26" t="s">
        <v>37</v>
      </c>
      <c r="E19" s="29">
        <f t="shared" si="1"/>
        <v>3921767.25</v>
      </c>
      <c r="F19" s="29">
        <v>3333333.33</v>
      </c>
      <c r="G19" s="5">
        <v>223742</v>
      </c>
      <c r="H19" s="5">
        <v>178843</v>
      </c>
      <c r="I19" s="5"/>
      <c r="J19" s="5">
        <v>51000</v>
      </c>
      <c r="K19" s="5">
        <v>180</v>
      </c>
      <c r="L19" s="5"/>
      <c r="M19" s="5">
        <v>7200</v>
      </c>
      <c r="N19" s="5">
        <v>184</v>
      </c>
      <c r="O19" s="5">
        <v>2000</v>
      </c>
      <c r="P19" s="5">
        <v>100000</v>
      </c>
      <c r="Q19" s="5">
        <f t="shared" si="4"/>
        <v>7818249.5800000001</v>
      </c>
    </row>
    <row r="20" spans="1:20" x14ac:dyDescent="0.2">
      <c r="D20" s="26" t="s">
        <v>38</v>
      </c>
      <c r="E20" s="29">
        <f t="shared" si="1"/>
        <v>3921767.25</v>
      </c>
      <c r="F20" s="29">
        <v>3333333.33</v>
      </c>
      <c r="G20" s="5">
        <v>223741.75</v>
      </c>
      <c r="H20" s="5">
        <v>178843</v>
      </c>
      <c r="I20" s="5"/>
      <c r="J20" s="5">
        <v>51000</v>
      </c>
      <c r="K20" s="5">
        <v>180</v>
      </c>
      <c r="L20" s="5"/>
      <c r="M20" s="5">
        <v>7200</v>
      </c>
      <c r="N20" s="5">
        <v>182</v>
      </c>
      <c r="O20" s="5">
        <v>2000</v>
      </c>
      <c r="P20" s="5">
        <v>100000</v>
      </c>
      <c r="Q20" s="5">
        <f t="shared" si="4"/>
        <v>7818247.3300000001</v>
      </c>
    </row>
    <row r="21" spans="1:20" x14ac:dyDescent="0.2">
      <c r="D21" s="26" t="s">
        <v>39</v>
      </c>
      <c r="E21" s="29">
        <f t="shared" si="1"/>
        <v>3921767.25</v>
      </c>
      <c r="F21" s="29">
        <v>3333333.33</v>
      </c>
      <c r="G21" s="5">
        <v>223741.75</v>
      </c>
      <c r="H21" s="5">
        <v>178843</v>
      </c>
      <c r="I21" s="5"/>
      <c r="J21" s="5">
        <v>51000</v>
      </c>
      <c r="K21" s="5">
        <v>180</v>
      </c>
      <c r="L21" s="5"/>
      <c r="M21" s="5">
        <v>10800</v>
      </c>
      <c r="N21" s="5">
        <v>235</v>
      </c>
      <c r="O21" s="5">
        <v>2000</v>
      </c>
      <c r="P21" s="5">
        <v>100000</v>
      </c>
      <c r="Q21" s="5">
        <f t="shared" si="4"/>
        <v>7821900.3300000001</v>
      </c>
    </row>
    <row r="22" spans="1:20" x14ac:dyDescent="0.2">
      <c r="D22" s="26" t="s">
        <v>40</v>
      </c>
      <c r="E22" s="29">
        <f t="shared" si="1"/>
        <v>3921767.25</v>
      </c>
      <c r="F22" s="29">
        <v>3333333.33</v>
      </c>
      <c r="G22" s="5">
        <f>223741.75+25000</f>
        <v>248741.75</v>
      </c>
      <c r="H22" s="5">
        <v>178843</v>
      </c>
      <c r="I22" s="5"/>
      <c r="J22" s="5">
        <v>51000</v>
      </c>
      <c r="K22" s="5">
        <v>180</v>
      </c>
      <c r="L22" s="5"/>
      <c r="M22" s="5">
        <v>10800</v>
      </c>
      <c r="N22" s="5">
        <v>290</v>
      </c>
      <c r="O22" s="5">
        <v>2000</v>
      </c>
      <c r="P22" s="5">
        <v>100000</v>
      </c>
      <c r="Q22" s="5">
        <f t="shared" si="4"/>
        <v>7846955.3300000001</v>
      </c>
    </row>
    <row r="23" spans="1:20" x14ac:dyDescent="0.2">
      <c r="D23" s="26" t="s">
        <v>41</v>
      </c>
      <c r="E23" s="29">
        <f t="shared" si="1"/>
        <v>3921767.25</v>
      </c>
      <c r="F23" s="29">
        <v>3333333.33</v>
      </c>
      <c r="G23" s="5">
        <v>223741.75</v>
      </c>
      <c r="H23" s="5">
        <v>178843</v>
      </c>
      <c r="I23" s="5"/>
      <c r="J23" s="5">
        <v>51000</v>
      </c>
      <c r="K23" s="5">
        <v>180</v>
      </c>
      <c r="L23" s="5"/>
      <c r="M23" s="5">
        <v>10800</v>
      </c>
      <c r="N23" s="5">
        <v>293</v>
      </c>
      <c r="O23" s="5">
        <v>2000</v>
      </c>
      <c r="P23" s="5">
        <v>100000</v>
      </c>
      <c r="Q23" s="5">
        <f t="shared" si="4"/>
        <v>7821958.3300000001</v>
      </c>
    </row>
    <row r="24" spans="1:20" x14ac:dyDescent="0.2">
      <c r="D24" s="26" t="s">
        <v>42</v>
      </c>
      <c r="E24" s="29">
        <f t="shared" si="1"/>
        <v>3921767.25</v>
      </c>
      <c r="F24" s="29">
        <v>3333333.33</v>
      </c>
      <c r="G24" s="5">
        <v>223741.75</v>
      </c>
      <c r="H24" s="5">
        <v>178843</v>
      </c>
      <c r="I24" s="5"/>
      <c r="J24" s="5">
        <v>51000</v>
      </c>
      <c r="K24" s="5">
        <v>180</v>
      </c>
      <c r="L24" s="5"/>
      <c r="M24" s="5">
        <v>10800</v>
      </c>
      <c r="N24" s="5">
        <v>205</v>
      </c>
      <c r="O24" s="5">
        <v>2000</v>
      </c>
      <c r="P24" s="5">
        <v>100000</v>
      </c>
      <c r="Q24" s="5">
        <f t="shared" si="4"/>
        <v>7821870.3300000001</v>
      </c>
    </row>
    <row r="25" spans="1:20" x14ac:dyDescent="0.2">
      <c r="D25" s="26" t="s">
        <v>43</v>
      </c>
      <c r="E25" s="29">
        <f t="shared" si="1"/>
        <v>3921767.25</v>
      </c>
      <c r="F25" s="29">
        <v>3333333.33</v>
      </c>
      <c r="G25" s="5">
        <v>223741.75</v>
      </c>
      <c r="H25" s="5">
        <v>178843</v>
      </c>
      <c r="I25" s="5"/>
      <c r="J25" s="5">
        <v>51000</v>
      </c>
      <c r="K25" s="5">
        <v>180</v>
      </c>
      <c r="L25" s="5"/>
      <c r="M25" s="5">
        <v>10800</v>
      </c>
      <c r="N25" s="5">
        <v>210</v>
      </c>
      <c r="O25" s="5">
        <v>2000</v>
      </c>
      <c r="P25" s="5">
        <v>100000</v>
      </c>
      <c r="Q25" s="5">
        <f t="shared" si="4"/>
        <v>7821875.3300000001</v>
      </c>
    </row>
    <row r="26" spans="1:20" x14ac:dyDescent="0.2">
      <c r="D26" s="26" t="s">
        <v>44</v>
      </c>
      <c r="E26" s="29">
        <f t="shared" si="1"/>
        <v>3921767.25</v>
      </c>
      <c r="F26" s="29">
        <v>3333333.33</v>
      </c>
      <c r="G26" s="5">
        <f>223741.75+80000</f>
        <v>303741.75</v>
      </c>
      <c r="H26" s="5">
        <v>400000</v>
      </c>
      <c r="I26" s="5"/>
      <c r="J26" s="5">
        <v>51000</v>
      </c>
      <c r="K26" s="5">
        <v>180</v>
      </c>
      <c r="L26" s="5"/>
      <c r="M26" s="5">
        <v>10800</v>
      </c>
      <c r="N26" s="5">
        <v>250</v>
      </c>
      <c r="O26" s="5">
        <v>2615.83</v>
      </c>
      <c r="P26" s="5">
        <v>500000</v>
      </c>
      <c r="Q26" s="5">
        <f t="shared" si="4"/>
        <v>8523688.1600000001</v>
      </c>
    </row>
    <row r="27" spans="1:20" s="7" customFormat="1" x14ac:dyDescent="0.2">
      <c r="A27" s="17"/>
      <c r="B27" s="17"/>
      <c r="C27" s="17"/>
      <c r="D27" s="26" t="s">
        <v>45</v>
      </c>
      <c r="E27" s="30">
        <f>E11+E14+E17+E18+E19+E20+E21+E22+E23+E24+E25+E26</f>
        <v>47061207</v>
      </c>
      <c r="F27" s="30">
        <f t="shared" ref="F27:Q27" si="5">F11+F14+F17+F18+F19+F20+F21+F22+F23+F24+F25+F26</f>
        <v>39999999.959999993</v>
      </c>
      <c r="G27" s="30">
        <f t="shared" si="5"/>
        <v>2727302</v>
      </c>
      <c r="H27" s="30">
        <f t="shared" si="5"/>
        <v>2367273</v>
      </c>
      <c r="I27" s="30">
        <f t="shared" si="5"/>
        <v>12632625.140000001</v>
      </c>
      <c r="J27" s="30">
        <f t="shared" si="5"/>
        <v>612000</v>
      </c>
      <c r="K27" s="30">
        <f t="shared" si="5"/>
        <v>2160</v>
      </c>
      <c r="L27" s="30">
        <f t="shared" si="5"/>
        <v>0</v>
      </c>
      <c r="M27" s="30">
        <f t="shared" si="5"/>
        <v>108000</v>
      </c>
      <c r="N27" s="30">
        <f t="shared" si="5"/>
        <v>2580</v>
      </c>
      <c r="O27" s="30">
        <f t="shared" si="5"/>
        <v>24615.83</v>
      </c>
      <c r="P27" s="30">
        <f t="shared" si="5"/>
        <v>1600000</v>
      </c>
      <c r="Q27" s="30">
        <f t="shared" si="5"/>
        <v>107137762.92999998</v>
      </c>
      <c r="R27" s="17"/>
      <c r="S27" s="17"/>
      <c r="T27" s="17"/>
    </row>
    <row r="28" spans="1:20" s="7" customFormat="1" x14ac:dyDescent="0.2">
      <c r="A28" s="17"/>
      <c r="B28" s="17"/>
      <c r="C28" s="17"/>
      <c r="D28" s="183" t="s">
        <v>244</v>
      </c>
      <c r="E28" s="55">
        <f>E11+E14</f>
        <v>7843534.5</v>
      </c>
      <c r="F28" s="55">
        <f t="shared" ref="F28:Q28" si="6">F11+F14</f>
        <v>6666666.6600000001</v>
      </c>
      <c r="G28" s="55">
        <f t="shared" si="6"/>
        <v>342483.75</v>
      </c>
      <c r="H28" s="55">
        <f t="shared" si="6"/>
        <v>357686</v>
      </c>
      <c r="I28" s="55">
        <f t="shared" si="6"/>
        <v>12632625.140000001</v>
      </c>
      <c r="J28" s="55">
        <f t="shared" si="6"/>
        <v>102000</v>
      </c>
      <c r="K28" s="55">
        <f t="shared" si="6"/>
        <v>360</v>
      </c>
      <c r="L28" s="55">
        <f t="shared" si="6"/>
        <v>0</v>
      </c>
      <c r="M28" s="55">
        <f t="shared" si="6"/>
        <v>14400</v>
      </c>
      <c r="N28" s="55">
        <f t="shared" si="6"/>
        <v>361</v>
      </c>
      <c r="O28" s="55">
        <f t="shared" si="6"/>
        <v>4000</v>
      </c>
      <c r="P28" s="55">
        <f t="shared" si="6"/>
        <v>200000</v>
      </c>
      <c r="Q28" s="55">
        <f t="shared" si="6"/>
        <v>28164117.049999997</v>
      </c>
      <c r="R28" s="17"/>
      <c r="S28" s="17"/>
      <c r="T28" s="17"/>
    </row>
    <row r="29" spans="1:20" s="7" customFormat="1" x14ac:dyDescent="0.2">
      <c r="A29" s="17"/>
      <c r="B29" s="17"/>
      <c r="C29" s="17"/>
      <c r="D29" s="184" t="s">
        <v>245</v>
      </c>
      <c r="E29" s="56">
        <f>E12+E15</f>
        <v>7843534.4700000007</v>
      </c>
      <c r="F29" s="56">
        <f t="shared" ref="F29:Q29" si="7">F12+F15</f>
        <v>6666666.6699999999</v>
      </c>
      <c r="G29" s="56">
        <f t="shared" si="7"/>
        <v>199908.7</v>
      </c>
      <c r="H29" s="56">
        <f t="shared" si="7"/>
        <v>438921.27999999997</v>
      </c>
      <c r="I29" s="56">
        <f t="shared" si="7"/>
        <v>12632625.140000001</v>
      </c>
      <c r="J29" s="56">
        <f t="shared" si="7"/>
        <v>147723.16999999998</v>
      </c>
      <c r="K29" s="56">
        <f t="shared" si="7"/>
        <v>160</v>
      </c>
      <c r="L29" s="56">
        <f t="shared" si="7"/>
        <v>0</v>
      </c>
      <c r="M29" s="56">
        <f t="shared" si="7"/>
        <v>18337</v>
      </c>
      <c r="N29" s="56">
        <f t="shared" si="7"/>
        <v>490</v>
      </c>
      <c r="O29" s="56">
        <f t="shared" si="7"/>
        <v>870</v>
      </c>
      <c r="P29" s="56">
        <f t="shared" si="7"/>
        <v>150101.6</v>
      </c>
      <c r="Q29" s="56">
        <f t="shared" si="7"/>
        <v>28099338.030000001</v>
      </c>
      <c r="R29" s="17"/>
      <c r="S29" s="17"/>
      <c r="T29" s="17"/>
    </row>
    <row r="30" spans="1:20" s="7" customFormat="1" x14ac:dyDescent="0.2">
      <c r="A30" s="17"/>
      <c r="B30" s="17"/>
      <c r="C30" s="17"/>
      <c r="D30" s="184" t="s">
        <v>97</v>
      </c>
      <c r="E30" s="57">
        <f>E29-E28</f>
        <v>-2.9999999329447746E-2</v>
      </c>
      <c r="F30" s="57">
        <f>F29-F28</f>
        <v>9.9999997764825821E-3</v>
      </c>
      <c r="G30" s="57">
        <f t="shared" ref="G30:Q30" si="8">G29-G28</f>
        <v>-142575.04999999999</v>
      </c>
      <c r="H30" s="57">
        <f t="shared" si="8"/>
        <v>81235.27999999997</v>
      </c>
      <c r="I30" s="57">
        <f t="shared" si="8"/>
        <v>0</v>
      </c>
      <c r="J30" s="57">
        <f t="shared" si="8"/>
        <v>45723.169999999984</v>
      </c>
      <c r="K30" s="57">
        <f t="shared" si="8"/>
        <v>-200</v>
      </c>
      <c r="L30" s="57">
        <f t="shared" si="8"/>
        <v>0</v>
      </c>
      <c r="M30" s="57">
        <f t="shared" si="8"/>
        <v>3937</v>
      </c>
      <c r="N30" s="57">
        <f t="shared" si="8"/>
        <v>129</v>
      </c>
      <c r="O30" s="57">
        <f t="shared" si="8"/>
        <v>-3130</v>
      </c>
      <c r="P30" s="57">
        <f t="shared" si="8"/>
        <v>-49898.399999999994</v>
      </c>
      <c r="Q30" s="57">
        <f t="shared" si="8"/>
        <v>-64779.019999995828</v>
      </c>
      <c r="R30" s="17"/>
      <c r="S30" s="17"/>
      <c r="T30" s="17"/>
    </row>
    <row r="31" spans="1:20" s="2" customFormat="1" x14ac:dyDescent="0.2">
      <c r="D31" s="8" t="s">
        <v>46</v>
      </c>
      <c r="E31" s="8">
        <v>1</v>
      </c>
      <c r="F31" s="8">
        <v>1</v>
      </c>
      <c r="G31" s="8">
        <v>2</v>
      </c>
      <c r="H31" s="8">
        <v>3</v>
      </c>
      <c r="I31" s="8"/>
      <c r="J31" s="8">
        <v>4</v>
      </c>
      <c r="K31" s="8">
        <v>5</v>
      </c>
      <c r="L31" s="8">
        <v>6</v>
      </c>
      <c r="M31" s="8">
        <v>7</v>
      </c>
      <c r="N31" s="8">
        <v>8</v>
      </c>
      <c r="O31" s="8">
        <v>9</v>
      </c>
      <c r="P31" s="8">
        <v>10</v>
      </c>
      <c r="Q31" s="9" t="s">
        <v>47</v>
      </c>
      <c r="R31" s="16"/>
      <c r="S31" s="16"/>
      <c r="T31" s="16"/>
    </row>
    <row r="32" spans="1:20" s="2" customFormat="1" x14ac:dyDescent="0.2">
      <c r="D32" s="10" t="s">
        <v>48</v>
      </c>
      <c r="E32" s="11">
        <f>+E27*100/Q27</f>
        <v>43.925881699385613</v>
      </c>
      <c r="F32" s="11">
        <f>+F27*100/Q27</f>
        <v>37.335108430567644</v>
      </c>
      <c r="G32" s="11">
        <f>+G27*100/Q27</f>
        <v>2.5456028998682028</v>
      </c>
      <c r="H32" s="11">
        <f>+H27*100/Q27</f>
        <v>2.2095598557034388</v>
      </c>
      <c r="I32" s="11">
        <f>+I27*100/Q27</f>
        <v>11.79101074590638</v>
      </c>
      <c r="J32" s="11">
        <f>+J27*100/Q27</f>
        <v>0.57122715955891212</v>
      </c>
      <c r="K32" s="11">
        <f>+K27*100/Q27</f>
        <v>2.0160958572667488E-3</v>
      </c>
      <c r="L32" s="11">
        <f>+L27*100/Q27</f>
        <v>0</v>
      </c>
      <c r="M32" s="11">
        <f>+M27*100/Q27</f>
        <v>0.10080479286333743</v>
      </c>
      <c r="N32" s="11">
        <f>+N27*100/Q27</f>
        <v>2.4081144961797278E-3</v>
      </c>
      <c r="O32" s="11">
        <f>+O27*100/Q27</f>
        <v>2.2975867076936368E-2</v>
      </c>
      <c r="P32" s="11">
        <f>+P27*100/Q27</f>
        <v>1.4934043387161102</v>
      </c>
      <c r="Q32" s="12">
        <f>SUM(E32:P32)</f>
        <v>100.00000000000001</v>
      </c>
      <c r="R32" s="16"/>
      <c r="S32" s="16"/>
      <c r="T32" s="16"/>
    </row>
    <row r="33" spans="3:17" x14ac:dyDescent="0.2">
      <c r="D33" s="13"/>
      <c r="E33" s="13"/>
      <c r="F33" s="13"/>
      <c r="G33" s="14"/>
      <c r="H33" s="6"/>
      <c r="I33" s="6"/>
      <c r="J33" s="6"/>
      <c r="K33" s="6"/>
      <c r="L33" s="15"/>
      <c r="Q33" s="6"/>
    </row>
    <row r="34" spans="3:17" x14ac:dyDescent="0.2">
      <c r="C34" s="110"/>
      <c r="D34" s="107"/>
      <c r="E34" s="107"/>
      <c r="F34" s="107"/>
      <c r="G34" s="108"/>
      <c r="H34" s="96"/>
      <c r="I34" s="96"/>
      <c r="J34" s="96"/>
      <c r="K34" s="96"/>
      <c r="L34" s="96"/>
      <c r="M34" s="96"/>
      <c r="N34" s="96"/>
      <c r="O34" s="96"/>
      <c r="P34" s="99"/>
      <c r="Q34" s="96"/>
    </row>
    <row r="35" spans="3:17" x14ac:dyDescent="0.2">
      <c r="C35" s="110"/>
      <c r="D35" s="107"/>
      <c r="E35" s="107"/>
      <c r="F35" s="107"/>
      <c r="G35" s="108"/>
      <c r="H35" s="96"/>
      <c r="I35" s="281" t="s">
        <v>229</v>
      </c>
      <c r="J35" s="282"/>
      <c r="K35" s="282"/>
      <c r="L35" s="282"/>
      <c r="M35" s="283"/>
      <c r="N35" s="96"/>
      <c r="O35" s="96"/>
      <c r="P35" s="99"/>
      <c r="Q35" s="96"/>
    </row>
    <row r="36" spans="3:17" x14ac:dyDescent="0.2">
      <c r="C36" s="110"/>
      <c r="D36" s="107"/>
      <c r="E36" s="107"/>
      <c r="F36" s="107"/>
      <c r="G36" s="108"/>
      <c r="H36" s="96"/>
      <c r="I36" s="96" t="s">
        <v>230</v>
      </c>
      <c r="J36" s="96"/>
      <c r="K36" s="96"/>
      <c r="L36" s="96"/>
      <c r="M36" s="122">
        <v>87061206.959999993</v>
      </c>
      <c r="N36" s="96"/>
      <c r="O36" s="96"/>
      <c r="P36" s="99"/>
      <c r="Q36" s="96"/>
    </row>
    <row r="37" spans="3:17" x14ac:dyDescent="0.2">
      <c r="C37" s="110"/>
      <c r="D37" s="107"/>
      <c r="E37" s="107"/>
      <c r="F37" s="107"/>
      <c r="G37" s="108"/>
      <c r="H37" s="96" t="s">
        <v>83</v>
      </c>
      <c r="I37" s="96" t="s">
        <v>231</v>
      </c>
      <c r="J37" s="96"/>
      <c r="K37" s="96"/>
      <c r="L37" s="96"/>
      <c r="M37" s="96">
        <v>20076555</v>
      </c>
      <c r="N37" s="96"/>
      <c r="O37" s="96"/>
      <c r="P37" s="99"/>
      <c r="Q37" s="96"/>
    </row>
    <row r="38" spans="3:17" x14ac:dyDescent="0.2">
      <c r="C38" s="110"/>
      <c r="D38" s="107"/>
      <c r="E38" s="107"/>
      <c r="F38" s="107"/>
      <c r="G38" s="108"/>
      <c r="H38" s="96"/>
      <c r="I38" s="96" t="s">
        <v>232</v>
      </c>
      <c r="J38" s="96"/>
      <c r="K38" s="96"/>
      <c r="L38" s="122">
        <v>12632625</v>
      </c>
      <c r="M38" s="96"/>
      <c r="N38" s="96"/>
      <c r="O38" s="96"/>
      <c r="P38" s="99"/>
      <c r="Q38" s="96"/>
    </row>
    <row r="39" spans="3:17" x14ac:dyDescent="0.2">
      <c r="C39" s="110"/>
      <c r="D39" s="107"/>
      <c r="E39" s="107"/>
      <c r="F39" s="107"/>
      <c r="G39" s="108"/>
      <c r="H39" s="96"/>
      <c r="I39" s="96" t="s">
        <v>233</v>
      </c>
      <c r="J39" s="96"/>
      <c r="K39" s="96"/>
      <c r="L39" s="96">
        <v>7443930</v>
      </c>
      <c r="M39" s="96"/>
      <c r="N39" s="96"/>
      <c r="O39" s="96"/>
      <c r="P39" s="99"/>
      <c r="Q39" s="96"/>
    </row>
    <row r="40" spans="3:17" x14ac:dyDescent="0.2">
      <c r="C40" s="110"/>
      <c r="D40" s="107"/>
      <c r="E40" s="107"/>
      <c r="F40" s="107"/>
      <c r="G40" s="108"/>
      <c r="H40" s="96" t="s">
        <v>95</v>
      </c>
      <c r="I40" s="96" t="s">
        <v>234</v>
      </c>
      <c r="J40" s="96"/>
      <c r="K40" s="96"/>
      <c r="L40" s="96"/>
      <c r="M40" s="123">
        <f>SUM(M36:M39)</f>
        <v>107137761.95999999</v>
      </c>
      <c r="N40" s="96"/>
      <c r="O40" s="96"/>
      <c r="P40" s="99"/>
      <c r="Q40" s="96"/>
    </row>
    <row r="41" spans="3:17" x14ac:dyDescent="0.2">
      <c r="C41" s="110"/>
      <c r="D41" s="107"/>
      <c r="E41" s="107"/>
      <c r="F41" s="107"/>
      <c r="G41" s="108"/>
      <c r="H41" s="96"/>
      <c r="I41" s="96"/>
      <c r="J41" s="96"/>
      <c r="K41" s="96"/>
      <c r="L41" s="96"/>
      <c r="M41" s="96"/>
      <c r="N41" s="96"/>
      <c r="O41" s="96"/>
      <c r="P41" s="99"/>
      <c r="Q41" s="96"/>
    </row>
    <row r="42" spans="3:17" x14ac:dyDescent="0.2">
      <c r="C42" s="110"/>
      <c r="D42" s="107"/>
      <c r="E42" s="107"/>
      <c r="F42" s="107"/>
      <c r="G42" s="108"/>
      <c r="H42" s="96"/>
      <c r="I42" s="96"/>
      <c r="J42" s="96"/>
      <c r="K42" s="96"/>
      <c r="L42" s="96"/>
      <c r="M42" s="96"/>
      <c r="N42" s="96"/>
      <c r="O42" s="96"/>
      <c r="P42" s="99"/>
      <c r="Q42" s="96"/>
    </row>
    <row r="43" spans="3:17" ht="12.75" x14ac:dyDescent="0.2">
      <c r="C43" s="110"/>
      <c r="D43" s="269" t="s">
        <v>49</v>
      </c>
      <c r="E43" s="269"/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</row>
    <row r="44" spans="3:17" x14ac:dyDescent="0.2">
      <c r="C44" s="109">
        <v>1</v>
      </c>
      <c r="D44" s="110" t="s">
        <v>242</v>
      </c>
      <c r="E44" s="110"/>
      <c r="F44" s="110"/>
      <c r="G44" s="111"/>
      <c r="H44" s="110"/>
      <c r="I44" s="110"/>
      <c r="J44" s="110"/>
      <c r="K44" s="110"/>
      <c r="L44" s="110"/>
      <c r="M44" s="110"/>
      <c r="N44" s="110"/>
      <c r="O44" s="110"/>
      <c r="P44" s="111"/>
      <c r="Q44" s="110"/>
    </row>
    <row r="45" spans="3:17" x14ac:dyDescent="0.2">
      <c r="C45" s="109"/>
      <c r="D45" s="110" t="s">
        <v>243</v>
      </c>
      <c r="E45" s="110"/>
      <c r="F45" s="110"/>
      <c r="G45" s="111"/>
      <c r="H45" s="110"/>
      <c r="I45" s="110"/>
      <c r="J45" s="110"/>
      <c r="K45" s="110"/>
      <c r="L45" s="110"/>
      <c r="M45" s="110"/>
      <c r="N45" s="110"/>
      <c r="O45" s="110"/>
      <c r="P45" s="111"/>
      <c r="Q45" s="110"/>
    </row>
    <row r="46" spans="3:17" x14ac:dyDescent="0.2">
      <c r="C46" s="109"/>
      <c r="D46" s="110" t="s">
        <v>50</v>
      </c>
      <c r="E46" s="110"/>
      <c r="F46" s="110"/>
      <c r="G46" s="111"/>
      <c r="H46" s="110"/>
      <c r="I46" s="110"/>
      <c r="J46" s="110"/>
      <c r="K46" s="110"/>
      <c r="L46" s="110"/>
      <c r="M46" s="110"/>
      <c r="N46" s="110"/>
      <c r="O46" s="110"/>
      <c r="P46" s="111"/>
      <c r="Q46" s="110"/>
    </row>
    <row r="47" spans="3:17" x14ac:dyDescent="0.2">
      <c r="C47" s="109">
        <v>2</v>
      </c>
      <c r="D47" s="110" t="s">
        <v>51</v>
      </c>
      <c r="E47" s="110"/>
      <c r="F47" s="96"/>
      <c r="G47" s="99"/>
      <c r="H47" s="96"/>
      <c r="I47" s="96"/>
      <c r="J47" s="96"/>
      <c r="K47" s="96"/>
      <c r="L47" s="96"/>
      <c r="M47" s="96"/>
      <c r="N47" s="96"/>
      <c r="O47" s="96"/>
      <c r="P47" s="112"/>
      <c r="Q47" s="96"/>
    </row>
    <row r="48" spans="3:17" x14ac:dyDescent="0.2">
      <c r="C48" s="109">
        <v>3</v>
      </c>
      <c r="D48" s="110" t="s">
        <v>52</v>
      </c>
      <c r="E48" s="110"/>
      <c r="F48" s="96"/>
      <c r="G48" s="99"/>
      <c r="H48" s="96"/>
      <c r="I48" s="96"/>
      <c r="J48" s="96"/>
      <c r="K48" s="96"/>
      <c r="L48" s="96"/>
      <c r="M48" s="96"/>
      <c r="N48" s="96"/>
      <c r="O48" s="96"/>
      <c r="P48" s="99"/>
      <c r="Q48" s="96"/>
    </row>
    <row r="49" spans="3:17" x14ac:dyDescent="0.2">
      <c r="C49" s="109">
        <v>4</v>
      </c>
      <c r="D49" s="110" t="s">
        <v>53</v>
      </c>
      <c r="E49" s="110"/>
      <c r="F49" s="96"/>
      <c r="G49" s="99"/>
      <c r="H49" s="96"/>
      <c r="I49" s="96"/>
      <c r="J49" s="96"/>
      <c r="K49" s="96"/>
      <c r="L49" s="96"/>
      <c r="M49" s="96"/>
      <c r="N49" s="96"/>
      <c r="O49" s="96"/>
      <c r="P49" s="99"/>
      <c r="Q49" s="96"/>
    </row>
    <row r="50" spans="3:17" ht="13.5" customHeight="1" x14ac:dyDescent="0.2">
      <c r="C50" s="109">
        <v>5</v>
      </c>
      <c r="D50" s="110" t="s">
        <v>54</v>
      </c>
      <c r="E50" s="110"/>
      <c r="F50" s="96"/>
      <c r="G50" s="99"/>
      <c r="H50" s="96"/>
      <c r="I50" s="96"/>
      <c r="J50" s="96"/>
      <c r="K50" s="96"/>
      <c r="L50" s="96"/>
      <c r="M50" s="96"/>
      <c r="N50" s="96"/>
      <c r="O50" s="96"/>
      <c r="P50" s="99"/>
      <c r="Q50" s="96"/>
    </row>
    <row r="51" spans="3:17" x14ac:dyDescent="0.2">
      <c r="C51" s="109">
        <v>6</v>
      </c>
      <c r="D51" s="110" t="s">
        <v>228</v>
      </c>
      <c r="E51" s="110"/>
      <c r="F51" s="96"/>
      <c r="G51" s="99"/>
      <c r="H51" s="96"/>
      <c r="I51" s="96"/>
      <c r="J51" s="96"/>
      <c r="K51" s="96"/>
      <c r="L51" s="96"/>
      <c r="M51" s="96"/>
      <c r="N51" s="96"/>
      <c r="O51" s="96"/>
      <c r="P51" s="99"/>
      <c r="Q51" s="96"/>
    </row>
    <row r="52" spans="3:17" x14ac:dyDescent="0.2">
      <c r="C52" s="109">
        <v>7</v>
      </c>
      <c r="D52" s="110" t="s">
        <v>235</v>
      </c>
      <c r="E52" s="110"/>
      <c r="F52" s="96"/>
      <c r="G52" s="99"/>
      <c r="H52" s="96"/>
      <c r="I52" s="96"/>
      <c r="J52" s="96"/>
      <c r="K52" s="96"/>
      <c r="L52" s="96"/>
      <c r="M52" s="96"/>
      <c r="N52" s="96"/>
      <c r="O52" s="96"/>
      <c r="P52" s="99"/>
      <c r="Q52" s="96"/>
    </row>
    <row r="53" spans="3:17" x14ac:dyDescent="0.2">
      <c r="C53" s="109">
        <v>8</v>
      </c>
      <c r="D53" s="110" t="s">
        <v>55</v>
      </c>
      <c r="E53" s="110"/>
      <c r="F53" s="96"/>
      <c r="G53" s="99"/>
      <c r="H53" s="96"/>
      <c r="I53" s="96"/>
      <c r="J53" s="96"/>
      <c r="K53" s="96"/>
      <c r="L53" s="96"/>
      <c r="M53" s="96"/>
      <c r="N53" s="96"/>
      <c r="O53" s="96"/>
      <c r="P53" s="99"/>
      <c r="Q53" s="96"/>
    </row>
    <row r="54" spans="3:17" x14ac:dyDescent="0.2">
      <c r="C54" s="109">
        <v>9</v>
      </c>
      <c r="D54" s="110" t="s">
        <v>56</v>
      </c>
      <c r="E54" s="110"/>
      <c r="F54" s="96"/>
      <c r="G54" s="99"/>
      <c r="H54" s="113"/>
      <c r="I54" s="113"/>
      <c r="J54" s="113"/>
      <c r="K54" s="113"/>
      <c r="L54" s="113"/>
      <c r="M54" s="113"/>
      <c r="N54" s="113"/>
      <c r="O54" s="113"/>
      <c r="P54" s="114"/>
      <c r="Q54" s="113"/>
    </row>
    <row r="55" spans="3:17" x14ac:dyDescent="0.2">
      <c r="C55" s="109">
        <v>10</v>
      </c>
      <c r="D55" s="110" t="s">
        <v>57</v>
      </c>
      <c r="E55" s="110"/>
      <c r="F55" s="96"/>
      <c r="G55" s="99"/>
      <c r="H55" s="113"/>
      <c r="I55" s="113"/>
      <c r="J55" s="113"/>
      <c r="K55" s="113"/>
      <c r="L55" s="113"/>
      <c r="M55" s="113"/>
      <c r="N55" s="113"/>
      <c r="O55" s="113"/>
      <c r="P55" s="114"/>
      <c r="Q55" s="113"/>
    </row>
    <row r="56" spans="3:17" x14ac:dyDescent="0.2">
      <c r="D56" s="18"/>
      <c r="E56" s="18"/>
      <c r="F56" s="18"/>
      <c r="G56" s="19"/>
      <c r="H56" s="18"/>
      <c r="I56" s="18"/>
      <c r="J56" s="18"/>
      <c r="K56" s="20"/>
      <c r="L56" s="20"/>
      <c r="M56" s="18"/>
      <c r="N56" s="18"/>
      <c r="O56" s="18"/>
    </row>
    <row r="57" spans="3:17" x14ac:dyDescent="0.2">
      <c r="D57" s="18"/>
      <c r="E57" s="18"/>
      <c r="F57" s="18"/>
      <c r="G57" s="19"/>
      <c r="H57" s="18"/>
      <c r="I57" s="18"/>
      <c r="J57" s="18"/>
      <c r="K57" s="20"/>
      <c r="L57" s="20"/>
      <c r="M57" s="18"/>
      <c r="N57" s="18"/>
      <c r="O57" s="18"/>
    </row>
    <row r="58" spans="3:17" x14ac:dyDescent="0.2">
      <c r="D58" s="18"/>
      <c r="E58" s="18"/>
      <c r="F58" s="18"/>
      <c r="G58" s="19"/>
      <c r="H58" s="18"/>
      <c r="I58" s="18"/>
      <c r="J58" s="18"/>
      <c r="K58" s="19"/>
      <c r="L58" s="19"/>
      <c r="M58" s="18"/>
      <c r="N58" s="18"/>
      <c r="O58" s="18"/>
    </row>
    <row r="59" spans="3:17" x14ac:dyDescent="0.2">
      <c r="D59" s="18"/>
      <c r="E59" s="18"/>
      <c r="F59" s="18"/>
      <c r="G59" s="19"/>
      <c r="H59" s="18"/>
      <c r="I59" s="18"/>
      <c r="J59" s="18"/>
      <c r="K59" s="19"/>
      <c r="L59" s="19"/>
      <c r="M59" s="18"/>
      <c r="N59" s="18"/>
      <c r="O59" s="18"/>
    </row>
    <row r="60" spans="3:17" x14ac:dyDescent="0.2">
      <c r="D60" s="18"/>
      <c r="E60" s="18"/>
      <c r="F60" s="18"/>
      <c r="G60" s="19"/>
      <c r="H60" s="18"/>
      <c r="I60" s="18"/>
      <c r="J60" s="18"/>
      <c r="K60" s="19"/>
      <c r="L60" s="19"/>
      <c r="M60" s="18"/>
      <c r="N60" s="18"/>
      <c r="O60" s="18"/>
    </row>
    <row r="61" spans="3:17" x14ac:dyDescent="0.2">
      <c r="D61" s="18"/>
      <c r="E61" s="18"/>
      <c r="F61" s="18"/>
      <c r="G61" s="19"/>
      <c r="H61" s="18"/>
      <c r="I61" s="18"/>
      <c r="J61" s="18"/>
      <c r="K61" s="19"/>
      <c r="L61" s="19"/>
      <c r="M61" s="18"/>
      <c r="N61" s="18"/>
      <c r="O61" s="18"/>
    </row>
    <row r="62" spans="3:17" x14ac:dyDescent="0.2">
      <c r="D62" s="18"/>
      <c r="E62" s="18"/>
      <c r="F62" s="18"/>
      <c r="G62" s="19"/>
      <c r="H62" s="18"/>
      <c r="I62" s="18"/>
      <c r="J62" s="18"/>
      <c r="K62" s="19"/>
      <c r="L62" s="19"/>
      <c r="M62" s="18"/>
      <c r="N62" s="18"/>
      <c r="O62" s="18"/>
    </row>
    <row r="63" spans="3:17" x14ac:dyDescent="0.2">
      <c r="D63" s="21"/>
      <c r="E63" s="21"/>
      <c r="F63" s="21"/>
      <c r="G63" s="24"/>
      <c r="H63" s="18"/>
      <c r="I63" s="18"/>
      <c r="J63" s="18"/>
      <c r="K63" s="22"/>
      <c r="L63" s="22"/>
      <c r="M63" s="25"/>
      <c r="N63" s="18"/>
      <c r="O63" s="18"/>
    </row>
    <row r="64" spans="3:17" x14ac:dyDescent="0.2">
      <c r="D64" s="18"/>
      <c r="E64" s="18"/>
      <c r="F64" s="18"/>
      <c r="G64" s="19"/>
      <c r="H64" s="18"/>
      <c r="I64" s="18"/>
      <c r="J64" s="18"/>
      <c r="K64" s="18"/>
      <c r="L64" s="18"/>
      <c r="M64" s="23"/>
      <c r="N64" s="18"/>
      <c r="O64" s="18"/>
    </row>
    <row r="65" spans="4:15" x14ac:dyDescent="0.2">
      <c r="D65" s="18"/>
      <c r="E65" s="18"/>
      <c r="F65" s="18"/>
      <c r="G65" s="19"/>
      <c r="H65" s="18"/>
      <c r="I65" s="18"/>
      <c r="J65" s="18"/>
      <c r="K65" s="18"/>
      <c r="L65" s="18"/>
      <c r="M65" s="18"/>
      <c r="N65" s="18"/>
      <c r="O65" s="18"/>
    </row>
    <row r="66" spans="4:15" x14ac:dyDescent="0.2">
      <c r="D66" s="18"/>
      <c r="E66" s="18"/>
      <c r="F66" s="18"/>
      <c r="G66" s="19"/>
      <c r="H66" s="18"/>
      <c r="I66" s="18"/>
      <c r="J66" s="18"/>
      <c r="K66" s="18"/>
      <c r="L66" s="18"/>
      <c r="M66" s="23"/>
      <c r="N66" s="18"/>
      <c r="O66" s="18"/>
    </row>
    <row r="67" spans="4:15" x14ac:dyDescent="0.2">
      <c r="D67" s="18"/>
      <c r="E67" s="18"/>
      <c r="F67" s="18"/>
      <c r="G67" s="19"/>
      <c r="H67" s="18"/>
      <c r="I67" s="18"/>
      <c r="J67" s="18"/>
      <c r="K67" s="18"/>
      <c r="L67" s="18"/>
      <c r="M67" s="18"/>
      <c r="N67" s="18"/>
      <c r="O67" s="18"/>
    </row>
    <row r="68" spans="4:15" x14ac:dyDescent="0.2">
      <c r="D68" s="18"/>
      <c r="E68" s="18"/>
      <c r="F68" s="18"/>
      <c r="G68" s="19"/>
      <c r="H68" s="18"/>
      <c r="I68" s="18"/>
      <c r="J68" s="18"/>
      <c r="K68" s="18"/>
      <c r="L68" s="18"/>
      <c r="M68" s="18"/>
      <c r="N68" s="18"/>
      <c r="O68" s="18"/>
    </row>
    <row r="69" spans="4:15" x14ac:dyDescent="0.2">
      <c r="D69" s="18"/>
      <c r="E69" s="18"/>
      <c r="F69" s="18"/>
      <c r="G69" s="19"/>
      <c r="H69" s="18"/>
      <c r="I69" s="18"/>
      <c r="J69" s="18"/>
      <c r="K69" s="18"/>
      <c r="L69" s="18"/>
      <c r="M69" s="18"/>
      <c r="N69" s="18"/>
      <c r="O69" s="18"/>
    </row>
    <row r="70" spans="4:15" x14ac:dyDescent="0.2">
      <c r="D70" s="18"/>
      <c r="E70" s="18"/>
      <c r="F70" s="18"/>
      <c r="G70" s="19"/>
      <c r="H70" s="18"/>
      <c r="I70" s="18"/>
      <c r="J70" s="18"/>
      <c r="K70" s="18"/>
      <c r="L70" s="18"/>
      <c r="M70" s="18"/>
      <c r="N70" s="18"/>
      <c r="O70" s="18"/>
    </row>
    <row r="71" spans="4:15" x14ac:dyDescent="0.2">
      <c r="D71" s="18"/>
      <c r="E71" s="18"/>
      <c r="F71" s="18"/>
      <c r="G71" s="19"/>
      <c r="H71" s="18"/>
      <c r="I71" s="18"/>
      <c r="J71" s="18"/>
      <c r="K71" s="18"/>
      <c r="L71" s="18"/>
      <c r="M71" s="18"/>
      <c r="N71" s="18"/>
      <c r="O71" s="18"/>
    </row>
    <row r="72" spans="4:15" x14ac:dyDescent="0.2">
      <c r="D72" s="18"/>
      <c r="E72" s="18"/>
      <c r="F72" s="18"/>
      <c r="G72" s="19"/>
      <c r="H72" s="18"/>
      <c r="I72" s="18"/>
      <c r="J72" s="18"/>
      <c r="K72" s="18"/>
      <c r="L72" s="18"/>
      <c r="M72" s="18"/>
      <c r="N72" s="18"/>
      <c r="O72" s="18"/>
    </row>
    <row r="73" spans="4:15" x14ac:dyDescent="0.2">
      <c r="D73" s="18"/>
      <c r="E73" s="18"/>
      <c r="F73" s="18"/>
      <c r="G73" s="19"/>
      <c r="H73" s="18"/>
      <c r="I73" s="18"/>
      <c r="J73" s="18"/>
      <c r="K73" s="18"/>
      <c r="L73" s="18"/>
      <c r="M73" s="18"/>
      <c r="N73" s="18"/>
      <c r="O73" s="18"/>
    </row>
    <row r="74" spans="4:15" x14ac:dyDescent="0.2">
      <c r="D74" s="18"/>
      <c r="E74" s="18"/>
      <c r="F74" s="18"/>
      <c r="G74" s="19"/>
      <c r="H74" s="18"/>
      <c r="I74" s="18"/>
      <c r="J74" s="18"/>
      <c r="K74" s="18"/>
      <c r="L74" s="18"/>
      <c r="M74" s="18"/>
      <c r="N74" s="18"/>
      <c r="O74" s="18"/>
    </row>
    <row r="75" spans="4:15" x14ac:dyDescent="0.2">
      <c r="D75" s="18"/>
      <c r="E75" s="18"/>
      <c r="F75" s="18"/>
      <c r="G75" s="19"/>
      <c r="H75" s="18"/>
      <c r="I75" s="18"/>
      <c r="J75" s="18"/>
      <c r="K75" s="18"/>
      <c r="L75" s="18"/>
      <c r="M75" s="18"/>
      <c r="N75" s="18"/>
      <c r="O75" s="18"/>
    </row>
    <row r="76" spans="4:15" x14ac:dyDescent="0.2">
      <c r="D76" s="18"/>
      <c r="E76" s="18"/>
      <c r="F76" s="18"/>
      <c r="G76" s="19"/>
      <c r="H76" s="18"/>
      <c r="I76" s="18"/>
      <c r="J76" s="18"/>
      <c r="K76" s="18"/>
      <c r="L76" s="18"/>
      <c r="M76" s="18"/>
      <c r="N76" s="18"/>
      <c r="O76" s="18"/>
    </row>
    <row r="77" spans="4:15" x14ac:dyDescent="0.2">
      <c r="D77" s="18"/>
      <c r="E77" s="18"/>
      <c r="F77" s="18"/>
      <c r="G77" s="19"/>
      <c r="H77" s="18"/>
      <c r="I77" s="18"/>
      <c r="J77" s="18"/>
      <c r="K77" s="18"/>
      <c r="L77" s="18"/>
      <c r="M77" s="18"/>
      <c r="N77" s="18"/>
      <c r="O77" s="18"/>
    </row>
    <row r="78" spans="4:15" x14ac:dyDescent="0.2">
      <c r="D78" s="18"/>
      <c r="E78" s="18"/>
      <c r="F78" s="18"/>
      <c r="G78" s="19"/>
      <c r="H78" s="18"/>
      <c r="I78" s="18"/>
      <c r="J78" s="18"/>
      <c r="K78" s="18"/>
      <c r="L78" s="18"/>
      <c r="M78" s="18"/>
      <c r="N78" s="18"/>
      <c r="O78" s="18"/>
    </row>
    <row r="79" spans="4:15" x14ac:dyDescent="0.2">
      <c r="D79" s="18"/>
      <c r="E79" s="18"/>
      <c r="F79" s="18"/>
      <c r="G79" s="19"/>
      <c r="H79" s="18"/>
      <c r="I79" s="18"/>
      <c r="J79" s="18"/>
      <c r="K79" s="18"/>
      <c r="L79" s="18"/>
      <c r="M79" s="18"/>
      <c r="N79" s="18"/>
      <c r="O79" s="18"/>
    </row>
    <row r="80" spans="4:15" x14ac:dyDescent="0.2">
      <c r="D80" s="18"/>
      <c r="E80" s="18"/>
      <c r="F80" s="18"/>
      <c r="G80" s="19"/>
      <c r="H80" s="18"/>
      <c r="I80" s="18"/>
      <c r="J80" s="18"/>
      <c r="K80" s="18"/>
      <c r="L80" s="18"/>
      <c r="M80" s="18"/>
      <c r="N80" s="18"/>
      <c r="O80" s="18"/>
    </row>
    <row r="81" spans="4:15" x14ac:dyDescent="0.2">
      <c r="D81" s="18"/>
      <c r="E81" s="18"/>
      <c r="F81" s="18"/>
      <c r="G81" s="19"/>
      <c r="H81" s="18"/>
      <c r="I81" s="18"/>
      <c r="J81" s="18"/>
      <c r="K81" s="18"/>
      <c r="L81" s="18"/>
      <c r="M81" s="18"/>
      <c r="N81" s="18"/>
      <c r="O81" s="18"/>
    </row>
    <row r="82" spans="4:15" x14ac:dyDescent="0.2">
      <c r="D82" s="18"/>
      <c r="E82" s="18"/>
      <c r="F82" s="18"/>
      <c r="G82" s="19"/>
      <c r="H82" s="18"/>
      <c r="I82" s="18"/>
      <c r="J82" s="18"/>
      <c r="K82" s="18"/>
      <c r="L82" s="18"/>
      <c r="M82" s="18"/>
      <c r="N82" s="18"/>
      <c r="O82" s="18"/>
    </row>
    <row r="83" spans="4:15" x14ac:dyDescent="0.2">
      <c r="D83" s="18"/>
      <c r="E83" s="18"/>
      <c r="F83" s="18"/>
      <c r="G83" s="19"/>
      <c r="H83" s="18"/>
      <c r="I83" s="18"/>
      <c r="J83" s="18"/>
      <c r="K83" s="18"/>
      <c r="L83" s="18"/>
      <c r="M83" s="18"/>
      <c r="N83" s="18"/>
      <c r="O83" s="18"/>
    </row>
    <row r="84" spans="4:15" x14ac:dyDescent="0.2">
      <c r="D84" s="18"/>
      <c r="E84" s="18"/>
      <c r="F84" s="18"/>
      <c r="G84" s="19"/>
      <c r="H84" s="18"/>
      <c r="I84" s="18"/>
      <c r="J84" s="18"/>
      <c r="K84" s="18"/>
      <c r="L84" s="18"/>
      <c r="M84" s="18"/>
      <c r="N84" s="18"/>
      <c r="O84" s="18"/>
    </row>
    <row r="85" spans="4:15" x14ac:dyDescent="0.2">
      <c r="D85" s="18"/>
      <c r="E85" s="18"/>
      <c r="F85" s="18"/>
      <c r="G85" s="19"/>
      <c r="H85" s="18"/>
      <c r="I85" s="18"/>
      <c r="J85" s="18"/>
      <c r="K85" s="18"/>
      <c r="L85" s="18"/>
      <c r="M85" s="18"/>
      <c r="N85" s="18"/>
      <c r="O85" s="18"/>
    </row>
    <row r="86" spans="4:15" x14ac:dyDescent="0.2">
      <c r="D86" s="18"/>
      <c r="E86" s="18"/>
      <c r="F86" s="18"/>
      <c r="G86" s="19"/>
      <c r="H86" s="18"/>
      <c r="I86" s="18"/>
      <c r="J86" s="18"/>
      <c r="K86" s="18"/>
      <c r="L86" s="18"/>
      <c r="M86" s="18"/>
      <c r="N86" s="18"/>
      <c r="O86" s="18"/>
    </row>
    <row r="87" spans="4:15" x14ac:dyDescent="0.2">
      <c r="D87" s="18"/>
      <c r="E87" s="18"/>
      <c r="F87" s="18"/>
      <c r="G87" s="19"/>
      <c r="H87" s="18"/>
      <c r="I87" s="18"/>
      <c r="J87" s="18"/>
      <c r="K87" s="18"/>
      <c r="L87" s="18"/>
      <c r="M87" s="18"/>
      <c r="N87" s="18"/>
      <c r="O87" s="18"/>
    </row>
    <row r="88" spans="4:15" x14ac:dyDescent="0.2">
      <c r="D88" s="18"/>
      <c r="E88" s="18"/>
      <c r="F88" s="18"/>
      <c r="G88" s="19"/>
      <c r="H88" s="18"/>
      <c r="I88" s="18"/>
      <c r="J88" s="18"/>
      <c r="K88" s="18"/>
      <c r="L88" s="18"/>
      <c r="M88" s="18"/>
      <c r="N88" s="18"/>
      <c r="O88" s="18"/>
    </row>
    <row r="89" spans="4:15" x14ac:dyDescent="0.2">
      <c r="D89" s="18"/>
      <c r="E89" s="18"/>
      <c r="F89" s="18"/>
      <c r="G89" s="19"/>
      <c r="H89" s="18"/>
      <c r="I89" s="18"/>
      <c r="J89" s="18"/>
      <c r="K89" s="18"/>
      <c r="L89" s="18"/>
      <c r="M89" s="18"/>
      <c r="N89" s="18"/>
      <c r="O89" s="18"/>
    </row>
    <row r="90" spans="4:15" x14ac:dyDescent="0.2">
      <c r="D90" s="18"/>
      <c r="E90" s="18"/>
      <c r="F90" s="18"/>
      <c r="G90" s="19"/>
      <c r="H90" s="18"/>
      <c r="I90" s="18"/>
      <c r="J90" s="18"/>
      <c r="K90" s="18"/>
      <c r="L90" s="18"/>
      <c r="M90" s="18"/>
      <c r="N90" s="18"/>
      <c r="O90" s="18"/>
    </row>
    <row r="91" spans="4:15" x14ac:dyDescent="0.2">
      <c r="D91" s="18"/>
      <c r="E91" s="18"/>
      <c r="F91" s="18"/>
      <c r="G91" s="19"/>
      <c r="H91" s="18"/>
      <c r="I91" s="18"/>
      <c r="J91" s="18"/>
      <c r="K91" s="18"/>
      <c r="L91" s="18"/>
      <c r="M91" s="18"/>
      <c r="N91" s="18"/>
      <c r="O91" s="18"/>
    </row>
    <row r="92" spans="4:15" x14ac:dyDescent="0.2">
      <c r="D92" s="18"/>
      <c r="E92" s="18"/>
      <c r="F92" s="18"/>
      <c r="G92" s="19"/>
      <c r="H92" s="18"/>
      <c r="I92" s="18"/>
      <c r="J92" s="18"/>
      <c r="K92" s="18"/>
      <c r="L92" s="18"/>
      <c r="M92" s="18"/>
      <c r="N92" s="18"/>
      <c r="O92" s="18"/>
    </row>
    <row r="93" spans="4:15" x14ac:dyDescent="0.2">
      <c r="D93" s="18"/>
      <c r="E93" s="18"/>
      <c r="F93" s="18"/>
      <c r="G93" s="19"/>
      <c r="H93" s="18"/>
      <c r="I93" s="18"/>
      <c r="J93" s="18"/>
      <c r="K93" s="18"/>
      <c r="L93" s="18"/>
      <c r="M93" s="18"/>
      <c r="N93" s="18"/>
      <c r="O93" s="18"/>
    </row>
    <row r="94" spans="4:15" x14ac:dyDescent="0.2">
      <c r="D94" s="18"/>
      <c r="E94" s="18"/>
      <c r="F94" s="18"/>
      <c r="G94" s="19"/>
      <c r="H94" s="18"/>
      <c r="I94" s="18"/>
      <c r="J94" s="18"/>
      <c r="K94" s="18"/>
      <c r="L94" s="18"/>
      <c r="M94" s="18"/>
      <c r="N94" s="18"/>
      <c r="O94" s="18"/>
    </row>
    <row r="95" spans="4:15" x14ac:dyDescent="0.2">
      <c r="D95" s="18"/>
      <c r="E95" s="18"/>
      <c r="F95" s="18"/>
      <c r="G95" s="19"/>
      <c r="H95" s="18"/>
      <c r="I95" s="18"/>
      <c r="J95" s="18"/>
      <c r="K95" s="18"/>
      <c r="L95" s="18"/>
      <c r="M95" s="18"/>
      <c r="N95" s="18"/>
      <c r="O95" s="18"/>
    </row>
    <row r="96" spans="4:15" x14ac:dyDescent="0.2">
      <c r="D96" s="18"/>
      <c r="E96" s="18"/>
      <c r="F96" s="18"/>
      <c r="G96" s="19"/>
      <c r="H96" s="18"/>
      <c r="I96" s="18"/>
      <c r="J96" s="18"/>
      <c r="K96" s="18"/>
      <c r="L96" s="18"/>
      <c r="M96" s="18"/>
      <c r="N96" s="18"/>
      <c r="O96" s="18"/>
    </row>
  </sheetData>
  <mergeCells count="8">
    <mergeCell ref="I35:M35"/>
    <mergeCell ref="D43:Q43"/>
    <mergeCell ref="D6:D7"/>
    <mergeCell ref="E6:F7"/>
    <mergeCell ref="G6:I7"/>
    <mergeCell ref="J6:J7"/>
    <mergeCell ref="K6:P7"/>
    <mergeCell ref="Q6:Q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98"/>
  <sheetViews>
    <sheetView tabSelected="1" topLeftCell="E1" workbookViewId="0">
      <selection activeCell="R30" sqref="R30"/>
    </sheetView>
  </sheetViews>
  <sheetFormatPr baseColWidth="10" defaultRowHeight="11.25" x14ac:dyDescent="0.2"/>
  <cols>
    <col min="1" max="2" width="6.85546875" style="1" customWidth="1"/>
    <col min="3" max="3" width="2.7109375" style="1" customWidth="1"/>
    <col min="4" max="4" width="24.5703125" style="1" customWidth="1"/>
    <col min="5" max="5" width="11.140625" style="1" customWidth="1"/>
    <col min="6" max="6" width="15.5703125" style="1" customWidth="1"/>
    <col min="7" max="7" width="12.5703125" style="4" customWidth="1"/>
    <col min="8" max="8" width="11.7109375" style="1" customWidth="1"/>
    <col min="9" max="9" width="16.28515625" style="1" customWidth="1"/>
    <col min="10" max="10" width="11.7109375" style="1" customWidth="1"/>
    <col min="11" max="11" width="10.28515625" style="1" customWidth="1"/>
    <col min="12" max="12" width="10.42578125" style="1" customWidth="1"/>
    <col min="13" max="14" width="10.140625" style="1" customWidth="1"/>
    <col min="15" max="15" width="9.42578125" style="1" customWidth="1"/>
    <col min="16" max="16" width="11.85546875" style="4" customWidth="1"/>
    <col min="17" max="17" width="13" style="1" customWidth="1"/>
    <col min="18" max="20" width="11.42578125" style="17"/>
    <col min="21" max="221" width="11.42578125" style="1"/>
    <col min="222" max="222" width="2.7109375" style="1" customWidth="1"/>
    <col min="223" max="223" width="9.85546875" style="1" customWidth="1"/>
    <col min="224" max="224" width="12.5703125" style="1" customWidth="1"/>
    <col min="225" max="225" width="12.85546875" style="1" customWidth="1"/>
    <col min="226" max="226" width="12.5703125" style="1" customWidth="1"/>
    <col min="227" max="227" width="10" style="1" customWidth="1"/>
    <col min="228" max="228" width="10.28515625" style="1" customWidth="1"/>
    <col min="229" max="229" width="10.42578125" style="1" customWidth="1"/>
    <col min="230" max="230" width="10.85546875" style="1" bestFit="1" customWidth="1"/>
    <col min="231" max="232" width="10.140625" style="1" customWidth="1"/>
    <col min="233" max="233" width="9.42578125" style="1" customWidth="1"/>
    <col min="234" max="234" width="12.140625" style="1" customWidth="1"/>
    <col min="235" max="235" width="11.85546875" style="1" customWidth="1"/>
    <col min="236" max="236" width="13" style="1" customWidth="1"/>
    <col min="237" max="237" width="18.85546875" style="1" customWidth="1"/>
    <col min="238" max="238" width="13" style="1" bestFit="1" customWidth="1"/>
    <col min="239" max="477" width="11.42578125" style="1"/>
    <col min="478" max="478" width="2.7109375" style="1" customWidth="1"/>
    <col min="479" max="479" width="9.85546875" style="1" customWidth="1"/>
    <col min="480" max="480" width="12.5703125" style="1" customWidth="1"/>
    <col min="481" max="481" width="12.85546875" style="1" customWidth="1"/>
    <col min="482" max="482" width="12.5703125" style="1" customWidth="1"/>
    <col min="483" max="483" width="10" style="1" customWidth="1"/>
    <col min="484" max="484" width="10.28515625" style="1" customWidth="1"/>
    <col min="485" max="485" width="10.42578125" style="1" customWidth="1"/>
    <col min="486" max="486" width="10.85546875" style="1" bestFit="1" customWidth="1"/>
    <col min="487" max="488" width="10.140625" style="1" customWidth="1"/>
    <col min="489" max="489" width="9.42578125" style="1" customWidth="1"/>
    <col min="490" max="490" width="12.140625" style="1" customWidth="1"/>
    <col min="491" max="491" width="11.85546875" style="1" customWidth="1"/>
    <col min="492" max="492" width="13" style="1" customWidth="1"/>
    <col min="493" max="493" width="18.85546875" style="1" customWidth="1"/>
    <col min="494" max="494" width="13" style="1" bestFit="1" customWidth="1"/>
    <col min="495" max="733" width="11.42578125" style="1"/>
    <col min="734" max="734" width="2.7109375" style="1" customWidth="1"/>
    <col min="735" max="735" width="9.85546875" style="1" customWidth="1"/>
    <col min="736" max="736" width="12.5703125" style="1" customWidth="1"/>
    <col min="737" max="737" width="12.85546875" style="1" customWidth="1"/>
    <col min="738" max="738" width="12.5703125" style="1" customWidth="1"/>
    <col min="739" max="739" width="10" style="1" customWidth="1"/>
    <col min="740" max="740" width="10.28515625" style="1" customWidth="1"/>
    <col min="741" max="741" width="10.42578125" style="1" customWidth="1"/>
    <col min="742" max="742" width="10.85546875" style="1" bestFit="1" customWidth="1"/>
    <col min="743" max="744" width="10.140625" style="1" customWidth="1"/>
    <col min="745" max="745" width="9.42578125" style="1" customWidth="1"/>
    <col min="746" max="746" width="12.140625" style="1" customWidth="1"/>
    <col min="747" max="747" width="11.85546875" style="1" customWidth="1"/>
    <col min="748" max="748" width="13" style="1" customWidth="1"/>
    <col min="749" max="749" width="18.85546875" style="1" customWidth="1"/>
    <col min="750" max="750" width="13" style="1" bestFit="1" customWidth="1"/>
    <col min="751" max="989" width="11.42578125" style="1"/>
    <col min="990" max="990" width="2.7109375" style="1" customWidth="1"/>
    <col min="991" max="991" width="9.85546875" style="1" customWidth="1"/>
    <col min="992" max="992" width="12.5703125" style="1" customWidth="1"/>
    <col min="993" max="993" width="12.85546875" style="1" customWidth="1"/>
    <col min="994" max="994" width="12.5703125" style="1" customWidth="1"/>
    <col min="995" max="995" width="10" style="1" customWidth="1"/>
    <col min="996" max="996" width="10.28515625" style="1" customWidth="1"/>
    <col min="997" max="997" width="10.42578125" style="1" customWidth="1"/>
    <col min="998" max="998" width="10.85546875" style="1" bestFit="1" customWidth="1"/>
    <col min="999" max="1000" width="10.140625" style="1" customWidth="1"/>
    <col min="1001" max="1001" width="9.42578125" style="1" customWidth="1"/>
    <col min="1002" max="1002" width="12.140625" style="1" customWidth="1"/>
    <col min="1003" max="1003" width="11.85546875" style="1" customWidth="1"/>
    <col min="1004" max="1004" width="13" style="1" customWidth="1"/>
    <col min="1005" max="1005" width="18.85546875" style="1" customWidth="1"/>
    <col min="1006" max="1006" width="13" style="1" bestFit="1" customWidth="1"/>
    <col min="1007" max="1245" width="11.42578125" style="1"/>
    <col min="1246" max="1246" width="2.7109375" style="1" customWidth="1"/>
    <col min="1247" max="1247" width="9.85546875" style="1" customWidth="1"/>
    <col min="1248" max="1248" width="12.5703125" style="1" customWidth="1"/>
    <col min="1249" max="1249" width="12.85546875" style="1" customWidth="1"/>
    <col min="1250" max="1250" width="12.5703125" style="1" customWidth="1"/>
    <col min="1251" max="1251" width="10" style="1" customWidth="1"/>
    <col min="1252" max="1252" width="10.28515625" style="1" customWidth="1"/>
    <col min="1253" max="1253" width="10.42578125" style="1" customWidth="1"/>
    <col min="1254" max="1254" width="10.85546875" style="1" bestFit="1" customWidth="1"/>
    <col min="1255" max="1256" width="10.140625" style="1" customWidth="1"/>
    <col min="1257" max="1257" width="9.42578125" style="1" customWidth="1"/>
    <col min="1258" max="1258" width="12.140625" style="1" customWidth="1"/>
    <col min="1259" max="1259" width="11.85546875" style="1" customWidth="1"/>
    <col min="1260" max="1260" width="13" style="1" customWidth="1"/>
    <col min="1261" max="1261" width="18.85546875" style="1" customWidth="1"/>
    <col min="1262" max="1262" width="13" style="1" bestFit="1" customWidth="1"/>
    <col min="1263" max="1501" width="11.42578125" style="1"/>
    <col min="1502" max="1502" width="2.7109375" style="1" customWidth="1"/>
    <col min="1503" max="1503" width="9.85546875" style="1" customWidth="1"/>
    <col min="1504" max="1504" width="12.5703125" style="1" customWidth="1"/>
    <col min="1505" max="1505" width="12.85546875" style="1" customWidth="1"/>
    <col min="1506" max="1506" width="12.5703125" style="1" customWidth="1"/>
    <col min="1507" max="1507" width="10" style="1" customWidth="1"/>
    <col min="1508" max="1508" width="10.28515625" style="1" customWidth="1"/>
    <col min="1509" max="1509" width="10.42578125" style="1" customWidth="1"/>
    <col min="1510" max="1510" width="10.85546875" style="1" bestFit="1" customWidth="1"/>
    <col min="1511" max="1512" width="10.140625" style="1" customWidth="1"/>
    <col min="1513" max="1513" width="9.42578125" style="1" customWidth="1"/>
    <col min="1514" max="1514" width="12.140625" style="1" customWidth="1"/>
    <col min="1515" max="1515" width="11.85546875" style="1" customWidth="1"/>
    <col min="1516" max="1516" width="13" style="1" customWidth="1"/>
    <col min="1517" max="1517" width="18.85546875" style="1" customWidth="1"/>
    <col min="1518" max="1518" width="13" style="1" bestFit="1" customWidth="1"/>
    <col min="1519" max="1757" width="11.42578125" style="1"/>
    <col min="1758" max="1758" width="2.7109375" style="1" customWidth="1"/>
    <col min="1759" max="1759" width="9.85546875" style="1" customWidth="1"/>
    <col min="1760" max="1760" width="12.5703125" style="1" customWidth="1"/>
    <col min="1761" max="1761" width="12.85546875" style="1" customWidth="1"/>
    <col min="1762" max="1762" width="12.5703125" style="1" customWidth="1"/>
    <col min="1763" max="1763" width="10" style="1" customWidth="1"/>
    <col min="1764" max="1764" width="10.28515625" style="1" customWidth="1"/>
    <col min="1765" max="1765" width="10.42578125" style="1" customWidth="1"/>
    <col min="1766" max="1766" width="10.85546875" style="1" bestFit="1" customWidth="1"/>
    <col min="1767" max="1768" width="10.140625" style="1" customWidth="1"/>
    <col min="1769" max="1769" width="9.42578125" style="1" customWidth="1"/>
    <col min="1770" max="1770" width="12.140625" style="1" customWidth="1"/>
    <col min="1771" max="1771" width="11.85546875" style="1" customWidth="1"/>
    <col min="1772" max="1772" width="13" style="1" customWidth="1"/>
    <col min="1773" max="1773" width="18.85546875" style="1" customWidth="1"/>
    <col min="1774" max="1774" width="13" style="1" bestFit="1" customWidth="1"/>
    <col min="1775" max="2013" width="11.42578125" style="1"/>
    <col min="2014" max="2014" width="2.7109375" style="1" customWidth="1"/>
    <col min="2015" max="2015" width="9.85546875" style="1" customWidth="1"/>
    <col min="2016" max="2016" width="12.5703125" style="1" customWidth="1"/>
    <col min="2017" max="2017" width="12.85546875" style="1" customWidth="1"/>
    <col min="2018" max="2018" width="12.5703125" style="1" customWidth="1"/>
    <col min="2019" max="2019" width="10" style="1" customWidth="1"/>
    <col min="2020" max="2020" width="10.28515625" style="1" customWidth="1"/>
    <col min="2021" max="2021" width="10.42578125" style="1" customWidth="1"/>
    <col min="2022" max="2022" width="10.85546875" style="1" bestFit="1" customWidth="1"/>
    <col min="2023" max="2024" width="10.140625" style="1" customWidth="1"/>
    <col min="2025" max="2025" width="9.42578125" style="1" customWidth="1"/>
    <col min="2026" max="2026" width="12.140625" style="1" customWidth="1"/>
    <col min="2027" max="2027" width="11.85546875" style="1" customWidth="1"/>
    <col min="2028" max="2028" width="13" style="1" customWidth="1"/>
    <col min="2029" max="2029" width="18.85546875" style="1" customWidth="1"/>
    <col min="2030" max="2030" width="13" style="1" bestFit="1" customWidth="1"/>
    <col min="2031" max="2269" width="11.42578125" style="1"/>
    <col min="2270" max="2270" width="2.7109375" style="1" customWidth="1"/>
    <col min="2271" max="2271" width="9.85546875" style="1" customWidth="1"/>
    <col min="2272" max="2272" width="12.5703125" style="1" customWidth="1"/>
    <col min="2273" max="2273" width="12.85546875" style="1" customWidth="1"/>
    <col min="2274" max="2274" width="12.5703125" style="1" customWidth="1"/>
    <col min="2275" max="2275" width="10" style="1" customWidth="1"/>
    <col min="2276" max="2276" width="10.28515625" style="1" customWidth="1"/>
    <col min="2277" max="2277" width="10.42578125" style="1" customWidth="1"/>
    <col min="2278" max="2278" width="10.85546875" style="1" bestFit="1" customWidth="1"/>
    <col min="2279" max="2280" width="10.140625" style="1" customWidth="1"/>
    <col min="2281" max="2281" width="9.42578125" style="1" customWidth="1"/>
    <col min="2282" max="2282" width="12.140625" style="1" customWidth="1"/>
    <col min="2283" max="2283" width="11.85546875" style="1" customWidth="1"/>
    <col min="2284" max="2284" width="13" style="1" customWidth="1"/>
    <col min="2285" max="2285" width="18.85546875" style="1" customWidth="1"/>
    <col min="2286" max="2286" width="13" style="1" bestFit="1" customWidth="1"/>
    <col min="2287" max="2525" width="11.42578125" style="1"/>
    <col min="2526" max="2526" width="2.7109375" style="1" customWidth="1"/>
    <col min="2527" max="2527" width="9.85546875" style="1" customWidth="1"/>
    <col min="2528" max="2528" width="12.5703125" style="1" customWidth="1"/>
    <col min="2529" max="2529" width="12.85546875" style="1" customWidth="1"/>
    <col min="2530" max="2530" width="12.5703125" style="1" customWidth="1"/>
    <col min="2531" max="2531" width="10" style="1" customWidth="1"/>
    <col min="2532" max="2532" width="10.28515625" style="1" customWidth="1"/>
    <col min="2533" max="2533" width="10.42578125" style="1" customWidth="1"/>
    <col min="2534" max="2534" width="10.85546875" style="1" bestFit="1" customWidth="1"/>
    <col min="2535" max="2536" width="10.140625" style="1" customWidth="1"/>
    <col min="2537" max="2537" width="9.42578125" style="1" customWidth="1"/>
    <col min="2538" max="2538" width="12.140625" style="1" customWidth="1"/>
    <col min="2539" max="2539" width="11.85546875" style="1" customWidth="1"/>
    <col min="2540" max="2540" width="13" style="1" customWidth="1"/>
    <col min="2541" max="2541" width="18.85546875" style="1" customWidth="1"/>
    <col min="2542" max="2542" width="13" style="1" bestFit="1" customWidth="1"/>
    <col min="2543" max="2781" width="11.42578125" style="1"/>
    <col min="2782" max="2782" width="2.7109375" style="1" customWidth="1"/>
    <col min="2783" max="2783" width="9.85546875" style="1" customWidth="1"/>
    <col min="2784" max="2784" width="12.5703125" style="1" customWidth="1"/>
    <col min="2785" max="2785" width="12.85546875" style="1" customWidth="1"/>
    <col min="2786" max="2786" width="12.5703125" style="1" customWidth="1"/>
    <col min="2787" max="2787" width="10" style="1" customWidth="1"/>
    <col min="2788" max="2788" width="10.28515625" style="1" customWidth="1"/>
    <col min="2789" max="2789" width="10.42578125" style="1" customWidth="1"/>
    <col min="2790" max="2790" width="10.85546875" style="1" bestFit="1" customWidth="1"/>
    <col min="2791" max="2792" width="10.140625" style="1" customWidth="1"/>
    <col min="2793" max="2793" width="9.42578125" style="1" customWidth="1"/>
    <col min="2794" max="2794" width="12.140625" style="1" customWidth="1"/>
    <col min="2795" max="2795" width="11.85546875" style="1" customWidth="1"/>
    <col min="2796" max="2796" width="13" style="1" customWidth="1"/>
    <col min="2797" max="2797" width="18.85546875" style="1" customWidth="1"/>
    <col min="2798" max="2798" width="13" style="1" bestFit="1" customWidth="1"/>
    <col min="2799" max="3037" width="11.42578125" style="1"/>
    <col min="3038" max="3038" width="2.7109375" style="1" customWidth="1"/>
    <col min="3039" max="3039" width="9.85546875" style="1" customWidth="1"/>
    <col min="3040" max="3040" width="12.5703125" style="1" customWidth="1"/>
    <col min="3041" max="3041" width="12.85546875" style="1" customWidth="1"/>
    <col min="3042" max="3042" width="12.5703125" style="1" customWidth="1"/>
    <col min="3043" max="3043" width="10" style="1" customWidth="1"/>
    <col min="3044" max="3044" width="10.28515625" style="1" customWidth="1"/>
    <col min="3045" max="3045" width="10.42578125" style="1" customWidth="1"/>
    <col min="3046" max="3046" width="10.85546875" style="1" bestFit="1" customWidth="1"/>
    <col min="3047" max="3048" width="10.140625" style="1" customWidth="1"/>
    <col min="3049" max="3049" width="9.42578125" style="1" customWidth="1"/>
    <col min="3050" max="3050" width="12.140625" style="1" customWidth="1"/>
    <col min="3051" max="3051" width="11.85546875" style="1" customWidth="1"/>
    <col min="3052" max="3052" width="13" style="1" customWidth="1"/>
    <col min="3053" max="3053" width="18.85546875" style="1" customWidth="1"/>
    <col min="3054" max="3054" width="13" style="1" bestFit="1" customWidth="1"/>
    <col min="3055" max="3293" width="11.42578125" style="1"/>
    <col min="3294" max="3294" width="2.7109375" style="1" customWidth="1"/>
    <col min="3295" max="3295" width="9.85546875" style="1" customWidth="1"/>
    <col min="3296" max="3296" width="12.5703125" style="1" customWidth="1"/>
    <col min="3297" max="3297" width="12.85546875" style="1" customWidth="1"/>
    <col min="3298" max="3298" width="12.5703125" style="1" customWidth="1"/>
    <col min="3299" max="3299" width="10" style="1" customWidth="1"/>
    <col min="3300" max="3300" width="10.28515625" style="1" customWidth="1"/>
    <col min="3301" max="3301" width="10.42578125" style="1" customWidth="1"/>
    <col min="3302" max="3302" width="10.85546875" style="1" bestFit="1" customWidth="1"/>
    <col min="3303" max="3304" width="10.140625" style="1" customWidth="1"/>
    <col min="3305" max="3305" width="9.42578125" style="1" customWidth="1"/>
    <col min="3306" max="3306" width="12.140625" style="1" customWidth="1"/>
    <col min="3307" max="3307" width="11.85546875" style="1" customWidth="1"/>
    <col min="3308" max="3308" width="13" style="1" customWidth="1"/>
    <col min="3309" max="3309" width="18.85546875" style="1" customWidth="1"/>
    <col min="3310" max="3310" width="13" style="1" bestFit="1" customWidth="1"/>
    <col min="3311" max="3549" width="11.42578125" style="1"/>
    <col min="3550" max="3550" width="2.7109375" style="1" customWidth="1"/>
    <col min="3551" max="3551" width="9.85546875" style="1" customWidth="1"/>
    <col min="3552" max="3552" width="12.5703125" style="1" customWidth="1"/>
    <col min="3553" max="3553" width="12.85546875" style="1" customWidth="1"/>
    <col min="3554" max="3554" width="12.5703125" style="1" customWidth="1"/>
    <col min="3555" max="3555" width="10" style="1" customWidth="1"/>
    <col min="3556" max="3556" width="10.28515625" style="1" customWidth="1"/>
    <col min="3557" max="3557" width="10.42578125" style="1" customWidth="1"/>
    <col min="3558" max="3558" width="10.85546875" style="1" bestFit="1" customWidth="1"/>
    <col min="3559" max="3560" width="10.140625" style="1" customWidth="1"/>
    <col min="3561" max="3561" width="9.42578125" style="1" customWidth="1"/>
    <col min="3562" max="3562" width="12.140625" style="1" customWidth="1"/>
    <col min="3563" max="3563" width="11.85546875" style="1" customWidth="1"/>
    <col min="3564" max="3564" width="13" style="1" customWidth="1"/>
    <col min="3565" max="3565" width="18.85546875" style="1" customWidth="1"/>
    <col min="3566" max="3566" width="13" style="1" bestFit="1" customWidth="1"/>
    <col min="3567" max="3805" width="11.42578125" style="1"/>
    <col min="3806" max="3806" width="2.7109375" style="1" customWidth="1"/>
    <col min="3807" max="3807" width="9.85546875" style="1" customWidth="1"/>
    <col min="3808" max="3808" width="12.5703125" style="1" customWidth="1"/>
    <col min="3809" max="3809" width="12.85546875" style="1" customWidth="1"/>
    <col min="3810" max="3810" width="12.5703125" style="1" customWidth="1"/>
    <col min="3811" max="3811" width="10" style="1" customWidth="1"/>
    <col min="3812" max="3812" width="10.28515625" style="1" customWidth="1"/>
    <col min="3813" max="3813" width="10.42578125" style="1" customWidth="1"/>
    <col min="3814" max="3814" width="10.85546875" style="1" bestFit="1" customWidth="1"/>
    <col min="3815" max="3816" width="10.140625" style="1" customWidth="1"/>
    <col min="3817" max="3817" width="9.42578125" style="1" customWidth="1"/>
    <col min="3818" max="3818" width="12.140625" style="1" customWidth="1"/>
    <col min="3819" max="3819" width="11.85546875" style="1" customWidth="1"/>
    <col min="3820" max="3820" width="13" style="1" customWidth="1"/>
    <col min="3821" max="3821" width="18.85546875" style="1" customWidth="1"/>
    <col min="3822" max="3822" width="13" style="1" bestFit="1" customWidth="1"/>
    <col min="3823" max="4061" width="11.42578125" style="1"/>
    <col min="4062" max="4062" width="2.7109375" style="1" customWidth="1"/>
    <col min="4063" max="4063" width="9.85546875" style="1" customWidth="1"/>
    <col min="4064" max="4064" width="12.5703125" style="1" customWidth="1"/>
    <col min="4065" max="4065" width="12.85546875" style="1" customWidth="1"/>
    <col min="4066" max="4066" width="12.5703125" style="1" customWidth="1"/>
    <col min="4067" max="4067" width="10" style="1" customWidth="1"/>
    <col min="4068" max="4068" width="10.28515625" style="1" customWidth="1"/>
    <col min="4069" max="4069" width="10.42578125" style="1" customWidth="1"/>
    <col min="4070" max="4070" width="10.85546875" style="1" bestFit="1" customWidth="1"/>
    <col min="4071" max="4072" width="10.140625" style="1" customWidth="1"/>
    <col min="4073" max="4073" width="9.42578125" style="1" customWidth="1"/>
    <col min="4074" max="4074" width="12.140625" style="1" customWidth="1"/>
    <col min="4075" max="4075" width="11.85546875" style="1" customWidth="1"/>
    <col min="4076" max="4076" width="13" style="1" customWidth="1"/>
    <col min="4077" max="4077" width="18.85546875" style="1" customWidth="1"/>
    <col min="4078" max="4078" width="13" style="1" bestFit="1" customWidth="1"/>
    <col min="4079" max="4317" width="11.42578125" style="1"/>
    <col min="4318" max="4318" width="2.7109375" style="1" customWidth="1"/>
    <col min="4319" max="4319" width="9.85546875" style="1" customWidth="1"/>
    <col min="4320" max="4320" width="12.5703125" style="1" customWidth="1"/>
    <col min="4321" max="4321" width="12.85546875" style="1" customWidth="1"/>
    <col min="4322" max="4322" width="12.5703125" style="1" customWidth="1"/>
    <col min="4323" max="4323" width="10" style="1" customWidth="1"/>
    <col min="4324" max="4324" width="10.28515625" style="1" customWidth="1"/>
    <col min="4325" max="4325" width="10.42578125" style="1" customWidth="1"/>
    <col min="4326" max="4326" width="10.85546875" style="1" bestFit="1" customWidth="1"/>
    <col min="4327" max="4328" width="10.140625" style="1" customWidth="1"/>
    <col min="4329" max="4329" width="9.42578125" style="1" customWidth="1"/>
    <col min="4330" max="4330" width="12.140625" style="1" customWidth="1"/>
    <col min="4331" max="4331" width="11.85546875" style="1" customWidth="1"/>
    <col min="4332" max="4332" width="13" style="1" customWidth="1"/>
    <col min="4333" max="4333" width="18.85546875" style="1" customWidth="1"/>
    <col min="4334" max="4334" width="13" style="1" bestFit="1" customWidth="1"/>
    <col min="4335" max="4573" width="11.42578125" style="1"/>
    <col min="4574" max="4574" width="2.7109375" style="1" customWidth="1"/>
    <col min="4575" max="4575" width="9.85546875" style="1" customWidth="1"/>
    <col min="4576" max="4576" width="12.5703125" style="1" customWidth="1"/>
    <col min="4577" max="4577" width="12.85546875" style="1" customWidth="1"/>
    <col min="4578" max="4578" width="12.5703125" style="1" customWidth="1"/>
    <col min="4579" max="4579" width="10" style="1" customWidth="1"/>
    <col min="4580" max="4580" width="10.28515625" style="1" customWidth="1"/>
    <col min="4581" max="4581" width="10.42578125" style="1" customWidth="1"/>
    <col min="4582" max="4582" width="10.85546875" style="1" bestFit="1" customWidth="1"/>
    <col min="4583" max="4584" width="10.140625" style="1" customWidth="1"/>
    <col min="4585" max="4585" width="9.42578125" style="1" customWidth="1"/>
    <col min="4586" max="4586" width="12.140625" style="1" customWidth="1"/>
    <col min="4587" max="4587" width="11.85546875" style="1" customWidth="1"/>
    <col min="4588" max="4588" width="13" style="1" customWidth="1"/>
    <col min="4589" max="4589" width="18.85546875" style="1" customWidth="1"/>
    <col min="4590" max="4590" width="13" style="1" bestFit="1" customWidth="1"/>
    <col min="4591" max="4829" width="11.42578125" style="1"/>
    <col min="4830" max="4830" width="2.7109375" style="1" customWidth="1"/>
    <col min="4831" max="4831" width="9.85546875" style="1" customWidth="1"/>
    <col min="4832" max="4832" width="12.5703125" style="1" customWidth="1"/>
    <col min="4833" max="4833" width="12.85546875" style="1" customWidth="1"/>
    <col min="4834" max="4834" width="12.5703125" style="1" customWidth="1"/>
    <col min="4835" max="4835" width="10" style="1" customWidth="1"/>
    <col min="4836" max="4836" width="10.28515625" style="1" customWidth="1"/>
    <col min="4837" max="4837" width="10.42578125" style="1" customWidth="1"/>
    <col min="4838" max="4838" width="10.85546875" style="1" bestFit="1" customWidth="1"/>
    <col min="4839" max="4840" width="10.140625" style="1" customWidth="1"/>
    <col min="4841" max="4841" width="9.42578125" style="1" customWidth="1"/>
    <col min="4842" max="4842" width="12.140625" style="1" customWidth="1"/>
    <col min="4843" max="4843" width="11.85546875" style="1" customWidth="1"/>
    <col min="4844" max="4844" width="13" style="1" customWidth="1"/>
    <col min="4845" max="4845" width="18.85546875" style="1" customWidth="1"/>
    <col min="4846" max="4846" width="13" style="1" bestFit="1" customWidth="1"/>
    <col min="4847" max="5085" width="11.42578125" style="1"/>
    <col min="5086" max="5086" width="2.7109375" style="1" customWidth="1"/>
    <col min="5087" max="5087" width="9.85546875" style="1" customWidth="1"/>
    <col min="5088" max="5088" width="12.5703125" style="1" customWidth="1"/>
    <col min="5089" max="5089" width="12.85546875" style="1" customWidth="1"/>
    <col min="5090" max="5090" width="12.5703125" style="1" customWidth="1"/>
    <col min="5091" max="5091" width="10" style="1" customWidth="1"/>
    <col min="5092" max="5092" width="10.28515625" style="1" customWidth="1"/>
    <col min="5093" max="5093" width="10.42578125" style="1" customWidth="1"/>
    <col min="5094" max="5094" width="10.85546875" style="1" bestFit="1" customWidth="1"/>
    <col min="5095" max="5096" width="10.140625" style="1" customWidth="1"/>
    <col min="5097" max="5097" width="9.42578125" style="1" customWidth="1"/>
    <col min="5098" max="5098" width="12.140625" style="1" customWidth="1"/>
    <col min="5099" max="5099" width="11.85546875" style="1" customWidth="1"/>
    <col min="5100" max="5100" width="13" style="1" customWidth="1"/>
    <col min="5101" max="5101" width="18.85546875" style="1" customWidth="1"/>
    <col min="5102" max="5102" width="13" style="1" bestFit="1" customWidth="1"/>
    <col min="5103" max="5341" width="11.42578125" style="1"/>
    <col min="5342" max="5342" width="2.7109375" style="1" customWidth="1"/>
    <col min="5343" max="5343" width="9.85546875" style="1" customWidth="1"/>
    <col min="5344" max="5344" width="12.5703125" style="1" customWidth="1"/>
    <col min="5345" max="5345" width="12.85546875" style="1" customWidth="1"/>
    <col min="5346" max="5346" width="12.5703125" style="1" customWidth="1"/>
    <col min="5347" max="5347" width="10" style="1" customWidth="1"/>
    <col min="5348" max="5348" width="10.28515625" style="1" customWidth="1"/>
    <col min="5349" max="5349" width="10.42578125" style="1" customWidth="1"/>
    <col min="5350" max="5350" width="10.85546875" style="1" bestFit="1" customWidth="1"/>
    <col min="5351" max="5352" width="10.140625" style="1" customWidth="1"/>
    <col min="5353" max="5353" width="9.42578125" style="1" customWidth="1"/>
    <col min="5354" max="5354" width="12.140625" style="1" customWidth="1"/>
    <col min="5355" max="5355" width="11.85546875" style="1" customWidth="1"/>
    <col min="5356" max="5356" width="13" style="1" customWidth="1"/>
    <col min="5357" max="5357" width="18.85546875" style="1" customWidth="1"/>
    <col min="5358" max="5358" width="13" style="1" bestFit="1" customWidth="1"/>
    <col min="5359" max="5597" width="11.42578125" style="1"/>
    <col min="5598" max="5598" width="2.7109375" style="1" customWidth="1"/>
    <col min="5599" max="5599" width="9.85546875" style="1" customWidth="1"/>
    <col min="5600" max="5600" width="12.5703125" style="1" customWidth="1"/>
    <col min="5601" max="5601" width="12.85546875" style="1" customWidth="1"/>
    <col min="5602" max="5602" width="12.5703125" style="1" customWidth="1"/>
    <col min="5603" max="5603" width="10" style="1" customWidth="1"/>
    <col min="5604" max="5604" width="10.28515625" style="1" customWidth="1"/>
    <col min="5605" max="5605" width="10.42578125" style="1" customWidth="1"/>
    <col min="5606" max="5606" width="10.85546875" style="1" bestFit="1" customWidth="1"/>
    <col min="5607" max="5608" width="10.140625" style="1" customWidth="1"/>
    <col min="5609" max="5609" width="9.42578125" style="1" customWidth="1"/>
    <col min="5610" max="5610" width="12.140625" style="1" customWidth="1"/>
    <col min="5611" max="5611" width="11.85546875" style="1" customWidth="1"/>
    <col min="5612" max="5612" width="13" style="1" customWidth="1"/>
    <col min="5613" max="5613" width="18.85546875" style="1" customWidth="1"/>
    <col min="5614" max="5614" width="13" style="1" bestFit="1" customWidth="1"/>
    <col min="5615" max="5853" width="11.42578125" style="1"/>
    <col min="5854" max="5854" width="2.7109375" style="1" customWidth="1"/>
    <col min="5855" max="5855" width="9.85546875" style="1" customWidth="1"/>
    <col min="5856" max="5856" width="12.5703125" style="1" customWidth="1"/>
    <col min="5857" max="5857" width="12.85546875" style="1" customWidth="1"/>
    <col min="5858" max="5858" width="12.5703125" style="1" customWidth="1"/>
    <col min="5859" max="5859" width="10" style="1" customWidth="1"/>
    <col min="5860" max="5860" width="10.28515625" style="1" customWidth="1"/>
    <col min="5861" max="5861" width="10.42578125" style="1" customWidth="1"/>
    <col min="5862" max="5862" width="10.85546875" style="1" bestFit="1" customWidth="1"/>
    <col min="5863" max="5864" width="10.140625" style="1" customWidth="1"/>
    <col min="5865" max="5865" width="9.42578125" style="1" customWidth="1"/>
    <col min="5866" max="5866" width="12.140625" style="1" customWidth="1"/>
    <col min="5867" max="5867" width="11.85546875" style="1" customWidth="1"/>
    <col min="5868" max="5868" width="13" style="1" customWidth="1"/>
    <col min="5869" max="5869" width="18.85546875" style="1" customWidth="1"/>
    <col min="5870" max="5870" width="13" style="1" bestFit="1" customWidth="1"/>
    <col min="5871" max="6109" width="11.42578125" style="1"/>
    <col min="6110" max="6110" width="2.7109375" style="1" customWidth="1"/>
    <col min="6111" max="6111" width="9.85546875" style="1" customWidth="1"/>
    <col min="6112" max="6112" width="12.5703125" style="1" customWidth="1"/>
    <col min="6113" max="6113" width="12.85546875" style="1" customWidth="1"/>
    <col min="6114" max="6114" width="12.5703125" style="1" customWidth="1"/>
    <col min="6115" max="6115" width="10" style="1" customWidth="1"/>
    <col min="6116" max="6116" width="10.28515625" style="1" customWidth="1"/>
    <col min="6117" max="6117" width="10.42578125" style="1" customWidth="1"/>
    <col min="6118" max="6118" width="10.85546875" style="1" bestFit="1" customWidth="1"/>
    <col min="6119" max="6120" width="10.140625" style="1" customWidth="1"/>
    <col min="6121" max="6121" width="9.42578125" style="1" customWidth="1"/>
    <col min="6122" max="6122" width="12.140625" style="1" customWidth="1"/>
    <col min="6123" max="6123" width="11.85546875" style="1" customWidth="1"/>
    <col min="6124" max="6124" width="13" style="1" customWidth="1"/>
    <col min="6125" max="6125" width="18.85546875" style="1" customWidth="1"/>
    <col min="6126" max="6126" width="13" style="1" bestFit="1" customWidth="1"/>
    <col min="6127" max="6365" width="11.42578125" style="1"/>
    <col min="6366" max="6366" width="2.7109375" style="1" customWidth="1"/>
    <col min="6367" max="6367" width="9.85546875" style="1" customWidth="1"/>
    <col min="6368" max="6368" width="12.5703125" style="1" customWidth="1"/>
    <col min="6369" max="6369" width="12.85546875" style="1" customWidth="1"/>
    <col min="6370" max="6370" width="12.5703125" style="1" customWidth="1"/>
    <col min="6371" max="6371" width="10" style="1" customWidth="1"/>
    <col min="6372" max="6372" width="10.28515625" style="1" customWidth="1"/>
    <col min="6373" max="6373" width="10.42578125" style="1" customWidth="1"/>
    <col min="6374" max="6374" width="10.85546875" style="1" bestFit="1" customWidth="1"/>
    <col min="6375" max="6376" width="10.140625" style="1" customWidth="1"/>
    <col min="6377" max="6377" width="9.42578125" style="1" customWidth="1"/>
    <col min="6378" max="6378" width="12.140625" style="1" customWidth="1"/>
    <col min="6379" max="6379" width="11.85546875" style="1" customWidth="1"/>
    <col min="6380" max="6380" width="13" style="1" customWidth="1"/>
    <col min="6381" max="6381" width="18.85546875" style="1" customWidth="1"/>
    <col min="6382" max="6382" width="13" style="1" bestFit="1" customWidth="1"/>
    <col min="6383" max="6621" width="11.42578125" style="1"/>
    <col min="6622" max="6622" width="2.7109375" style="1" customWidth="1"/>
    <col min="6623" max="6623" width="9.85546875" style="1" customWidth="1"/>
    <col min="6624" max="6624" width="12.5703125" style="1" customWidth="1"/>
    <col min="6625" max="6625" width="12.85546875" style="1" customWidth="1"/>
    <col min="6626" max="6626" width="12.5703125" style="1" customWidth="1"/>
    <col min="6627" max="6627" width="10" style="1" customWidth="1"/>
    <col min="6628" max="6628" width="10.28515625" style="1" customWidth="1"/>
    <col min="6629" max="6629" width="10.42578125" style="1" customWidth="1"/>
    <col min="6630" max="6630" width="10.85546875" style="1" bestFit="1" customWidth="1"/>
    <col min="6631" max="6632" width="10.140625" style="1" customWidth="1"/>
    <col min="6633" max="6633" width="9.42578125" style="1" customWidth="1"/>
    <col min="6634" max="6634" width="12.140625" style="1" customWidth="1"/>
    <col min="6635" max="6635" width="11.85546875" style="1" customWidth="1"/>
    <col min="6636" max="6636" width="13" style="1" customWidth="1"/>
    <col min="6637" max="6637" width="18.85546875" style="1" customWidth="1"/>
    <col min="6638" max="6638" width="13" style="1" bestFit="1" customWidth="1"/>
    <col min="6639" max="6877" width="11.42578125" style="1"/>
    <col min="6878" max="6878" width="2.7109375" style="1" customWidth="1"/>
    <col min="6879" max="6879" width="9.85546875" style="1" customWidth="1"/>
    <col min="6880" max="6880" width="12.5703125" style="1" customWidth="1"/>
    <col min="6881" max="6881" width="12.85546875" style="1" customWidth="1"/>
    <col min="6882" max="6882" width="12.5703125" style="1" customWidth="1"/>
    <col min="6883" max="6883" width="10" style="1" customWidth="1"/>
    <col min="6884" max="6884" width="10.28515625" style="1" customWidth="1"/>
    <col min="6885" max="6885" width="10.42578125" style="1" customWidth="1"/>
    <col min="6886" max="6886" width="10.85546875" style="1" bestFit="1" customWidth="1"/>
    <col min="6887" max="6888" width="10.140625" style="1" customWidth="1"/>
    <col min="6889" max="6889" width="9.42578125" style="1" customWidth="1"/>
    <col min="6890" max="6890" width="12.140625" style="1" customWidth="1"/>
    <col min="6891" max="6891" width="11.85546875" style="1" customWidth="1"/>
    <col min="6892" max="6892" width="13" style="1" customWidth="1"/>
    <col min="6893" max="6893" width="18.85546875" style="1" customWidth="1"/>
    <col min="6894" max="6894" width="13" style="1" bestFit="1" customWidth="1"/>
    <col min="6895" max="7133" width="11.42578125" style="1"/>
    <col min="7134" max="7134" width="2.7109375" style="1" customWidth="1"/>
    <col min="7135" max="7135" width="9.85546875" style="1" customWidth="1"/>
    <col min="7136" max="7136" width="12.5703125" style="1" customWidth="1"/>
    <col min="7137" max="7137" width="12.85546875" style="1" customWidth="1"/>
    <col min="7138" max="7138" width="12.5703125" style="1" customWidth="1"/>
    <col min="7139" max="7139" width="10" style="1" customWidth="1"/>
    <col min="7140" max="7140" width="10.28515625" style="1" customWidth="1"/>
    <col min="7141" max="7141" width="10.42578125" style="1" customWidth="1"/>
    <col min="7142" max="7142" width="10.85546875" style="1" bestFit="1" customWidth="1"/>
    <col min="7143" max="7144" width="10.140625" style="1" customWidth="1"/>
    <col min="7145" max="7145" width="9.42578125" style="1" customWidth="1"/>
    <col min="7146" max="7146" width="12.140625" style="1" customWidth="1"/>
    <col min="7147" max="7147" width="11.85546875" style="1" customWidth="1"/>
    <col min="7148" max="7148" width="13" style="1" customWidth="1"/>
    <col min="7149" max="7149" width="18.85546875" style="1" customWidth="1"/>
    <col min="7150" max="7150" width="13" style="1" bestFit="1" customWidth="1"/>
    <col min="7151" max="7389" width="11.42578125" style="1"/>
    <col min="7390" max="7390" width="2.7109375" style="1" customWidth="1"/>
    <col min="7391" max="7391" width="9.85546875" style="1" customWidth="1"/>
    <col min="7392" max="7392" width="12.5703125" style="1" customWidth="1"/>
    <col min="7393" max="7393" width="12.85546875" style="1" customWidth="1"/>
    <col min="7394" max="7394" width="12.5703125" style="1" customWidth="1"/>
    <col min="7395" max="7395" width="10" style="1" customWidth="1"/>
    <col min="7396" max="7396" width="10.28515625" style="1" customWidth="1"/>
    <col min="7397" max="7397" width="10.42578125" style="1" customWidth="1"/>
    <col min="7398" max="7398" width="10.85546875" style="1" bestFit="1" customWidth="1"/>
    <col min="7399" max="7400" width="10.140625" style="1" customWidth="1"/>
    <col min="7401" max="7401" width="9.42578125" style="1" customWidth="1"/>
    <col min="7402" max="7402" width="12.140625" style="1" customWidth="1"/>
    <col min="7403" max="7403" width="11.85546875" style="1" customWidth="1"/>
    <col min="7404" max="7404" width="13" style="1" customWidth="1"/>
    <col min="7405" max="7405" width="18.85546875" style="1" customWidth="1"/>
    <col min="7406" max="7406" width="13" style="1" bestFit="1" customWidth="1"/>
    <col min="7407" max="7645" width="11.42578125" style="1"/>
    <col min="7646" max="7646" width="2.7109375" style="1" customWidth="1"/>
    <col min="7647" max="7647" width="9.85546875" style="1" customWidth="1"/>
    <col min="7648" max="7648" width="12.5703125" style="1" customWidth="1"/>
    <col min="7649" max="7649" width="12.85546875" style="1" customWidth="1"/>
    <col min="7650" max="7650" width="12.5703125" style="1" customWidth="1"/>
    <col min="7651" max="7651" width="10" style="1" customWidth="1"/>
    <col min="7652" max="7652" width="10.28515625" style="1" customWidth="1"/>
    <col min="7653" max="7653" width="10.42578125" style="1" customWidth="1"/>
    <col min="7654" max="7654" width="10.85546875" style="1" bestFit="1" customWidth="1"/>
    <col min="7655" max="7656" width="10.140625" style="1" customWidth="1"/>
    <col min="7657" max="7657" width="9.42578125" style="1" customWidth="1"/>
    <col min="7658" max="7658" width="12.140625" style="1" customWidth="1"/>
    <col min="7659" max="7659" width="11.85546875" style="1" customWidth="1"/>
    <col min="7660" max="7660" width="13" style="1" customWidth="1"/>
    <col min="7661" max="7661" width="18.85546875" style="1" customWidth="1"/>
    <col min="7662" max="7662" width="13" style="1" bestFit="1" customWidth="1"/>
    <col min="7663" max="7901" width="11.42578125" style="1"/>
    <col min="7902" max="7902" width="2.7109375" style="1" customWidth="1"/>
    <col min="7903" max="7903" width="9.85546875" style="1" customWidth="1"/>
    <col min="7904" max="7904" width="12.5703125" style="1" customWidth="1"/>
    <col min="7905" max="7905" width="12.85546875" style="1" customWidth="1"/>
    <col min="7906" max="7906" width="12.5703125" style="1" customWidth="1"/>
    <col min="7907" max="7907" width="10" style="1" customWidth="1"/>
    <col min="7908" max="7908" width="10.28515625" style="1" customWidth="1"/>
    <col min="7909" max="7909" width="10.42578125" style="1" customWidth="1"/>
    <col min="7910" max="7910" width="10.85546875" style="1" bestFit="1" customWidth="1"/>
    <col min="7911" max="7912" width="10.140625" style="1" customWidth="1"/>
    <col min="7913" max="7913" width="9.42578125" style="1" customWidth="1"/>
    <col min="7914" max="7914" width="12.140625" style="1" customWidth="1"/>
    <col min="7915" max="7915" width="11.85546875" style="1" customWidth="1"/>
    <col min="7916" max="7916" width="13" style="1" customWidth="1"/>
    <col min="7917" max="7917" width="18.85546875" style="1" customWidth="1"/>
    <col min="7918" max="7918" width="13" style="1" bestFit="1" customWidth="1"/>
    <col min="7919" max="8157" width="11.42578125" style="1"/>
    <col min="8158" max="8158" width="2.7109375" style="1" customWidth="1"/>
    <col min="8159" max="8159" width="9.85546875" style="1" customWidth="1"/>
    <col min="8160" max="8160" width="12.5703125" style="1" customWidth="1"/>
    <col min="8161" max="8161" width="12.85546875" style="1" customWidth="1"/>
    <col min="8162" max="8162" width="12.5703125" style="1" customWidth="1"/>
    <col min="8163" max="8163" width="10" style="1" customWidth="1"/>
    <col min="8164" max="8164" width="10.28515625" style="1" customWidth="1"/>
    <col min="8165" max="8165" width="10.42578125" style="1" customWidth="1"/>
    <col min="8166" max="8166" width="10.85546875" style="1" bestFit="1" customWidth="1"/>
    <col min="8167" max="8168" width="10.140625" style="1" customWidth="1"/>
    <col min="8169" max="8169" width="9.42578125" style="1" customWidth="1"/>
    <col min="8170" max="8170" width="12.140625" style="1" customWidth="1"/>
    <col min="8171" max="8171" width="11.85546875" style="1" customWidth="1"/>
    <col min="8172" max="8172" width="13" style="1" customWidth="1"/>
    <col min="8173" max="8173" width="18.85546875" style="1" customWidth="1"/>
    <col min="8174" max="8174" width="13" style="1" bestFit="1" customWidth="1"/>
    <col min="8175" max="8413" width="11.42578125" style="1"/>
    <col min="8414" max="8414" width="2.7109375" style="1" customWidth="1"/>
    <col min="8415" max="8415" width="9.85546875" style="1" customWidth="1"/>
    <col min="8416" max="8416" width="12.5703125" style="1" customWidth="1"/>
    <col min="8417" max="8417" width="12.85546875" style="1" customWidth="1"/>
    <col min="8418" max="8418" width="12.5703125" style="1" customWidth="1"/>
    <col min="8419" max="8419" width="10" style="1" customWidth="1"/>
    <col min="8420" max="8420" width="10.28515625" style="1" customWidth="1"/>
    <col min="8421" max="8421" width="10.42578125" style="1" customWidth="1"/>
    <col min="8422" max="8422" width="10.85546875" style="1" bestFit="1" customWidth="1"/>
    <col min="8423" max="8424" width="10.140625" style="1" customWidth="1"/>
    <col min="8425" max="8425" width="9.42578125" style="1" customWidth="1"/>
    <col min="8426" max="8426" width="12.140625" style="1" customWidth="1"/>
    <col min="8427" max="8427" width="11.85546875" style="1" customWidth="1"/>
    <col min="8428" max="8428" width="13" style="1" customWidth="1"/>
    <col min="8429" max="8429" width="18.85546875" style="1" customWidth="1"/>
    <col min="8430" max="8430" width="13" style="1" bestFit="1" customWidth="1"/>
    <col min="8431" max="8669" width="11.42578125" style="1"/>
    <col min="8670" max="8670" width="2.7109375" style="1" customWidth="1"/>
    <col min="8671" max="8671" width="9.85546875" style="1" customWidth="1"/>
    <col min="8672" max="8672" width="12.5703125" style="1" customWidth="1"/>
    <col min="8673" max="8673" width="12.85546875" style="1" customWidth="1"/>
    <col min="8674" max="8674" width="12.5703125" style="1" customWidth="1"/>
    <col min="8675" max="8675" width="10" style="1" customWidth="1"/>
    <col min="8676" max="8676" width="10.28515625" style="1" customWidth="1"/>
    <col min="8677" max="8677" width="10.42578125" style="1" customWidth="1"/>
    <col min="8678" max="8678" width="10.85546875" style="1" bestFit="1" customWidth="1"/>
    <col min="8679" max="8680" width="10.140625" style="1" customWidth="1"/>
    <col min="8681" max="8681" width="9.42578125" style="1" customWidth="1"/>
    <col min="8682" max="8682" width="12.140625" style="1" customWidth="1"/>
    <col min="8683" max="8683" width="11.85546875" style="1" customWidth="1"/>
    <col min="8684" max="8684" width="13" style="1" customWidth="1"/>
    <col min="8685" max="8685" width="18.85546875" style="1" customWidth="1"/>
    <col min="8686" max="8686" width="13" style="1" bestFit="1" customWidth="1"/>
    <col min="8687" max="8925" width="11.42578125" style="1"/>
    <col min="8926" max="8926" width="2.7109375" style="1" customWidth="1"/>
    <col min="8927" max="8927" width="9.85546875" style="1" customWidth="1"/>
    <col min="8928" max="8928" width="12.5703125" style="1" customWidth="1"/>
    <col min="8929" max="8929" width="12.85546875" style="1" customWidth="1"/>
    <col min="8930" max="8930" width="12.5703125" style="1" customWidth="1"/>
    <col min="8931" max="8931" width="10" style="1" customWidth="1"/>
    <col min="8932" max="8932" width="10.28515625" style="1" customWidth="1"/>
    <col min="8933" max="8933" width="10.42578125" style="1" customWidth="1"/>
    <col min="8934" max="8934" width="10.85546875" style="1" bestFit="1" customWidth="1"/>
    <col min="8935" max="8936" width="10.140625" style="1" customWidth="1"/>
    <col min="8937" max="8937" width="9.42578125" style="1" customWidth="1"/>
    <col min="8938" max="8938" width="12.140625" style="1" customWidth="1"/>
    <col min="8939" max="8939" width="11.85546875" style="1" customWidth="1"/>
    <col min="8940" max="8940" width="13" style="1" customWidth="1"/>
    <col min="8941" max="8941" width="18.85546875" style="1" customWidth="1"/>
    <col min="8942" max="8942" width="13" style="1" bestFit="1" customWidth="1"/>
    <col min="8943" max="9181" width="11.42578125" style="1"/>
    <col min="9182" max="9182" width="2.7109375" style="1" customWidth="1"/>
    <col min="9183" max="9183" width="9.85546875" style="1" customWidth="1"/>
    <col min="9184" max="9184" width="12.5703125" style="1" customWidth="1"/>
    <col min="9185" max="9185" width="12.85546875" style="1" customWidth="1"/>
    <col min="9186" max="9186" width="12.5703125" style="1" customWidth="1"/>
    <col min="9187" max="9187" width="10" style="1" customWidth="1"/>
    <col min="9188" max="9188" width="10.28515625" style="1" customWidth="1"/>
    <col min="9189" max="9189" width="10.42578125" style="1" customWidth="1"/>
    <col min="9190" max="9190" width="10.85546875" style="1" bestFit="1" customWidth="1"/>
    <col min="9191" max="9192" width="10.140625" style="1" customWidth="1"/>
    <col min="9193" max="9193" width="9.42578125" style="1" customWidth="1"/>
    <col min="9194" max="9194" width="12.140625" style="1" customWidth="1"/>
    <col min="9195" max="9195" width="11.85546875" style="1" customWidth="1"/>
    <col min="9196" max="9196" width="13" style="1" customWidth="1"/>
    <col min="9197" max="9197" width="18.85546875" style="1" customWidth="1"/>
    <col min="9198" max="9198" width="13" style="1" bestFit="1" customWidth="1"/>
    <col min="9199" max="9437" width="11.42578125" style="1"/>
    <col min="9438" max="9438" width="2.7109375" style="1" customWidth="1"/>
    <col min="9439" max="9439" width="9.85546875" style="1" customWidth="1"/>
    <col min="9440" max="9440" width="12.5703125" style="1" customWidth="1"/>
    <col min="9441" max="9441" width="12.85546875" style="1" customWidth="1"/>
    <col min="9442" max="9442" width="12.5703125" style="1" customWidth="1"/>
    <col min="9443" max="9443" width="10" style="1" customWidth="1"/>
    <col min="9444" max="9444" width="10.28515625" style="1" customWidth="1"/>
    <col min="9445" max="9445" width="10.42578125" style="1" customWidth="1"/>
    <col min="9446" max="9446" width="10.85546875" style="1" bestFit="1" customWidth="1"/>
    <col min="9447" max="9448" width="10.140625" style="1" customWidth="1"/>
    <col min="9449" max="9449" width="9.42578125" style="1" customWidth="1"/>
    <col min="9450" max="9450" width="12.140625" style="1" customWidth="1"/>
    <col min="9451" max="9451" width="11.85546875" style="1" customWidth="1"/>
    <col min="9452" max="9452" width="13" style="1" customWidth="1"/>
    <col min="9453" max="9453" width="18.85546875" style="1" customWidth="1"/>
    <col min="9454" max="9454" width="13" style="1" bestFit="1" customWidth="1"/>
    <col min="9455" max="9693" width="11.42578125" style="1"/>
    <col min="9694" max="9694" width="2.7109375" style="1" customWidth="1"/>
    <col min="9695" max="9695" width="9.85546875" style="1" customWidth="1"/>
    <col min="9696" max="9696" width="12.5703125" style="1" customWidth="1"/>
    <col min="9697" max="9697" width="12.85546875" style="1" customWidth="1"/>
    <col min="9698" max="9698" width="12.5703125" style="1" customWidth="1"/>
    <col min="9699" max="9699" width="10" style="1" customWidth="1"/>
    <col min="9700" max="9700" width="10.28515625" style="1" customWidth="1"/>
    <col min="9701" max="9701" width="10.42578125" style="1" customWidth="1"/>
    <col min="9702" max="9702" width="10.85546875" style="1" bestFit="1" customWidth="1"/>
    <col min="9703" max="9704" width="10.140625" style="1" customWidth="1"/>
    <col min="9705" max="9705" width="9.42578125" style="1" customWidth="1"/>
    <col min="9706" max="9706" width="12.140625" style="1" customWidth="1"/>
    <col min="9707" max="9707" width="11.85546875" style="1" customWidth="1"/>
    <col min="9708" max="9708" width="13" style="1" customWidth="1"/>
    <col min="9709" max="9709" width="18.85546875" style="1" customWidth="1"/>
    <col min="9710" max="9710" width="13" style="1" bestFit="1" customWidth="1"/>
    <col min="9711" max="9949" width="11.42578125" style="1"/>
    <col min="9950" max="9950" width="2.7109375" style="1" customWidth="1"/>
    <col min="9951" max="9951" width="9.85546875" style="1" customWidth="1"/>
    <col min="9952" max="9952" width="12.5703125" style="1" customWidth="1"/>
    <col min="9953" max="9953" width="12.85546875" style="1" customWidth="1"/>
    <col min="9954" max="9954" width="12.5703125" style="1" customWidth="1"/>
    <col min="9955" max="9955" width="10" style="1" customWidth="1"/>
    <col min="9956" max="9956" width="10.28515625" style="1" customWidth="1"/>
    <col min="9957" max="9957" width="10.42578125" style="1" customWidth="1"/>
    <col min="9958" max="9958" width="10.85546875" style="1" bestFit="1" customWidth="1"/>
    <col min="9959" max="9960" width="10.140625" style="1" customWidth="1"/>
    <col min="9961" max="9961" width="9.42578125" style="1" customWidth="1"/>
    <col min="9962" max="9962" width="12.140625" style="1" customWidth="1"/>
    <col min="9963" max="9963" width="11.85546875" style="1" customWidth="1"/>
    <col min="9964" max="9964" width="13" style="1" customWidth="1"/>
    <col min="9965" max="9965" width="18.85546875" style="1" customWidth="1"/>
    <col min="9966" max="9966" width="13" style="1" bestFit="1" customWidth="1"/>
    <col min="9967" max="10205" width="11.42578125" style="1"/>
    <col min="10206" max="10206" width="2.7109375" style="1" customWidth="1"/>
    <col min="10207" max="10207" width="9.85546875" style="1" customWidth="1"/>
    <col min="10208" max="10208" width="12.5703125" style="1" customWidth="1"/>
    <col min="10209" max="10209" width="12.85546875" style="1" customWidth="1"/>
    <col min="10210" max="10210" width="12.5703125" style="1" customWidth="1"/>
    <col min="10211" max="10211" width="10" style="1" customWidth="1"/>
    <col min="10212" max="10212" width="10.28515625" style="1" customWidth="1"/>
    <col min="10213" max="10213" width="10.42578125" style="1" customWidth="1"/>
    <col min="10214" max="10214" width="10.85546875" style="1" bestFit="1" customWidth="1"/>
    <col min="10215" max="10216" width="10.140625" style="1" customWidth="1"/>
    <col min="10217" max="10217" width="9.42578125" style="1" customWidth="1"/>
    <col min="10218" max="10218" width="12.140625" style="1" customWidth="1"/>
    <col min="10219" max="10219" width="11.85546875" style="1" customWidth="1"/>
    <col min="10220" max="10220" width="13" style="1" customWidth="1"/>
    <col min="10221" max="10221" width="18.85546875" style="1" customWidth="1"/>
    <col min="10222" max="10222" width="13" style="1" bestFit="1" customWidth="1"/>
    <col min="10223" max="10461" width="11.42578125" style="1"/>
    <col min="10462" max="10462" width="2.7109375" style="1" customWidth="1"/>
    <col min="10463" max="10463" width="9.85546875" style="1" customWidth="1"/>
    <col min="10464" max="10464" width="12.5703125" style="1" customWidth="1"/>
    <col min="10465" max="10465" width="12.85546875" style="1" customWidth="1"/>
    <col min="10466" max="10466" width="12.5703125" style="1" customWidth="1"/>
    <col min="10467" max="10467" width="10" style="1" customWidth="1"/>
    <col min="10468" max="10468" width="10.28515625" style="1" customWidth="1"/>
    <col min="10469" max="10469" width="10.42578125" style="1" customWidth="1"/>
    <col min="10470" max="10470" width="10.85546875" style="1" bestFit="1" customWidth="1"/>
    <col min="10471" max="10472" width="10.140625" style="1" customWidth="1"/>
    <col min="10473" max="10473" width="9.42578125" style="1" customWidth="1"/>
    <col min="10474" max="10474" width="12.140625" style="1" customWidth="1"/>
    <col min="10475" max="10475" width="11.85546875" style="1" customWidth="1"/>
    <col min="10476" max="10476" width="13" style="1" customWidth="1"/>
    <col min="10477" max="10477" width="18.85546875" style="1" customWidth="1"/>
    <col min="10478" max="10478" width="13" style="1" bestFit="1" customWidth="1"/>
    <col min="10479" max="10717" width="11.42578125" style="1"/>
    <col min="10718" max="10718" width="2.7109375" style="1" customWidth="1"/>
    <col min="10719" max="10719" width="9.85546875" style="1" customWidth="1"/>
    <col min="10720" max="10720" width="12.5703125" style="1" customWidth="1"/>
    <col min="10721" max="10721" width="12.85546875" style="1" customWidth="1"/>
    <col min="10722" max="10722" width="12.5703125" style="1" customWidth="1"/>
    <col min="10723" max="10723" width="10" style="1" customWidth="1"/>
    <col min="10724" max="10724" width="10.28515625" style="1" customWidth="1"/>
    <col min="10725" max="10725" width="10.42578125" style="1" customWidth="1"/>
    <col min="10726" max="10726" width="10.85546875" style="1" bestFit="1" customWidth="1"/>
    <col min="10727" max="10728" width="10.140625" style="1" customWidth="1"/>
    <col min="10729" max="10729" width="9.42578125" style="1" customWidth="1"/>
    <col min="10730" max="10730" width="12.140625" style="1" customWidth="1"/>
    <col min="10731" max="10731" width="11.85546875" style="1" customWidth="1"/>
    <col min="10732" max="10732" width="13" style="1" customWidth="1"/>
    <col min="10733" max="10733" width="18.85546875" style="1" customWidth="1"/>
    <col min="10734" max="10734" width="13" style="1" bestFit="1" customWidth="1"/>
    <col min="10735" max="10973" width="11.42578125" style="1"/>
    <col min="10974" max="10974" width="2.7109375" style="1" customWidth="1"/>
    <col min="10975" max="10975" width="9.85546875" style="1" customWidth="1"/>
    <col min="10976" max="10976" width="12.5703125" style="1" customWidth="1"/>
    <col min="10977" max="10977" width="12.85546875" style="1" customWidth="1"/>
    <col min="10978" max="10978" width="12.5703125" style="1" customWidth="1"/>
    <col min="10979" max="10979" width="10" style="1" customWidth="1"/>
    <col min="10980" max="10980" width="10.28515625" style="1" customWidth="1"/>
    <col min="10981" max="10981" width="10.42578125" style="1" customWidth="1"/>
    <col min="10982" max="10982" width="10.85546875" style="1" bestFit="1" customWidth="1"/>
    <col min="10983" max="10984" width="10.140625" style="1" customWidth="1"/>
    <col min="10985" max="10985" width="9.42578125" style="1" customWidth="1"/>
    <col min="10986" max="10986" width="12.140625" style="1" customWidth="1"/>
    <col min="10987" max="10987" width="11.85546875" style="1" customWidth="1"/>
    <col min="10988" max="10988" width="13" style="1" customWidth="1"/>
    <col min="10989" max="10989" width="18.85546875" style="1" customWidth="1"/>
    <col min="10990" max="10990" width="13" style="1" bestFit="1" customWidth="1"/>
    <col min="10991" max="11229" width="11.42578125" style="1"/>
    <col min="11230" max="11230" width="2.7109375" style="1" customWidth="1"/>
    <col min="11231" max="11231" width="9.85546875" style="1" customWidth="1"/>
    <col min="11232" max="11232" width="12.5703125" style="1" customWidth="1"/>
    <col min="11233" max="11233" width="12.85546875" style="1" customWidth="1"/>
    <col min="11234" max="11234" width="12.5703125" style="1" customWidth="1"/>
    <col min="11235" max="11235" width="10" style="1" customWidth="1"/>
    <col min="11236" max="11236" width="10.28515625" style="1" customWidth="1"/>
    <col min="11237" max="11237" width="10.42578125" style="1" customWidth="1"/>
    <col min="11238" max="11238" width="10.85546875" style="1" bestFit="1" customWidth="1"/>
    <col min="11239" max="11240" width="10.140625" style="1" customWidth="1"/>
    <col min="11241" max="11241" width="9.42578125" style="1" customWidth="1"/>
    <col min="11242" max="11242" width="12.140625" style="1" customWidth="1"/>
    <col min="11243" max="11243" width="11.85546875" style="1" customWidth="1"/>
    <col min="11244" max="11244" width="13" style="1" customWidth="1"/>
    <col min="11245" max="11245" width="18.85546875" style="1" customWidth="1"/>
    <col min="11246" max="11246" width="13" style="1" bestFit="1" customWidth="1"/>
    <col min="11247" max="11485" width="11.42578125" style="1"/>
    <col min="11486" max="11486" width="2.7109375" style="1" customWidth="1"/>
    <col min="11487" max="11487" width="9.85546875" style="1" customWidth="1"/>
    <col min="11488" max="11488" width="12.5703125" style="1" customWidth="1"/>
    <col min="11489" max="11489" width="12.85546875" style="1" customWidth="1"/>
    <col min="11490" max="11490" width="12.5703125" style="1" customWidth="1"/>
    <col min="11491" max="11491" width="10" style="1" customWidth="1"/>
    <col min="11492" max="11492" width="10.28515625" style="1" customWidth="1"/>
    <col min="11493" max="11493" width="10.42578125" style="1" customWidth="1"/>
    <col min="11494" max="11494" width="10.85546875" style="1" bestFit="1" customWidth="1"/>
    <col min="11495" max="11496" width="10.140625" style="1" customWidth="1"/>
    <col min="11497" max="11497" width="9.42578125" style="1" customWidth="1"/>
    <col min="11498" max="11498" width="12.140625" style="1" customWidth="1"/>
    <col min="11499" max="11499" width="11.85546875" style="1" customWidth="1"/>
    <col min="11500" max="11500" width="13" style="1" customWidth="1"/>
    <col min="11501" max="11501" width="18.85546875" style="1" customWidth="1"/>
    <col min="11502" max="11502" width="13" style="1" bestFit="1" customWidth="1"/>
    <col min="11503" max="11741" width="11.42578125" style="1"/>
    <col min="11742" max="11742" width="2.7109375" style="1" customWidth="1"/>
    <col min="11743" max="11743" width="9.85546875" style="1" customWidth="1"/>
    <col min="11744" max="11744" width="12.5703125" style="1" customWidth="1"/>
    <col min="11745" max="11745" width="12.85546875" style="1" customWidth="1"/>
    <col min="11746" max="11746" width="12.5703125" style="1" customWidth="1"/>
    <col min="11747" max="11747" width="10" style="1" customWidth="1"/>
    <col min="11748" max="11748" width="10.28515625" style="1" customWidth="1"/>
    <col min="11749" max="11749" width="10.42578125" style="1" customWidth="1"/>
    <col min="11750" max="11750" width="10.85546875" style="1" bestFit="1" customWidth="1"/>
    <col min="11751" max="11752" width="10.140625" style="1" customWidth="1"/>
    <col min="11753" max="11753" width="9.42578125" style="1" customWidth="1"/>
    <col min="11754" max="11754" width="12.140625" style="1" customWidth="1"/>
    <col min="11755" max="11755" width="11.85546875" style="1" customWidth="1"/>
    <col min="11756" max="11756" width="13" style="1" customWidth="1"/>
    <col min="11757" max="11757" width="18.85546875" style="1" customWidth="1"/>
    <col min="11758" max="11758" width="13" style="1" bestFit="1" customWidth="1"/>
    <col min="11759" max="11997" width="11.42578125" style="1"/>
    <col min="11998" max="11998" width="2.7109375" style="1" customWidth="1"/>
    <col min="11999" max="11999" width="9.85546875" style="1" customWidth="1"/>
    <col min="12000" max="12000" width="12.5703125" style="1" customWidth="1"/>
    <col min="12001" max="12001" width="12.85546875" style="1" customWidth="1"/>
    <col min="12002" max="12002" width="12.5703125" style="1" customWidth="1"/>
    <col min="12003" max="12003" width="10" style="1" customWidth="1"/>
    <col min="12004" max="12004" width="10.28515625" style="1" customWidth="1"/>
    <col min="12005" max="12005" width="10.42578125" style="1" customWidth="1"/>
    <col min="12006" max="12006" width="10.85546875" style="1" bestFit="1" customWidth="1"/>
    <col min="12007" max="12008" width="10.140625" style="1" customWidth="1"/>
    <col min="12009" max="12009" width="9.42578125" style="1" customWidth="1"/>
    <col min="12010" max="12010" width="12.140625" style="1" customWidth="1"/>
    <col min="12011" max="12011" width="11.85546875" style="1" customWidth="1"/>
    <col min="12012" max="12012" width="13" style="1" customWidth="1"/>
    <col min="12013" max="12013" width="18.85546875" style="1" customWidth="1"/>
    <col min="12014" max="12014" width="13" style="1" bestFit="1" customWidth="1"/>
    <col min="12015" max="12253" width="11.42578125" style="1"/>
    <col min="12254" max="12254" width="2.7109375" style="1" customWidth="1"/>
    <col min="12255" max="12255" width="9.85546875" style="1" customWidth="1"/>
    <col min="12256" max="12256" width="12.5703125" style="1" customWidth="1"/>
    <col min="12257" max="12257" width="12.85546875" style="1" customWidth="1"/>
    <col min="12258" max="12258" width="12.5703125" style="1" customWidth="1"/>
    <col min="12259" max="12259" width="10" style="1" customWidth="1"/>
    <col min="12260" max="12260" width="10.28515625" style="1" customWidth="1"/>
    <col min="12261" max="12261" width="10.42578125" style="1" customWidth="1"/>
    <col min="12262" max="12262" width="10.85546875" style="1" bestFit="1" customWidth="1"/>
    <col min="12263" max="12264" width="10.140625" style="1" customWidth="1"/>
    <col min="12265" max="12265" width="9.42578125" style="1" customWidth="1"/>
    <col min="12266" max="12266" width="12.140625" style="1" customWidth="1"/>
    <col min="12267" max="12267" width="11.85546875" style="1" customWidth="1"/>
    <col min="12268" max="12268" width="13" style="1" customWidth="1"/>
    <col min="12269" max="12269" width="18.85546875" style="1" customWidth="1"/>
    <col min="12270" max="12270" width="13" style="1" bestFit="1" customWidth="1"/>
    <col min="12271" max="12509" width="11.42578125" style="1"/>
    <col min="12510" max="12510" width="2.7109375" style="1" customWidth="1"/>
    <col min="12511" max="12511" width="9.85546875" style="1" customWidth="1"/>
    <col min="12512" max="12512" width="12.5703125" style="1" customWidth="1"/>
    <col min="12513" max="12513" width="12.85546875" style="1" customWidth="1"/>
    <col min="12514" max="12514" width="12.5703125" style="1" customWidth="1"/>
    <col min="12515" max="12515" width="10" style="1" customWidth="1"/>
    <col min="12516" max="12516" width="10.28515625" style="1" customWidth="1"/>
    <col min="12517" max="12517" width="10.42578125" style="1" customWidth="1"/>
    <col min="12518" max="12518" width="10.85546875" style="1" bestFit="1" customWidth="1"/>
    <col min="12519" max="12520" width="10.140625" style="1" customWidth="1"/>
    <col min="12521" max="12521" width="9.42578125" style="1" customWidth="1"/>
    <col min="12522" max="12522" width="12.140625" style="1" customWidth="1"/>
    <col min="12523" max="12523" width="11.85546875" style="1" customWidth="1"/>
    <col min="12524" max="12524" width="13" style="1" customWidth="1"/>
    <col min="12525" max="12525" width="18.85546875" style="1" customWidth="1"/>
    <col min="12526" max="12526" width="13" style="1" bestFit="1" customWidth="1"/>
    <col min="12527" max="12765" width="11.42578125" style="1"/>
    <col min="12766" max="12766" width="2.7109375" style="1" customWidth="1"/>
    <col min="12767" max="12767" width="9.85546875" style="1" customWidth="1"/>
    <col min="12768" max="12768" width="12.5703125" style="1" customWidth="1"/>
    <col min="12769" max="12769" width="12.85546875" style="1" customWidth="1"/>
    <col min="12770" max="12770" width="12.5703125" style="1" customWidth="1"/>
    <col min="12771" max="12771" width="10" style="1" customWidth="1"/>
    <col min="12772" max="12772" width="10.28515625" style="1" customWidth="1"/>
    <col min="12773" max="12773" width="10.42578125" style="1" customWidth="1"/>
    <col min="12774" max="12774" width="10.85546875" style="1" bestFit="1" customWidth="1"/>
    <col min="12775" max="12776" width="10.140625" style="1" customWidth="1"/>
    <col min="12777" max="12777" width="9.42578125" style="1" customWidth="1"/>
    <col min="12778" max="12778" width="12.140625" style="1" customWidth="1"/>
    <col min="12779" max="12779" width="11.85546875" style="1" customWidth="1"/>
    <col min="12780" max="12780" width="13" style="1" customWidth="1"/>
    <col min="12781" max="12781" width="18.85546875" style="1" customWidth="1"/>
    <col min="12782" max="12782" width="13" style="1" bestFit="1" customWidth="1"/>
    <col min="12783" max="13021" width="11.42578125" style="1"/>
    <col min="13022" max="13022" width="2.7109375" style="1" customWidth="1"/>
    <col min="13023" max="13023" width="9.85546875" style="1" customWidth="1"/>
    <col min="13024" max="13024" width="12.5703125" style="1" customWidth="1"/>
    <col min="13025" max="13025" width="12.85546875" style="1" customWidth="1"/>
    <col min="13026" max="13026" width="12.5703125" style="1" customWidth="1"/>
    <col min="13027" max="13027" width="10" style="1" customWidth="1"/>
    <col min="13028" max="13028" width="10.28515625" style="1" customWidth="1"/>
    <col min="13029" max="13029" width="10.42578125" style="1" customWidth="1"/>
    <col min="13030" max="13030" width="10.85546875" style="1" bestFit="1" customWidth="1"/>
    <col min="13031" max="13032" width="10.140625" style="1" customWidth="1"/>
    <col min="13033" max="13033" width="9.42578125" style="1" customWidth="1"/>
    <col min="13034" max="13034" width="12.140625" style="1" customWidth="1"/>
    <col min="13035" max="13035" width="11.85546875" style="1" customWidth="1"/>
    <col min="13036" max="13036" width="13" style="1" customWidth="1"/>
    <col min="13037" max="13037" width="18.85546875" style="1" customWidth="1"/>
    <col min="13038" max="13038" width="13" style="1" bestFit="1" customWidth="1"/>
    <col min="13039" max="13277" width="11.42578125" style="1"/>
    <col min="13278" max="13278" width="2.7109375" style="1" customWidth="1"/>
    <col min="13279" max="13279" width="9.85546875" style="1" customWidth="1"/>
    <col min="13280" max="13280" width="12.5703125" style="1" customWidth="1"/>
    <col min="13281" max="13281" width="12.85546875" style="1" customWidth="1"/>
    <col min="13282" max="13282" width="12.5703125" style="1" customWidth="1"/>
    <col min="13283" max="13283" width="10" style="1" customWidth="1"/>
    <col min="13284" max="13284" width="10.28515625" style="1" customWidth="1"/>
    <col min="13285" max="13285" width="10.42578125" style="1" customWidth="1"/>
    <col min="13286" max="13286" width="10.85546875" style="1" bestFit="1" customWidth="1"/>
    <col min="13287" max="13288" width="10.140625" style="1" customWidth="1"/>
    <col min="13289" max="13289" width="9.42578125" style="1" customWidth="1"/>
    <col min="13290" max="13290" width="12.140625" style="1" customWidth="1"/>
    <col min="13291" max="13291" width="11.85546875" style="1" customWidth="1"/>
    <col min="13292" max="13292" width="13" style="1" customWidth="1"/>
    <col min="13293" max="13293" width="18.85546875" style="1" customWidth="1"/>
    <col min="13294" max="13294" width="13" style="1" bestFit="1" customWidth="1"/>
    <col min="13295" max="13533" width="11.42578125" style="1"/>
    <col min="13534" max="13534" width="2.7109375" style="1" customWidth="1"/>
    <col min="13535" max="13535" width="9.85546875" style="1" customWidth="1"/>
    <col min="13536" max="13536" width="12.5703125" style="1" customWidth="1"/>
    <col min="13537" max="13537" width="12.85546875" style="1" customWidth="1"/>
    <col min="13538" max="13538" width="12.5703125" style="1" customWidth="1"/>
    <col min="13539" max="13539" width="10" style="1" customWidth="1"/>
    <col min="13540" max="13540" width="10.28515625" style="1" customWidth="1"/>
    <col min="13541" max="13541" width="10.42578125" style="1" customWidth="1"/>
    <col min="13542" max="13542" width="10.85546875" style="1" bestFit="1" customWidth="1"/>
    <col min="13543" max="13544" width="10.140625" style="1" customWidth="1"/>
    <col min="13545" max="13545" width="9.42578125" style="1" customWidth="1"/>
    <col min="13546" max="13546" width="12.140625" style="1" customWidth="1"/>
    <col min="13547" max="13547" width="11.85546875" style="1" customWidth="1"/>
    <col min="13548" max="13548" width="13" style="1" customWidth="1"/>
    <col min="13549" max="13549" width="18.85546875" style="1" customWidth="1"/>
    <col min="13550" max="13550" width="13" style="1" bestFit="1" customWidth="1"/>
    <col min="13551" max="13789" width="11.42578125" style="1"/>
    <col min="13790" max="13790" width="2.7109375" style="1" customWidth="1"/>
    <col min="13791" max="13791" width="9.85546875" style="1" customWidth="1"/>
    <col min="13792" max="13792" width="12.5703125" style="1" customWidth="1"/>
    <col min="13793" max="13793" width="12.85546875" style="1" customWidth="1"/>
    <col min="13794" max="13794" width="12.5703125" style="1" customWidth="1"/>
    <col min="13795" max="13795" width="10" style="1" customWidth="1"/>
    <col min="13796" max="13796" width="10.28515625" style="1" customWidth="1"/>
    <col min="13797" max="13797" width="10.42578125" style="1" customWidth="1"/>
    <col min="13798" max="13798" width="10.85546875" style="1" bestFit="1" customWidth="1"/>
    <col min="13799" max="13800" width="10.140625" style="1" customWidth="1"/>
    <col min="13801" max="13801" width="9.42578125" style="1" customWidth="1"/>
    <col min="13802" max="13802" width="12.140625" style="1" customWidth="1"/>
    <col min="13803" max="13803" width="11.85546875" style="1" customWidth="1"/>
    <col min="13804" max="13804" width="13" style="1" customWidth="1"/>
    <col min="13805" max="13805" width="18.85546875" style="1" customWidth="1"/>
    <col min="13806" max="13806" width="13" style="1" bestFit="1" customWidth="1"/>
    <col min="13807" max="14045" width="11.42578125" style="1"/>
    <col min="14046" max="14046" width="2.7109375" style="1" customWidth="1"/>
    <col min="14047" max="14047" width="9.85546875" style="1" customWidth="1"/>
    <col min="14048" max="14048" width="12.5703125" style="1" customWidth="1"/>
    <col min="14049" max="14049" width="12.85546875" style="1" customWidth="1"/>
    <col min="14050" max="14050" width="12.5703125" style="1" customWidth="1"/>
    <col min="14051" max="14051" width="10" style="1" customWidth="1"/>
    <col min="14052" max="14052" width="10.28515625" style="1" customWidth="1"/>
    <col min="14053" max="14053" width="10.42578125" style="1" customWidth="1"/>
    <col min="14054" max="14054" width="10.85546875" style="1" bestFit="1" customWidth="1"/>
    <col min="14055" max="14056" width="10.140625" style="1" customWidth="1"/>
    <col min="14057" max="14057" width="9.42578125" style="1" customWidth="1"/>
    <col min="14058" max="14058" width="12.140625" style="1" customWidth="1"/>
    <col min="14059" max="14059" width="11.85546875" style="1" customWidth="1"/>
    <col min="14060" max="14060" width="13" style="1" customWidth="1"/>
    <col min="14061" max="14061" width="18.85546875" style="1" customWidth="1"/>
    <col min="14062" max="14062" width="13" style="1" bestFit="1" customWidth="1"/>
    <col min="14063" max="14301" width="11.42578125" style="1"/>
    <col min="14302" max="14302" width="2.7109375" style="1" customWidth="1"/>
    <col min="14303" max="14303" width="9.85546875" style="1" customWidth="1"/>
    <col min="14304" max="14304" width="12.5703125" style="1" customWidth="1"/>
    <col min="14305" max="14305" width="12.85546875" style="1" customWidth="1"/>
    <col min="14306" max="14306" width="12.5703125" style="1" customWidth="1"/>
    <col min="14307" max="14307" width="10" style="1" customWidth="1"/>
    <col min="14308" max="14308" width="10.28515625" style="1" customWidth="1"/>
    <col min="14309" max="14309" width="10.42578125" style="1" customWidth="1"/>
    <col min="14310" max="14310" width="10.85546875" style="1" bestFit="1" customWidth="1"/>
    <col min="14311" max="14312" width="10.140625" style="1" customWidth="1"/>
    <col min="14313" max="14313" width="9.42578125" style="1" customWidth="1"/>
    <col min="14314" max="14314" width="12.140625" style="1" customWidth="1"/>
    <col min="14315" max="14315" width="11.85546875" style="1" customWidth="1"/>
    <col min="14316" max="14316" width="13" style="1" customWidth="1"/>
    <col min="14317" max="14317" width="18.85546875" style="1" customWidth="1"/>
    <col min="14318" max="14318" width="13" style="1" bestFit="1" customWidth="1"/>
    <col min="14319" max="14557" width="11.42578125" style="1"/>
    <col min="14558" max="14558" width="2.7109375" style="1" customWidth="1"/>
    <col min="14559" max="14559" width="9.85546875" style="1" customWidth="1"/>
    <col min="14560" max="14560" width="12.5703125" style="1" customWidth="1"/>
    <col min="14561" max="14561" width="12.85546875" style="1" customWidth="1"/>
    <col min="14562" max="14562" width="12.5703125" style="1" customWidth="1"/>
    <col min="14563" max="14563" width="10" style="1" customWidth="1"/>
    <col min="14564" max="14564" width="10.28515625" style="1" customWidth="1"/>
    <col min="14565" max="14565" width="10.42578125" style="1" customWidth="1"/>
    <col min="14566" max="14566" width="10.85546875" style="1" bestFit="1" customWidth="1"/>
    <col min="14567" max="14568" width="10.140625" style="1" customWidth="1"/>
    <col min="14569" max="14569" width="9.42578125" style="1" customWidth="1"/>
    <col min="14570" max="14570" width="12.140625" style="1" customWidth="1"/>
    <col min="14571" max="14571" width="11.85546875" style="1" customWidth="1"/>
    <col min="14572" max="14572" width="13" style="1" customWidth="1"/>
    <col min="14573" max="14573" width="18.85546875" style="1" customWidth="1"/>
    <col min="14574" max="14574" width="13" style="1" bestFit="1" customWidth="1"/>
    <col min="14575" max="14813" width="11.42578125" style="1"/>
    <col min="14814" max="14814" width="2.7109375" style="1" customWidth="1"/>
    <col min="14815" max="14815" width="9.85546875" style="1" customWidth="1"/>
    <col min="14816" max="14816" width="12.5703125" style="1" customWidth="1"/>
    <col min="14817" max="14817" width="12.85546875" style="1" customWidth="1"/>
    <col min="14818" max="14818" width="12.5703125" style="1" customWidth="1"/>
    <col min="14819" max="14819" width="10" style="1" customWidth="1"/>
    <col min="14820" max="14820" width="10.28515625" style="1" customWidth="1"/>
    <col min="14821" max="14821" width="10.42578125" style="1" customWidth="1"/>
    <col min="14822" max="14822" width="10.85546875" style="1" bestFit="1" customWidth="1"/>
    <col min="14823" max="14824" width="10.140625" style="1" customWidth="1"/>
    <col min="14825" max="14825" width="9.42578125" style="1" customWidth="1"/>
    <col min="14826" max="14826" width="12.140625" style="1" customWidth="1"/>
    <col min="14827" max="14827" width="11.85546875" style="1" customWidth="1"/>
    <col min="14828" max="14828" width="13" style="1" customWidth="1"/>
    <col min="14829" max="14829" width="18.85546875" style="1" customWidth="1"/>
    <col min="14830" max="14830" width="13" style="1" bestFit="1" customWidth="1"/>
    <col min="14831" max="15069" width="11.42578125" style="1"/>
    <col min="15070" max="15070" width="2.7109375" style="1" customWidth="1"/>
    <col min="15071" max="15071" width="9.85546875" style="1" customWidth="1"/>
    <col min="15072" max="15072" width="12.5703125" style="1" customWidth="1"/>
    <col min="15073" max="15073" width="12.85546875" style="1" customWidth="1"/>
    <col min="15074" max="15074" width="12.5703125" style="1" customWidth="1"/>
    <col min="15075" max="15075" width="10" style="1" customWidth="1"/>
    <col min="15076" max="15076" width="10.28515625" style="1" customWidth="1"/>
    <col min="15077" max="15077" width="10.42578125" style="1" customWidth="1"/>
    <col min="15078" max="15078" width="10.85546875" style="1" bestFit="1" customWidth="1"/>
    <col min="15079" max="15080" width="10.140625" style="1" customWidth="1"/>
    <col min="15081" max="15081" width="9.42578125" style="1" customWidth="1"/>
    <col min="15082" max="15082" width="12.140625" style="1" customWidth="1"/>
    <col min="15083" max="15083" width="11.85546875" style="1" customWidth="1"/>
    <col min="15084" max="15084" width="13" style="1" customWidth="1"/>
    <col min="15085" max="15085" width="18.85546875" style="1" customWidth="1"/>
    <col min="15086" max="15086" width="13" style="1" bestFit="1" customWidth="1"/>
    <col min="15087" max="15325" width="11.42578125" style="1"/>
    <col min="15326" max="15326" width="2.7109375" style="1" customWidth="1"/>
    <col min="15327" max="15327" width="9.85546875" style="1" customWidth="1"/>
    <col min="15328" max="15328" width="12.5703125" style="1" customWidth="1"/>
    <col min="15329" max="15329" width="12.85546875" style="1" customWidth="1"/>
    <col min="15330" max="15330" width="12.5703125" style="1" customWidth="1"/>
    <col min="15331" max="15331" width="10" style="1" customWidth="1"/>
    <col min="15332" max="15332" width="10.28515625" style="1" customWidth="1"/>
    <col min="15333" max="15333" width="10.42578125" style="1" customWidth="1"/>
    <col min="15334" max="15334" width="10.85546875" style="1" bestFit="1" customWidth="1"/>
    <col min="15335" max="15336" width="10.140625" style="1" customWidth="1"/>
    <col min="15337" max="15337" width="9.42578125" style="1" customWidth="1"/>
    <col min="15338" max="15338" width="12.140625" style="1" customWidth="1"/>
    <col min="15339" max="15339" width="11.85546875" style="1" customWidth="1"/>
    <col min="15340" max="15340" width="13" style="1" customWidth="1"/>
    <col min="15341" max="15341" width="18.85546875" style="1" customWidth="1"/>
    <col min="15342" max="15342" width="13" style="1" bestFit="1" customWidth="1"/>
    <col min="15343" max="15581" width="11.42578125" style="1"/>
    <col min="15582" max="15582" width="2.7109375" style="1" customWidth="1"/>
    <col min="15583" max="15583" width="9.85546875" style="1" customWidth="1"/>
    <col min="15584" max="15584" width="12.5703125" style="1" customWidth="1"/>
    <col min="15585" max="15585" width="12.85546875" style="1" customWidth="1"/>
    <col min="15586" max="15586" width="12.5703125" style="1" customWidth="1"/>
    <col min="15587" max="15587" width="10" style="1" customWidth="1"/>
    <col min="15588" max="15588" width="10.28515625" style="1" customWidth="1"/>
    <col min="15589" max="15589" width="10.42578125" style="1" customWidth="1"/>
    <col min="15590" max="15590" width="10.85546875" style="1" bestFit="1" customWidth="1"/>
    <col min="15591" max="15592" width="10.140625" style="1" customWidth="1"/>
    <col min="15593" max="15593" width="9.42578125" style="1" customWidth="1"/>
    <col min="15594" max="15594" width="12.140625" style="1" customWidth="1"/>
    <col min="15595" max="15595" width="11.85546875" style="1" customWidth="1"/>
    <col min="15596" max="15596" width="13" style="1" customWidth="1"/>
    <col min="15597" max="15597" width="18.85546875" style="1" customWidth="1"/>
    <col min="15598" max="15598" width="13" style="1" bestFit="1" customWidth="1"/>
    <col min="15599" max="15837" width="11.42578125" style="1"/>
    <col min="15838" max="15838" width="2.7109375" style="1" customWidth="1"/>
    <col min="15839" max="15839" width="9.85546875" style="1" customWidth="1"/>
    <col min="15840" max="15840" width="12.5703125" style="1" customWidth="1"/>
    <col min="15841" max="15841" width="12.85546875" style="1" customWidth="1"/>
    <col min="15842" max="15842" width="12.5703125" style="1" customWidth="1"/>
    <col min="15843" max="15843" width="10" style="1" customWidth="1"/>
    <col min="15844" max="15844" width="10.28515625" style="1" customWidth="1"/>
    <col min="15845" max="15845" width="10.42578125" style="1" customWidth="1"/>
    <col min="15846" max="15846" width="10.85546875" style="1" bestFit="1" customWidth="1"/>
    <col min="15847" max="15848" width="10.140625" style="1" customWidth="1"/>
    <col min="15849" max="15849" width="9.42578125" style="1" customWidth="1"/>
    <col min="15850" max="15850" width="12.140625" style="1" customWidth="1"/>
    <col min="15851" max="15851" width="11.85546875" style="1" customWidth="1"/>
    <col min="15852" max="15852" width="13" style="1" customWidth="1"/>
    <col min="15853" max="15853" width="18.85546875" style="1" customWidth="1"/>
    <col min="15854" max="15854" width="13" style="1" bestFit="1" customWidth="1"/>
    <col min="15855" max="16093" width="11.42578125" style="1"/>
    <col min="16094" max="16094" width="2.7109375" style="1" customWidth="1"/>
    <col min="16095" max="16095" width="9.85546875" style="1" customWidth="1"/>
    <col min="16096" max="16096" width="12.5703125" style="1" customWidth="1"/>
    <col min="16097" max="16097" width="12.85546875" style="1" customWidth="1"/>
    <col min="16098" max="16098" width="12.5703125" style="1" customWidth="1"/>
    <col min="16099" max="16099" width="10" style="1" customWidth="1"/>
    <col min="16100" max="16100" width="10.28515625" style="1" customWidth="1"/>
    <col min="16101" max="16101" width="10.42578125" style="1" customWidth="1"/>
    <col min="16102" max="16102" width="10.85546875" style="1" bestFit="1" customWidth="1"/>
    <col min="16103" max="16104" width="10.140625" style="1" customWidth="1"/>
    <col min="16105" max="16105" width="9.42578125" style="1" customWidth="1"/>
    <col min="16106" max="16106" width="12.140625" style="1" customWidth="1"/>
    <col min="16107" max="16107" width="11.85546875" style="1" customWidth="1"/>
    <col min="16108" max="16108" width="13" style="1" customWidth="1"/>
    <col min="16109" max="16109" width="18.85546875" style="1" customWidth="1"/>
    <col min="16110" max="16110" width="13" style="1" bestFit="1" customWidth="1"/>
    <col min="16111" max="16384" width="11.42578125" style="1"/>
  </cols>
  <sheetData>
    <row r="3" spans="4:17" ht="15.75" x14ac:dyDescent="0.25">
      <c r="F3" s="2"/>
      <c r="G3" s="3" t="s">
        <v>299</v>
      </c>
    </row>
    <row r="4" spans="4:17" ht="15.75" x14ac:dyDescent="0.25">
      <c r="F4" s="2"/>
      <c r="G4" s="3"/>
    </row>
    <row r="5" spans="4:17" ht="12" thickBot="1" x14ac:dyDescent="0.25">
      <c r="F5" s="2"/>
    </row>
    <row r="6" spans="4:17" ht="11.25" customHeight="1" x14ac:dyDescent="0.2">
      <c r="D6" s="284" t="s">
        <v>0</v>
      </c>
      <c r="E6" s="290" t="s">
        <v>1</v>
      </c>
      <c r="F6" s="292"/>
      <c r="G6" s="286" t="s">
        <v>2</v>
      </c>
      <c r="H6" s="286"/>
      <c r="I6" s="287"/>
      <c r="J6" s="284" t="s">
        <v>3</v>
      </c>
      <c r="K6" s="290" t="s">
        <v>4</v>
      </c>
      <c r="L6" s="291"/>
      <c r="M6" s="291"/>
      <c r="N6" s="291"/>
      <c r="O6" s="291"/>
      <c r="P6" s="292"/>
      <c r="Q6" s="284" t="s">
        <v>5</v>
      </c>
    </row>
    <row r="7" spans="4:17" ht="25.5" customHeight="1" thickBot="1" x14ac:dyDescent="0.25">
      <c r="D7" s="285"/>
      <c r="E7" s="293"/>
      <c r="F7" s="295"/>
      <c r="G7" s="288"/>
      <c r="H7" s="288"/>
      <c r="I7" s="289"/>
      <c r="J7" s="285"/>
      <c r="K7" s="293"/>
      <c r="L7" s="294"/>
      <c r="M7" s="294"/>
      <c r="N7" s="294"/>
      <c r="O7" s="294"/>
      <c r="P7" s="295"/>
      <c r="Q7" s="285"/>
    </row>
    <row r="8" spans="4:17" ht="12.75" customHeight="1" x14ac:dyDescent="0.2">
      <c r="D8" s="26"/>
      <c r="E8" s="26"/>
      <c r="F8" s="100" t="s">
        <v>239</v>
      </c>
      <c r="G8" s="26" t="s">
        <v>6</v>
      </c>
      <c r="H8" s="26" t="s">
        <v>6</v>
      </c>
      <c r="I8" s="100" t="s">
        <v>237</v>
      </c>
      <c r="J8" s="26"/>
      <c r="K8" s="26"/>
      <c r="L8" s="26" t="s">
        <v>7</v>
      </c>
      <c r="M8" s="26" t="s">
        <v>8</v>
      </c>
      <c r="N8" s="26" t="s">
        <v>9</v>
      </c>
      <c r="O8" s="26" t="s">
        <v>10</v>
      </c>
      <c r="P8" s="26" t="s">
        <v>11</v>
      </c>
      <c r="Q8" s="26"/>
    </row>
    <row r="9" spans="4:17" x14ac:dyDescent="0.2">
      <c r="D9" s="26" t="s">
        <v>12</v>
      </c>
      <c r="E9" s="26" t="s">
        <v>13</v>
      </c>
      <c r="F9" s="100" t="s">
        <v>240</v>
      </c>
      <c r="G9" s="26" t="s">
        <v>14</v>
      </c>
      <c r="H9" s="26" t="s">
        <v>14</v>
      </c>
      <c r="I9" s="100" t="s">
        <v>238</v>
      </c>
      <c r="J9" s="26" t="s">
        <v>15</v>
      </c>
      <c r="K9" s="26" t="s">
        <v>16</v>
      </c>
      <c r="L9" s="26" t="s">
        <v>17</v>
      </c>
      <c r="M9" s="26" t="s">
        <v>18</v>
      </c>
      <c r="N9" s="26" t="s">
        <v>18</v>
      </c>
      <c r="O9" s="26" t="s">
        <v>19</v>
      </c>
      <c r="P9" s="26" t="s">
        <v>20</v>
      </c>
      <c r="Q9" s="26" t="s">
        <v>59</v>
      </c>
    </row>
    <row r="10" spans="4:17" x14ac:dyDescent="0.2">
      <c r="D10" s="26" t="s">
        <v>21</v>
      </c>
      <c r="E10" s="26" t="s">
        <v>22</v>
      </c>
      <c r="F10" s="100" t="s">
        <v>241</v>
      </c>
      <c r="G10" s="26" t="s">
        <v>23</v>
      </c>
      <c r="H10" s="26" t="s">
        <v>24</v>
      </c>
      <c r="I10" s="100" t="s">
        <v>236</v>
      </c>
      <c r="J10" s="26" t="s">
        <v>25</v>
      </c>
      <c r="K10" s="26" t="s">
        <v>26</v>
      </c>
      <c r="L10" s="26" t="s">
        <v>27</v>
      </c>
      <c r="M10" s="26" t="s">
        <v>28</v>
      </c>
      <c r="N10" s="26" t="s">
        <v>29</v>
      </c>
      <c r="O10" s="26" t="s">
        <v>30</v>
      </c>
      <c r="P10" s="26" t="s">
        <v>31</v>
      </c>
      <c r="Q10" s="26" t="s">
        <v>32</v>
      </c>
    </row>
    <row r="11" spans="4:17" x14ac:dyDescent="0.2">
      <c r="D11" s="26" t="s">
        <v>61</v>
      </c>
      <c r="E11" s="27">
        <f>7255100.58-3333333.33</f>
        <v>3921767.25</v>
      </c>
      <c r="F11" s="27">
        <v>3333333.33</v>
      </c>
      <c r="G11" s="27">
        <v>143741.75</v>
      </c>
      <c r="H11" s="27">
        <v>178843</v>
      </c>
      <c r="I11" s="27">
        <v>12632625.140000001</v>
      </c>
      <c r="J11" s="27">
        <v>51000</v>
      </c>
      <c r="K11" s="27">
        <v>180</v>
      </c>
      <c r="L11" s="27"/>
      <c r="M11" s="27">
        <v>7200</v>
      </c>
      <c r="N11" s="27">
        <v>185</v>
      </c>
      <c r="O11" s="27">
        <v>2000</v>
      </c>
      <c r="P11" s="27">
        <v>100000</v>
      </c>
      <c r="Q11" s="27">
        <f>SUM(E11:P11)</f>
        <v>20370875.469999999</v>
      </c>
    </row>
    <row r="12" spans="4:17" x14ac:dyDescent="0.2">
      <c r="D12" s="26" t="s">
        <v>246</v>
      </c>
      <c r="E12" s="29">
        <v>3921767.22</v>
      </c>
      <c r="F12" s="29">
        <v>3333333.34</v>
      </c>
      <c r="G12" s="5">
        <f>85645.9+10908.1+3200</f>
        <v>99754</v>
      </c>
      <c r="H12" s="5">
        <v>297736.92</v>
      </c>
      <c r="I12" s="5">
        <v>12632625.140000001</v>
      </c>
      <c r="J12" s="5">
        <v>70807.839999999997</v>
      </c>
      <c r="K12" s="5">
        <v>80</v>
      </c>
      <c r="L12" s="5"/>
      <c r="M12" s="5">
        <v>10737</v>
      </c>
      <c r="N12" s="5"/>
      <c r="O12" s="5">
        <v>870</v>
      </c>
      <c r="P12" s="5">
        <f>58900+7000</f>
        <v>65900</v>
      </c>
      <c r="Q12" s="5">
        <f>SUM(E12:P12)</f>
        <v>20433611.460000001</v>
      </c>
    </row>
    <row r="13" spans="4:17" x14ac:dyDescent="0.2">
      <c r="D13" s="26" t="s">
        <v>62</v>
      </c>
      <c r="E13" s="28">
        <f>E12-E11</f>
        <v>-2.9999999795109034E-2</v>
      </c>
      <c r="F13" s="28">
        <f>F12-F11</f>
        <v>9.9999997764825821E-3</v>
      </c>
      <c r="G13" s="28">
        <f t="shared" ref="G13:Q13" si="0">G12-G11</f>
        <v>-43987.75</v>
      </c>
      <c r="H13" s="28">
        <f t="shared" si="0"/>
        <v>118893.91999999998</v>
      </c>
      <c r="I13" s="28">
        <f t="shared" si="0"/>
        <v>0</v>
      </c>
      <c r="J13" s="28">
        <f t="shared" si="0"/>
        <v>19807.839999999997</v>
      </c>
      <c r="K13" s="28">
        <f t="shared" si="0"/>
        <v>-100</v>
      </c>
      <c r="L13" s="28">
        <f t="shared" si="0"/>
        <v>0</v>
      </c>
      <c r="M13" s="28">
        <f t="shared" si="0"/>
        <v>3537</v>
      </c>
      <c r="N13" s="28">
        <f t="shared" si="0"/>
        <v>-185</v>
      </c>
      <c r="O13" s="28">
        <f t="shared" si="0"/>
        <v>-1130</v>
      </c>
      <c r="P13" s="28">
        <f t="shared" si="0"/>
        <v>-34100</v>
      </c>
      <c r="Q13" s="28">
        <f t="shared" si="0"/>
        <v>62735.990000002086</v>
      </c>
    </row>
    <row r="14" spans="4:17" x14ac:dyDescent="0.2">
      <c r="D14" s="26" t="s">
        <v>268</v>
      </c>
      <c r="E14" s="27">
        <f t="shared" ref="E14:E28" si="1">7255100.58-3333333.33</f>
        <v>3921767.25</v>
      </c>
      <c r="F14" s="27">
        <v>3333333.33</v>
      </c>
      <c r="G14" s="27">
        <v>198742</v>
      </c>
      <c r="H14" s="27">
        <v>178843</v>
      </c>
      <c r="I14" s="27"/>
      <c r="J14" s="27">
        <v>51000</v>
      </c>
      <c r="K14" s="27">
        <v>180</v>
      </c>
      <c r="L14" s="27"/>
      <c r="M14" s="27">
        <v>7200</v>
      </c>
      <c r="N14" s="27">
        <v>176</v>
      </c>
      <c r="O14" s="27">
        <v>2000</v>
      </c>
      <c r="P14" s="27">
        <v>100000</v>
      </c>
      <c r="Q14" s="27">
        <f t="shared" ref="Q14" si="2">SUM(E14:P14)</f>
        <v>7793241.5800000001</v>
      </c>
    </row>
    <row r="15" spans="4:17" x14ac:dyDescent="0.2">
      <c r="D15" s="26" t="s">
        <v>267</v>
      </c>
      <c r="E15" s="29">
        <v>3921767.25</v>
      </c>
      <c r="F15" s="29">
        <v>3333333.33</v>
      </c>
      <c r="G15" s="5">
        <v>100154.7</v>
      </c>
      <c r="H15" s="5">
        <v>141184.35999999999</v>
      </c>
      <c r="I15" s="5"/>
      <c r="J15" s="5">
        <v>76915.33</v>
      </c>
      <c r="K15" s="5">
        <v>80</v>
      </c>
      <c r="L15" s="5"/>
      <c r="M15" s="5">
        <v>7600</v>
      </c>
      <c r="N15" s="5">
        <v>490</v>
      </c>
      <c r="O15" s="5">
        <v>0</v>
      </c>
      <c r="P15" s="5">
        <f>83201.6+1000</f>
        <v>84201.600000000006</v>
      </c>
      <c r="Q15" s="5">
        <f>SUM(E15:P15)</f>
        <v>7665726.5700000003</v>
      </c>
    </row>
    <row r="16" spans="4:17" x14ac:dyDescent="0.2">
      <c r="D16" s="26" t="s">
        <v>62</v>
      </c>
      <c r="E16" s="28">
        <f>E15-E14</f>
        <v>0</v>
      </c>
      <c r="F16" s="28">
        <f>F15-F14</f>
        <v>0</v>
      </c>
      <c r="G16" s="28">
        <f t="shared" ref="G16:Q16" si="3">G15-G14</f>
        <v>-98587.3</v>
      </c>
      <c r="H16" s="28">
        <f t="shared" si="3"/>
        <v>-37658.640000000014</v>
      </c>
      <c r="I16" s="28">
        <f t="shared" si="3"/>
        <v>0</v>
      </c>
      <c r="J16" s="28">
        <f t="shared" si="3"/>
        <v>25915.33</v>
      </c>
      <c r="K16" s="28">
        <f t="shared" si="3"/>
        <v>-100</v>
      </c>
      <c r="L16" s="28">
        <f t="shared" si="3"/>
        <v>0</v>
      </c>
      <c r="M16" s="28">
        <f t="shared" si="3"/>
        <v>400</v>
      </c>
      <c r="N16" s="28">
        <f t="shared" si="3"/>
        <v>314</v>
      </c>
      <c r="O16" s="28">
        <f t="shared" si="3"/>
        <v>-2000</v>
      </c>
      <c r="P16" s="28">
        <f t="shared" si="3"/>
        <v>-15798.399999999994</v>
      </c>
      <c r="Q16" s="28">
        <f t="shared" si="3"/>
        <v>-127515.00999999978</v>
      </c>
    </row>
    <row r="17" spans="1:20" x14ac:dyDescent="0.2">
      <c r="D17" s="26" t="s">
        <v>300</v>
      </c>
      <c r="E17" s="27">
        <f t="shared" si="1"/>
        <v>3921767.25</v>
      </c>
      <c r="F17" s="27">
        <v>3333333.33</v>
      </c>
      <c r="G17" s="27">
        <v>231142</v>
      </c>
      <c r="H17" s="27">
        <v>178843</v>
      </c>
      <c r="I17" s="27"/>
      <c r="J17" s="27">
        <v>51000</v>
      </c>
      <c r="K17" s="27">
        <v>180</v>
      </c>
      <c r="L17" s="27"/>
      <c r="M17" s="27">
        <v>7200</v>
      </c>
      <c r="N17" s="27">
        <v>175</v>
      </c>
      <c r="O17" s="27">
        <v>2000</v>
      </c>
      <c r="P17" s="27">
        <v>100000</v>
      </c>
      <c r="Q17" s="27">
        <f t="shared" ref="Q17:Q28" si="4">SUM(E17:P17)</f>
        <v>7825640.5800000001</v>
      </c>
    </row>
    <row r="18" spans="1:20" x14ac:dyDescent="0.2">
      <c r="D18" s="26" t="s">
        <v>301</v>
      </c>
      <c r="E18" s="29">
        <v>3921767.24</v>
      </c>
      <c r="F18" s="29">
        <v>1666666.66</v>
      </c>
      <c r="G18" s="5">
        <v>123030.6</v>
      </c>
      <c r="H18" s="5">
        <v>225275.67</v>
      </c>
      <c r="I18" s="5"/>
      <c r="J18" s="5">
        <v>101289.24</v>
      </c>
      <c r="K18" s="5">
        <v>80</v>
      </c>
      <c r="L18" s="5"/>
      <c r="M18" s="5">
        <v>14037</v>
      </c>
      <c r="N18" s="5"/>
      <c r="O18" s="5">
        <v>2300</v>
      </c>
      <c r="P18" s="5">
        <v>3900</v>
      </c>
      <c r="Q18" s="5">
        <f>SUM(E18:P18)</f>
        <v>6058346.4100000001</v>
      </c>
    </row>
    <row r="19" spans="1:20" x14ac:dyDescent="0.2">
      <c r="D19" s="26" t="s">
        <v>62</v>
      </c>
      <c r="E19" s="28">
        <f>E18-E17</f>
        <v>-9.9999997764825821E-3</v>
      </c>
      <c r="F19" s="28">
        <f>F18-F17</f>
        <v>-1666666.6700000002</v>
      </c>
      <c r="G19" s="28">
        <f t="shared" ref="G19:Q19" si="5">G18-G17</f>
        <v>-108111.4</v>
      </c>
      <c r="H19" s="28">
        <f t="shared" si="5"/>
        <v>46432.670000000013</v>
      </c>
      <c r="I19" s="28">
        <f t="shared" si="5"/>
        <v>0</v>
      </c>
      <c r="J19" s="28">
        <f t="shared" si="5"/>
        <v>50289.240000000005</v>
      </c>
      <c r="K19" s="28">
        <f t="shared" si="5"/>
        <v>-100</v>
      </c>
      <c r="L19" s="28">
        <f t="shared" si="5"/>
        <v>0</v>
      </c>
      <c r="M19" s="28">
        <f t="shared" si="5"/>
        <v>6837</v>
      </c>
      <c r="N19" s="28">
        <f t="shared" si="5"/>
        <v>-175</v>
      </c>
      <c r="O19" s="28">
        <f t="shared" si="5"/>
        <v>300</v>
      </c>
      <c r="P19" s="28">
        <f t="shared" si="5"/>
        <v>-96100</v>
      </c>
      <c r="Q19" s="28">
        <f t="shared" si="5"/>
        <v>-1767294.17</v>
      </c>
      <c r="R19" s="110"/>
    </row>
    <row r="20" spans="1:20" x14ac:dyDescent="0.2">
      <c r="D20" s="26" t="s">
        <v>36</v>
      </c>
      <c r="E20" s="29">
        <f t="shared" si="1"/>
        <v>3921767.25</v>
      </c>
      <c r="F20" s="29">
        <v>3333333.33</v>
      </c>
      <c r="G20" s="5">
        <v>258742</v>
      </c>
      <c r="H20" s="5">
        <v>178843</v>
      </c>
      <c r="I20" s="5"/>
      <c r="J20" s="5">
        <v>51000</v>
      </c>
      <c r="K20" s="5">
        <v>180</v>
      </c>
      <c r="L20" s="5"/>
      <c r="M20" s="5">
        <v>7200</v>
      </c>
      <c r="N20" s="5">
        <v>195</v>
      </c>
      <c r="O20" s="5">
        <v>2000</v>
      </c>
      <c r="P20" s="5">
        <v>100000</v>
      </c>
      <c r="Q20" s="5">
        <f t="shared" si="4"/>
        <v>7853260.5800000001</v>
      </c>
    </row>
    <row r="21" spans="1:20" x14ac:dyDescent="0.2">
      <c r="D21" s="26" t="s">
        <v>37</v>
      </c>
      <c r="E21" s="29">
        <f t="shared" si="1"/>
        <v>3921767.25</v>
      </c>
      <c r="F21" s="29">
        <v>3333333.33</v>
      </c>
      <c r="G21" s="5">
        <v>223742</v>
      </c>
      <c r="H21" s="5">
        <v>178843</v>
      </c>
      <c r="I21" s="5"/>
      <c r="J21" s="5">
        <v>51000</v>
      </c>
      <c r="K21" s="5">
        <v>180</v>
      </c>
      <c r="L21" s="5"/>
      <c r="M21" s="5">
        <v>7200</v>
      </c>
      <c r="N21" s="5">
        <v>184</v>
      </c>
      <c r="O21" s="5">
        <v>2000</v>
      </c>
      <c r="P21" s="5">
        <v>100000</v>
      </c>
      <c r="Q21" s="5">
        <f t="shared" si="4"/>
        <v>7818249.5800000001</v>
      </c>
    </row>
    <row r="22" spans="1:20" x14ac:dyDescent="0.2">
      <c r="D22" s="26" t="s">
        <v>38</v>
      </c>
      <c r="E22" s="29">
        <f t="shared" si="1"/>
        <v>3921767.25</v>
      </c>
      <c r="F22" s="29">
        <v>3333333.33</v>
      </c>
      <c r="G22" s="5">
        <v>223741.75</v>
      </c>
      <c r="H22" s="5">
        <v>178843</v>
      </c>
      <c r="I22" s="5"/>
      <c r="J22" s="5">
        <v>51000</v>
      </c>
      <c r="K22" s="5">
        <v>180</v>
      </c>
      <c r="L22" s="5"/>
      <c r="M22" s="5">
        <v>7200</v>
      </c>
      <c r="N22" s="5">
        <v>182</v>
      </c>
      <c r="O22" s="5">
        <v>2000</v>
      </c>
      <c r="P22" s="5">
        <v>100000</v>
      </c>
      <c r="Q22" s="5">
        <f t="shared" si="4"/>
        <v>7818247.3300000001</v>
      </c>
    </row>
    <row r="23" spans="1:20" x14ac:dyDescent="0.2">
      <c r="D23" s="26" t="s">
        <v>39</v>
      </c>
      <c r="E23" s="29">
        <f t="shared" si="1"/>
        <v>3921767.25</v>
      </c>
      <c r="F23" s="29">
        <v>3333333.33</v>
      </c>
      <c r="G23" s="5">
        <v>223741.75</v>
      </c>
      <c r="H23" s="5">
        <v>178843</v>
      </c>
      <c r="I23" s="5"/>
      <c r="J23" s="5">
        <v>51000</v>
      </c>
      <c r="K23" s="5">
        <v>180</v>
      </c>
      <c r="L23" s="5"/>
      <c r="M23" s="5">
        <v>10800</v>
      </c>
      <c r="N23" s="5">
        <v>235</v>
      </c>
      <c r="O23" s="5">
        <v>2000</v>
      </c>
      <c r="P23" s="5">
        <v>100000</v>
      </c>
      <c r="Q23" s="5">
        <f t="shared" si="4"/>
        <v>7821900.3300000001</v>
      </c>
    </row>
    <row r="24" spans="1:20" x14ac:dyDescent="0.2">
      <c r="D24" s="26" t="s">
        <v>40</v>
      </c>
      <c r="E24" s="29">
        <f t="shared" si="1"/>
        <v>3921767.25</v>
      </c>
      <c r="F24" s="29">
        <v>3333333.33</v>
      </c>
      <c r="G24" s="5">
        <f>223741.75+25000</f>
        <v>248741.75</v>
      </c>
      <c r="H24" s="5">
        <v>178843</v>
      </c>
      <c r="I24" s="5"/>
      <c r="J24" s="5">
        <v>51000</v>
      </c>
      <c r="K24" s="5">
        <v>180</v>
      </c>
      <c r="L24" s="5"/>
      <c r="M24" s="5">
        <v>10800</v>
      </c>
      <c r="N24" s="5">
        <v>290</v>
      </c>
      <c r="O24" s="5">
        <v>2000</v>
      </c>
      <c r="P24" s="5">
        <v>100000</v>
      </c>
      <c r="Q24" s="5">
        <f t="shared" si="4"/>
        <v>7846955.3300000001</v>
      </c>
    </row>
    <row r="25" spans="1:20" x14ac:dyDescent="0.2">
      <c r="D25" s="26" t="s">
        <v>41</v>
      </c>
      <c r="E25" s="29">
        <f t="shared" si="1"/>
        <v>3921767.25</v>
      </c>
      <c r="F25" s="29">
        <v>3333333.33</v>
      </c>
      <c r="G25" s="5">
        <v>223741.75</v>
      </c>
      <c r="H25" s="5">
        <v>178843</v>
      </c>
      <c r="I25" s="5"/>
      <c r="J25" s="5">
        <v>51000</v>
      </c>
      <c r="K25" s="5">
        <v>180</v>
      </c>
      <c r="L25" s="5"/>
      <c r="M25" s="5">
        <v>10800</v>
      </c>
      <c r="N25" s="5">
        <v>293</v>
      </c>
      <c r="O25" s="5">
        <v>2000</v>
      </c>
      <c r="P25" s="5">
        <v>100000</v>
      </c>
      <c r="Q25" s="5">
        <f t="shared" si="4"/>
        <v>7821958.3300000001</v>
      </c>
    </row>
    <row r="26" spans="1:20" x14ac:dyDescent="0.2">
      <c r="D26" s="26" t="s">
        <v>42</v>
      </c>
      <c r="E26" s="29">
        <f t="shared" si="1"/>
        <v>3921767.25</v>
      </c>
      <c r="F26" s="29">
        <v>3333333.33</v>
      </c>
      <c r="G26" s="5">
        <v>223741.75</v>
      </c>
      <c r="H26" s="5">
        <v>178843</v>
      </c>
      <c r="I26" s="5"/>
      <c r="J26" s="5">
        <v>51000</v>
      </c>
      <c r="K26" s="5">
        <v>180</v>
      </c>
      <c r="L26" s="5"/>
      <c r="M26" s="5">
        <v>10800</v>
      </c>
      <c r="N26" s="5">
        <v>205</v>
      </c>
      <c r="O26" s="5">
        <v>2000</v>
      </c>
      <c r="P26" s="5">
        <v>100000</v>
      </c>
      <c r="Q26" s="5">
        <f t="shared" si="4"/>
        <v>7821870.3300000001</v>
      </c>
    </row>
    <row r="27" spans="1:20" x14ac:dyDescent="0.2">
      <c r="D27" s="26" t="s">
        <v>43</v>
      </c>
      <c r="E27" s="29">
        <f t="shared" si="1"/>
        <v>3921767.25</v>
      </c>
      <c r="F27" s="29">
        <v>3333333.33</v>
      </c>
      <c r="G27" s="5">
        <v>223741.75</v>
      </c>
      <c r="H27" s="5">
        <v>178843</v>
      </c>
      <c r="I27" s="5"/>
      <c r="J27" s="5">
        <v>51000</v>
      </c>
      <c r="K27" s="5">
        <v>180</v>
      </c>
      <c r="L27" s="5"/>
      <c r="M27" s="5">
        <v>10800</v>
      </c>
      <c r="N27" s="5">
        <v>210</v>
      </c>
      <c r="O27" s="5">
        <v>2000</v>
      </c>
      <c r="P27" s="5">
        <v>100000</v>
      </c>
      <c r="Q27" s="5">
        <f t="shared" si="4"/>
        <v>7821875.3300000001</v>
      </c>
    </row>
    <row r="28" spans="1:20" x14ac:dyDescent="0.2">
      <c r="D28" s="26" t="s">
        <v>44</v>
      </c>
      <c r="E28" s="29">
        <f t="shared" si="1"/>
        <v>3921767.25</v>
      </c>
      <c r="F28" s="29">
        <v>3333333.33</v>
      </c>
      <c r="G28" s="5">
        <f>223741.75+80000</f>
        <v>303741.75</v>
      </c>
      <c r="H28" s="5">
        <v>400000</v>
      </c>
      <c r="I28" s="5"/>
      <c r="J28" s="5">
        <v>51000</v>
      </c>
      <c r="K28" s="5">
        <v>180</v>
      </c>
      <c r="L28" s="5"/>
      <c r="M28" s="5">
        <v>10800</v>
      </c>
      <c r="N28" s="5">
        <v>250</v>
      </c>
      <c r="O28" s="5">
        <v>2615.83</v>
      </c>
      <c r="P28" s="5">
        <v>500000</v>
      </c>
      <c r="Q28" s="5">
        <f t="shared" si="4"/>
        <v>8523688.1600000001</v>
      </c>
    </row>
    <row r="29" spans="1:20" s="7" customFormat="1" x14ac:dyDescent="0.2">
      <c r="A29" s="17"/>
      <c r="B29" s="17"/>
      <c r="C29" s="17"/>
      <c r="D29" s="26" t="s">
        <v>45</v>
      </c>
      <c r="E29" s="30">
        <f>E11+E14+E17+E20+E21+E22+E23+E24+E25+E26+E27+E28</f>
        <v>47061207</v>
      </c>
      <c r="F29" s="30">
        <f t="shared" ref="F29:Q29" si="6">F11+F14+F17+F20+F21+F22+F23+F24+F25+F26+F27+F28</f>
        <v>39999999.959999993</v>
      </c>
      <c r="G29" s="30">
        <f t="shared" si="6"/>
        <v>2727302</v>
      </c>
      <c r="H29" s="30">
        <f t="shared" si="6"/>
        <v>2367273</v>
      </c>
      <c r="I29" s="30">
        <f t="shared" si="6"/>
        <v>12632625.140000001</v>
      </c>
      <c r="J29" s="30">
        <f t="shared" si="6"/>
        <v>612000</v>
      </c>
      <c r="K29" s="30">
        <f t="shared" si="6"/>
        <v>2160</v>
      </c>
      <c r="L29" s="30">
        <f t="shared" si="6"/>
        <v>0</v>
      </c>
      <c r="M29" s="30">
        <f t="shared" si="6"/>
        <v>108000</v>
      </c>
      <c r="N29" s="30">
        <f t="shared" si="6"/>
        <v>2580</v>
      </c>
      <c r="O29" s="30">
        <f t="shared" si="6"/>
        <v>24615.83</v>
      </c>
      <c r="P29" s="30">
        <f t="shared" si="6"/>
        <v>1600000</v>
      </c>
      <c r="Q29" s="30">
        <f t="shared" si="6"/>
        <v>107137762.92999998</v>
      </c>
      <c r="R29" s="17"/>
      <c r="S29" s="17"/>
      <c r="T29" s="17"/>
    </row>
    <row r="30" spans="1:20" s="7" customFormat="1" x14ac:dyDescent="0.2">
      <c r="A30" s="17"/>
      <c r="B30" s="17"/>
      <c r="C30" s="17"/>
      <c r="D30" s="183" t="s">
        <v>244</v>
      </c>
      <c r="E30" s="55">
        <f>E11+E14+E17</f>
        <v>11765301.75</v>
      </c>
      <c r="F30" s="55">
        <f t="shared" ref="F30:Q30" si="7">F11+F14+F17</f>
        <v>9999999.9900000002</v>
      </c>
      <c r="G30" s="55">
        <f t="shared" si="7"/>
        <v>573625.75</v>
      </c>
      <c r="H30" s="55">
        <f t="shared" si="7"/>
        <v>536529</v>
      </c>
      <c r="I30" s="55">
        <f t="shared" si="7"/>
        <v>12632625.140000001</v>
      </c>
      <c r="J30" s="55">
        <f t="shared" si="7"/>
        <v>153000</v>
      </c>
      <c r="K30" s="55">
        <f t="shared" si="7"/>
        <v>540</v>
      </c>
      <c r="L30" s="55">
        <f t="shared" si="7"/>
        <v>0</v>
      </c>
      <c r="M30" s="55">
        <f t="shared" si="7"/>
        <v>21600</v>
      </c>
      <c r="N30" s="55">
        <f t="shared" si="7"/>
        <v>536</v>
      </c>
      <c r="O30" s="55">
        <f t="shared" si="7"/>
        <v>6000</v>
      </c>
      <c r="P30" s="55">
        <f t="shared" si="7"/>
        <v>300000</v>
      </c>
      <c r="Q30" s="55">
        <f t="shared" si="7"/>
        <v>35989757.629999995</v>
      </c>
      <c r="R30" s="247"/>
      <c r="S30" s="17"/>
      <c r="T30" s="17"/>
    </row>
    <row r="31" spans="1:20" s="7" customFormat="1" x14ac:dyDescent="0.2">
      <c r="A31" s="17"/>
      <c r="B31" s="17"/>
      <c r="C31" s="17"/>
      <c r="D31" s="184" t="s">
        <v>245</v>
      </c>
      <c r="E31" s="56">
        <f>E12+E15+E18</f>
        <v>11765301.710000001</v>
      </c>
      <c r="F31" s="56">
        <f t="shared" ref="F31:Q31" si="8">F12+F15+F18</f>
        <v>8333333.3300000001</v>
      </c>
      <c r="G31" s="56">
        <f t="shared" si="8"/>
        <v>322939.30000000005</v>
      </c>
      <c r="H31" s="56">
        <f t="shared" si="8"/>
        <v>664196.94999999995</v>
      </c>
      <c r="I31" s="56">
        <f t="shared" si="8"/>
        <v>12632625.140000001</v>
      </c>
      <c r="J31" s="56">
        <f t="shared" si="8"/>
        <v>249012.40999999997</v>
      </c>
      <c r="K31" s="56">
        <f t="shared" si="8"/>
        <v>240</v>
      </c>
      <c r="L31" s="56">
        <f t="shared" si="8"/>
        <v>0</v>
      </c>
      <c r="M31" s="56">
        <f t="shared" si="8"/>
        <v>32374</v>
      </c>
      <c r="N31" s="56">
        <f t="shared" si="8"/>
        <v>490</v>
      </c>
      <c r="O31" s="56">
        <f t="shared" si="8"/>
        <v>3170</v>
      </c>
      <c r="P31" s="56">
        <f t="shared" si="8"/>
        <v>154001.60000000001</v>
      </c>
      <c r="Q31" s="56">
        <f t="shared" si="8"/>
        <v>34157684.439999998</v>
      </c>
      <c r="R31" s="247"/>
      <c r="S31" s="17"/>
      <c r="T31" s="17"/>
    </row>
    <row r="32" spans="1:20" s="7" customFormat="1" x14ac:dyDescent="0.2">
      <c r="A32" s="17"/>
      <c r="B32" s="17"/>
      <c r="C32" s="17"/>
      <c r="D32" s="184" t="s">
        <v>97</v>
      </c>
      <c r="E32" s="57">
        <f>E31-E30</f>
        <v>-3.9999999105930328E-2</v>
      </c>
      <c r="F32" s="57">
        <f>F31-F30</f>
        <v>-1666666.6600000001</v>
      </c>
      <c r="G32" s="57">
        <f t="shared" ref="G32:Q32" si="9">G31-G30</f>
        <v>-250686.44999999995</v>
      </c>
      <c r="H32" s="57">
        <f t="shared" si="9"/>
        <v>127667.94999999995</v>
      </c>
      <c r="I32" s="57">
        <f t="shared" si="9"/>
        <v>0</v>
      </c>
      <c r="J32" s="57">
        <f t="shared" si="9"/>
        <v>96012.409999999974</v>
      </c>
      <c r="K32" s="57">
        <f t="shared" si="9"/>
        <v>-300</v>
      </c>
      <c r="L32" s="57">
        <f t="shared" si="9"/>
        <v>0</v>
      </c>
      <c r="M32" s="57">
        <f t="shared" si="9"/>
        <v>10774</v>
      </c>
      <c r="N32" s="57">
        <f t="shared" si="9"/>
        <v>-46</v>
      </c>
      <c r="O32" s="57">
        <f t="shared" si="9"/>
        <v>-2830</v>
      </c>
      <c r="P32" s="57">
        <f t="shared" si="9"/>
        <v>-145998.39999999999</v>
      </c>
      <c r="Q32" s="57">
        <f t="shared" si="9"/>
        <v>-1832073.1899999976</v>
      </c>
      <c r="R32" s="247"/>
      <c r="S32" s="17"/>
      <c r="T32" s="17"/>
    </row>
    <row r="33" spans="3:20" s="2" customFormat="1" x14ac:dyDescent="0.2">
      <c r="D33" s="8" t="s">
        <v>46</v>
      </c>
      <c r="E33" s="8">
        <v>1</v>
      </c>
      <c r="F33" s="8">
        <v>1</v>
      </c>
      <c r="G33" s="8">
        <v>2</v>
      </c>
      <c r="H33" s="8">
        <v>3</v>
      </c>
      <c r="I33" s="8"/>
      <c r="J33" s="8">
        <v>4</v>
      </c>
      <c r="K33" s="8">
        <v>5</v>
      </c>
      <c r="L33" s="8">
        <v>6</v>
      </c>
      <c r="M33" s="8">
        <v>7</v>
      </c>
      <c r="N33" s="8">
        <v>8</v>
      </c>
      <c r="O33" s="8">
        <v>9</v>
      </c>
      <c r="P33" s="8">
        <v>10</v>
      </c>
      <c r="Q33" s="9" t="s">
        <v>47</v>
      </c>
      <c r="R33" s="16"/>
      <c r="S33" s="16"/>
      <c r="T33" s="16"/>
    </row>
    <row r="34" spans="3:20" s="2" customFormat="1" x14ac:dyDescent="0.2">
      <c r="D34" s="10" t="s">
        <v>48</v>
      </c>
      <c r="E34" s="11">
        <f>+E29*100/Q29</f>
        <v>43.925881699385613</v>
      </c>
      <c r="F34" s="11">
        <f>+F29*100/Q29</f>
        <v>37.335108430567644</v>
      </c>
      <c r="G34" s="11">
        <f>+G29*100/Q29</f>
        <v>2.5456028998682028</v>
      </c>
      <c r="H34" s="11">
        <f>+H29*100/Q29</f>
        <v>2.2095598557034388</v>
      </c>
      <c r="I34" s="11">
        <f>+I29*100/Q29</f>
        <v>11.79101074590638</v>
      </c>
      <c r="J34" s="11">
        <f>+J29*100/Q29</f>
        <v>0.57122715955891212</v>
      </c>
      <c r="K34" s="11">
        <f>+K29*100/Q29</f>
        <v>2.0160958572667488E-3</v>
      </c>
      <c r="L34" s="11">
        <f>+L29*100/Q29</f>
        <v>0</v>
      </c>
      <c r="M34" s="11">
        <f>+M29*100/Q29</f>
        <v>0.10080479286333743</v>
      </c>
      <c r="N34" s="11">
        <f>+N29*100/Q29</f>
        <v>2.4081144961797278E-3</v>
      </c>
      <c r="O34" s="11">
        <f>+O29*100/Q29</f>
        <v>2.2975867076936368E-2</v>
      </c>
      <c r="P34" s="11">
        <f>+P29*100/Q29</f>
        <v>1.4934043387161102</v>
      </c>
      <c r="Q34" s="12">
        <f>SUM(E34:P34)</f>
        <v>100.00000000000001</v>
      </c>
      <c r="R34" s="16"/>
      <c r="S34" s="16"/>
      <c r="T34" s="16"/>
    </row>
    <row r="35" spans="3:20" x14ac:dyDescent="0.2">
      <c r="D35" s="13"/>
      <c r="E35" s="13"/>
      <c r="F35" s="13"/>
      <c r="G35" s="14"/>
      <c r="H35" s="6"/>
      <c r="I35" s="6"/>
      <c r="J35" s="6"/>
      <c r="K35" s="6"/>
      <c r="L35" s="15"/>
      <c r="Q35" s="6"/>
    </row>
    <row r="36" spans="3:20" x14ac:dyDescent="0.2">
      <c r="C36" s="110"/>
      <c r="D36" s="107"/>
      <c r="E36" s="107"/>
      <c r="F36" s="107"/>
      <c r="G36" s="108"/>
      <c r="H36" s="96"/>
      <c r="I36" s="96"/>
      <c r="J36" s="96"/>
      <c r="K36" s="96"/>
      <c r="L36" s="96"/>
      <c r="M36" s="96"/>
      <c r="N36" s="96"/>
      <c r="O36" s="96"/>
      <c r="P36" s="99"/>
      <c r="Q36" s="96"/>
    </row>
    <row r="37" spans="3:20" x14ac:dyDescent="0.2">
      <c r="C37" s="110"/>
      <c r="D37" s="107"/>
      <c r="E37" s="107"/>
      <c r="F37" s="107"/>
      <c r="G37" s="108"/>
      <c r="H37" s="96"/>
      <c r="I37" s="281" t="s">
        <v>229</v>
      </c>
      <c r="J37" s="282"/>
      <c r="K37" s="282"/>
      <c r="L37" s="282"/>
      <c r="M37" s="283"/>
      <c r="N37" s="96"/>
      <c r="O37" s="96"/>
      <c r="P37" s="99"/>
      <c r="Q37" s="96"/>
    </row>
    <row r="38" spans="3:20" x14ac:dyDescent="0.2">
      <c r="C38" s="110"/>
      <c r="D38" s="107"/>
      <c r="E38" s="107"/>
      <c r="F38" s="107"/>
      <c r="G38" s="108"/>
      <c r="H38" s="96"/>
      <c r="I38" s="96" t="s">
        <v>230</v>
      </c>
      <c r="J38" s="96"/>
      <c r="K38" s="96"/>
      <c r="L38" s="96"/>
      <c r="M38" s="122">
        <v>87061206.959999993</v>
      </c>
      <c r="N38" s="96"/>
      <c r="O38" s="96"/>
      <c r="P38" s="99"/>
      <c r="Q38" s="96"/>
    </row>
    <row r="39" spans="3:20" x14ac:dyDescent="0.2">
      <c r="C39" s="110"/>
      <c r="D39" s="107"/>
      <c r="E39" s="107"/>
      <c r="F39" s="107"/>
      <c r="G39" s="108"/>
      <c r="H39" s="96" t="s">
        <v>83</v>
      </c>
      <c r="I39" s="96" t="s">
        <v>231</v>
      </c>
      <c r="J39" s="96"/>
      <c r="K39" s="96"/>
      <c r="L39" s="96"/>
      <c r="M39" s="96">
        <v>20076555</v>
      </c>
      <c r="N39" s="96"/>
      <c r="O39" s="96"/>
      <c r="P39" s="99"/>
      <c r="Q39" s="96"/>
    </row>
    <row r="40" spans="3:20" x14ac:dyDescent="0.2">
      <c r="C40" s="110"/>
      <c r="D40" s="107"/>
      <c r="E40" s="107"/>
      <c r="F40" s="107"/>
      <c r="G40" s="108"/>
      <c r="H40" s="96"/>
      <c r="I40" s="96" t="s">
        <v>232</v>
      </c>
      <c r="J40" s="96"/>
      <c r="K40" s="96"/>
      <c r="L40" s="122">
        <v>12632625</v>
      </c>
      <c r="M40" s="96"/>
      <c r="N40" s="96"/>
      <c r="O40" s="96"/>
      <c r="P40" s="99"/>
      <c r="Q40" s="96"/>
    </row>
    <row r="41" spans="3:20" x14ac:dyDescent="0.2">
      <c r="C41" s="110"/>
      <c r="D41" s="107"/>
      <c r="E41" s="107"/>
      <c r="F41" s="107"/>
      <c r="G41" s="108"/>
      <c r="H41" s="96"/>
      <c r="I41" s="96" t="s">
        <v>233</v>
      </c>
      <c r="J41" s="96"/>
      <c r="K41" s="96"/>
      <c r="L41" s="96">
        <v>7443930</v>
      </c>
      <c r="M41" s="96"/>
      <c r="N41" s="96"/>
      <c r="O41" s="96"/>
      <c r="P41" s="99"/>
      <c r="Q41" s="96"/>
    </row>
    <row r="42" spans="3:20" x14ac:dyDescent="0.2">
      <c r="C42" s="110"/>
      <c r="D42" s="107"/>
      <c r="E42" s="107"/>
      <c r="F42" s="107"/>
      <c r="G42" s="108"/>
      <c r="H42" s="96" t="s">
        <v>95</v>
      </c>
      <c r="I42" s="96" t="s">
        <v>234</v>
      </c>
      <c r="J42" s="96"/>
      <c r="K42" s="96"/>
      <c r="L42" s="96"/>
      <c r="M42" s="123">
        <f>SUM(M38:M41)</f>
        <v>107137761.95999999</v>
      </c>
      <c r="N42" s="96"/>
      <c r="O42" s="96"/>
      <c r="P42" s="99"/>
      <c r="Q42" s="96"/>
    </row>
    <row r="43" spans="3:20" x14ac:dyDescent="0.2">
      <c r="C43" s="110"/>
      <c r="D43" s="107"/>
      <c r="E43" s="107"/>
      <c r="F43" s="107"/>
      <c r="G43" s="108"/>
      <c r="H43" s="96"/>
      <c r="I43" s="96"/>
      <c r="J43" s="96"/>
      <c r="K43" s="96"/>
      <c r="L43" s="96"/>
      <c r="M43" s="96"/>
      <c r="N43" s="96"/>
      <c r="O43" s="96"/>
      <c r="P43" s="99"/>
      <c r="Q43" s="96"/>
    </row>
    <row r="44" spans="3:20" x14ac:dyDescent="0.2">
      <c r="C44" s="110"/>
      <c r="D44" s="107"/>
      <c r="E44" s="107"/>
      <c r="F44" s="107"/>
      <c r="G44" s="108"/>
      <c r="H44" s="96"/>
      <c r="I44" s="96"/>
      <c r="J44" s="96"/>
      <c r="K44" s="96"/>
      <c r="L44" s="96"/>
      <c r="M44" s="96"/>
      <c r="N44" s="96"/>
      <c r="O44" s="96"/>
      <c r="P44" s="99"/>
      <c r="Q44" s="96"/>
    </row>
    <row r="45" spans="3:20" ht="12.75" x14ac:dyDescent="0.2">
      <c r="C45" s="110"/>
      <c r="D45" s="269" t="s">
        <v>49</v>
      </c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</row>
    <row r="46" spans="3:20" x14ac:dyDescent="0.2">
      <c r="C46" s="109">
        <v>1</v>
      </c>
      <c r="D46" s="110" t="s">
        <v>242</v>
      </c>
      <c r="E46" s="110"/>
      <c r="F46" s="110"/>
      <c r="G46" s="111"/>
      <c r="H46" s="110"/>
      <c r="I46" s="110"/>
      <c r="J46" s="110"/>
      <c r="K46" s="110"/>
      <c r="L46" s="110"/>
      <c r="M46" s="110"/>
      <c r="N46" s="110"/>
      <c r="O46" s="110"/>
      <c r="P46" s="111"/>
      <c r="Q46" s="110"/>
    </row>
    <row r="47" spans="3:20" x14ac:dyDescent="0.2">
      <c r="C47" s="109"/>
      <c r="D47" s="110" t="s">
        <v>243</v>
      </c>
      <c r="E47" s="110"/>
      <c r="F47" s="110"/>
      <c r="G47" s="111"/>
      <c r="H47" s="110"/>
      <c r="I47" s="110"/>
      <c r="J47" s="110"/>
      <c r="K47" s="110"/>
      <c r="L47" s="110"/>
      <c r="M47" s="110"/>
      <c r="N47" s="110"/>
      <c r="O47" s="110"/>
      <c r="P47" s="111"/>
      <c r="Q47" s="110"/>
    </row>
    <row r="48" spans="3:20" x14ac:dyDescent="0.2">
      <c r="C48" s="109"/>
      <c r="D48" s="110" t="s">
        <v>50</v>
      </c>
      <c r="E48" s="110"/>
      <c r="F48" s="110"/>
      <c r="G48" s="111"/>
      <c r="H48" s="110"/>
      <c r="I48" s="110"/>
      <c r="J48" s="110"/>
      <c r="K48" s="110"/>
      <c r="L48" s="110"/>
      <c r="M48" s="110"/>
      <c r="N48" s="110"/>
      <c r="O48" s="110"/>
      <c r="P48" s="111"/>
      <c r="Q48" s="110"/>
    </row>
    <row r="49" spans="3:17" x14ac:dyDescent="0.2">
      <c r="C49" s="109">
        <v>2</v>
      </c>
      <c r="D49" s="110" t="s">
        <v>51</v>
      </c>
      <c r="E49" s="110"/>
      <c r="F49" s="96"/>
      <c r="G49" s="99"/>
      <c r="H49" s="96"/>
      <c r="I49" s="96"/>
      <c r="J49" s="96"/>
      <c r="K49" s="96"/>
      <c r="L49" s="96"/>
      <c r="M49" s="96"/>
      <c r="N49" s="96"/>
      <c r="O49" s="96"/>
      <c r="P49" s="112"/>
      <c r="Q49" s="96"/>
    </row>
    <row r="50" spans="3:17" x14ac:dyDescent="0.2">
      <c r="C50" s="109">
        <v>3</v>
      </c>
      <c r="D50" s="110" t="s">
        <v>52</v>
      </c>
      <c r="E50" s="110"/>
      <c r="F50" s="96"/>
      <c r="G50" s="99"/>
      <c r="H50" s="96"/>
      <c r="I50" s="96"/>
      <c r="J50" s="96"/>
      <c r="K50" s="96"/>
      <c r="L50" s="96"/>
      <c r="M50" s="96"/>
      <c r="N50" s="96"/>
      <c r="O50" s="96"/>
      <c r="P50" s="99"/>
      <c r="Q50" s="96"/>
    </row>
    <row r="51" spans="3:17" x14ac:dyDescent="0.2">
      <c r="C51" s="109">
        <v>4</v>
      </c>
      <c r="D51" s="110" t="s">
        <v>53</v>
      </c>
      <c r="E51" s="110"/>
      <c r="F51" s="96"/>
      <c r="G51" s="99"/>
      <c r="H51" s="96"/>
      <c r="I51" s="96"/>
      <c r="J51" s="96"/>
      <c r="K51" s="96"/>
      <c r="L51" s="96"/>
      <c r="M51" s="96"/>
      <c r="N51" s="96"/>
      <c r="O51" s="96"/>
      <c r="P51" s="99"/>
      <c r="Q51" s="96"/>
    </row>
    <row r="52" spans="3:17" ht="13.5" customHeight="1" x14ac:dyDescent="0.2">
      <c r="C52" s="109">
        <v>5</v>
      </c>
      <c r="D52" s="110" t="s">
        <v>54</v>
      </c>
      <c r="E52" s="110"/>
      <c r="F52" s="96"/>
      <c r="G52" s="99"/>
      <c r="H52" s="96"/>
      <c r="I52" s="96"/>
      <c r="J52" s="96"/>
      <c r="K52" s="96"/>
      <c r="L52" s="96"/>
      <c r="M52" s="96"/>
      <c r="N52" s="96"/>
      <c r="O52" s="96"/>
      <c r="P52" s="99"/>
      <c r="Q52" s="96"/>
    </row>
    <row r="53" spans="3:17" x14ac:dyDescent="0.2">
      <c r="C53" s="109">
        <v>6</v>
      </c>
      <c r="D53" s="110" t="s">
        <v>228</v>
      </c>
      <c r="E53" s="110"/>
      <c r="F53" s="96"/>
      <c r="G53" s="99"/>
      <c r="H53" s="96"/>
      <c r="I53" s="96"/>
      <c r="J53" s="96"/>
      <c r="K53" s="96"/>
      <c r="L53" s="96"/>
      <c r="M53" s="96"/>
      <c r="N53" s="96"/>
      <c r="O53" s="96"/>
      <c r="P53" s="99"/>
      <c r="Q53" s="96"/>
    </row>
    <row r="54" spans="3:17" x14ac:dyDescent="0.2">
      <c r="C54" s="109">
        <v>7</v>
      </c>
      <c r="D54" s="110" t="s">
        <v>235</v>
      </c>
      <c r="E54" s="110"/>
      <c r="F54" s="96"/>
      <c r="G54" s="99"/>
      <c r="H54" s="96"/>
      <c r="I54" s="96"/>
      <c r="J54" s="96"/>
      <c r="K54" s="96"/>
      <c r="L54" s="96"/>
      <c r="M54" s="96"/>
      <c r="N54" s="96"/>
      <c r="O54" s="96"/>
      <c r="P54" s="99"/>
      <c r="Q54" s="96"/>
    </row>
    <row r="55" spans="3:17" x14ac:dyDescent="0.2">
      <c r="C55" s="109">
        <v>8</v>
      </c>
      <c r="D55" s="110" t="s">
        <v>55</v>
      </c>
      <c r="E55" s="110"/>
      <c r="F55" s="96"/>
      <c r="G55" s="99"/>
      <c r="H55" s="96"/>
      <c r="I55" s="96"/>
      <c r="J55" s="96"/>
      <c r="K55" s="96"/>
      <c r="L55" s="96"/>
      <c r="M55" s="96"/>
      <c r="N55" s="96"/>
      <c r="O55" s="96"/>
      <c r="P55" s="99"/>
      <c r="Q55" s="96"/>
    </row>
    <row r="56" spans="3:17" x14ac:dyDescent="0.2">
      <c r="C56" s="109">
        <v>9</v>
      </c>
      <c r="D56" s="110" t="s">
        <v>56</v>
      </c>
      <c r="E56" s="110"/>
      <c r="F56" s="96"/>
      <c r="G56" s="99"/>
      <c r="H56" s="113"/>
      <c r="I56" s="113"/>
      <c r="J56" s="113"/>
      <c r="K56" s="113"/>
      <c r="L56" s="113"/>
      <c r="M56" s="113"/>
      <c r="N56" s="113"/>
      <c r="O56" s="113"/>
      <c r="P56" s="114"/>
      <c r="Q56" s="113"/>
    </row>
    <row r="57" spans="3:17" x14ac:dyDescent="0.2">
      <c r="C57" s="109">
        <v>10</v>
      </c>
      <c r="D57" s="110" t="s">
        <v>57</v>
      </c>
      <c r="E57" s="110"/>
      <c r="F57" s="96"/>
      <c r="G57" s="99"/>
      <c r="H57" s="113"/>
      <c r="I57" s="113"/>
      <c r="J57" s="113"/>
      <c r="K57" s="113"/>
      <c r="L57" s="113"/>
      <c r="M57" s="113"/>
      <c r="N57" s="113"/>
      <c r="O57" s="113"/>
      <c r="P57" s="114"/>
      <c r="Q57" s="113"/>
    </row>
    <row r="58" spans="3:17" x14ac:dyDescent="0.2">
      <c r="D58" s="18"/>
      <c r="E58" s="18"/>
      <c r="F58" s="18"/>
      <c r="G58" s="19"/>
      <c r="H58" s="18"/>
      <c r="I58" s="18"/>
      <c r="J58" s="18"/>
      <c r="K58" s="20"/>
      <c r="L58" s="20"/>
      <c r="M58" s="18"/>
      <c r="N58" s="18"/>
      <c r="O58" s="18"/>
    </row>
    <row r="59" spans="3:17" x14ac:dyDescent="0.2">
      <c r="D59" s="18"/>
      <c r="E59" s="18"/>
      <c r="F59" s="18"/>
      <c r="G59" s="19"/>
      <c r="H59" s="18"/>
      <c r="I59" s="18"/>
      <c r="J59" s="18"/>
      <c r="K59" s="20"/>
      <c r="L59" s="20"/>
      <c r="M59" s="18"/>
      <c r="N59" s="18"/>
      <c r="O59" s="18"/>
    </row>
    <row r="60" spans="3:17" x14ac:dyDescent="0.2">
      <c r="D60" s="18"/>
      <c r="E60" s="18"/>
      <c r="F60" s="18"/>
      <c r="G60" s="19"/>
      <c r="H60" s="18"/>
      <c r="I60" s="18"/>
      <c r="J60" s="18"/>
      <c r="K60" s="19"/>
      <c r="L60" s="19"/>
      <c r="M60" s="18"/>
      <c r="N60" s="18"/>
      <c r="O60" s="18"/>
    </row>
    <row r="61" spans="3:17" x14ac:dyDescent="0.2">
      <c r="D61" s="18"/>
      <c r="E61" s="18"/>
      <c r="F61" s="18"/>
      <c r="G61" s="19"/>
      <c r="H61" s="18"/>
      <c r="I61" s="18"/>
      <c r="J61" s="18"/>
      <c r="K61" s="19"/>
      <c r="L61" s="19"/>
      <c r="M61" s="18"/>
      <c r="N61" s="18"/>
      <c r="O61" s="18"/>
    </row>
    <row r="62" spans="3:17" x14ac:dyDescent="0.2">
      <c r="D62" s="18"/>
      <c r="E62" s="18"/>
      <c r="F62" s="18"/>
      <c r="G62" s="19"/>
      <c r="H62" s="18"/>
      <c r="I62" s="18"/>
      <c r="J62" s="18"/>
      <c r="K62" s="19"/>
      <c r="L62" s="19"/>
      <c r="M62" s="18"/>
      <c r="N62" s="18"/>
      <c r="O62" s="18"/>
    </row>
    <row r="63" spans="3:17" x14ac:dyDescent="0.2">
      <c r="D63" s="18"/>
      <c r="E63" s="18"/>
      <c r="F63" s="18"/>
      <c r="G63" s="19"/>
      <c r="H63" s="18"/>
      <c r="I63" s="18"/>
      <c r="J63" s="18"/>
      <c r="K63" s="19"/>
      <c r="L63" s="19"/>
      <c r="M63" s="18"/>
      <c r="N63" s="18"/>
      <c r="O63" s="18"/>
    </row>
    <row r="64" spans="3:17" x14ac:dyDescent="0.2">
      <c r="D64" s="18"/>
      <c r="E64" s="18"/>
      <c r="F64" s="18"/>
      <c r="G64" s="19"/>
      <c r="H64" s="18"/>
      <c r="I64" s="18"/>
      <c r="J64" s="18"/>
      <c r="K64" s="19"/>
      <c r="L64" s="19"/>
      <c r="M64" s="18"/>
      <c r="N64" s="18"/>
      <c r="O64" s="18"/>
    </row>
    <row r="65" spans="4:15" x14ac:dyDescent="0.2">
      <c r="D65" s="21"/>
      <c r="E65" s="21"/>
      <c r="F65" s="21"/>
      <c r="G65" s="24"/>
      <c r="H65" s="18"/>
      <c r="I65" s="18"/>
      <c r="J65" s="18"/>
      <c r="K65" s="22"/>
      <c r="L65" s="22"/>
      <c r="M65" s="25"/>
      <c r="N65" s="18"/>
      <c r="O65" s="18"/>
    </row>
    <row r="66" spans="4:15" x14ac:dyDescent="0.2">
      <c r="D66" s="18"/>
      <c r="E66" s="18"/>
      <c r="F66" s="18"/>
      <c r="G66" s="19"/>
      <c r="H66" s="18"/>
      <c r="I66" s="18"/>
      <c r="J66" s="18"/>
      <c r="K66" s="18"/>
      <c r="L66" s="18"/>
      <c r="M66" s="23"/>
      <c r="N66" s="18"/>
      <c r="O66" s="18"/>
    </row>
    <row r="67" spans="4:15" x14ac:dyDescent="0.2">
      <c r="D67" s="18"/>
      <c r="E67" s="18"/>
      <c r="F67" s="18"/>
      <c r="G67" s="19"/>
      <c r="H67" s="18"/>
      <c r="I67" s="18"/>
      <c r="J67" s="18"/>
      <c r="K67" s="18"/>
      <c r="L67" s="18"/>
      <c r="M67" s="18"/>
      <c r="N67" s="18"/>
      <c r="O67" s="18"/>
    </row>
    <row r="68" spans="4:15" x14ac:dyDescent="0.2">
      <c r="D68" s="18"/>
      <c r="E68" s="18"/>
      <c r="F68" s="18"/>
      <c r="G68" s="19"/>
      <c r="H68" s="18"/>
      <c r="I68" s="18"/>
      <c r="J68" s="18"/>
      <c r="K68" s="18"/>
      <c r="L68" s="18"/>
      <c r="M68" s="23"/>
      <c r="N68" s="18"/>
      <c r="O68" s="18"/>
    </row>
    <row r="69" spans="4:15" x14ac:dyDescent="0.2">
      <c r="D69" s="18"/>
      <c r="E69" s="18"/>
      <c r="F69" s="18"/>
      <c r="G69" s="19"/>
      <c r="H69" s="18"/>
      <c r="I69" s="18"/>
      <c r="J69" s="18"/>
      <c r="K69" s="18"/>
      <c r="L69" s="18"/>
      <c r="M69" s="18"/>
      <c r="N69" s="18"/>
      <c r="O69" s="18"/>
    </row>
    <row r="70" spans="4:15" x14ac:dyDescent="0.2">
      <c r="D70" s="18"/>
      <c r="E70" s="18"/>
      <c r="F70" s="18"/>
      <c r="G70" s="19"/>
      <c r="H70" s="18"/>
      <c r="I70" s="18"/>
      <c r="J70" s="18"/>
      <c r="K70" s="18"/>
      <c r="L70" s="18"/>
      <c r="M70" s="18"/>
      <c r="N70" s="18"/>
      <c r="O70" s="18"/>
    </row>
    <row r="71" spans="4:15" x14ac:dyDescent="0.2">
      <c r="D71" s="18"/>
      <c r="E71" s="18"/>
      <c r="F71" s="18"/>
      <c r="G71" s="19"/>
      <c r="H71" s="18"/>
      <c r="I71" s="18"/>
      <c r="J71" s="18"/>
      <c r="K71" s="18"/>
      <c r="L71" s="18"/>
      <c r="M71" s="18"/>
      <c r="N71" s="18"/>
      <c r="O71" s="18"/>
    </row>
    <row r="72" spans="4:15" x14ac:dyDescent="0.2">
      <c r="D72" s="18"/>
      <c r="E72" s="18"/>
      <c r="F72" s="18"/>
      <c r="G72" s="19"/>
      <c r="H72" s="18"/>
      <c r="I72" s="18"/>
      <c r="J72" s="18"/>
      <c r="K72" s="18"/>
      <c r="L72" s="18"/>
      <c r="M72" s="18"/>
      <c r="N72" s="18"/>
      <c r="O72" s="18"/>
    </row>
    <row r="73" spans="4:15" x14ac:dyDescent="0.2">
      <c r="D73" s="18"/>
      <c r="E73" s="18"/>
      <c r="F73" s="18"/>
      <c r="G73" s="19"/>
      <c r="H73" s="18"/>
      <c r="I73" s="18"/>
      <c r="J73" s="18"/>
      <c r="K73" s="18"/>
      <c r="L73" s="18"/>
      <c r="M73" s="18"/>
      <c r="N73" s="18"/>
      <c r="O73" s="18"/>
    </row>
    <row r="74" spans="4:15" x14ac:dyDescent="0.2">
      <c r="D74" s="18"/>
      <c r="E74" s="18"/>
      <c r="F74" s="18"/>
      <c r="G74" s="19"/>
      <c r="H74" s="18"/>
      <c r="I74" s="18"/>
      <c r="J74" s="18"/>
      <c r="K74" s="18"/>
      <c r="L74" s="18"/>
      <c r="M74" s="18"/>
      <c r="N74" s="18"/>
      <c r="O74" s="18"/>
    </row>
    <row r="75" spans="4:15" x14ac:dyDescent="0.2">
      <c r="D75" s="18"/>
      <c r="E75" s="18"/>
      <c r="F75" s="18"/>
      <c r="G75" s="19"/>
      <c r="H75" s="18"/>
      <c r="I75" s="18"/>
      <c r="J75" s="18"/>
      <c r="K75" s="18"/>
      <c r="L75" s="18"/>
      <c r="M75" s="18"/>
      <c r="N75" s="18"/>
      <c r="O75" s="18"/>
    </row>
    <row r="76" spans="4:15" x14ac:dyDescent="0.2">
      <c r="D76" s="18"/>
      <c r="E76" s="18"/>
      <c r="F76" s="18"/>
      <c r="G76" s="19"/>
      <c r="H76" s="18"/>
      <c r="I76" s="18"/>
      <c r="J76" s="18"/>
      <c r="K76" s="18"/>
      <c r="L76" s="18"/>
      <c r="M76" s="18"/>
      <c r="N76" s="18"/>
      <c r="O76" s="18"/>
    </row>
    <row r="77" spans="4:15" x14ac:dyDescent="0.2">
      <c r="D77" s="18"/>
      <c r="E77" s="18"/>
      <c r="F77" s="18"/>
      <c r="G77" s="19"/>
      <c r="H77" s="18"/>
      <c r="I77" s="18"/>
      <c r="J77" s="18"/>
      <c r="K77" s="18"/>
      <c r="L77" s="18"/>
      <c r="M77" s="18"/>
      <c r="N77" s="18"/>
      <c r="O77" s="18"/>
    </row>
    <row r="78" spans="4:15" x14ac:dyDescent="0.2">
      <c r="D78" s="18"/>
      <c r="E78" s="18"/>
      <c r="F78" s="18"/>
      <c r="G78" s="19"/>
      <c r="H78" s="18"/>
      <c r="I78" s="18"/>
      <c r="J78" s="18"/>
      <c r="K78" s="18"/>
      <c r="L78" s="18"/>
      <c r="M78" s="18"/>
      <c r="N78" s="18"/>
      <c r="O78" s="18"/>
    </row>
    <row r="79" spans="4:15" x14ac:dyDescent="0.2">
      <c r="D79" s="18"/>
      <c r="E79" s="18"/>
      <c r="F79" s="18"/>
      <c r="G79" s="19"/>
      <c r="H79" s="18"/>
      <c r="I79" s="18"/>
      <c r="J79" s="18"/>
      <c r="K79" s="18"/>
      <c r="L79" s="18"/>
      <c r="M79" s="18"/>
      <c r="N79" s="18"/>
      <c r="O79" s="18"/>
    </row>
    <row r="80" spans="4:15" x14ac:dyDescent="0.2">
      <c r="D80" s="18"/>
      <c r="E80" s="18"/>
      <c r="F80" s="18"/>
      <c r="G80" s="19"/>
      <c r="H80" s="18"/>
      <c r="I80" s="18"/>
      <c r="J80" s="18"/>
      <c r="K80" s="18"/>
      <c r="L80" s="18"/>
      <c r="M80" s="18"/>
      <c r="N80" s="18"/>
      <c r="O80" s="18"/>
    </row>
    <row r="81" spans="4:15" x14ac:dyDescent="0.2">
      <c r="D81" s="18"/>
      <c r="E81" s="18"/>
      <c r="F81" s="18"/>
      <c r="G81" s="19"/>
      <c r="H81" s="18"/>
      <c r="I81" s="18"/>
      <c r="J81" s="18"/>
      <c r="K81" s="18"/>
      <c r="L81" s="18"/>
      <c r="M81" s="18"/>
      <c r="N81" s="18"/>
      <c r="O81" s="18"/>
    </row>
    <row r="82" spans="4:15" x14ac:dyDescent="0.2">
      <c r="D82" s="18"/>
      <c r="E82" s="18"/>
      <c r="F82" s="18"/>
      <c r="G82" s="19"/>
      <c r="H82" s="18"/>
      <c r="I82" s="18"/>
      <c r="J82" s="18"/>
      <c r="K82" s="18"/>
      <c r="L82" s="18"/>
      <c r="M82" s="18"/>
      <c r="N82" s="18"/>
      <c r="O82" s="18"/>
    </row>
    <row r="83" spans="4:15" x14ac:dyDescent="0.2">
      <c r="D83" s="18"/>
      <c r="E83" s="18"/>
      <c r="F83" s="18"/>
      <c r="G83" s="19"/>
      <c r="H83" s="18"/>
      <c r="I83" s="18"/>
      <c r="J83" s="18"/>
      <c r="K83" s="18"/>
      <c r="L83" s="18"/>
      <c r="M83" s="18"/>
      <c r="N83" s="18"/>
      <c r="O83" s="18"/>
    </row>
    <row r="84" spans="4:15" x14ac:dyDescent="0.2">
      <c r="D84" s="18"/>
      <c r="E84" s="18"/>
      <c r="F84" s="18"/>
      <c r="G84" s="19"/>
      <c r="H84" s="18"/>
      <c r="I84" s="18"/>
      <c r="J84" s="18"/>
      <c r="K84" s="18"/>
      <c r="L84" s="18"/>
      <c r="M84" s="18"/>
      <c r="N84" s="18"/>
      <c r="O84" s="18"/>
    </row>
    <row r="85" spans="4:15" x14ac:dyDescent="0.2">
      <c r="D85" s="18"/>
      <c r="E85" s="18"/>
      <c r="F85" s="18"/>
      <c r="G85" s="19"/>
      <c r="H85" s="18"/>
      <c r="I85" s="18"/>
      <c r="J85" s="18"/>
      <c r="K85" s="18"/>
      <c r="L85" s="18"/>
      <c r="M85" s="18"/>
      <c r="N85" s="18"/>
      <c r="O85" s="18"/>
    </row>
    <row r="86" spans="4:15" x14ac:dyDescent="0.2">
      <c r="D86" s="18"/>
      <c r="E86" s="18"/>
      <c r="F86" s="18"/>
      <c r="G86" s="19"/>
      <c r="H86" s="18"/>
      <c r="I86" s="18"/>
      <c r="J86" s="18"/>
      <c r="K86" s="18"/>
      <c r="L86" s="18"/>
      <c r="M86" s="18"/>
      <c r="N86" s="18"/>
      <c r="O86" s="18"/>
    </row>
    <row r="87" spans="4:15" x14ac:dyDescent="0.2">
      <c r="D87" s="18"/>
      <c r="E87" s="18"/>
      <c r="F87" s="18"/>
      <c r="G87" s="19"/>
      <c r="H87" s="18"/>
      <c r="I87" s="18"/>
      <c r="J87" s="18"/>
      <c r="K87" s="18"/>
      <c r="L87" s="18"/>
      <c r="M87" s="18"/>
      <c r="N87" s="18"/>
      <c r="O87" s="18"/>
    </row>
    <row r="88" spans="4:15" x14ac:dyDescent="0.2">
      <c r="D88" s="18"/>
      <c r="E88" s="18"/>
      <c r="F88" s="18"/>
      <c r="G88" s="19"/>
      <c r="H88" s="18"/>
      <c r="I88" s="18"/>
      <c r="J88" s="18"/>
      <c r="K88" s="18"/>
      <c r="L88" s="18"/>
      <c r="M88" s="18"/>
      <c r="N88" s="18"/>
      <c r="O88" s="18"/>
    </row>
    <row r="89" spans="4:15" x14ac:dyDescent="0.2">
      <c r="D89" s="18"/>
      <c r="E89" s="18"/>
      <c r="F89" s="18"/>
      <c r="G89" s="19"/>
      <c r="H89" s="18"/>
      <c r="I89" s="18"/>
      <c r="J89" s="18"/>
      <c r="K89" s="18"/>
      <c r="L89" s="18"/>
      <c r="M89" s="18"/>
      <c r="N89" s="18"/>
      <c r="O89" s="18"/>
    </row>
    <row r="90" spans="4:15" x14ac:dyDescent="0.2">
      <c r="D90" s="18"/>
      <c r="E90" s="18"/>
      <c r="F90" s="18"/>
      <c r="G90" s="19"/>
      <c r="H90" s="18"/>
      <c r="I90" s="18"/>
      <c r="J90" s="18"/>
      <c r="K90" s="18"/>
      <c r="L90" s="18"/>
      <c r="M90" s="18"/>
      <c r="N90" s="18"/>
      <c r="O90" s="18"/>
    </row>
    <row r="91" spans="4:15" x14ac:dyDescent="0.2">
      <c r="D91" s="18"/>
      <c r="E91" s="18"/>
      <c r="F91" s="18"/>
      <c r="G91" s="19"/>
      <c r="H91" s="18"/>
      <c r="I91" s="18"/>
      <c r="J91" s="18"/>
      <c r="K91" s="18"/>
      <c r="L91" s="18"/>
      <c r="M91" s="18"/>
      <c r="N91" s="18"/>
      <c r="O91" s="18"/>
    </row>
    <row r="92" spans="4:15" x14ac:dyDescent="0.2">
      <c r="D92" s="18"/>
      <c r="E92" s="18"/>
      <c r="F92" s="18"/>
      <c r="G92" s="19"/>
      <c r="H92" s="18"/>
      <c r="I92" s="18"/>
      <c r="J92" s="18"/>
      <c r="K92" s="18"/>
      <c r="L92" s="18"/>
      <c r="M92" s="18"/>
      <c r="N92" s="18"/>
      <c r="O92" s="18"/>
    </row>
    <row r="93" spans="4:15" x14ac:dyDescent="0.2">
      <c r="D93" s="18"/>
      <c r="E93" s="18"/>
      <c r="F93" s="18"/>
      <c r="G93" s="19"/>
      <c r="H93" s="18"/>
      <c r="I93" s="18"/>
      <c r="J93" s="18"/>
      <c r="K93" s="18"/>
      <c r="L93" s="18"/>
      <c r="M93" s="18"/>
      <c r="N93" s="18"/>
      <c r="O93" s="18"/>
    </row>
    <row r="94" spans="4:15" x14ac:dyDescent="0.2">
      <c r="D94" s="18"/>
      <c r="E94" s="18"/>
      <c r="F94" s="18"/>
      <c r="G94" s="19"/>
      <c r="H94" s="18"/>
      <c r="I94" s="18"/>
      <c r="J94" s="18"/>
      <c r="K94" s="18"/>
      <c r="L94" s="18"/>
      <c r="M94" s="18"/>
      <c r="N94" s="18"/>
      <c r="O94" s="18"/>
    </row>
    <row r="95" spans="4:15" x14ac:dyDescent="0.2">
      <c r="D95" s="18"/>
      <c r="E95" s="18"/>
      <c r="F95" s="18"/>
      <c r="G95" s="19"/>
      <c r="H95" s="18"/>
      <c r="I95" s="18"/>
      <c r="J95" s="18"/>
      <c r="K95" s="18"/>
      <c r="L95" s="18"/>
      <c r="M95" s="18"/>
      <c r="N95" s="18"/>
      <c r="O95" s="18"/>
    </row>
    <row r="96" spans="4:15" x14ac:dyDescent="0.2">
      <c r="D96" s="18"/>
      <c r="E96" s="18"/>
      <c r="F96" s="18"/>
      <c r="G96" s="19"/>
      <c r="H96" s="18"/>
      <c r="I96" s="18"/>
      <c r="J96" s="18"/>
      <c r="K96" s="18"/>
      <c r="L96" s="18"/>
      <c r="M96" s="18"/>
      <c r="N96" s="18"/>
      <c r="O96" s="18"/>
    </row>
    <row r="97" spans="4:15" x14ac:dyDescent="0.2">
      <c r="D97" s="18"/>
      <c r="E97" s="18"/>
      <c r="F97" s="18"/>
      <c r="G97" s="19"/>
      <c r="H97" s="18"/>
      <c r="I97" s="18"/>
      <c r="J97" s="18"/>
      <c r="K97" s="18"/>
      <c r="L97" s="18"/>
      <c r="M97" s="18"/>
      <c r="N97" s="18"/>
      <c r="O97" s="18"/>
    </row>
    <row r="98" spans="4:15" x14ac:dyDescent="0.2">
      <c r="D98" s="18"/>
      <c r="E98" s="18"/>
      <c r="F98" s="18"/>
      <c r="G98" s="19"/>
      <c r="H98" s="18"/>
      <c r="I98" s="18"/>
      <c r="J98" s="18"/>
      <c r="K98" s="18"/>
      <c r="L98" s="18"/>
      <c r="M98" s="18"/>
      <c r="N98" s="18"/>
      <c r="O98" s="18"/>
    </row>
  </sheetData>
  <mergeCells count="8">
    <mergeCell ref="I37:M37"/>
    <mergeCell ref="D45:Q45"/>
    <mergeCell ref="D6:D7"/>
    <mergeCell ref="E6:F7"/>
    <mergeCell ref="G6:I7"/>
    <mergeCell ref="J6:J7"/>
    <mergeCell ref="K6:P7"/>
    <mergeCell ref="Q6:Q7"/>
  </mergeCells>
  <pageMargins left="0.70866141732283472" right="0.70866141732283472" top="0.74803149606299213" bottom="0.74803149606299213" header="0.31496062992125984" footer="0.31496062992125984"/>
  <pageSetup paperSize="5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R133"/>
  <sheetViews>
    <sheetView topLeftCell="A118" workbookViewId="0">
      <selection activeCell="F130" sqref="F130"/>
    </sheetView>
  </sheetViews>
  <sheetFormatPr baseColWidth="10" defaultColWidth="9.140625" defaultRowHeight="12.75" x14ac:dyDescent="0.2"/>
  <cols>
    <col min="1" max="1" width="6.140625" style="201" customWidth="1"/>
    <col min="2" max="2" width="5.85546875" style="201" customWidth="1"/>
    <col min="3" max="3" width="51.140625" style="201" customWidth="1"/>
    <col min="4" max="4" width="13" style="201" customWidth="1"/>
    <col min="5" max="5" width="12.42578125" style="201" customWidth="1"/>
    <col min="6" max="6" width="17.7109375" style="201" customWidth="1"/>
    <col min="7" max="7" width="16.140625" style="201" customWidth="1"/>
    <col min="8" max="8" width="13.85546875" style="201" customWidth="1"/>
    <col min="9" max="10" width="14.42578125" style="201" customWidth="1"/>
    <col min="11" max="12" width="14.140625" style="201" customWidth="1"/>
    <col min="13" max="13" width="15.7109375" style="201" customWidth="1"/>
    <col min="14" max="14" width="15" style="201" customWidth="1"/>
    <col min="15" max="15" width="16" style="201" customWidth="1"/>
    <col min="16" max="16" width="14.7109375" style="201" customWidth="1"/>
    <col min="17" max="17" width="15.42578125" style="201" customWidth="1"/>
    <col min="18" max="18" width="14.85546875" style="201" customWidth="1"/>
    <col min="19" max="214" width="11.42578125" style="201" customWidth="1"/>
    <col min="215" max="16384" width="9.140625" style="201"/>
  </cols>
  <sheetData>
    <row r="5" spans="2:18" ht="28.5" customHeight="1" x14ac:dyDescent="0.2">
      <c r="B5" s="300" t="s">
        <v>98</v>
      </c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</row>
    <row r="7" spans="2:18" x14ac:dyDescent="0.2">
      <c r="D7" s="202"/>
    </row>
    <row r="8" spans="2:18" x14ac:dyDescent="0.2">
      <c r="B8" s="296" t="s">
        <v>99</v>
      </c>
      <c r="C8" s="298" t="s">
        <v>100</v>
      </c>
      <c r="D8" s="299" t="s">
        <v>210</v>
      </c>
      <c r="E8" s="83" t="s">
        <v>19</v>
      </c>
      <c r="F8" s="83" t="s">
        <v>101</v>
      </c>
      <c r="G8" s="199" t="s">
        <v>33</v>
      </c>
      <c r="H8" s="199" t="s">
        <v>247</v>
      </c>
      <c r="I8" s="199" t="s">
        <v>35</v>
      </c>
      <c r="J8" s="199" t="s">
        <v>36</v>
      </c>
      <c r="K8" s="199" t="s">
        <v>37</v>
      </c>
      <c r="L8" s="199" t="s">
        <v>38</v>
      </c>
      <c r="M8" s="199" t="s">
        <v>39</v>
      </c>
      <c r="N8" s="199" t="s">
        <v>40</v>
      </c>
      <c r="O8" s="199" t="s">
        <v>248</v>
      </c>
      <c r="P8" s="199" t="s">
        <v>249</v>
      </c>
      <c r="Q8" s="199" t="s">
        <v>250</v>
      </c>
      <c r="R8" s="199" t="s">
        <v>251</v>
      </c>
    </row>
    <row r="9" spans="2:18" ht="25.5" x14ac:dyDescent="0.2">
      <c r="B9" s="297"/>
      <c r="C9" s="298"/>
      <c r="D9" s="299"/>
      <c r="E9" s="185" t="s">
        <v>222</v>
      </c>
      <c r="F9" s="83" t="s">
        <v>257</v>
      </c>
      <c r="G9" s="198" t="s">
        <v>211</v>
      </c>
      <c r="H9" s="198" t="s">
        <v>211</v>
      </c>
      <c r="I9" s="198" t="s">
        <v>211</v>
      </c>
      <c r="J9" s="198" t="s">
        <v>211</v>
      </c>
      <c r="K9" s="198" t="s">
        <v>211</v>
      </c>
      <c r="L9" s="198" t="s">
        <v>211</v>
      </c>
      <c r="M9" s="198" t="s">
        <v>211</v>
      </c>
      <c r="N9" s="198" t="s">
        <v>211</v>
      </c>
      <c r="O9" s="198" t="s">
        <v>211</v>
      </c>
      <c r="P9" s="198" t="s">
        <v>211</v>
      </c>
      <c r="Q9" s="198" t="s">
        <v>211</v>
      </c>
      <c r="R9" s="198" t="s">
        <v>211</v>
      </c>
    </row>
    <row r="10" spans="2:18" s="204" customFormat="1" x14ac:dyDescent="0.2">
      <c r="B10" s="60">
        <v>1131</v>
      </c>
      <c r="C10" s="211" t="s">
        <v>102</v>
      </c>
      <c r="D10" s="61">
        <f>29378510.336+2561872.56+53797.14</f>
        <v>31994180.035999998</v>
      </c>
      <c r="E10" s="59"/>
      <c r="F10" s="59">
        <f>D10+E10</f>
        <v>31994180.035999998</v>
      </c>
      <c r="G10" s="203">
        <v>2675467</v>
      </c>
      <c r="H10" s="186">
        <v>2416550.92</v>
      </c>
      <c r="I10" s="186">
        <v>2675467.2799999998</v>
      </c>
      <c r="J10" s="186">
        <v>3081873</v>
      </c>
      <c r="K10" s="186">
        <v>2675467.2799999998</v>
      </c>
      <c r="L10" s="186">
        <v>2589161.7000000002</v>
      </c>
      <c r="M10" s="186">
        <v>2675467.2799999998</v>
      </c>
      <c r="N10" s="186">
        <v>2675467.2799999998</v>
      </c>
      <c r="O10" s="186">
        <v>2589161.7000000002</v>
      </c>
      <c r="P10" s="186">
        <v>2675467.2799999998</v>
      </c>
      <c r="Q10" s="186">
        <v>2589161.7000000002</v>
      </c>
      <c r="R10" s="186">
        <v>2675467.2799999998</v>
      </c>
    </row>
    <row r="11" spans="2:18" s="204" customFormat="1" ht="25.5" x14ac:dyDescent="0.2">
      <c r="B11" s="60">
        <v>1311</v>
      </c>
      <c r="C11" s="212" t="s">
        <v>103</v>
      </c>
      <c r="D11" s="61">
        <v>432901.92</v>
      </c>
      <c r="E11" s="59"/>
      <c r="F11" s="59">
        <f t="shared" ref="F11:F26" si="0">D11+E11</f>
        <v>432901.92</v>
      </c>
      <c r="G11" s="203">
        <v>35681</v>
      </c>
      <c r="H11" s="186">
        <v>35845.159880000007</v>
      </c>
      <c r="I11" s="186">
        <v>35552.512159999998</v>
      </c>
      <c r="J11" s="186">
        <v>35641.840080000002</v>
      </c>
      <c r="K11" s="186">
        <v>35641.840080000002</v>
      </c>
      <c r="L11" s="186">
        <v>35820.495920000001</v>
      </c>
      <c r="M11" s="186">
        <v>35641.840080000002</v>
      </c>
      <c r="N11" s="186">
        <v>36445.791360000003</v>
      </c>
      <c r="O11" s="186">
        <v>36535.119280000006</v>
      </c>
      <c r="P11" s="186">
        <v>36535.119280000006</v>
      </c>
      <c r="Q11" s="186">
        <v>36713.775119999998</v>
      </c>
      <c r="R11" s="186">
        <v>36847.767</v>
      </c>
    </row>
    <row r="12" spans="2:18" s="204" customFormat="1" x14ac:dyDescent="0.2">
      <c r="B12" s="60">
        <v>1321</v>
      </c>
      <c r="C12" s="211" t="s">
        <v>104</v>
      </c>
      <c r="D12" s="61">
        <f>402160.408000001+35581.56</f>
        <v>437741.96800000098</v>
      </c>
      <c r="E12" s="59"/>
      <c r="F12" s="59">
        <f t="shared" si="0"/>
        <v>437741.96800000098</v>
      </c>
      <c r="G12" s="203">
        <v>4377</v>
      </c>
      <c r="H12" s="186">
        <v>4377.42</v>
      </c>
      <c r="I12" s="186">
        <v>4377.42</v>
      </c>
      <c r="J12" s="186">
        <v>4377.42</v>
      </c>
      <c r="K12" s="186">
        <v>4377.42</v>
      </c>
      <c r="L12" s="186">
        <v>4377.42</v>
      </c>
      <c r="M12" s="186">
        <v>4377.42</v>
      </c>
      <c r="N12" s="186">
        <v>389590.38</v>
      </c>
      <c r="O12" s="186">
        <v>4377.42</v>
      </c>
      <c r="P12" s="186">
        <v>4377.42</v>
      </c>
      <c r="Q12" s="186">
        <v>4377.42</v>
      </c>
      <c r="R12" s="186">
        <v>4377.42</v>
      </c>
    </row>
    <row r="13" spans="2:18" s="204" customFormat="1" x14ac:dyDescent="0.2">
      <c r="B13" s="60">
        <v>1322</v>
      </c>
      <c r="C13" s="211" t="s">
        <v>105</v>
      </c>
      <c r="D13" s="61">
        <f>4021604.08+355815.63</f>
        <v>4377419.71</v>
      </c>
      <c r="E13" s="59"/>
      <c r="F13" s="59">
        <f t="shared" si="0"/>
        <v>4377419.71</v>
      </c>
      <c r="G13" s="203">
        <v>44692</v>
      </c>
      <c r="H13" s="186">
        <v>40366.480000000003</v>
      </c>
      <c r="I13" s="186">
        <v>44691.6</v>
      </c>
      <c r="J13" s="186">
        <v>43249.8</v>
      </c>
      <c r="K13" s="186">
        <v>44691.6</v>
      </c>
      <c r="L13" s="186">
        <v>43249.8</v>
      </c>
      <c r="M13" s="186">
        <v>44691.6</v>
      </c>
      <c r="N13" s="186">
        <v>44691.6</v>
      </c>
      <c r="O13" s="186">
        <v>43249.8</v>
      </c>
      <c r="P13" s="186">
        <v>44691.6</v>
      </c>
      <c r="Q13" s="186">
        <v>43249.8</v>
      </c>
      <c r="R13" s="186">
        <v>3895904.8</v>
      </c>
    </row>
    <row r="14" spans="2:18" s="204" customFormat="1" x14ac:dyDescent="0.2">
      <c r="B14" s="60">
        <v>1332</v>
      </c>
      <c r="C14" s="211" t="s">
        <v>106</v>
      </c>
      <c r="D14" s="61">
        <v>1388969</v>
      </c>
      <c r="E14" s="59"/>
      <c r="F14" s="59">
        <f t="shared" si="0"/>
        <v>1388969</v>
      </c>
      <c r="G14" s="203">
        <v>118210</v>
      </c>
      <c r="H14" s="225">
        <v>107127.91</v>
      </c>
      <c r="I14" s="225">
        <v>118210.12480000001</v>
      </c>
      <c r="J14" s="225">
        <v>110821.98</v>
      </c>
      <c r="K14" s="225">
        <v>121904.17</v>
      </c>
      <c r="L14" s="225">
        <v>110821.98</v>
      </c>
      <c r="M14" s="225">
        <v>114516.04</v>
      </c>
      <c r="N14" s="225">
        <v>114516.04</v>
      </c>
      <c r="O14" s="225">
        <v>118210.12480000001</v>
      </c>
      <c r="P14" s="225">
        <v>118210.12480000001</v>
      </c>
      <c r="Q14" s="225">
        <v>118210.12480000001</v>
      </c>
      <c r="R14" s="225">
        <v>118210.12480000001</v>
      </c>
    </row>
    <row r="15" spans="2:18" s="204" customFormat="1" x14ac:dyDescent="0.2">
      <c r="B15" s="60">
        <v>1347</v>
      </c>
      <c r="C15" s="211" t="s">
        <v>107</v>
      </c>
      <c r="D15" s="61">
        <v>350000</v>
      </c>
      <c r="E15" s="59"/>
      <c r="F15" s="59">
        <f t="shared" si="0"/>
        <v>350000</v>
      </c>
      <c r="G15" s="203">
        <v>29167</v>
      </c>
      <c r="H15" s="186">
        <v>29166.66</v>
      </c>
      <c r="I15" s="186">
        <v>29166.66</v>
      </c>
      <c r="J15" s="186">
        <v>29166.66</v>
      </c>
      <c r="K15" s="186">
        <v>29166.66</v>
      </c>
      <c r="L15" s="186">
        <v>29166.66</v>
      </c>
      <c r="M15" s="186">
        <v>29166.66</v>
      </c>
      <c r="N15" s="186">
        <v>29166.66</v>
      </c>
      <c r="O15" s="186">
        <v>29166.66</v>
      </c>
      <c r="P15" s="186">
        <v>29166.66</v>
      </c>
      <c r="Q15" s="186">
        <v>29166.66</v>
      </c>
      <c r="R15" s="186">
        <v>29166.66</v>
      </c>
    </row>
    <row r="16" spans="2:18" s="204" customFormat="1" x14ac:dyDescent="0.2">
      <c r="B16" s="60">
        <v>1411</v>
      </c>
      <c r="C16" s="211" t="s">
        <v>108</v>
      </c>
      <c r="D16" s="61">
        <f>1739434.94666845+153581.18</f>
        <v>1893016.12666845</v>
      </c>
      <c r="E16" s="59"/>
      <c r="F16" s="59">
        <f t="shared" si="0"/>
        <v>1893016.12666845</v>
      </c>
      <c r="G16" s="203">
        <v>155590</v>
      </c>
      <c r="H16" s="186">
        <v>155590.35</v>
      </c>
      <c r="I16" s="186">
        <v>155590.35</v>
      </c>
      <c r="J16" s="186">
        <v>181522.08</v>
      </c>
      <c r="K16" s="186">
        <v>155590.35</v>
      </c>
      <c r="L16" s="186">
        <v>155590.35</v>
      </c>
      <c r="M16" s="186">
        <v>155590.35</v>
      </c>
      <c r="N16" s="186">
        <v>155590.35</v>
      </c>
      <c r="O16" s="186">
        <v>155590.35</v>
      </c>
      <c r="P16" s="186">
        <v>155590.35</v>
      </c>
      <c r="Q16" s="186">
        <v>155590.35</v>
      </c>
      <c r="R16" s="186">
        <v>155590.35</v>
      </c>
    </row>
    <row r="17" spans="2:18" s="204" customFormat="1" x14ac:dyDescent="0.2">
      <c r="B17" s="60">
        <v>1421</v>
      </c>
      <c r="C17" s="211" t="s">
        <v>109</v>
      </c>
      <c r="D17" s="61">
        <f>880731.291280002+76856.18</f>
        <v>957587.47128000204</v>
      </c>
      <c r="E17" s="59"/>
      <c r="F17" s="59">
        <f t="shared" si="0"/>
        <v>957587.47128000204</v>
      </c>
      <c r="G17" s="203">
        <v>78706</v>
      </c>
      <c r="H17" s="186">
        <v>78705.78</v>
      </c>
      <c r="I17" s="186">
        <v>78705.78</v>
      </c>
      <c r="J17" s="186">
        <v>91823.41</v>
      </c>
      <c r="K17" s="186">
        <v>78705.78</v>
      </c>
      <c r="L17" s="186">
        <v>78705.78</v>
      </c>
      <c r="M17" s="186">
        <v>78705.78</v>
      </c>
      <c r="N17" s="186">
        <v>78705.78</v>
      </c>
      <c r="O17" s="186">
        <v>78705.78</v>
      </c>
      <c r="P17" s="186">
        <v>78705.78</v>
      </c>
      <c r="Q17" s="186">
        <v>78705.78</v>
      </c>
      <c r="R17" s="186">
        <v>78705.78</v>
      </c>
    </row>
    <row r="18" spans="2:18" s="204" customFormat="1" x14ac:dyDescent="0.2">
      <c r="B18" s="60">
        <v>1431</v>
      </c>
      <c r="C18" s="211" t="s">
        <v>110</v>
      </c>
      <c r="D18" s="61">
        <f>5137599.2108+384280.88</f>
        <v>5521880.0907999994</v>
      </c>
      <c r="E18" s="59"/>
      <c r="F18" s="59">
        <f t="shared" si="0"/>
        <v>5521880.0907999994</v>
      </c>
      <c r="G18" s="203">
        <v>453853</v>
      </c>
      <c r="H18" s="186">
        <v>453853.14</v>
      </c>
      <c r="I18" s="186">
        <v>453853.14</v>
      </c>
      <c r="J18" s="186">
        <v>529495.34</v>
      </c>
      <c r="K18" s="186">
        <v>453853.14</v>
      </c>
      <c r="L18" s="186">
        <v>453853.14</v>
      </c>
      <c r="M18" s="186">
        <v>453853.14</v>
      </c>
      <c r="N18" s="186">
        <v>453853.14</v>
      </c>
      <c r="O18" s="186">
        <v>453853.14</v>
      </c>
      <c r="P18" s="186">
        <v>453853.14</v>
      </c>
      <c r="Q18" s="186">
        <v>453853.14</v>
      </c>
      <c r="R18" s="186">
        <v>453853.14</v>
      </c>
    </row>
    <row r="19" spans="2:18" s="204" customFormat="1" x14ac:dyDescent="0.2">
      <c r="B19" s="60">
        <v>1432</v>
      </c>
      <c r="C19" s="211" t="s">
        <v>111</v>
      </c>
      <c r="D19" s="61">
        <f>587154.197520001+51237.45</f>
        <v>638391.64752000093</v>
      </c>
      <c r="E19" s="59"/>
      <c r="F19" s="59">
        <f t="shared" si="0"/>
        <v>638391.64752000093</v>
      </c>
      <c r="G19" s="203">
        <v>52471</v>
      </c>
      <c r="H19" s="186">
        <v>52470.57</v>
      </c>
      <c r="I19" s="186">
        <v>52470.57</v>
      </c>
      <c r="J19" s="186">
        <v>61215.67</v>
      </c>
      <c r="K19" s="186">
        <v>52470.57</v>
      </c>
      <c r="L19" s="186">
        <v>52470.57</v>
      </c>
      <c r="M19" s="186">
        <v>52470.57</v>
      </c>
      <c r="N19" s="186">
        <v>52470.57</v>
      </c>
      <c r="O19" s="186">
        <v>52470.57</v>
      </c>
      <c r="P19" s="186">
        <v>52470.57</v>
      </c>
      <c r="Q19" s="186">
        <v>52470.57</v>
      </c>
      <c r="R19" s="186">
        <v>52470.57</v>
      </c>
    </row>
    <row r="20" spans="2:18" s="204" customFormat="1" x14ac:dyDescent="0.2">
      <c r="B20" s="60">
        <v>1441</v>
      </c>
      <c r="C20" s="211" t="s">
        <v>112</v>
      </c>
      <c r="D20" s="59">
        <v>25000</v>
      </c>
      <c r="E20" s="64"/>
      <c r="F20" s="59">
        <f>+D20+E20</f>
        <v>25000</v>
      </c>
      <c r="G20" s="203">
        <v>2123</v>
      </c>
      <c r="H20" s="186">
        <v>1917.72</v>
      </c>
      <c r="I20" s="186">
        <v>2123.2800000000002</v>
      </c>
      <c r="J20" s="186">
        <v>2054.6999999999998</v>
      </c>
      <c r="K20" s="186">
        <v>2123.2800000000002</v>
      </c>
      <c r="L20" s="186">
        <v>2054.6999999999998</v>
      </c>
      <c r="M20" s="186">
        <v>2123.2800000000002</v>
      </c>
      <c r="N20" s="186">
        <v>2123.2800000000002</v>
      </c>
      <c r="O20" s="186">
        <v>2054.6999999999998</v>
      </c>
      <c r="P20" s="186">
        <v>2123.2800000000002</v>
      </c>
      <c r="Q20" s="186">
        <v>2054.6999999999998</v>
      </c>
      <c r="R20" s="186">
        <v>2124.2800000000002</v>
      </c>
    </row>
    <row r="21" spans="2:18" s="204" customFormat="1" x14ac:dyDescent="0.2">
      <c r="B21" s="60">
        <v>1521</v>
      </c>
      <c r="C21" s="211" t="s">
        <v>113</v>
      </c>
      <c r="D21" s="59">
        <v>540000</v>
      </c>
      <c r="E21" s="64"/>
      <c r="F21" s="59">
        <f>+D21+E21</f>
        <v>540000</v>
      </c>
      <c r="G21" s="203">
        <v>45000</v>
      </c>
      <c r="H21" s="186">
        <v>45000</v>
      </c>
      <c r="I21" s="186">
        <v>45000</v>
      </c>
      <c r="J21" s="186">
        <v>45000</v>
      </c>
      <c r="K21" s="186">
        <v>45000</v>
      </c>
      <c r="L21" s="186">
        <v>45000</v>
      </c>
      <c r="M21" s="186">
        <v>45000</v>
      </c>
      <c r="N21" s="186">
        <v>45000</v>
      </c>
      <c r="O21" s="186">
        <v>45000</v>
      </c>
      <c r="P21" s="186">
        <v>45000</v>
      </c>
      <c r="Q21" s="186">
        <v>45000</v>
      </c>
      <c r="R21" s="186">
        <v>45000</v>
      </c>
    </row>
    <row r="22" spans="2:18" s="204" customFormat="1" x14ac:dyDescent="0.2">
      <c r="B22" s="60">
        <v>1543</v>
      </c>
      <c r="C22" s="211" t="s">
        <v>114</v>
      </c>
      <c r="D22" s="61">
        <v>711880</v>
      </c>
      <c r="E22" s="59"/>
      <c r="F22" s="59">
        <f t="shared" si="0"/>
        <v>711880</v>
      </c>
      <c r="G22" s="203">
        <v>167440</v>
      </c>
      <c r="H22" s="186">
        <v>37700</v>
      </c>
      <c r="I22" s="186">
        <v>37700</v>
      </c>
      <c r="J22" s="186">
        <v>37700</v>
      </c>
      <c r="K22" s="186">
        <v>37700</v>
      </c>
      <c r="L22" s="186">
        <v>37700</v>
      </c>
      <c r="M22" s="186">
        <v>167440</v>
      </c>
      <c r="N22" s="186">
        <v>37700</v>
      </c>
      <c r="O22" s="186">
        <v>37700</v>
      </c>
      <c r="P22" s="186">
        <v>37700</v>
      </c>
      <c r="Q22" s="186">
        <v>37700</v>
      </c>
      <c r="R22" s="186">
        <v>37700</v>
      </c>
    </row>
    <row r="23" spans="2:18" s="204" customFormat="1" x14ac:dyDescent="0.2">
      <c r="B23" s="60">
        <v>1611</v>
      </c>
      <c r="C23" s="211" t="s">
        <v>115</v>
      </c>
      <c r="D23" s="61">
        <f>1650000+985000</f>
        <v>2635000</v>
      </c>
      <c r="E23" s="61"/>
      <c r="F23" s="59">
        <f t="shared" si="0"/>
        <v>2635000</v>
      </c>
      <c r="G23" s="203">
        <v>219583</v>
      </c>
      <c r="H23" s="186">
        <v>219583.33</v>
      </c>
      <c r="I23" s="186">
        <v>219583.33</v>
      </c>
      <c r="J23" s="186">
        <v>219583.33</v>
      </c>
      <c r="K23" s="186">
        <v>219583.33</v>
      </c>
      <c r="L23" s="186">
        <v>219583.33</v>
      </c>
      <c r="M23" s="186">
        <v>219583.33</v>
      </c>
      <c r="N23" s="186">
        <v>219583.33</v>
      </c>
      <c r="O23" s="186">
        <v>219583.33</v>
      </c>
      <c r="P23" s="186">
        <v>219583.33</v>
      </c>
      <c r="Q23" s="186">
        <v>219583.33</v>
      </c>
      <c r="R23" s="186">
        <v>219583.33</v>
      </c>
    </row>
    <row r="24" spans="2:18" s="204" customFormat="1" x14ac:dyDescent="0.2">
      <c r="B24" s="60">
        <v>1712</v>
      </c>
      <c r="C24" s="211" t="s">
        <v>116</v>
      </c>
      <c r="D24" s="61">
        <f>2380261.47840001+217453.56</f>
        <v>2597715.0384000102</v>
      </c>
      <c r="E24" s="59"/>
      <c r="F24" s="59">
        <f t="shared" si="0"/>
        <v>2597715.0384000102</v>
      </c>
      <c r="G24" s="203">
        <v>216476</v>
      </c>
      <c r="H24" s="186">
        <v>216476</v>
      </c>
      <c r="I24" s="186">
        <v>216476</v>
      </c>
      <c r="J24" s="186">
        <v>216476</v>
      </c>
      <c r="K24" s="186">
        <v>216476</v>
      </c>
      <c r="L24" s="186">
        <v>216476</v>
      </c>
      <c r="M24" s="186">
        <v>216476</v>
      </c>
      <c r="N24" s="186">
        <v>216476</v>
      </c>
      <c r="O24" s="186">
        <v>216476</v>
      </c>
      <c r="P24" s="186">
        <v>216476</v>
      </c>
      <c r="Q24" s="186">
        <v>216476</v>
      </c>
      <c r="R24" s="186">
        <v>216479</v>
      </c>
    </row>
    <row r="25" spans="2:18" s="204" customFormat="1" x14ac:dyDescent="0.2">
      <c r="B25" s="62">
        <v>1713</v>
      </c>
      <c r="C25" s="213" t="s">
        <v>117</v>
      </c>
      <c r="D25" s="61">
        <f>141036+1512570</f>
        <v>1653606</v>
      </c>
      <c r="E25" s="59"/>
      <c r="F25" s="59">
        <f>D25+E25</f>
        <v>1653606</v>
      </c>
      <c r="G25" s="203">
        <v>137800</v>
      </c>
      <c r="H25" s="186">
        <v>137800</v>
      </c>
      <c r="I25" s="186">
        <v>137800</v>
      </c>
      <c r="J25" s="186">
        <v>137800</v>
      </c>
      <c r="K25" s="186">
        <v>137800</v>
      </c>
      <c r="L25" s="186">
        <v>137800</v>
      </c>
      <c r="M25" s="186">
        <v>137800</v>
      </c>
      <c r="N25" s="186">
        <v>137800</v>
      </c>
      <c r="O25" s="186">
        <v>137800</v>
      </c>
      <c r="P25" s="186">
        <v>137800</v>
      </c>
      <c r="Q25" s="186">
        <v>137800</v>
      </c>
      <c r="R25" s="186">
        <v>137806</v>
      </c>
    </row>
    <row r="26" spans="2:18" s="204" customFormat="1" x14ac:dyDescent="0.2">
      <c r="B26" s="60">
        <v>1715</v>
      </c>
      <c r="C26" s="211" t="s">
        <v>118</v>
      </c>
      <c r="D26" s="63">
        <f>0+106744.69+1181986</f>
        <v>1288730.69</v>
      </c>
      <c r="E26" s="59"/>
      <c r="F26" s="59">
        <f t="shared" si="0"/>
        <v>1288730.69</v>
      </c>
      <c r="G26" s="203"/>
      <c r="H26" s="186">
        <v>0</v>
      </c>
      <c r="I26" s="186">
        <v>0</v>
      </c>
      <c r="J26" s="186">
        <v>0</v>
      </c>
      <c r="K26" s="186">
        <v>0</v>
      </c>
      <c r="L26" s="186">
        <v>0</v>
      </c>
      <c r="M26" s="186">
        <v>0</v>
      </c>
      <c r="N26" s="186">
        <v>0</v>
      </c>
      <c r="O26" s="186">
        <v>1288731</v>
      </c>
      <c r="P26" s="186">
        <v>0</v>
      </c>
      <c r="Q26" s="186">
        <v>0</v>
      </c>
      <c r="R26" s="186">
        <v>0</v>
      </c>
    </row>
    <row r="27" spans="2:18" s="204" customFormat="1" x14ac:dyDescent="0.2">
      <c r="B27" s="60">
        <v>1716</v>
      </c>
      <c r="C27" s="211" t="s">
        <v>119</v>
      </c>
      <c r="D27" s="59">
        <v>514800</v>
      </c>
      <c r="E27" s="64"/>
      <c r="F27" s="59">
        <f>+D27+E27</f>
        <v>514800</v>
      </c>
      <c r="G27" s="203">
        <v>42900</v>
      </c>
      <c r="H27" s="186">
        <v>42900</v>
      </c>
      <c r="I27" s="186">
        <v>42900</v>
      </c>
      <c r="J27" s="186">
        <v>42900</v>
      </c>
      <c r="K27" s="186">
        <v>42900</v>
      </c>
      <c r="L27" s="186">
        <v>42900</v>
      </c>
      <c r="M27" s="186">
        <v>42900</v>
      </c>
      <c r="N27" s="186">
        <v>42900</v>
      </c>
      <c r="O27" s="186">
        <v>42900</v>
      </c>
      <c r="P27" s="186">
        <v>42900</v>
      </c>
      <c r="Q27" s="186">
        <v>42900</v>
      </c>
      <c r="R27" s="186">
        <v>42900</v>
      </c>
    </row>
    <row r="28" spans="2:18" s="205" customFormat="1" x14ac:dyDescent="0.2">
      <c r="B28" s="187"/>
      <c r="C28" s="188" t="s">
        <v>120</v>
      </c>
      <c r="D28" s="189">
        <f>SUM(D10:D27)</f>
        <v>57958819.698668465</v>
      </c>
      <c r="E28" s="189">
        <f>SUM(E10:E27)</f>
        <v>0</v>
      </c>
      <c r="F28" s="190">
        <f t="shared" ref="F28:F61" si="1">D28+E28</f>
        <v>57958819.698668465</v>
      </c>
      <c r="G28" s="200">
        <f>SUM(G10:G27)</f>
        <v>4479536</v>
      </c>
      <c r="H28" s="189">
        <f t="shared" ref="H28:R28" si="2">SUM(H10:H27)</f>
        <v>4075431.4398800004</v>
      </c>
      <c r="I28" s="189">
        <f t="shared" si="2"/>
        <v>4349668.0469599999</v>
      </c>
      <c r="J28" s="189">
        <f t="shared" si="2"/>
        <v>4870701.2300800001</v>
      </c>
      <c r="K28" s="189">
        <f t="shared" si="2"/>
        <v>4353451.4200799996</v>
      </c>
      <c r="L28" s="189">
        <f t="shared" si="2"/>
        <v>4254731.9259200003</v>
      </c>
      <c r="M28" s="189">
        <f t="shared" si="2"/>
        <v>4475803.2900799997</v>
      </c>
      <c r="N28" s="189">
        <f t="shared" si="2"/>
        <v>4732080.2013599994</v>
      </c>
      <c r="O28" s="189">
        <f t="shared" si="2"/>
        <v>5551565.6940800007</v>
      </c>
      <c r="P28" s="189">
        <f t="shared" si="2"/>
        <v>4350650.6540799998</v>
      </c>
      <c r="Q28" s="189">
        <f t="shared" si="2"/>
        <v>4263013.3499199999</v>
      </c>
      <c r="R28" s="189">
        <f t="shared" si="2"/>
        <v>8202186.5017999997</v>
      </c>
    </row>
    <row r="29" spans="2:18" s="204" customFormat="1" x14ac:dyDescent="0.2">
      <c r="B29" s="62">
        <v>2111</v>
      </c>
      <c r="C29" s="65" t="s">
        <v>121</v>
      </c>
      <c r="D29" s="59">
        <v>100182.24320000001</v>
      </c>
      <c r="E29" s="59"/>
      <c r="F29" s="59">
        <f t="shared" si="1"/>
        <v>100182.24320000001</v>
      </c>
      <c r="G29" s="203">
        <v>8349</v>
      </c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</row>
    <row r="30" spans="2:18" s="204" customFormat="1" ht="38.25" x14ac:dyDescent="0.2">
      <c r="B30" s="62">
        <v>2141</v>
      </c>
      <c r="C30" s="215" t="s">
        <v>122</v>
      </c>
      <c r="D30" s="59">
        <v>25000</v>
      </c>
      <c r="E30" s="59"/>
      <c r="F30" s="59">
        <f t="shared" si="1"/>
        <v>25000</v>
      </c>
      <c r="G30" s="203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</row>
    <row r="31" spans="2:18" s="204" customFormat="1" x14ac:dyDescent="0.2">
      <c r="B31" s="62">
        <v>2161</v>
      </c>
      <c r="C31" s="65" t="s">
        <v>123</v>
      </c>
      <c r="D31" s="59">
        <v>899616.66080000007</v>
      </c>
      <c r="E31" s="59"/>
      <c r="F31" s="59">
        <f t="shared" si="1"/>
        <v>899616.66080000007</v>
      </c>
      <c r="G31" s="203">
        <v>64686.06</v>
      </c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</row>
    <row r="32" spans="2:18" s="204" customFormat="1" x14ac:dyDescent="0.2">
      <c r="B32" s="62">
        <v>2171</v>
      </c>
      <c r="C32" s="65" t="s">
        <v>124</v>
      </c>
      <c r="D32" s="59">
        <v>243450</v>
      </c>
      <c r="E32" s="59">
        <v>10000</v>
      </c>
      <c r="F32" s="59">
        <f t="shared" si="1"/>
        <v>253450</v>
      </c>
      <c r="G32" s="203">
        <v>20287.5</v>
      </c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</row>
    <row r="33" spans="2:18" s="204" customFormat="1" ht="51" x14ac:dyDescent="0.2">
      <c r="B33" s="62">
        <v>2212</v>
      </c>
      <c r="C33" s="215" t="s">
        <v>125</v>
      </c>
      <c r="D33" s="63">
        <v>5305045.78</v>
      </c>
      <c r="E33" s="59">
        <v>1000000</v>
      </c>
      <c r="F33" s="59">
        <f t="shared" si="1"/>
        <v>6305045.7800000003</v>
      </c>
      <c r="G33" s="203">
        <v>442087.16</v>
      </c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</row>
    <row r="34" spans="2:18" s="204" customFormat="1" ht="38.25" x14ac:dyDescent="0.2">
      <c r="B34" s="62">
        <v>2214</v>
      </c>
      <c r="C34" s="215" t="s">
        <v>126</v>
      </c>
      <c r="D34" s="59">
        <f>1076260.9312</f>
        <v>1076260.9312</v>
      </c>
      <c r="E34" s="64"/>
      <c r="F34" s="59">
        <f t="shared" si="1"/>
        <v>1076260.9312</v>
      </c>
      <c r="G34" s="203">
        <v>69400.37</v>
      </c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</row>
    <row r="35" spans="2:18" s="204" customFormat="1" x14ac:dyDescent="0.2">
      <c r="B35" s="62">
        <v>2231</v>
      </c>
      <c r="C35" s="65" t="s">
        <v>127</v>
      </c>
      <c r="D35" s="59">
        <v>155673</v>
      </c>
      <c r="E35" s="64"/>
      <c r="F35" s="59">
        <f t="shared" si="1"/>
        <v>155673</v>
      </c>
      <c r="G35" s="203">
        <v>4482.5600000000004</v>
      </c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</row>
    <row r="36" spans="2:18" s="204" customFormat="1" x14ac:dyDescent="0.2">
      <c r="B36" s="62">
        <v>2411</v>
      </c>
      <c r="C36" s="65" t="s">
        <v>128</v>
      </c>
      <c r="D36" s="59">
        <v>112500</v>
      </c>
      <c r="E36" s="59"/>
      <c r="F36" s="59">
        <f t="shared" si="1"/>
        <v>112500</v>
      </c>
      <c r="G36" s="203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</row>
    <row r="37" spans="2:18" s="204" customFormat="1" x14ac:dyDescent="0.2">
      <c r="B37" s="62">
        <v>2421</v>
      </c>
      <c r="C37" s="65" t="s">
        <v>129</v>
      </c>
      <c r="D37" s="59">
        <v>125000</v>
      </c>
      <c r="E37" s="59"/>
      <c r="F37" s="59">
        <f t="shared" si="1"/>
        <v>125000</v>
      </c>
      <c r="G37" s="203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</row>
    <row r="38" spans="2:18" s="204" customFormat="1" x14ac:dyDescent="0.2">
      <c r="B38" s="62">
        <v>2431</v>
      </c>
      <c r="C38" s="65" t="s">
        <v>130</v>
      </c>
      <c r="D38" s="59">
        <v>95000</v>
      </c>
      <c r="E38" s="59"/>
      <c r="F38" s="59">
        <f t="shared" si="1"/>
        <v>95000</v>
      </c>
      <c r="G38" s="203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</row>
    <row r="39" spans="2:18" s="204" customFormat="1" x14ac:dyDescent="0.2">
      <c r="B39" s="62">
        <v>2441</v>
      </c>
      <c r="C39" s="65" t="s">
        <v>131</v>
      </c>
      <c r="D39" s="59">
        <v>85000</v>
      </c>
      <c r="E39" s="59"/>
      <c r="F39" s="59">
        <f t="shared" si="1"/>
        <v>85000</v>
      </c>
      <c r="G39" s="203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</row>
    <row r="40" spans="2:18" s="204" customFormat="1" x14ac:dyDescent="0.2">
      <c r="B40" s="62">
        <v>2451</v>
      </c>
      <c r="C40" s="65" t="s">
        <v>132</v>
      </c>
      <c r="D40" s="59">
        <v>105000</v>
      </c>
      <c r="E40" s="64"/>
      <c r="F40" s="59">
        <f t="shared" si="1"/>
        <v>105000</v>
      </c>
      <c r="G40" s="203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</row>
    <row r="41" spans="2:18" s="204" customFormat="1" x14ac:dyDescent="0.2">
      <c r="B41" s="62">
        <v>2461</v>
      </c>
      <c r="C41" s="65" t="s">
        <v>133</v>
      </c>
      <c r="D41" s="59">
        <f>229928*1.2</f>
        <v>275913.59999999998</v>
      </c>
      <c r="E41" s="64"/>
      <c r="F41" s="59">
        <f t="shared" si="1"/>
        <v>275913.59999999998</v>
      </c>
      <c r="G41" s="203">
        <v>6106.87</v>
      </c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</row>
    <row r="42" spans="2:18" s="204" customFormat="1" x14ac:dyDescent="0.2">
      <c r="B42" s="62">
        <v>2471</v>
      </c>
      <c r="C42" s="65" t="s">
        <v>134</v>
      </c>
      <c r="D42" s="59">
        <f>29110.37+1.2</f>
        <v>29111.57</v>
      </c>
      <c r="E42" s="59"/>
      <c r="F42" s="59">
        <f t="shared" si="1"/>
        <v>29111.57</v>
      </c>
      <c r="G42" s="203">
        <v>47290.39</v>
      </c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</row>
    <row r="43" spans="2:18" s="204" customFormat="1" x14ac:dyDescent="0.2">
      <c r="B43" s="62">
        <v>2481</v>
      </c>
      <c r="C43" s="65" t="s">
        <v>135</v>
      </c>
      <c r="D43" s="59">
        <v>25000</v>
      </c>
      <c r="E43" s="64"/>
      <c r="F43" s="59">
        <f t="shared" si="1"/>
        <v>25000</v>
      </c>
      <c r="G43" s="203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</row>
    <row r="44" spans="2:18" s="204" customFormat="1" ht="25.5" x14ac:dyDescent="0.2">
      <c r="B44" s="62">
        <v>2491</v>
      </c>
      <c r="C44" s="215" t="s">
        <v>136</v>
      </c>
      <c r="D44" s="59">
        <v>25000</v>
      </c>
      <c r="E44" s="64"/>
      <c r="F44" s="59">
        <f t="shared" si="1"/>
        <v>25000</v>
      </c>
      <c r="G44" s="203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</row>
    <row r="45" spans="2:18" s="204" customFormat="1" x14ac:dyDescent="0.2">
      <c r="B45" s="62">
        <v>2521</v>
      </c>
      <c r="C45" s="65" t="s">
        <v>137</v>
      </c>
      <c r="D45" s="59">
        <v>0</v>
      </c>
      <c r="E45" s="59">
        <v>20000</v>
      </c>
      <c r="F45" s="59">
        <f t="shared" si="1"/>
        <v>20000</v>
      </c>
      <c r="G45" s="203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</row>
    <row r="46" spans="2:18" s="204" customFormat="1" x14ac:dyDescent="0.2">
      <c r="B46" s="62">
        <v>2531</v>
      </c>
      <c r="C46" s="65" t="s">
        <v>138</v>
      </c>
      <c r="D46" s="59">
        <f>2189939.44</f>
        <v>2189939.44</v>
      </c>
      <c r="E46" s="59">
        <f>350000+25000</f>
        <v>375000</v>
      </c>
      <c r="F46" s="59">
        <f t="shared" si="1"/>
        <v>2564939.44</v>
      </c>
      <c r="G46" s="203">
        <v>123251.86</v>
      </c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</row>
    <row r="47" spans="2:18" s="204" customFormat="1" x14ac:dyDescent="0.2">
      <c r="B47" s="62">
        <v>2541</v>
      </c>
      <c r="C47" s="65" t="s">
        <v>139</v>
      </c>
      <c r="D47" s="59">
        <v>173372.78399999999</v>
      </c>
      <c r="E47" s="64"/>
      <c r="F47" s="59">
        <f t="shared" si="1"/>
        <v>173372.78399999999</v>
      </c>
      <c r="G47" s="203">
        <v>12137.52</v>
      </c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</row>
    <row r="48" spans="2:18" s="204" customFormat="1" x14ac:dyDescent="0.2">
      <c r="B48" s="62">
        <v>2551</v>
      </c>
      <c r="C48" s="65" t="s">
        <v>140</v>
      </c>
      <c r="D48" s="59">
        <v>0</v>
      </c>
      <c r="E48" s="64"/>
      <c r="F48" s="59">
        <f t="shared" si="1"/>
        <v>0</v>
      </c>
      <c r="G48" s="203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</row>
    <row r="49" spans="2:18" s="204" customFormat="1" ht="38.25" x14ac:dyDescent="0.2">
      <c r="B49" s="62">
        <v>2611</v>
      </c>
      <c r="C49" s="215" t="s">
        <v>141</v>
      </c>
      <c r="D49" s="59">
        <f>(1149164.2368*36.27/100)*1.2</f>
        <v>500162.24242483207</v>
      </c>
      <c r="E49" s="64"/>
      <c r="F49" s="59">
        <f t="shared" si="1"/>
        <v>500162.24242483207</v>
      </c>
      <c r="G49" s="203">
        <v>26016.77</v>
      </c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</row>
    <row r="50" spans="2:18" s="204" customFormat="1" ht="25.5" x14ac:dyDescent="0.2">
      <c r="B50" s="62">
        <v>2614</v>
      </c>
      <c r="C50" s="215" t="s">
        <v>142</v>
      </c>
      <c r="D50" s="59">
        <f>(1149164.2368*63.73/100)*1.2</f>
        <v>878834.84173516813</v>
      </c>
      <c r="E50" s="64"/>
      <c r="F50" s="59">
        <f t="shared" si="1"/>
        <v>878834.84173516813</v>
      </c>
      <c r="G50" s="203">
        <v>71111.199999999997</v>
      </c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</row>
    <row r="51" spans="2:18" s="204" customFormat="1" x14ac:dyDescent="0.2">
      <c r="B51" s="62">
        <v>2711</v>
      </c>
      <c r="C51" s="65" t="s">
        <v>143</v>
      </c>
      <c r="D51" s="59">
        <v>449879.47680000006</v>
      </c>
      <c r="E51" s="64">
        <f>107000+982372</f>
        <v>1089372</v>
      </c>
      <c r="F51" s="59">
        <f t="shared" si="1"/>
        <v>1539251.4768000001</v>
      </c>
      <c r="G51" s="203">
        <v>93579.62</v>
      </c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</row>
    <row r="52" spans="2:18" s="204" customFormat="1" x14ac:dyDescent="0.2">
      <c r="B52" s="62">
        <v>2721</v>
      </c>
      <c r="C52" s="65" t="s">
        <v>144</v>
      </c>
      <c r="D52" s="59">
        <v>30462.329600000001</v>
      </c>
      <c r="E52" s="64"/>
      <c r="F52" s="59">
        <f t="shared" si="1"/>
        <v>30462.329600000001</v>
      </c>
      <c r="G52" s="203">
        <v>1234.97</v>
      </c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</row>
    <row r="53" spans="2:18" s="204" customFormat="1" x14ac:dyDescent="0.2">
      <c r="B53" s="62">
        <v>2731</v>
      </c>
      <c r="C53" s="65" t="s">
        <v>145</v>
      </c>
      <c r="D53" s="59">
        <v>69957.659200000009</v>
      </c>
      <c r="E53" s="59">
        <v>200000</v>
      </c>
      <c r="F53" s="59">
        <f t="shared" si="1"/>
        <v>269957.65919999999</v>
      </c>
      <c r="G53" s="203">
        <v>36180.81</v>
      </c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</row>
    <row r="54" spans="2:18" s="204" customFormat="1" x14ac:dyDescent="0.2">
      <c r="B54" s="62">
        <v>2741</v>
      </c>
      <c r="C54" s="65" t="s">
        <v>146</v>
      </c>
      <c r="D54" s="59">
        <v>41777.486400000002</v>
      </c>
      <c r="E54" s="64"/>
      <c r="F54" s="59">
        <f t="shared" si="1"/>
        <v>41777.486400000002</v>
      </c>
      <c r="G54" s="203">
        <v>1512.04</v>
      </c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</row>
    <row r="55" spans="2:18" s="204" customFormat="1" x14ac:dyDescent="0.2">
      <c r="B55" s="62">
        <v>2751</v>
      </c>
      <c r="C55" s="65" t="s">
        <v>147</v>
      </c>
      <c r="D55" s="59">
        <v>342927.31199999998</v>
      </c>
      <c r="E55" s="64"/>
      <c r="F55" s="59">
        <f t="shared" si="1"/>
        <v>342927.31199999998</v>
      </c>
      <c r="G55" s="203">
        <v>128.75</v>
      </c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</row>
    <row r="56" spans="2:18" s="204" customFormat="1" x14ac:dyDescent="0.2">
      <c r="B56" s="62">
        <v>2911</v>
      </c>
      <c r="C56" s="65" t="s">
        <v>148</v>
      </c>
      <c r="D56" s="59">
        <v>34403.200000000004</v>
      </c>
      <c r="E56" s="64"/>
      <c r="F56" s="59">
        <f t="shared" si="1"/>
        <v>34403.200000000004</v>
      </c>
      <c r="G56" s="203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4"/>
    </row>
    <row r="57" spans="2:18" s="204" customFormat="1" x14ac:dyDescent="0.2">
      <c r="B57" s="62">
        <v>2921</v>
      </c>
      <c r="C57" s="65" t="s">
        <v>149</v>
      </c>
      <c r="D57" s="59">
        <v>100000</v>
      </c>
      <c r="E57" s="64"/>
      <c r="F57" s="59">
        <f t="shared" si="1"/>
        <v>100000</v>
      </c>
      <c r="G57" s="203"/>
      <c r="H57" s="214"/>
      <c r="I57" s="214"/>
      <c r="J57" s="214"/>
      <c r="K57" s="214"/>
      <c r="L57" s="214"/>
      <c r="M57" s="214"/>
      <c r="N57" s="214"/>
      <c r="O57" s="214"/>
      <c r="P57" s="214"/>
      <c r="Q57" s="214"/>
      <c r="R57" s="214"/>
    </row>
    <row r="58" spans="2:18" s="204" customFormat="1" x14ac:dyDescent="0.2">
      <c r="B58" s="62">
        <v>2931</v>
      </c>
      <c r="C58" s="65" t="s">
        <v>150</v>
      </c>
      <c r="D58" s="59">
        <v>10000</v>
      </c>
      <c r="E58" s="64"/>
      <c r="F58" s="59">
        <f t="shared" si="1"/>
        <v>10000</v>
      </c>
      <c r="G58" s="203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</row>
    <row r="59" spans="2:18" s="204" customFormat="1" x14ac:dyDescent="0.2">
      <c r="B59" s="62">
        <v>2941</v>
      </c>
      <c r="C59" s="65" t="s">
        <v>151</v>
      </c>
      <c r="D59" s="59">
        <v>15000</v>
      </c>
      <c r="E59" s="64"/>
      <c r="F59" s="59">
        <v>15000</v>
      </c>
      <c r="G59" s="203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</row>
    <row r="60" spans="2:18" s="204" customFormat="1" x14ac:dyDescent="0.2">
      <c r="B60" s="62">
        <v>2961</v>
      </c>
      <c r="C60" s="65" t="s">
        <v>152</v>
      </c>
      <c r="D60" s="59">
        <v>25000</v>
      </c>
      <c r="E60" s="64"/>
      <c r="F60" s="59">
        <f t="shared" si="1"/>
        <v>25000</v>
      </c>
      <c r="G60" s="203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</row>
    <row r="61" spans="2:18" s="205" customFormat="1" x14ac:dyDescent="0.2">
      <c r="B61" s="191"/>
      <c r="C61" s="191" t="s">
        <v>153</v>
      </c>
      <c r="D61" s="189">
        <f>SUM(D29:D60)</f>
        <v>13544470.557360001</v>
      </c>
      <c r="E61" s="189">
        <f>SUM(E29:E60)</f>
        <v>2694372</v>
      </c>
      <c r="F61" s="217">
        <f t="shared" si="1"/>
        <v>16238842.557360001</v>
      </c>
      <c r="G61" s="218">
        <f>SUM(G29:G60)</f>
        <v>1027843.45</v>
      </c>
      <c r="H61" s="219"/>
      <c r="I61" s="219"/>
      <c r="J61" s="219"/>
      <c r="K61" s="219"/>
      <c r="L61" s="219"/>
      <c r="M61" s="219"/>
      <c r="N61" s="219"/>
      <c r="O61" s="219"/>
      <c r="P61" s="219"/>
      <c r="Q61" s="219"/>
      <c r="R61" s="219"/>
    </row>
    <row r="62" spans="2:18" s="204" customFormat="1" x14ac:dyDescent="0.2">
      <c r="B62" s="62">
        <v>3111</v>
      </c>
      <c r="C62" s="65" t="s">
        <v>154</v>
      </c>
      <c r="D62" s="66">
        <v>461469.80000000005</v>
      </c>
      <c r="E62" s="67"/>
      <c r="F62" s="59">
        <f>E62+D62</f>
        <v>461469.80000000005</v>
      </c>
      <c r="G62" s="203">
        <v>38456</v>
      </c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</row>
    <row r="63" spans="2:18" s="204" customFormat="1" x14ac:dyDescent="0.2">
      <c r="B63" s="62">
        <v>3121</v>
      </c>
      <c r="C63" s="65" t="s">
        <v>155</v>
      </c>
      <c r="D63" s="66">
        <v>159510.72799999997</v>
      </c>
      <c r="E63" s="67"/>
      <c r="F63" s="59">
        <f t="shared" ref="F63:F99" si="3">E63+D63</f>
        <v>159510.72799999997</v>
      </c>
      <c r="G63" s="203">
        <v>13293</v>
      </c>
      <c r="H63" s="214"/>
      <c r="I63" s="214"/>
      <c r="J63" s="214"/>
      <c r="K63" s="214"/>
      <c r="L63" s="214"/>
      <c r="M63" s="214"/>
      <c r="N63" s="214"/>
      <c r="O63" s="214"/>
      <c r="P63" s="214"/>
      <c r="Q63" s="214"/>
      <c r="R63" s="214"/>
    </row>
    <row r="64" spans="2:18" s="204" customFormat="1" x14ac:dyDescent="0.2">
      <c r="B64" s="62">
        <v>3131</v>
      </c>
      <c r="C64" s="65" t="s">
        <v>156</v>
      </c>
      <c r="D64" s="66">
        <v>10860.48</v>
      </c>
      <c r="E64" s="67"/>
      <c r="F64" s="59">
        <f t="shared" si="3"/>
        <v>10860.48</v>
      </c>
      <c r="G64" s="203"/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214"/>
    </row>
    <row r="65" spans="2:18" s="204" customFormat="1" x14ac:dyDescent="0.2">
      <c r="B65" s="62">
        <v>3141</v>
      </c>
      <c r="C65" s="65" t="s">
        <v>157</v>
      </c>
      <c r="D65" s="66">
        <f>149034.7664+18133</f>
        <v>167167.76639999999</v>
      </c>
      <c r="E65" s="67"/>
      <c r="F65" s="59">
        <f t="shared" si="3"/>
        <v>167167.76639999999</v>
      </c>
      <c r="G65" s="203">
        <v>11735.82</v>
      </c>
      <c r="H65" s="214"/>
      <c r="I65" s="214"/>
      <c r="J65" s="214"/>
      <c r="K65" s="214"/>
      <c r="L65" s="214"/>
      <c r="M65" s="214"/>
      <c r="N65" s="214"/>
      <c r="O65" s="214"/>
      <c r="P65" s="214"/>
      <c r="Q65" s="214"/>
      <c r="R65" s="214"/>
    </row>
    <row r="66" spans="2:18" s="204" customFormat="1" x14ac:dyDescent="0.2">
      <c r="B66" s="62">
        <v>3171</v>
      </c>
      <c r="C66" s="65" t="s">
        <v>158</v>
      </c>
      <c r="D66" s="66">
        <v>6500</v>
      </c>
      <c r="E66" s="67"/>
      <c r="F66" s="59">
        <f t="shared" si="3"/>
        <v>6500</v>
      </c>
      <c r="G66" s="203"/>
      <c r="H66" s="214"/>
      <c r="I66" s="214"/>
      <c r="J66" s="214"/>
      <c r="K66" s="214"/>
      <c r="L66" s="214"/>
      <c r="M66" s="214"/>
      <c r="N66" s="214"/>
      <c r="O66" s="214"/>
      <c r="P66" s="214"/>
      <c r="Q66" s="214"/>
      <c r="R66" s="214"/>
    </row>
    <row r="67" spans="2:18" s="204" customFormat="1" x14ac:dyDescent="0.2">
      <c r="B67" s="62">
        <v>3181</v>
      </c>
      <c r="C67" s="65" t="s">
        <v>159</v>
      </c>
      <c r="D67" s="66">
        <v>3112.2208000000001</v>
      </c>
      <c r="E67" s="67"/>
      <c r="F67" s="59">
        <f t="shared" si="3"/>
        <v>3112.2208000000001</v>
      </c>
      <c r="G67" s="203">
        <v>259</v>
      </c>
      <c r="H67" s="214"/>
      <c r="I67" s="214"/>
      <c r="J67" s="214"/>
      <c r="K67" s="214"/>
      <c r="L67" s="214"/>
      <c r="M67" s="214"/>
      <c r="N67" s="214"/>
      <c r="O67" s="214"/>
      <c r="P67" s="214"/>
      <c r="Q67" s="214"/>
      <c r="R67" s="214"/>
    </row>
    <row r="68" spans="2:18" s="204" customFormat="1" x14ac:dyDescent="0.2">
      <c r="B68" s="62">
        <v>3232</v>
      </c>
      <c r="C68" s="65" t="s">
        <v>160</v>
      </c>
      <c r="D68" s="66">
        <v>40000</v>
      </c>
      <c r="E68" s="67"/>
      <c r="F68" s="59">
        <f t="shared" si="3"/>
        <v>40000</v>
      </c>
      <c r="G68" s="203"/>
      <c r="H68" s="214"/>
      <c r="I68" s="214"/>
      <c r="J68" s="214"/>
      <c r="K68" s="214"/>
      <c r="L68" s="214"/>
      <c r="M68" s="214"/>
      <c r="N68" s="214"/>
      <c r="O68" s="214"/>
      <c r="P68" s="214"/>
      <c r="Q68" s="214"/>
      <c r="R68" s="214"/>
    </row>
    <row r="69" spans="2:18" s="204" customFormat="1" x14ac:dyDescent="0.2">
      <c r="B69" s="62">
        <v>3261</v>
      </c>
      <c r="C69" s="65" t="s">
        <v>161</v>
      </c>
      <c r="D69" s="66">
        <v>30000</v>
      </c>
      <c r="E69" s="67"/>
      <c r="F69" s="59">
        <f t="shared" si="3"/>
        <v>30000</v>
      </c>
      <c r="G69" s="203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4"/>
    </row>
    <row r="70" spans="2:18" s="204" customFormat="1" x14ac:dyDescent="0.2">
      <c r="B70" s="62">
        <v>3311</v>
      </c>
      <c r="C70" s="65" t="s">
        <v>162</v>
      </c>
      <c r="D70" s="66">
        <f>45000+240000+237600+83520</f>
        <v>606120</v>
      </c>
      <c r="E70" s="68"/>
      <c r="F70" s="59">
        <f t="shared" si="3"/>
        <v>606120</v>
      </c>
      <c r="G70" s="203">
        <v>5829.8</v>
      </c>
      <c r="H70" s="214"/>
      <c r="I70" s="214"/>
      <c r="J70" s="214"/>
      <c r="K70" s="214"/>
      <c r="L70" s="214"/>
      <c r="M70" s="214"/>
      <c r="N70" s="214"/>
      <c r="O70" s="214"/>
      <c r="P70" s="214"/>
      <c r="Q70" s="214"/>
      <c r="R70" s="214"/>
    </row>
    <row r="71" spans="2:18" s="204" customFormat="1" x14ac:dyDescent="0.2">
      <c r="B71" s="62">
        <v>3331</v>
      </c>
      <c r="C71" s="65" t="s">
        <v>163</v>
      </c>
      <c r="D71" s="66">
        <f>170000+30000</f>
        <v>200000</v>
      </c>
      <c r="E71" s="68"/>
      <c r="F71" s="59">
        <f t="shared" si="3"/>
        <v>200000</v>
      </c>
      <c r="G71" s="203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14"/>
    </row>
    <row r="72" spans="2:18" s="204" customFormat="1" x14ac:dyDescent="0.2">
      <c r="B72" s="62">
        <v>3341</v>
      </c>
      <c r="C72" s="65" t="s">
        <v>164</v>
      </c>
      <c r="D72" s="66">
        <v>50000</v>
      </c>
      <c r="E72" s="67"/>
      <c r="F72" s="59">
        <f t="shared" si="3"/>
        <v>50000</v>
      </c>
      <c r="G72" s="203">
        <v>27841.93</v>
      </c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4"/>
    </row>
    <row r="73" spans="2:18" s="204" customFormat="1" x14ac:dyDescent="0.2">
      <c r="B73" s="62">
        <v>3342</v>
      </c>
      <c r="C73" s="65" t="s">
        <v>165</v>
      </c>
      <c r="D73" s="66">
        <f>15000+240000</f>
        <v>255000</v>
      </c>
      <c r="E73" s="67"/>
      <c r="F73" s="59">
        <f t="shared" si="3"/>
        <v>255000</v>
      </c>
      <c r="G73" s="203">
        <v>2389.6</v>
      </c>
      <c r="H73" s="214"/>
      <c r="I73" s="214"/>
      <c r="J73" s="214"/>
      <c r="K73" s="214"/>
      <c r="L73" s="214"/>
      <c r="M73" s="214"/>
      <c r="N73" s="214"/>
      <c r="O73" s="214"/>
      <c r="P73" s="214"/>
      <c r="Q73" s="214"/>
      <c r="R73" s="214"/>
    </row>
    <row r="74" spans="2:18" s="204" customFormat="1" x14ac:dyDescent="0.2">
      <c r="B74" s="62">
        <v>3351</v>
      </c>
      <c r="C74" s="65" t="s">
        <v>166</v>
      </c>
      <c r="D74" s="66">
        <f>90000+124976</f>
        <v>214976</v>
      </c>
      <c r="E74" s="67"/>
      <c r="F74" s="59">
        <f t="shared" si="3"/>
        <v>214976</v>
      </c>
      <c r="G74" s="203"/>
      <c r="H74" s="214"/>
      <c r="I74" s="214"/>
      <c r="J74" s="214"/>
      <c r="K74" s="214"/>
      <c r="L74" s="214"/>
      <c r="M74" s="214"/>
      <c r="N74" s="214"/>
      <c r="O74" s="214"/>
      <c r="P74" s="214"/>
      <c r="Q74" s="214"/>
      <c r="R74" s="214"/>
    </row>
    <row r="75" spans="2:18" s="204" customFormat="1" x14ac:dyDescent="0.2">
      <c r="B75" s="62">
        <v>3362</v>
      </c>
      <c r="C75" s="65" t="s">
        <v>167</v>
      </c>
      <c r="D75" s="66">
        <v>45668.001600000011</v>
      </c>
      <c r="E75" s="67"/>
      <c r="F75" s="59">
        <f t="shared" si="3"/>
        <v>45668.001600000011</v>
      </c>
      <c r="G75" s="203">
        <v>3225.96</v>
      </c>
      <c r="H75" s="214"/>
      <c r="I75" s="214"/>
      <c r="J75" s="214"/>
      <c r="K75" s="214"/>
      <c r="L75" s="214"/>
      <c r="M75" s="214"/>
      <c r="N75" s="214"/>
      <c r="O75" s="214"/>
      <c r="P75" s="214"/>
      <c r="Q75" s="214"/>
      <c r="R75" s="214"/>
    </row>
    <row r="76" spans="2:18" s="204" customFormat="1" x14ac:dyDescent="0.2">
      <c r="B76" s="62">
        <v>3363</v>
      </c>
      <c r="C76" s="65" t="s">
        <v>168</v>
      </c>
      <c r="D76" s="66">
        <v>50000</v>
      </c>
      <c r="E76" s="67"/>
      <c r="F76" s="59">
        <f t="shared" si="3"/>
        <v>50000</v>
      </c>
      <c r="G76" s="203"/>
      <c r="H76" s="214"/>
      <c r="I76" s="214"/>
      <c r="J76" s="214"/>
      <c r="K76" s="214"/>
      <c r="L76" s="214"/>
      <c r="M76" s="214"/>
      <c r="N76" s="214"/>
      <c r="O76" s="214"/>
      <c r="P76" s="214"/>
      <c r="Q76" s="214"/>
      <c r="R76" s="214"/>
    </row>
    <row r="77" spans="2:18" s="204" customFormat="1" x14ac:dyDescent="0.2">
      <c r="B77" s="62">
        <v>3391</v>
      </c>
      <c r="C77" s="65" t="s">
        <v>169</v>
      </c>
      <c r="D77" s="59">
        <f>83520+120000+15000+170000</f>
        <v>388520</v>
      </c>
      <c r="E77" s="66">
        <v>638000</v>
      </c>
      <c r="F77" s="59">
        <f t="shared" si="3"/>
        <v>1026520</v>
      </c>
      <c r="G77" s="203">
        <v>24734.42</v>
      </c>
      <c r="H77" s="214"/>
      <c r="I77" s="214"/>
      <c r="J77" s="214"/>
      <c r="K77" s="214"/>
      <c r="L77" s="214"/>
      <c r="M77" s="214"/>
      <c r="N77" s="214"/>
      <c r="O77" s="214"/>
      <c r="P77" s="214"/>
      <c r="Q77" s="214"/>
      <c r="R77" s="214"/>
    </row>
    <row r="78" spans="2:18" s="204" customFormat="1" x14ac:dyDescent="0.2">
      <c r="B78" s="62">
        <v>3411</v>
      </c>
      <c r="C78" s="65" t="s">
        <v>170</v>
      </c>
      <c r="D78" s="66">
        <v>3567.4495999999999</v>
      </c>
      <c r="E78" s="67"/>
      <c r="F78" s="59">
        <f t="shared" si="3"/>
        <v>3567.4495999999999</v>
      </c>
      <c r="G78" s="203">
        <v>25476.02</v>
      </c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</row>
    <row r="79" spans="2:18" s="204" customFormat="1" x14ac:dyDescent="0.2">
      <c r="B79" s="62">
        <v>3451</v>
      </c>
      <c r="C79" s="65" t="s">
        <v>171</v>
      </c>
      <c r="D79" s="66">
        <v>101437</v>
      </c>
      <c r="E79" s="67"/>
      <c r="F79" s="59">
        <f t="shared" si="3"/>
        <v>101437</v>
      </c>
      <c r="G79" s="203"/>
      <c r="H79" s="214"/>
      <c r="I79" s="214"/>
      <c r="J79" s="214"/>
      <c r="K79" s="214"/>
      <c r="L79" s="214"/>
      <c r="M79" s="214"/>
      <c r="N79" s="214"/>
      <c r="O79" s="214"/>
      <c r="P79" s="214"/>
      <c r="Q79" s="214"/>
      <c r="R79" s="214"/>
    </row>
    <row r="80" spans="2:18" s="204" customFormat="1" x14ac:dyDescent="0.2">
      <c r="B80" s="62">
        <v>3471</v>
      </c>
      <c r="C80" s="65" t="s">
        <v>172</v>
      </c>
      <c r="D80" s="66">
        <v>8686.08</v>
      </c>
      <c r="E80" s="67"/>
      <c r="F80" s="59">
        <f t="shared" si="3"/>
        <v>8686.08</v>
      </c>
      <c r="G80" s="203">
        <v>716.88</v>
      </c>
      <c r="H80" s="214"/>
      <c r="I80" s="214"/>
      <c r="J80" s="214"/>
      <c r="K80" s="214"/>
      <c r="L80" s="214"/>
      <c r="M80" s="214"/>
      <c r="N80" s="214"/>
      <c r="O80" s="214"/>
      <c r="P80" s="214"/>
      <c r="Q80" s="214"/>
      <c r="R80" s="214"/>
    </row>
    <row r="81" spans="2:18" s="204" customFormat="1" x14ac:dyDescent="0.2">
      <c r="B81" s="62">
        <v>3481</v>
      </c>
      <c r="C81" s="65" t="s">
        <v>173</v>
      </c>
      <c r="D81" s="66">
        <v>0</v>
      </c>
      <c r="E81" s="67"/>
      <c r="F81" s="59">
        <f t="shared" si="3"/>
        <v>0</v>
      </c>
      <c r="G81" s="203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14"/>
    </row>
    <row r="82" spans="2:18" s="204" customFormat="1" x14ac:dyDescent="0.2">
      <c r="B82" s="62">
        <v>3512</v>
      </c>
      <c r="C82" s="65" t="s">
        <v>174</v>
      </c>
      <c r="D82" s="66">
        <f>500000+150000+300000</f>
        <v>950000</v>
      </c>
      <c r="E82" s="66">
        <f>5735172-3+100000</f>
        <v>5835169</v>
      </c>
      <c r="F82" s="59">
        <f t="shared" si="3"/>
        <v>6785169</v>
      </c>
      <c r="G82" s="203">
        <v>17220.57</v>
      </c>
      <c r="H82" s="214"/>
      <c r="I82" s="214"/>
      <c r="J82" s="214"/>
      <c r="K82" s="214"/>
      <c r="L82" s="214"/>
      <c r="M82" s="214"/>
      <c r="N82" s="214"/>
      <c r="O82" s="214"/>
      <c r="P82" s="214"/>
      <c r="Q82" s="214"/>
      <c r="R82" s="214"/>
    </row>
    <row r="83" spans="2:18" s="204" customFormat="1" x14ac:dyDescent="0.2">
      <c r="B83" s="62">
        <v>3521</v>
      </c>
      <c r="C83" s="65" t="s">
        <v>175</v>
      </c>
      <c r="D83" s="66">
        <v>250000</v>
      </c>
      <c r="E83" s="67"/>
      <c r="F83" s="59">
        <f t="shared" si="3"/>
        <v>250000</v>
      </c>
      <c r="G83" s="203"/>
      <c r="H83" s="214"/>
      <c r="I83" s="214"/>
      <c r="J83" s="214"/>
      <c r="K83" s="214"/>
      <c r="L83" s="214"/>
      <c r="M83" s="214"/>
      <c r="N83" s="214"/>
      <c r="O83" s="214"/>
      <c r="P83" s="214"/>
      <c r="Q83" s="214"/>
      <c r="R83" s="214"/>
    </row>
    <row r="84" spans="2:18" s="204" customFormat="1" x14ac:dyDescent="0.2">
      <c r="B84" s="62">
        <v>3531</v>
      </c>
      <c r="C84" s="65" t="s">
        <v>176</v>
      </c>
      <c r="D84" s="66">
        <v>1650000</v>
      </c>
      <c r="E84" s="67"/>
      <c r="F84" s="59">
        <f t="shared" si="3"/>
        <v>1650000</v>
      </c>
      <c r="G84" s="203">
        <v>5669.12</v>
      </c>
      <c r="H84" s="214"/>
      <c r="I84" s="214"/>
      <c r="J84" s="214"/>
      <c r="K84" s="214"/>
      <c r="L84" s="214"/>
      <c r="M84" s="214"/>
      <c r="N84" s="214"/>
      <c r="O84" s="214"/>
      <c r="P84" s="214"/>
      <c r="Q84" s="214"/>
      <c r="R84" s="214"/>
    </row>
    <row r="85" spans="2:18" s="204" customFormat="1" x14ac:dyDescent="0.2">
      <c r="B85" s="62">
        <v>3551</v>
      </c>
      <c r="C85" s="65" t="s">
        <v>177</v>
      </c>
      <c r="D85" s="66">
        <v>213722</v>
      </c>
      <c r="E85" s="67"/>
      <c r="F85" s="59">
        <f t="shared" si="3"/>
        <v>213722</v>
      </c>
      <c r="G85" s="203">
        <v>1252.48</v>
      </c>
      <c r="H85" s="214"/>
      <c r="I85" s="214"/>
      <c r="J85" s="214"/>
      <c r="K85" s="214"/>
      <c r="L85" s="214"/>
      <c r="M85" s="214"/>
      <c r="N85" s="214"/>
      <c r="O85" s="214"/>
      <c r="P85" s="214"/>
      <c r="Q85" s="214"/>
      <c r="R85" s="214"/>
    </row>
    <row r="86" spans="2:18" s="204" customFormat="1" x14ac:dyDescent="0.2">
      <c r="B86" s="62">
        <v>3571</v>
      </c>
      <c r="C86" s="65" t="s">
        <v>178</v>
      </c>
      <c r="D86" s="66">
        <v>250000</v>
      </c>
      <c r="E86" s="67"/>
      <c r="F86" s="59">
        <f t="shared" si="3"/>
        <v>250000</v>
      </c>
      <c r="G86" s="203"/>
      <c r="H86" s="214"/>
      <c r="I86" s="214"/>
      <c r="J86" s="214"/>
      <c r="K86" s="214"/>
      <c r="L86" s="214"/>
      <c r="M86" s="214"/>
      <c r="N86" s="214"/>
      <c r="O86" s="214"/>
      <c r="P86" s="214"/>
      <c r="Q86" s="214"/>
      <c r="R86" s="214"/>
    </row>
    <row r="87" spans="2:18" s="204" customFormat="1" x14ac:dyDescent="0.2">
      <c r="B87" s="62">
        <v>3572</v>
      </c>
      <c r="C87" s="65" t="s">
        <v>179</v>
      </c>
      <c r="D87" s="66">
        <v>50000</v>
      </c>
      <c r="E87" s="67"/>
      <c r="F87" s="59">
        <f t="shared" si="3"/>
        <v>50000</v>
      </c>
      <c r="G87" s="203"/>
      <c r="H87" s="214"/>
      <c r="I87" s="214"/>
      <c r="J87" s="214"/>
      <c r="K87" s="214"/>
      <c r="L87" s="214"/>
      <c r="M87" s="214"/>
      <c r="N87" s="214"/>
      <c r="O87" s="214"/>
      <c r="P87" s="214"/>
      <c r="Q87" s="214"/>
      <c r="R87" s="214"/>
    </row>
    <row r="88" spans="2:18" s="204" customFormat="1" x14ac:dyDescent="0.2">
      <c r="B88" s="62">
        <v>3581</v>
      </c>
      <c r="C88" s="65" t="s">
        <v>180</v>
      </c>
      <c r="D88" s="66">
        <v>150000</v>
      </c>
      <c r="E88" s="67"/>
      <c r="F88" s="59">
        <f t="shared" si="3"/>
        <v>150000</v>
      </c>
      <c r="G88" s="203">
        <v>12500</v>
      </c>
      <c r="H88" s="214"/>
      <c r="I88" s="214"/>
      <c r="J88" s="214"/>
      <c r="K88" s="214"/>
      <c r="L88" s="214"/>
      <c r="M88" s="214"/>
      <c r="N88" s="214"/>
      <c r="O88" s="214"/>
      <c r="P88" s="214"/>
      <c r="Q88" s="214"/>
      <c r="R88" s="214"/>
    </row>
    <row r="89" spans="2:18" s="204" customFormat="1" x14ac:dyDescent="0.2">
      <c r="B89" s="62">
        <v>3591</v>
      </c>
      <c r="C89" s="65" t="s">
        <v>181</v>
      </c>
      <c r="D89" s="66">
        <f>15000*12</f>
        <v>180000</v>
      </c>
      <c r="E89" s="67"/>
      <c r="F89" s="59">
        <f t="shared" si="3"/>
        <v>180000</v>
      </c>
      <c r="G89" s="203"/>
      <c r="H89" s="214"/>
      <c r="I89" s="214"/>
      <c r="J89" s="214"/>
      <c r="K89" s="214"/>
      <c r="L89" s="214"/>
      <c r="M89" s="214"/>
      <c r="N89" s="214"/>
      <c r="O89" s="214"/>
      <c r="P89" s="214"/>
      <c r="Q89" s="214"/>
      <c r="R89" s="214"/>
    </row>
    <row r="90" spans="2:18" s="204" customFormat="1" x14ac:dyDescent="0.2">
      <c r="B90" s="62">
        <v>3721</v>
      </c>
      <c r="C90" s="65" t="s">
        <v>182</v>
      </c>
      <c r="D90" s="66">
        <v>64623.748800000001</v>
      </c>
      <c r="E90" s="67"/>
      <c r="F90" s="59">
        <f t="shared" si="3"/>
        <v>64623.748800000001</v>
      </c>
      <c r="G90" s="203">
        <v>20598.97</v>
      </c>
      <c r="H90" s="214"/>
      <c r="I90" s="214"/>
      <c r="J90" s="214"/>
      <c r="K90" s="214"/>
      <c r="L90" s="214"/>
      <c r="M90" s="214"/>
      <c r="N90" s="214"/>
      <c r="O90" s="214"/>
      <c r="P90" s="214"/>
      <c r="Q90" s="214"/>
      <c r="R90" s="214"/>
    </row>
    <row r="91" spans="2:18" s="204" customFormat="1" x14ac:dyDescent="0.2">
      <c r="B91" s="62">
        <v>3751</v>
      </c>
      <c r="C91" s="65" t="s">
        <v>183</v>
      </c>
      <c r="D91" s="66">
        <f>8371.68+25000</f>
        <v>33371.68</v>
      </c>
      <c r="E91" s="67"/>
      <c r="F91" s="59">
        <f t="shared" si="3"/>
        <v>33371.68</v>
      </c>
      <c r="G91" s="203">
        <v>1827.22</v>
      </c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214"/>
    </row>
    <row r="92" spans="2:18" s="204" customFormat="1" x14ac:dyDescent="0.2">
      <c r="B92" s="62">
        <v>3791</v>
      </c>
      <c r="C92" s="65" t="s">
        <v>184</v>
      </c>
      <c r="D92" s="66">
        <v>6000</v>
      </c>
      <c r="E92" s="67"/>
      <c r="F92" s="59">
        <f t="shared" si="3"/>
        <v>6000</v>
      </c>
      <c r="G92" s="203"/>
      <c r="H92" s="214"/>
      <c r="I92" s="214"/>
      <c r="J92" s="214"/>
      <c r="K92" s="214"/>
      <c r="L92" s="214"/>
      <c r="M92" s="214"/>
      <c r="N92" s="214"/>
      <c r="O92" s="214"/>
      <c r="P92" s="214"/>
      <c r="Q92" s="214"/>
      <c r="R92" s="214"/>
    </row>
    <row r="93" spans="2:18" s="204" customFormat="1" x14ac:dyDescent="0.2">
      <c r="B93" s="62">
        <v>3821</v>
      </c>
      <c r="C93" s="65" t="s">
        <v>185</v>
      </c>
      <c r="D93" s="66">
        <v>14400</v>
      </c>
      <c r="E93" s="67"/>
      <c r="F93" s="59">
        <f t="shared" si="3"/>
        <v>14400</v>
      </c>
      <c r="G93" s="203"/>
      <c r="H93" s="214"/>
      <c r="I93" s="214"/>
      <c r="J93" s="214"/>
      <c r="K93" s="214"/>
      <c r="L93" s="214"/>
      <c r="M93" s="214"/>
      <c r="N93" s="214"/>
      <c r="O93" s="214"/>
      <c r="P93" s="214"/>
      <c r="Q93" s="214"/>
      <c r="R93" s="214"/>
    </row>
    <row r="94" spans="2:18" s="204" customFormat="1" x14ac:dyDescent="0.2">
      <c r="B94" s="62">
        <v>3822</v>
      </c>
      <c r="C94" s="65" t="s">
        <v>186</v>
      </c>
      <c r="D94" s="66">
        <v>15000</v>
      </c>
      <c r="E94" s="67"/>
      <c r="F94" s="59">
        <f t="shared" si="3"/>
        <v>15000</v>
      </c>
      <c r="G94" s="203">
        <v>15330.52</v>
      </c>
      <c r="H94" s="214"/>
      <c r="I94" s="214"/>
      <c r="J94" s="214"/>
      <c r="K94" s="214"/>
      <c r="L94" s="214"/>
      <c r="M94" s="214"/>
      <c r="N94" s="214"/>
      <c r="O94" s="214"/>
      <c r="P94" s="214"/>
      <c r="Q94" s="214"/>
      <c r="R94" s="214"/>
    </row>
    <row r="95" spans="2:18" s="204" customFormat="1" x14ac:dyDescent="0.2">
      <c r="B95" s="62">
        <v>3921</v>
      </c>
      <c r="C95" s="65" t="s">
        <v>187</v>
      </c>
      <c r="D95" s="66">
        <v>226398.22399999999</v>
      </c>
      <c r="E95" s="67"/>
      <c r="F95" s="59">
        <f t="shared" si="3"/>
        <v>226398.22399999999</v>
      </c>
      <c r="G95" s="203">
        <v>18863.419999999998</v>
      </c>
      <c r="H95" s="214"/>
      <c r="I95" s="214"/>
      <c r="J95" s="214"/>
      <c r="K95" s="214"/>
      <c r="L95" s="214"/>
      <c r="M95" s="214"/>
      <c r="N95" s="214"/>
      <c r="O95" s="214"/>
      <c r="P95" s="214"/>
      <c r="Q95" s="214"/>
      <c r="R95" s="214"/>
    </row>
    <row r="96" spans="2:18" s="204" customFormat="1" x14ac:dyDescent="0.2">
      <c r="B96" s="62">
        <v>3941</v>
      </c>
      <c r="C96" s="65" t="s">
        <v>188</v>
      </c>
      <c r="D96" s="66">
        <v>500000</v>
      </c>
      <c r="E96" s="67"/>
      <c r="F96" s="59">
        <f t="shared" si="3"/>
        <v>500000</v>
      </c>
      <c r="G96" s="203"/>
      <c r="H96" s="214"/>
      <c r="I96" s="214"/>
      <c r="J96" s="214"/>
      <c r="K96" s="214"/>
      <c r="L96" s="214"/>
      <c r="M96" s="214"/>
      <c r="N96" s="214"/>
      <c r="O96" s="214"/>
      <c r="P96" s="214"/>
      <c r="Q96" s="214"/>
      <c r="R96" s="214"/>
    </row>
    <row r="97" spans="2:18" s="204" customFormat="1" x14ac:dyDescent="0.2">
      <c r="B97" s="62">
        <v>3944</v>
      </c>
      <c r="C97" s="65" t="s">
        <v>189</v>
      </c>
      <c r="D97" s="66">
        <v>50000</v>
      </c>
      <c r="E97" s="67"/>
      <c r="F97" s="59">
        <f t="shared" si="3"/>
        <v>50000</v>
      </c>
      <c r="G97" s="203"/>
      <c r="H97" s="214"/>
      <c r="I97" s="214"/>
      <c r="J97" s="214"/>
      <c r="K97" s="214"/>
      <c r="L97" s="214"/>
      <c r="M97" s="214"/>
      <c r="N97" s="214"/>
      <c r="O97" s="214"/>
      <c r="P97" s="214"/>
      <c r="Q97" s="214"/>
      <c r="R97" s="214"/>
    </row>
    <row r="98" spans="2:18" s="204" customFormat="1" x14ac:dyDescent="0.2">
      <c r="B98" s="62">
        <v>3981</v>
      </c>
      <c r="C98" s="65" t="s">
        <v>190</v>
      </c>
      <c r="D98" s="66">
        <v>750000</v>
      </c>
      <c r="E98" s="67"/>
      <c r="F98" s="59">
        <f t="shared" si="3"/>
        <v>750000</v>
      </c>
      <c r="G98" s="203"/>
      <c r="H98" s="214"/>
      <c r="I98" s="214"/>
      <c r="J98" s="214"/>
      <c r="K98" s="214"/>
      <c r="L98" s="214"/>
      <c r="M98" s="214"/>
      <c r="N98" s="214"/>
      <c r="O98" s="214"/>
      <c r="P98" s="214"/>
      <c r="Q98" s="214"/>
      <c r="R98" s="214"/>
    </row>
    <row r="99" spans="2:18" s="204" customFormat="1" x14ac:dyDescent="0.2">
      <c r="B99" s="62">
        <v>3993</v>
      </c>
      <c r="C99" s="65" t="s">
        <v>191</v>
      </c>
      <c r="D99" s="66">
        <f>53859.3536-14400</f>
        <v>39459.353600000002</v>
      </c>
      <c r="E99" s="67"/>
      <c r="F99" s="59">
        <f t="shared" si="3"/>
        <v>39459.353600000002</v>
      </c>
      <c r="G99" s="203">
        <v>1325.61</v>
      </c>
      <c r="H99" s="214"/>
      <c r="I99" s="214"/>
      <c r="J99" s="214"/>
      <c r="K99" s="214"/>
      <c r="L99" s="214"/>
      <c r="M99" s="214"/>
      <c r="N99" s="214"/>
      <c r="O99" s="214"/>
      <c r="P99" s="214"/>
      <c r="Q99" s="214"/>
      <c r="R99" s="214"/>
    </row>
    <row r="100" spans="2:18" s="206" customFormat="1" x14ac:dyDescent="0.2">
      <c r="B100" s="191"/>
      <c r="C100" s="191" t="s">
        <v>192</v>
      </c>
      <c r="D100" s="189">
        <f>SUM(D62:D99)</f>
        <v>8195570.5328000002</v>
      </c>
      <c r="E100" s="189">
        <f>SUM(E62:E99)</f>
        <v>6473169</v>
      </c>
      <c r="F100" s="189">
        <f t="shared" ref="F100:G100" si="4">SUM(F62:F99)</f>
        <v>14668739.532799998</v>
      </c>
      <c r="G100" s="220">
        <f t="shared" si="4"/>
        <v>248546.33999999997</v>
      </c>
      <c r="H100" s="219"/>
      <c r="I100" s="219"/>
      <c r="J100" s="219"/>
      <c r="K100" s="219"/>
      <c r="L100" s="219"/>
      <c r="M100" s="219"/>
      <c r="N100" s="219"/>
      <c r="O100" s="219"/>
      <c r="P100" s="219"/>
      <c r="Q100" s="219"/>
      <c r="R100" s="219"/>
    </row>
    <row r="101" spans="2:18" s="204" customFormat="1" ht="25.5" x14ac:dyDescent="0.2">
      <c r="B101" s="69">
        <v>4412</v>
      </c>
      <c r="C101" s="70" t="s">
        <v>193</v>
      </c>
      <c r="D101" s="71">
        <v>100000</v>
      </c>
      <c r="E101" s="59">
        <v>0</v>
      </c>
      <c r="F101" s="64">
        <f t="shared" ref="F101:F129" si="5">D101+E101</f>
        <v>100000</v>
      </c>
      <c r="G101" s="203"/>
      <c r="H101" s="214"/>
      <c r="I101" s="214"/>
      <c r="J101" s="214"/>
      <c r="K101" s="214"/>
      <c r="L101" s="214"/>
      <c r="M101" s="214"/>
      <c r="N101" s="214"/>
      <c r="O101" s="214"/>
      <c r="P101" s="214"/>
      <c r="Q101" s="214"/>
      <c r="R101" s="214"/>
    </row>
    <row r="102" spans="2:18" s="204" customFormat="1" ht="25.5" x14ac:dyDescent="0.2">
      <c r="B102" s="69">
        <v>4413</v>
      </c>
      <c r="C102" s="70" t="s">
        <v>194</v>
      </c>
      <c r="D102" s="71"/>
      <c r="E102" s="59">
        <v>2700000</v>
      </c>
      <c r="F102" s="64">
        <f t="shared" si="5"/>
        <v>2700000</v>
      </c>
      <c r="G102" s="203"/>
      <c r="H102" s="214"/>
      <c r="I102" s="214"/>
      <c r="J102" s="214"/>
      <c r="K102" s="214"/>
      <c r="L102" s="214"/>
      <c r="M102" s="214"/>
      <c r="N102" s="214"/>
      <c r="O102" s="214"/>
      <c r="P102" s="214"/>
      <c r="Q102" s="214"/>
      <c r="R102" s="214"/>
    </row>
    <row r="103" spans="2:18" s="204" customFormat="1" x14ac:dyDescent="0.2">
      <c r="B103" s="69">
        <v>4421</v>
      </c>
      <c r="C103" s="70" t="s">
        <v>195</v>
      </c>
      <c r="D103" s="71">
        <f>150000+200000</f>
        <v>350000</v>
      </c>
      <c r="E103" s="59">
        <f>6897153-1000000</f>
        <v>5897153</v>
      </c>
      <c r="F103" s="64">
        <f t="shared" si="5"/>
        <v>6247153</v>
      </c>
      <c r="G103" s="203"/>
      <c r="H103" s="214"/>
      <c r="I103" s="214"/>
      <c r="J103" s="214"/>
      <c r="K103" s="214"/>
      <c r="L103" s="214"/>
      <c r="M103" s="214"/>
      <c r="N103" s="214"/>
      <c r="O103" s="214"/>
      <c r="P103" s="214"/>
      <c r="Q103" s="214"/>
      <c r="R103" s="214"/>
    </row>
    <row r="104" spans="2:18" x14ac:dyDescent="0.2">
      <c r="B104" s="72"/>
      <c r="C104" s="73"/>
      <c r="D104" s="74"/>
      <c r="E104" s="59"/>
      <c r="F104" s="75">
        <f t="shared" si="5"/>
        <v>0</v>
      </c>
      <c r="G104" s="203">
        <v>0</v>
      </c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  <c r="R104" s="216"/>
    </row>
    <row r="105" spans="2:18" x14ac:dyDescent="0.2">
      <c r="B105" s="192"/>
      <c r="C105" s="193" t="s">
        <v>196</v>
      </c>
      <c r="D105" s="190">
        <f>SUM(D101:D104)</f>
        <v>450000</v>
      </c>
      <c r="E105" s="190">
        <f>SUM(E101:E104)</f>
        <v>8597153</v>
      </c>
      <c r="F105" s="190">
        <f>SUM(F101:F104)</f>
        <v>9047153</v>
      </c>
      <c r="G105" s="190">
        <f>SUM(G101:G104)</f>
        <v>0</v>
      </c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  <c r="R105" s="216"/>
    </row>
    <row r="106" spans="2:18" s="204" customFormat="1" x14ac:dyDescent="0.2">
      <c r="B106" s="62">
        <v>5111</v>
      </c>
      <c r="C106" s="65" t="s">
        <v>84</v>
      </c>
      <c r="D106" s="59">
        <v>250000</v>
      </c>
      <c r="E106" s="59"/>
      <c r="F106" s="59">
        <f t="shared" si="5"/>
        <v>250000</v>
      </c>
      <c r="G106" s="203"/>
      <c r="H106" s="214"/>
      <c r="I106" s="214"/>
      <c r="J106" s="214"/>
      <c r="K106" s="214"/>
      <c r="L106" s="214"/>
      <c r="M106" s="214"/>
      <c r="N106" s="214"/>
      <c r="O106" s="214"/>
      <c r="P106" s="214"/>
      <c r="Q106" s="214"/>
      <c r="R106" s="214"/>
    </row>
    <row r="107" spans="2:18" s="204" customFormat="1" x14ac:dyDescent="0.2">
      <c r="B107" s="62">
        <v>5121</v>
      </c>
      <c r="C107" s="65" t="s">
        <v>85</v>
      </c>
      <c r="D107" s="59">
        <f>1000000+250000</f>
        <v>1250000</v>
      </c>
      <c r="E107" s="59">
        <f>350000-178139.77</f>
        <v>171860.23</v>
      </c>
      <c r="F107" s="59">
        <f t="shared" si="5"/>
        <v>1421860.23</v>
      </c>
      <c r="G107" s="203">
        <v>6318.02</v>
      </c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  <c r="R107" s="214"/>
    </row>
    <row r="108" spans="2:18" s="204" customFormat="1" x14ac:dyDescent="0.2">
      <c r="B108" s="62">
        <v>5151</v>
      </c>
      <c r="C108" s="65" t="s">
        <v>86</v>
      </c>
      <c r="D108" s="59">
        <f>215800+825000-52192.3+250000+1</f>
        <v>1238608.7</v>
      </c>
      <c r="E108" s="59">
        <v>0</v>
      </c>
      <c r="F108" s="59">
        <f t="shared" si="5"/>
        <v>1238608.7</v>
      </c>
      <c r="G108" s="203"/>
      <c r="H108" s="214"/>
      <c r="I108" s="214"/>
      <c r="J108" s="214"/>
      <c r="K108" s="214"/>
      <c r="L108" s="214"/>
      <c r="M108" s="214"/>
      <c r="N108" s="214"/>
      <c r="O108" s="214"/>
      <c r="P108" s="214"/>
      <c r="Q108" s="214"/>
      <c r="R108" s="214"/>
    </row>
    <row r="109" spans="2:18" s="204" customFormat="1" x14ac:dyDescent="0.2">
      <c r="B109" s="62">
        <v>5191</v>
      </c>
      <c r="C109" s="65" t="s">
        <v>87</v>
      </c>
      <c r="D109" s="59">
        <v>0</v>
      </c>
      <c r="E109" s="59">
        <v>15000</v>
      </c>
      <c r="F109" s="59">
        <f t="shared" si="5"/>
        <v>15000</v>
      </c>
      <c r="G109" s="203"/>
      <c r="H109" s="214"/>
      <c r="I109" s="214"/>
      <c r="J109" s="214"/>
      <c r="K109" s="214"/>
      <c r="L109" s="214"/>
      <c r="M109" s="214"/>
      <c r="N109" s="214"/>
      <c r="O109" s="214"/>
      <c r="P109" s="214"/>
      <c r="Q109" s="214"/>
      <c r="R109" s="214"/>
    </row>
    <row r="110" spans="2:18" s="204" customFormat="1" x14ac:dyDescent="0.2">
      <c r="B110" s="62">
        <v>5211</v>
      </c>
      <c r="C110" s="65" t="s">
        <v>88</v>
      </c>
      <c r="D110" s="67"/>
      <c r="E110" s="59">
        <v>0</v>
      </c>
      <c r="F110" s="59">
        <f t="shared" si="5"/>
        <v>0</v>
      </c>
      <c r="G110" s="203"/>
      <c r="H110" s="214"/>
      <c r="I110" s="214"/>
      <c r="J110" s="214"/>
      <c r="K110" s="214"/>
      <c r="L110" s="214"/>
      <c r="M110" s="214"/>
      <c r="N110" s="214"/>
      <c r="O110" s="214"/>
      <c r="P110" s="214"/>
      <c r="Q110" s="214"/>
      <c r="R110" s="214"/>
    </row>
    <row r="111" spans="2:18" s="204" customFormat="1" x14ac:dyDescent="0.2">
      <c r="B111" s="62">
        <v>5291</v>
      </c>
      <c r="C111" s="214" t="s">
        <v>197</v>
      </c>
      <c r="D111" s="67"/>
      <c r="E111" s="59">
        <v>0</v>
      </c>
      <c r="F111" s="59">
        <f t="shared" si="5"/>
        <v>0</v>
      </c>
      <c r="G111" s="203"/>
      <c r="H111" s="214"/>
      <c r="I111" s="214"/>
      <c r="J111" s="214"/>
      <c r="K111" s="214"/>
      <c r="L111" s="214"/>
      <c r="M111" s="214"/>
      <c r="N111" s="214"/>
      <c r="O111" s="214"/>
      <c r="P111" s="214"/>
      <c r="Q111" s="214"/>
      <c r="R111" s="214"/>
    </row>
    <row r="112" spans="2:18" s="204" customFormat="1" x14ac:dyDescent="0.2">
      <c r="B112" s="62">
        <v>5311</v>
      </c>
      <c r="C112" s="214" t="s">
        <v>198</v>
      </c>
      <c r="D112" s="59">
        <v>300000</v>
      </c>
      <c r="E112" s="59">
        <f>4814972.24-15600-4099372</f>
        <v>700000.24000000022</v>
      </c>
      <c r="F112" s="59">
        <f t="shared" si="5"/>
        <v>1000000.2400000002</v>
      </c>
      <c r="G112" s="203"/>
      <c r="H112" s="214"/>
      <c r="I112" s="214"/>
      <c r="J112" s="214"/>
      <c r="K112" s="214"/>
      <c r="L112" s="214"/>
      <c r="M112" s="214"/>
      <c r="N112" s="214"/>
      <c r="O112" s="214"/>
      <c r="P112" s="214"/>
      <c r="Q112" s="214"/>
      <c r="R112" s="214"/>
    </row>
    <row r="113" spans="2:18" s="204" customFormat="1" x14ac:dyDescent="0.2">
      <c r="B113" s="62">
        <v>5621</v>
      </c>
      <c r="C113" s="65" t="s">
        <v>89</v>
      </c>
      <c r="D113" s="59">
        <v>500000</v>
      </c>
      <c r="E113" s="59">
        <v>0</v>
      </c>
      <c r="F113" s="59">
        <f t="shared" si="5"/>
        <v>500000</v>
      </c>
      <c r="G113" s="203"/>
      <c r="H113" s="214"/>
      <c r="I113" s="214"/>
      <c r="J113" s="214"/>
      <c r="K113" s="214"/>
      <c r="L113" s="214"/>
      <c r="M113" s="214"/>
      <c r="N113" s="214"/>
      <c r="O113" s="214"/>
      <c r="P113" s="214"/>
      <c r="Q113" s="214"/>
      <c r="R113" s="214"/>
    </row>
    <row r="114" spans="2:18" s="204" customFormat="1" x14ac:dyDescent="0.2">
      <c r="B114" s="62">
        <v>5641</v>
      </c>
      <c r="C114" s="65" t="s">
        <v>199</v>
      </c>
      <c r="D114" s="59">
        <f>1500000-291261.22</f>
        <v>1208738.78</v>
      </c>
      <c r="E114" s="59">
        <v>425000</v>
      </c>
      <c r="F114" s="59">
        <f t="shared" si="5"/>
        <v>1633738.78</v>
      </c>
      <c r="G114" s="203"/>
      <c r="H114" s="214"/>
      <c r="I114" s="214"/>
      <c r="J114" s="214"/>
      <c r="K114" s="214"/>
      <c r="L114" s="214"/>
      <c r="M114" s="214"/>
      <c r="N114" s="214"/>
      <c r="O114" s="214"/>
      <c r="P114" s="214"/>
      <c r="Q114" s="214"/>
      <c r="R114" s="214"/>
    </row>
    <row r="115" spans="2:18" s="204" customFormat="1" x14ac:dyDescent="0.2">
      <c r="B115" s="62">
        <v>5661</v>
      </c>
      <c r="C115" s="65" t="s">
        <v>200</v>
      </c>
      <c r="D115" s="59">
        <v>1200000</v>
      </c>
      <c r="E115" s="59"/>
      <c r="F115" s="59">
        <f t="shared" si="5"/>
        <v>1200000</v>
      </c>
      <c r="G115" s="203"/>
      <c r="H115" s="214"/>
      <c r="I115" s="214"/>
      <c r="J115" s="214"/>
      <c r="K115" s="214"/>
      <c r="L115" s="214"/>
      <c r="M115" s="214"/>
      <c r="N115" s="214"/>
      <c r="O115" s="214"/>
      <c r="P115" s="214"/>
      <c r="Q115" s="214"/>
      <c r="R115" s="214"/>
    </row>
    <row r="116" spans="2:18" s="204" customFormat="1" x14ac:dyDescent="0.2">
      <c r="B116" s="62">
        <v>5411</v>
      </c>
      <c r="C116" s="65" t="s">
        <v>201</v>
      </c>
      <c r="D116" s="59">
        <v>565000</v>
      </c>
      <c r="E116" s="59"/>
      <c r="F116" s="59">
        <f t="shared" si="5"/>
        <v>565000</v>
      </c>
      <c r="G116" s="203"/>
      <c r="H116" s="214"/>
      <c r="I116" s="214"/>
      <c r="J116" s="214"/>
      <c r="K116" s="214"/>
      <c r="L116" s="214"/>
      <c r="M116" s="214"/>
      <c r="N116" s="214"/>
      <c r="O116" s="214"/>
      <c r="P116" s="214"/>
      <c r="Q116" s="214"/>
      <c r="R116" s="214"/>
    </row>
    <row r="117" spans="2:18" s="204" customFormat="1" x14ac:dyDescent="0.2">
      <c r="B117" s="62">
        <v>5911</v>
      </c>
      <c r="C117" s="65" t="s">
        <v>92</v>
      </c>
      <c r="D117" s="59">
        <f>25000+25000</f>
        <v>50000</v>
      </c>
      <c r="E117" s="59">
        <v>0</v>
      </c>
      <c r="F117" s="59">
        <f t="shared" si="5"/>
        <v>50000</v>
      </c>
      <c r="G117" s="203"/>
      <c r="H117" s="214"/>
      <c r="I117" s="214"/>
      <c r="J117" s="214"/>
      <c r="K117" s="214"/>
      <c r="L117" s="214"/>
      <c r="M117" s="214"/>
      <c r="N117" s="214"/>
      <c r="O117" s="214"/>
      <c r="P117" s="214"/>
      <c r="Q117" s="214"/>
      <c r="R117" s="214"/>
    </row>
    <row r="118" spans="2:18" s="204" customFormat="1" x14ac:dyDescent="0.2">
      <c r="B118" s="62">
        <v>5971</v>
      </c>
      <c r="C118" s="65" t="s">
        <v>93</v>
      </c>
      <c r="D118" s="59">
        <v>350000</v>
      </c>
      <c r="E118" s="59">
        <v>0</v>
      </c>
      <c r="F118" s="59">
        <f t="shared" si="5"/>
        <v>350000</v>
      </c>
      <c r="G118" s="203"/>
      <c r="H118" s="214"/>
      <c r="I118" s="214"/>
      <c r="J118" s="214"/>
      <c r="K118" s="214"/>
      <c r="L118" s="214"/>
      <c r="M118" s="214"/>
      <c r="N118" s="214"/>
      <c r="O118" s="214"/>
      <c r="P118" s="214"/>
      <c r="Q118" s="214"/>
      <c r="R118" s="214"/>
    </row>
    <row r="119" spans="2:18" x14ac:dyDescent="0.2">
      <c r="B119" s="192"/>
      <c r="C119" s="193" t="s">
        <v>202</v>
      </c>
      <c r="D119" s="189">
        <f>SUM(D106:D118)</f>
        <v>6912347.4800000004</v>
      </c>
      <c r="E119" s="189">
        <f>SUM(E106:E118)</f>
        <v>1311860.4700000002</v>
      </c>
      <c r="F119" s="190">
        <f>D119+E119</f>
        <v>8224207.9500000011</v>
      </c>
      <c r="G119" s="220">
        <f>SUM(G106:G118)</f>
        <v>6318.02</v>
      </c>
      <c r="H119" s="221"/>
      <c r="I119" s="221"/>
      <c r="J119" s="221"/>
      <c r="K119" s="221"/>
      <c r="L119" s="221"/>
      <c r="M119" s="221"/>
      <c r="N119" s="221"/>
      <c r="O119" s="221"/>
      <c r="P119" s="221"/>
      <c r="Q119" s="221"/>
      <c r="R119" s="221"/>
    </row>
    <row r="120" spans="2:18" ht="25.5" x14ac:dyDescent="0.2">
      <c r="B120" s="76">
        <v>6171</v>
      </c>
      <c r="C120" s="70" t="s">
        <v>203</v>
      </c>
      <c r="D120" s="71"/>
      <c r="E120" s="77"/>
      <c r="F120" s="75">
        <f t="shared" si="5"/>
        <v>0</v>
      </c>
      <c r="G120" s="203">
        <v>0</v>
      </c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  <c r="R120" s="216"/>
    </row>
    <row r="121" spans="2:18" x14ac:dyDescent="0.2">
      <c r="B121" s="76">
        <v>6211</v>
      </c>
      <c r="C121" s="70" t="s">
        <v>204</v>
      </c>
      <c r="D121" s="71"/>
      <c r="E121" s="59"/>
      <c r="F121" s="75">
        <f t="shared" si="5"/>
        <v>0</v>
      </c>
      <c r="G121" s="203">
        <v>0</v>
      </c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  <c r="R121" s="216"/>
    </row>
    <row r="122" spans="2:18" x14ac:dyDescent="0.2">
      <c r="B122" s="192"/>
      <c r="C122" s="193" t="s">
        <v>205</v>
      </c>
      <c r="D122" s="194"/>
      <c r="E122" s="190">
        <f>SUM(E120:E121)</f>
        <v>0</v>
      </c>
      <c r="F122" s="195">
        <f t="shared" si="5"/>
        <v>0</v>
      </c>
      <c r="G122" s="217">
        <f>SUM(G120:G121)</f>
        <v>0</v>
      </c>
      <c r="H122" s="221"/>
      <c r="I122" s="221"/>
      <c r="J122" s="221"/>
      <c r="K122" s="221"/>
      <c r="L122" s="221"/>
      <c r="M122" s="221"/>
      <c r="N122" s="221"/>
      <c r="O122" s="221"/>
      <c r="P122" s="221"/>
      <c r="Q122" s="221"/>
      <c r="R122" s="221"/>
    </row>
    <row r="123" spans="2:18" x14ac:dyDescent="0.2">
      <c r="B123" s="72"/>
      <c r="C123" s="73"/>
      <c r="D123" s="74"/>
      <c r="E123" s="59"/>
      <c r="F123" s="75">
        <f t="shared" si="5"/>
        <v>0</v>
      </c>
      <c r="G123" s="207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  <c r="R123" s="216"/>
    </row>
    <row r="124" spans="2:18" x14ac:dyDescent="0.2">
      <c r="B124" s="72"/>
      <c r="C124" s="73"/>
      <c r="D124" s="74"/>
      <c r="E124" s="59"/>
      <c r="F124" s="75">
        <f t="shared" si="5"/>
        <v>0</v>
      </c>
      <c r="G124" s="207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  <c r="R124" s="216"/>
    </row>
    <row r="125" spans="2:18" x14ac:dyDescent="0.2">
      <c r="B125" s="192"/>
      <c r="C125" s="193"/>
      <c r="D125" s="194"/>
      <c r="E125" s="190">
        <f>SUM(E123:E124)</f>
        <v>0</v>
      </c>
      <c r="F125" s="196">
        <f t="shared" si="5"/>
        <v>0</v>
      </c>
      <c r="G125" s="217">
        <f>SUM(G123:G124)</f>
        <v>0</v>
      </c>
      <c r="H125" s="221"/>
      <c r="I125" s="221"/>
      <c r="J125" s="221"/>
      <c r="K125" s="221"/>
      <c r="L125" s="221"/>
      <c r="M125" s="221"/>
      <c r="N125" s="221"/>
      <c r="O125" s="221"/>
      <c r="P125" s="221"/>
      <c r="Q125" s="221"/>
      <c r="R125" s="221"/>
    </row>
    <row r="126" spans="2:18" ht="25.5" x14ac:dyDescent="0.2">
      <c r="B126" s="72">
        <v>7991</v>
      </c>
      <c r="C126" s="78" t="s">
        <v>207</v>
      </c>
      <c r="D126" s="59"/>
      <c r="E126" s="59">
        <v>1000000</v>
      </c>
      <c r="F126" s="75">
        <f t="shared" si="5"/>
        <v>1000000</v>
      </c>
      <c r="G126" s="207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  <c r="R126" s="216"/>
    </row>
    <row r="127" spans="2:18" x14ac:dyDescent="0.2">
      <c r="B127" s="72"/>
      <c r="C127" s="73"/>
      <c r="D127" s="74"/>
      <c r="E127" s="59"/>
      <c r="F127" s="75">
        <f t="shared" si="5"/>
        <v>0</v>
      </c>
      <c r="G127" s="207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  <c r="R127" s="216"/>
    </row>
    <row r="128" spans="2:18" x14ac:dyDescent="0.2">
      <c r="B128" s="192"/>
      <c r="C128" s="193" t="s">
        <v>206</v>
      </c>
      <c r="D128" s="190">
        <f>SUM(D126:D127)</f>
        <v>0</v>
      </c>
      <c r="E128" s="190">
        <f>SUM(E126:E127)</f>
        <v>1000000</v>
      </c>
      <c r="F128" s="195">
        <f t="shared" si="5"/>
        <v>1000000</v>
      </c>
      <c r="G128" s="217">
        <f>SUM(G126:G127)</f>
        <v>0</v>
      </c>
      <c r="H128" s="221"/>
      <c r="I128" s="221"/>
      <c r="J128" s="221"/>
      <c r="K128" s="221"/>
      <c r="L128" s="221"/>
      <c r="M128" s="221"/>
      <c r="N128" s="221"/>
      <c r="O128" s="221"/>
      <c r="P128" s="221"/>
      <c r="Q128" s="221"/>
      <c r="R128" s="221"/>
    </row>
    <row r="129" spans="2:18" x14ac:dyDescent="0.2">
      <c r="B129" s="79"/>
      <c r="C129" s="80"/>
      <c r="D129" s="74"/>
      <c r="E129" s="59"/>
      <c r="F129" s="75">
        <f t="shared" si="5"/>
        <v>0</v>
      </c>
      <c r="G129" s="207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  <c r="R129" s="216"/>
    </row>
    <row r="130" spans="2:18" x14ac:dyDescent="0.2">
      <c r="B130" s="210"/>
      <c r="C130" s="210" t="s">
        <v>209</v>
      </c>
      <c r="D130" s="197">
        <f>D28+D61+D100+D105+D119+D122+D125+D128</f>
        <v>87061208.268828481</v>
      </c>
      <c r="E130" s="197">
        <f>E28+E61+E100+E105+E119+E122+E125+E128</f>
        <v>20076554.469999999</v>
      </c>
      <c r="F130" s="197">
        <f>F28+F61+F100+F105+F119+F122+F125+F128</f>
        <v>107137762.73882848</v>
      </c>
      <c r="G130" s="197">
        <f>G28+G61+G100+G105+G119+G122+G125+G128</f>
        <v>5762243.8099999996</v>
      </c>
      <c r="H130" s="197">
        <f t="shared" ref="H130:R130" si="6">H28+H61+H100+H105+H119+H122+H125+H128</f>
        <v>4075431.4398800004</v>
      </c>
      <c r="I130" s="197">
        <f t="shared" si="6"/>
        <v>4349668.0469599999</v>
      </c>
      <c r="J130" s="197">
        <f t="shared" si="6"/>
        <v>4870701.2300800001</v>
      </c>
      <c r="K130" s="197">
        <f t="shared" si="6"/>
        <v>4353451.4200799996</v>
      </c>
      <c r="L130" s="197">
        <f t="shared" si="6"/>
        <v>4254731.9259200003</v>
      </c>
      <c r="M130" s="197">
        <f t="shared" si="6"/>
        <v>4475803.2900799997</v>
      </c>
      <c r="N130" s="197">
        <f t="shared" si="6"/>
        <v>4732080.2013599994</v>
      </c>
      <c r="O130" s="197">
        <f t="shared" si="6"/>
        <v>5551565.6940800007</v>
      </c>
      <c r="P130" s="197">
        <f t="shared" si="6"/>
        <v>4350650.6540799998</v>
      </c>
      <c r="Q130" s="197">
        <f t="shared" si="6"/>
        <v>4263013.3499199999</v>
      </c>
      <c r="R130" s="197">
        <f t="shared" si="6"/>
        <v>8202186.5017999997</v>
      </c>
    </row>
    <row r="131" spans="2:18" x14ac:dyDescent="0.2">
      <c r="D131" s="208"/>
      <c r="E131" s="209"/>
      <c r="F131" s="202"/>
    </row>
    <row r="133" spans="2:18" x14ac:dyDescent="0.2">
      <c r="C133" s="201" t="s">
        <v>255</v>
      </c>
    </row>
  </sheetData>
  <mergeCells count="4">
    <mergeCell ref="B8:B9"/>
    <mergeCell ref="C8:C9"/>
    <mergeCell ref="D8:D9"/>
    <mergeCell ref="B5:R5"/>
  </mergeCells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30"/>
  <sheetViews>
    <sheetView topLeftCell="A115" zoomScale="85" zoomScaleNormal="85" workbookViewId="0">
      <selection activeCell="B122" sqref="B122"/>
    </sheetView>
  </sheetViews>
  <sheetFormatPr baseColWidth="10" defaultColWidth="9.140625" defaultRowHeight="15" x14ac:dyDescent="0.25"/>
  <cols>
    <col min="1" max="1" width="7.140625" style="58" customWidth="1"/>
    <col min="2" max="2" width="73.140625" style="58" customWidth="1"/>
    <col min="3" max="3" width="13" style="85" customWidth="1"/>
    <col min="4" max="4" width="13.5703125" style="85" customWidth="1"/>
    <col min="5" max="5" width="17.7109375" style="85" customWidth="1"/>
    <col min="6" max="7" width="17.7109375" style="85" hidden="1" customWidth="1"/>
    <col min="8" max="8" width="18" style="85" bestFit="1" customWidth="1"/>
    <col min="9" max="9" width="12.5703125" style="85" customWidth="1"/>
    <col min="10" max="10" width="14.28515625" style="85" customWidth="1"/>
    <col min="11" max="12" width="11.42578125" style="85" customWidth="1"/>
    <col min="13" max="13" width="15.5703125" style="85" bestFit="1" customWidth="1"/>
    <col min="14" max="14" width="14.7109375" style="85" bestFit="1" customWidth="1"/>
    <col min="15" max="15" width="16.85546875" style="85" customWidth="1"/>
    <col min="16" max="16" width="18.42578125" style="85" customWidth="1"/>
    <col min="17" max="17" width="15" style="85" customWidth="1"/>
    <col min="18" max="215" width="11.42578125" style="58" customWidth="1"/>
    <col min="216" max="16384" width="9.140625" style="58"/>
  </cols>
  <sheetData>
    <row r="2" spans="1:17" ht="18" x14ac:dyDescent="0.25">
      <c r="C2" s="87" t="s">
        <v>225</v>
      </c>
      <c r="D2" s="88"/>
    </row>
    <row r="3" spans="1:17" x14ac:dyDescent="0.25">
      <c r="C3" s="89" t="s">
        <v>224</v>
      </c>
      <c r="D3" s="89"/>
    </row>
    <row r="4" spans="1:17" ht="24.75" customHeight="1" x14ac:dyDescent="0.25"/>
    <row r="5" spans="1:17" ht="15" customHeight="1" x14ac:dyDescent="0.25">
      <c r="A5" s="296" t="s">
        <v>99</v>
      </c>
      <c r="B5" s="298" t="s">
        <v>100</v>
      </c>
      <c r="C5" s="303" t="s">
        <v>210</v>
      </c>
      <c r="D5" s="95" t="s">
        <v>19</v>
      </c>
      <c r="E5" s="95" t="s">
        <v>101</v>
      </c>
      <c r="F5" s="304" t="s">
        <v>227</v>
      </c>
      <c r="G5" s="305"/>
      <c r="H5" s="86" t="s">
        <v>211</v>
      </c>
      <c r="I5" s="86" t="s">
        <v>212</v>
      </c>
      <c r="J5" s="86"/>
      <c r="K5" s="306" t="s">
        <v>213</v>
      </c>
      <c r="L5" s="307"/>
      <c r="M5" s="86"/>
      <c r="N5" s="86"/>
      <c r="O5" s="308" t="s">
        <v>214</v>
      </c>
      <c r="P5" s="302" t="s">
        <v>215</v>
      </c>
      <c r="Q5" s="302" t="s">
        <v>216</v>
      </c>
    </row>
    <row r="6" spans="1:17" ht="25.5" x14ac:dyDescent="0.25">
      <c r="A6" s="297"/>
      <c r="B6" s="298"/>
      <c r="C6" s="303"/>
      <c r="D6" s="90" t="s">
        <v>222</v>
      </c>
      <c r="E6" s="95" t="s">
        <v>223</v>
      </c>
      <c r="F6" s="95" t="s">
        <v>218</v>
      </c>
      <c r="G6" s="95" t="s">
        <v>219</v>
      </c>
      <c r="H6" s="84" t="s">
        <v>33</v>
      </c>
      <c r="I6" s="84" t="s">
        <v>33</v>
      </c>
      <c r="J6" s="84" t="s">
        <v>217</v>
      </c>
      <c r="K6" s="84" t="s">
        <v>218</v>
      </c>
      <c r="L6" s="84" t="s">
        <v>219</v>
      </c>
      <c r="M6" s="84" t="s">
        <v>220</v>
      </c>
      <c r="N6" s="84" t="s">
        <v>221</v>
      </c>
      <c r="O6" s="309"/>
      <c r="P6" s="302"/>
      <c r="Q6" s="302"/>
    </row>
    <row r="7" spans="1:17" s="131" customFormat="1" ht="15" customHeight="1" x14ac:dyDescent="0.25">
      <c r="A7" s="126">
        <v>1131</v>
      </c>
      <c r="B7" s="127" t="s">
        <v>102</v>
      </c>
      <c r="C7" s="128">
        <f>29378510.336+2561872.56+53797.14</f>
        <v>31994180.035999998</v>
      </c>
      <c r="D7" s="129"/>
      <c r="E7" s="129">
        <f>C7+D7</f>
        <v>31994180.035999998</v>
      </c>
      <c r="F7" s="129"/>
      <c r="G7" s="129"/>
      <c r="H7" s="130">
        <v>2675467</v>
      </c>
      <c r="I7" s="130">
        <v>2401012.83</v>
      </c>
      <c r="J7" s="130">
        <f>H7-I7</f>
        <v>274454.16999999993</v>
      </c>
      <c r="K7" s="130"/>
      <c r="L7" s="130"/>
      <c r="M7" s="130"/>
      <c r="N7" s="130"/>
      <c r="O7" s="130">
        <f>C7+D7</f>
        <v>31994180.035999998</v>
      </c>
      <c r="P7" s="130">
        <f>I7</f>
        <v>2401012.83</v>
      </c>
      <c r="Q7" s="130">
        <f>O7-P7</f>
        <v>29593167.206</v>
      </c>
    </row>
    <row r="8" spans="1:17" s="131" customFormat="1" ht="30" x14ac:dyDescent="0.25">
      <c r="A8" s="132">
        <v>1311</v>
      </c>
      <c r="B8" s="133" t="s">
        <v>103</v>
      </c>
      <c r="C8" s="134">
        <v>432901.92</v>
      </c>
      <c r="D8" s="135"/>
      <c r="E8" s="135">
        <f t="shared" ref="E8:E23" si="0">C8+D8</f>
        <v>432901.92</v>
      </c>
      <c r="F8" s="135"/>
      <c r="G8" s="135"/>
      <c r="H8" s="130">
        <v>35681</v>
      </c>
      <c r="I8" s="130">
        <v>30266.55</v>
      </c>
      <c r="J8" s="130">
        <f t="shared" ref="J8:J71" si="1">H8-I8</f>
        <v>5414.4500000000007</v>
      </c>
      <c r="K8" s="130"/>
      <c r="L8" s="130"/>
      <c r="M8" s="130"/>
      <c r="N8" s="130"/>
      <c r="O8" s="130">
        <f t="shared" ref="O8:O71" si="2">C8+D8</f>
        <v>432901.92</v>
      </c>
      <c r="P8" s="130">
        <f t="shared" ref="P8:P71" si="3">I8</f>
        <v>30266.55</v>
      </c>
      <c r="Q8" s="130">
        <f t="shared" ref="Q8:Q71" si="4">O8-P8</f>
        <v>402635.37</v>
      </c>
    </row>
    <row r="9" spans="1:17" s="131" customFormat="1" ht="15" customHeight="1" x14ac:dyDescent="0.25">
      <c r="A9" s="132">
        <v>1321</v>
      </c>
      <c r="B9" s="136" t="s">
        <v>104</v>
      </c>
      <c r="C9" s="134">
        <f>402160.408000001+35581.56</f>
        <v>437741.96800000098</v>
      </c>
      <c r="D9" s="135"/>
      <c r="E9" s="135">
        <f t="shared" si="0"/>
        <v>437741.96800000098</v>
      </c>
      <c r="F9" s="135"/>
      <c r="G9" s="135"/>
      <c r="H9" s="130">
        <v>4377</v>
      </c>
      <c r="I9" s="130">
        <v>252.09</v>
      </c>
      <c r="J9" s="130">
        <f t="shared" si="1"/>
        <v>4124.91</v>
      </c>
      <c r="K9" s="130"/>
      <c r="L9" s="130"/>
      <c r="M9" s="130"/>
      <c r="N9" s="130"/>
      <c r="O9" s="130">
        <f t="shared" si="2"/>
        <v>437741.96800000098</v>
      </c>
      <c r="P9" s="130">
        <f t="shared" si="3"/>
        <v>252.09</v>
      </c>
      <c r="Q9" s="130">
        <f t="shared" si="4"/>
        <v>437489.87800000096</v>
      </c>
    </row>
    <row r="10" spans="1:17" s="131" customFormat="1" ht="15.75" x14ac:dyDescent="0.25">
      <c r="A10" s="132">
        <v>1322</v>
      </c>
      <c r="B10" s="136" t="s">
        <v>105</v>
      </c>
      <c r="C10" s="134">
        <f>4021604.08+355815.63</f>
        <v>4377419.71</v>
      </c>
      <c r="D10" s="135"/>
      <c r="E10" s="135">
        <f t="shared" si="0"/>
        <v>4377419.71</v>
      </c>
      <c r="F10" s="135"/>
      <c r="G10" s="135"/>
      <c r="H10" s="130">
        <v>44692</v>
      </c>
      <c r="I10" s="130">
        <v>645.99</v>
      </c>
      <c r="J10" s="130">
        <f t="shared" si="1"/>
        <v>44046.01</v>
      </c>
      <c r="K10" s="130"/>
      <c r="L10" s="130"/>
      <c r="M10" s="130"/>
      <c r="N10" s="130"/>
      <c r="O10" s="130">
        <f t="shared" si="2"/>
        <v>4377419.71</v>
      </c>
      <c r="P10" s="130">
        <f t="shared" si="3"/>
        <v>645.99</v>
      </c>
      <c r="Q10" s="130">
        <f t="shared" si="4"/>
        <v>4376773.72</v>
      </c>
    </row>
    <row r="11" spans="1:17" s="131" customFormat="1" ht="15" customHeight="1" x14ac:dyDescent="0.25">
      <c r="A11" s="132">
        <v>1332</v>
      </c>
      <c r="B11" s="136" t="s">
        <v>106</v>
      </c>
      <c r="C11" s="134">
        <v>1388969</v>
      </c>
      <c r="D11" s="135"/>
      <c r="E11" s="135">
        <f t="shared" si="0"/>
        <v>1388969</v>
      </c>
      <c r="F11" s="135"/>
      <c r="G11" s="135"/>
      <c r="H11" s="130">
        <v>118210</v>
      </c>
      <c r="I11" s="130">
        <v>20629.509999999998</v>
      </c>
      <c r="J11" s="130">
        <f t="shared" si="1"/>
        <v>97580.49</v>
      </c>
      <c r="K11" s="130"/>
      <c r="L11" s="130"/>
      <c r="M11" s="130"/>
      <c r="N11" s="130"/>
      <c r="O11" s="130">
        <f t="shared" si="2"/>
        <v>1388969</v>
      </c>
      <c r="P11" s="130">
        <f t="shared" si="3"/>
        <v>20629.509999999998</v>
      </c>
      <c r="Q11" s="130">
        <f t="shared" si="4"/>
        <v>1368339.49</v>
      </c>
    </row>
    <row r="12" spans="1:17" s="131" customFormat="1" ht="15.75" x14ac:dyDescent="0.25">
      <c r="A12" s="132">
        <v>1347</v>
      </c>
      <c r="B12" s="136" t="s">
        <v>107</v>
      </c>
      <c r="C12" s="134">
        <v>350000</v>
      </c>
      <c r="D12" s="135"/>
      <c r="E12" s="135">
        <f t="shared" si="0"/>
        <v>350000</v>
      </c>
      <c r="F12" s="135"/>
      <c r="G12" s="135"/>
      <c r="H12" s="130">
        <v>29167</v>
      </c>
      <c r="I12" s="130"/>
      <c r="J12" s="130">
        <f t="shared" si="1"/>
        <v>29167</v>
      </c>
      <c r="K12" s="130"/>
      <c r="L12" s="130"/>
      <c r="M12" s="130"/>
      <c r="N12" s="130"/>
      <c r="O12" s="130">
        <f t="shared" si="2"/>
        <v>350000</v>
      </c>
      <c r="P12" s="130">
        <f t="shared" si="3"/>
        <v>0</v>
      </c>
      <c r="Q12" s="130">
        <f t="shared" si="4"/>
        <v>350000</v>
      </c>
    </row>
    <row r="13" spans="1:17" s="131" customFormat="1" ht="15" customHeight="1" x14ac:dyDescent="0.25">
      <c r="A13" s="132">
        <v>1411</v>
      </c>
      <c r="B13" s="136" t="s">
        <v>108</v>
      </c>
      <c r="C13" s="134">
        <f>1739434.94666845+153581.18</f>
        <v>1893016.12666845</v>
      </c>
      <c r="D13" s="135"/>
      <c r="E13" s="135">
        <f t="shared" si="0"/>
        <v>1893016.12666845</v>
      </c>
      <c r="F13" s="135"/>
      <c r="G13" s="135"/>
      <c r="H13" s="130">
        <v>155590</v>
      </c>
      <c r="I13" s="130">
        <v>146649.09</v>
      </c>
      <c r="J13" s="130">
        <f t="shared" si="1"/>
        <v>8940.9100000000035</v>
      </c>
      <c r="K13" s="130"/>
      <c r="L13" s="130"/>
      <c r="M13" s="130"/>
      <c r="N13" s="130"/>
      <c r="O13" s="130">
        <f t="shared" si="2"/>
        <v>1893016.12666845</v>
      </c>
      <c r="P13" s="130">
        <f t="shared" si="3"/>
        <v>146649.09</v>
      </c>
      <c r="Q13" s="130">
        <f t="shared" si="4"/>
        <v>1746367.0366684499</v>
      </c>
    </row>
    <row r="14" spans="1:17" s="131" customFormat="1" ht="15.75" x14ac:dyDescent="0.25">
      <c r="A14" s="132">
        <v>1421</v>
      </c>
      <c r="B14" s="136" t="s">
        <v>109</v>
      </c>
      <c r="C14" s="134">
        <f>880731.291280002+76856.18</f>
        <v>957587.47128000204</v>
      </c>
      <c r="D14" s="135"/>
      <c r="E14" s="135">
        <f t="shared" si="0"/>
        <v>957587.47128000204</v>
      </c>
      <c r="F14" s="135"/>
      <c r="G14" s="135"/>
      <c r="H14" s="130">
        <v>78706</v>
      </c>
      <c r="I14" s="130">
        <v>62022.53</v>
      </c>
      <c r="J14" s="130">
        <f t="shared" si="1"/>
        <v>16683.47</v>
      </c>
      <c r="K14" s="130"/>
      <c r="L14" s="130"/>
      <c r="M14" s="130"/>
      <c r="N14" s="130"/>
      <c r="O14" s="130">
        <f t="shared" si="2"/>
        <v>957587.47128000204</v>
      </c>
      <c r="P14" s="130">
        <f t="shared" si="3"/>
        <v>62022.53</v>
      </c>
      <c r="Q14" s="130">
        <f t="shared" si="4"/>
        <v>895564.94128000201</v>
      </c>
    </row>
    <row r="15" spans="1:17" s="131" customFormat="1" ht="15" customHeight="1" x14ac:dyDescent="0.25">
      <c r="A15" s="132">
        <v>1431</v>
      </c>
      <c r="B15" s="136" t="s">
        <v>110</v>
      </c>
      <c r="C15" s="134">
        <f>5137599.2108+384280.88</f>
        <v>5521880.0907999994</v>
      </c>
      <c r="D15" s="135"/>
      <c r="E15" s="135">
        <f t="shared" si="0"/>
        <v>5521880.0907999994</v>
      </c>
      <c r="F15" s="135"/>
      <c r="G15" s="135"/>
      <c r="H15" s="130">
        <v>453853</v>
      </c>
      <c r="I15" s="130">
        <v>361792.83</v>
      </c>
      <c r="J15" s="130">
        <f t="shared" si="1"/>
        <v>92060.169999999984</v>
      </c>
      <c r="K15" s="130"/>
      <c r="L15" s="130"/>
      <c r="M15" s="130"/>
      <c r="N15" s="130"/>
      <c r="O15" s="130">
        <f t="shared" si="2"/>
        <v>5521880.0907999994</v>
      </c>
      <c r="P15" s="130">
        <f t="shared" si="3"/>
        <v>361792.83</v>
      </c>
      <c r="Q15" s="130">
        <f t="shared" si="4"/>
        <v>5160087.2607999993</v>
      </c>
    </row>
    <row r="16" spans="1:17" s="131" customFormat="1" ht="15.75" x14ac:dyDescent="0.25">
      <c r="A16" s="132">
        <v>1432</v>
      </c>
      <c r="B16" s="136" t="s">
        <v>111</v>
      </c>
      <c r="C16" s="134">
        <f>587154.197520001+51237.45</f>
        <v>638391.64752000093</v>
      </c>
      <c r="D16" s="135"/>
      <c r="E16" s="135">
        <f t="shared" si="0"/>
        <v>638391.64752000093</v>
      </c>
      <c r="F16" s="135"/>
      <c r="G16" s="135"/>
      <c r="H16" s="130">
        <v>52471</v>
      </c>
      <c r="I16" s="130">
        <v>41347.74</v>
      </c>
      <c r="J16" s="130">
        <f t="shared" si="1"/>
        <v>11123.260000000002</v>
      </c>
      <c r="K16" s="130"/>
      <c r="L16" s="130"/>
      <c r="M16" s="130"/>
      <c r="N16" s="130"/>
      <c r="O16" s="130">
        <f t="shared" si="2"/>
        <v>638391.64752000093</v>
      </c>
      <c r="P16" s="130">
        <f t="shared" si="3"/>
        <v>41347.74</v>
      </c>
      <c r="Q16" s="130">
        <f t="shared" si="4"/>
        <v>597043.90752000094</v>
      </c>
    </row>
    <row r="17" spans="1:17" s="131" customFormat="1" ht="15" customHeight="1" x14ac:dyDescent="0.25">
      <c r="A17" s="132">
        <v>1441</v>
      </c>
      <c r="B17" s="136" t="s">
        <v>112</v>
      </c>
      <c r="C17" s="135">
        <v>25000</v>
      </c>
      <c r="D17" s="137"/>
      <c r="E17" s="135">
        <f>+C17+D17</f>
        <v>25000</v>
      </c>
      <c r="F17" s="135"/>
      <c r="G17" s="135"/>
      <c r="H17" s="130">
        <v>2123</v>
      </c>
      <c r="I17" s="130"/>
      <c r="J17" s="130">
        <f t="shared" si="1"/>
        <v>2123</v>
      </c>
      <c r="K17" s="130"/>
      <c r="L17" s="130"/>
      <c r="M17" s="130"/>
      <c r="N17" s="130"/>
      <c r="O17" s="130">
        <f t="shared" si="2"/>
        <v>25000</v>
      </c>
      <c r="P17" s="130">
        <f t="shared" si="3"/>
        <v>0</v>
      </c>
      <c r="Q17" s="130">
        <f t="shared" si="4"/>
        <v>25000</v>
      </c>
    </row>
    <row r="18" spans="1:17" s="131" customFormat="1" ht="15.75" x14ac:dyDescent="0.25">
      <c r="A18" s="132">
        <v>1521</v>
      </c>
      <c r="B18" s="136" t="s">
        <v>113</v>
      </c>
      <c r="C18" s="135">
        <v>540000</v>
      </c>
      <c r="D18" s="137"/>
      <c r="E18" s="135">
        <f>+C18+D18</f>
        <v>540000</v>
      </c>
      <c r="F18" s="135"/>
      <c r="G18" s="135"/>
      <c r="H18" s="130">
        <v>45000</v>
      </c>
      <c r="I18" s="130"/>
      <c r="J18" s="130">
        <f t="shared" si="1"/>
        <v>45000</v>
      </c>
      <c r="K18" s="130"/>
      <c r="L18" s="130"/>
      <c r="M18" s="130"/>
      <c r="N18" s="130"/>
      <c r="O18" s="130">
        <f t="shared" si="2"/>
        <v>540000</v>
      </c>
      <c r="P18" s="130">
        <f t="shared" si="3"/>
        <v>0</v>
      </c>
      <c r="Q18" s="130">
        <f t="shared" si="4"/>
        <v>540000</v>
      </c>
    </row>
    <row r="19" spans="1:17" s="131" customFormat="1" ht="15" customHeight="1" x14ac:dyDescent="0.25">
      <c r="A19" s="132">
        <v>1543</v>
      </c>
      <c r="B19" s="136" t="s">
        <v>114</v>
      </c>
      <c r="C19" s="134">
        <v>711880</v>
      </c>
      <c r="D19" s="135"/>
      <c r="E19" s="135">
        <f t="shared" si="0"/>
        <v>711880</v>
      </c>
      <c r="F19" s="135"/>
      <c r="G19" s="135"/>
      <c r="H19" s="130">
        <v>167440</v>
      </c>
      <c r="I19" s="130">
        <v>42700</v>
      </c>
      <c r="J19" s="130">
        <f t="shared" si="1"/>
        <v>124740</v>
      </c>
      <c r="K19" s="130"/>
      <c r="L19" s="130"/>
      <c r="M19" s="130"/>
      <c r="N19" s="130"/>
      <c r="O19" s="130">
        <f t="shared" si="2"/>
        <v>711880</v>
      </c>
      <c r="P19" s="130">
        <f t="shared" si="3"/>
        <v>42700</v>
      </c>
      <c r="Q19" s="130">
        <f t="shared" si="4"/>
        <v>669180</v>
      </c>
    </row>
    <row r="20" spans="1:17" s="131" customFormat="1" ht="15.75" x14ac:dyDescent="0.25">
      <c r="A20" s="132">
        <v>1611</v>
      </c>
      <c r="B20" s="136" t="s">
        <v>115</v>
      </c>
      <c r="C20" s="134">
        <f>1650000+985000</f>
        <v>2635000</v>
      </c>
      <c r="D20" s="134"/>
      <c r="E20" s="135">
        <f t="shared" si="0"/>
        <v>2635000</v>
      </c>
      <c r="F20" s="135"/>
      <c r="G20" s="135"/>
      <c r="H20" s="130">
        <v>219583</v>
      </c>
      <c r="I20" s="130"/>
      <c r="J20" s="130">
        <f t="shared" si="1"/>
        <v>219583</v>
      </c>
      <c r="K20" s="130"/>
      <c r="L20" s="130"/>
      <c r="M20" s="130"/>
      <c r="N20" s="130"/>
      <c r="O20" s="130">
        <f t="shared" si="2"/>
        <v>2635000</v>
      </c>
      <c r="P20" s="130">
        <f t="shared" si="3"/>
        <v>0</v>
      </c>
      <c r="Q20" s="130">
        <f t="shared" si="4"/>
        <v>2635000</v>
      </c>
    </row>
    <row r="21" spans="1:17" s="131" customFormat="1" ht="15" customHeight="1" x14ac:dyDescent="0.25">
      <c r="A21" s="132">
        <v>1712</v>
      </c>
      <c r="B21" s="136" t="s">
        <v>116</v>
      </c>
      <c r="C21" s="134">
        <f>2380261.47840001+217453.56</f>
        <v>2597715.0384000102</v>
      </c>
      <c r="D21" s="135"/>
      <c r="E21" s="135">
        <f t="shared" si="0"/>
        <v>2597715.0384000102</v>
      </c>
      <c r="F21" s="135"/>
      <c r="G21" s="135"/>
      <c r="H21" s="130">
        <v>216476</v>
      </c>
      <c r="I21" s="130">
        <v>183499</v>
      </c>
      <c r="J21" s="130">
        <f t="shared" si="1"/>
        <v>32977</v>
      </c>
      <c r="K21" s="130"/>
      <c r="L21" s="130"/>
      <c r="M21" s="130"/>
      <c r="N21" s="130"/>
      <c r="O21" s="130">
        <f t="shared" si="2"/>
        <v>2597715.0384000102</v>
      </c>
      <c r="P21" s="130">
        <f t="shared" si="3"/>
        <v>183499</v>
      </c>
      <c r="Q21" s="130">
        <f t="shared" si="4"/>
        <v>2414216.0384000102</v>
      </c>
    </row>
    <row r="22" spans="1:17" s="131" customFormat="1" ht="15.75" x14ac:dyDescent="0.25">
      <c r="A22" s="138">
        <v>1713</v>
      </c>
      <c r="B22" s="139" t="s">
        <v>117</v>
      </c>
      <c r="C22" s="134">
        <f>141036+1512570</f>
        <v>1653606</v>
      </c>
      <c r="D22" s="135"/>
      <c r="E22" s="135">
        <f>C22+D22</f>
        <v>1653606</v>
      </c>
      <c r="F22" s="135"/>
      <c r="G22" s="135"/>
      <c r="H22" s="130">
        <v>137800</v>
      </c>
      <c r="I22" s="130">
        <v>114369.44</v>
      </c>
      <c r="J22" s="130">
        <f t="shared" si="1"/>
        <v>23430.559999999998</v>
      </c>
      <c r="K22" s="130"/>
      <c r="L22" s="130"/>
      <c r="M22" s="130"/>
      <c r="N22" s="130"/>
      <c r="O22" s="130">
        <f t="shared" si="2"/>
        <v>1653606</v>
      </c>
      <c r="P22" s="130">
        <f t="shared" si="3"/>
        <v>114369.44</v>
      </c>
      <c r="Q22" s="130">
        <f t="shared" si="4"/>
        <v>1539236.56</v>
      </c>
    </row>
    <row r="23" spans="1:17" s="131" customFormat="1" ht="15" customHeight="1" x14ac:dyDescent="0.25">
      <c r="A23" s="132">
        <v>1715</v>
      </c>
      <c r="B23" s="136" t="s">
        <v>118</v>
      </c>
      <c r="C23" s="140">
        <f>0+106744.69+1181986</f>
        <v>1288730.69</v>
      </c>
      <c r="D23" s="135"/>
      <c r="E23" s="135">
        <f t="shared" si="0"/>
        <v>1288730.69</v>
      </c>
      <c r="F23" s="135"/>
      <c r="G23" s="135"/>
      <c r="H23" s="130"/>
      <c r="I23" s="130"/>
      <c r="J23" s="130">
        <f t="shared" si="1"/>
        <v>0</v>
      </c>
      <c r="K23" s="130"/>
      <c r="L23" s="130"/>
      <c r="M23" s="130"/>
      <c r="N23" s="130"/>
      <c r="O23" s="130">
        <f t="shared" si="2"/>
        <v>1288730.69</v>
      </c>
      <c r="P23" s="130">
        <f t="shared" si="3"/>
        <v>0</v>
      </c>
      <c r="Q23" s="130">
        <f t="shared" si="4"/>
        <v>1288730.69</v>
      </c>
    </row>
    <row r="24" spans="1:17" s="131" customFormat="1" ht="15.75" x14ac:dyDescent="0.25">
      <c r="A24" s="132">
        <v>1716</v>
      </c>
      <c r="B24" s="136" t="s">
        <v>119</v>
      </c>
      <c r="C24" s="135">
        <v>514800</v>
      </c>
      <c r="D24" s="137"/>
      <c r="E24" s="135">
        <f>+C24+D24</f>
        <v>514800</v>
      </c>
      <c r="F24" s="135"/>
      <c r="G24" s="135"/>
      <c r="H24" s="130">
        <v>42900</v>
      </c>
      <c r="I24" s="130"/>
      <c r="J24" s="130">
        <f t="shared" si="1"/>
        <v>42900</v>
      </c>
      <c r="K24" s="130"/>
      <c r="L24" s="130"/>
      <c r="M24" s="130"/>
      <c r="N24" s="130"/>
      <c r="O24" s="130">
        <f t="shared" si="2"/>
        <v>514800</v>
      </c>
      <c r="P24" s="130">
        <f t="shared" si="3"/>
        <v>0</v>
      </c>
      <c r="Q24" s="130">
        <f t="shared" si="4"/>
        <v>514800</v>
      </c>
    </row>
    <row r="25" spans="1:17" s="145" customFormat="1" ht="15" customHeight="1" x14ac:dyDescent="0.25">
      <c r="A25" s="141"/>
      <c r="B25" s="142" t="s">
        <v>120</v>
      </c>
      <c r="C25" s="143">
        <f>SUM(C7:C24)</f>
        <v>57958819.698668465</v>
      </c>
      <c r="D25" s="143">
        <f>SUM(D7:D24)</f>
        <v>0</v>
      </c>
      <c r="E25" s="144">
        <f t="shared" ref="E25:E58" si="5">C25+D25</f>
        <v>57958819.698668465</v>
      </c>
      <c r="F25" s="143">
        <f t="shared" ref="F25:G25" si="6">SUM(F7:F24)</f>
        <v>0</v>
      </c>
      <c r="G25" s="143">
        <f t="shared" si="6"/>
        <v>0</v>
      </c>
      <c r="H25" s="144">
        <f>SUM(H7:H24)</f>
        <v>4479536</v>
      </c>
      <c r="I25" s="144">
        <f t="shared" ref="I25:Q25" si="7">SUM(I7:I24)</f>
        <v>3405187.5999999996</v>
      </c>
      <c r="J25" s="144">
        <f t="shared" si="7"/>
        <v>1074348.3999999999</v>
      </c>
      <c r="K25" s="144">
        <f t="shared" si="7"/>
        <v>0</v>
      </c>
      <c r="L25" s="144">
        <f t="shared" si="7"/>
        <v>0</v>
      </c>
      <c r="M25" s="144">
        <f t="shared" si="7"/>
        <v>0</v>
      </c>
      <c r="N25" s="144">
        <f t="shared" si="7"/>
        <v>0</v>
      </c>
      <c r="O25" s="144">
        <f t="shared" si="7"/>
        <v>57958819.698668465</v>
      </c>
      <c r="P25" s="144">
        <f t="shared" si="7"/>
        <v>3405187.5999999996</v>
      </c>
      <c r="Q25" s="144">
        <f t="shared" si="7"/>
        <v>54553632.098668464</v>
      </c>
    </row>
    <row r="26" spans="1:17" s="131" customFormat="1" ht="15.75" x14ac:dyDescent="0.25">
      <c r="A26" s="138">
        <v>2111</v>
      </c>
      <c r="B26" s="146" t="s">
        <v>121</v>
      </c>
      <c r="C26" s="135">
        <v>100182.24320000001</v>
      </c>
      <c r="D26" s="135"/>
      <c r="E26" s="135">
        <f t="shared" si="5"/>
        <v>100182.24320000001</v>
      </c>
      <c r="F26" s="135"/>
      <c r="G26" s="135"/>
      <c r="H26" s="130">
        <v>8349</v>
      </c>
      <c r="I26" s="130">
        <v>9912.9699999999993</v>
      </c>
      <c r="J26" s="130">
        <f t="shared" si="1"/>
        <v>-1563.9699999999993</v>
      </c>
      <c r="K26" s="130"/>
      <c r="L26" s="130">
        <v>1564</v>
      </c>
      <c r="M26" s="130"/>
      <c r="N26" s="130"/>
      <c r="O26" s="130">
        <f t="shared" si="2"/>
        <v>100182.24320000001</v>
      </c>
      <c r="P26" s="130">
        <f t="shared" si="3"/>
        <v>9912.9699999999993</v>
      </c>
      <c r="Q26" s="130">
        <f t="shared" si="4"/>
        <v>90269.273200000011</v>
      </c>
    </row>
    <row r="27" spans="1:17" s="131" customFormat="1" ht="30.75" x14ac:dyDescent="0.25">
      <c r="A27" s="138">
        <v>2141</v>
      </c>
      <c r="B27" s="147" t="s">
        <v>122</v>
      </c>
      <c r="C27" s="135">
        <v>25000</v>
      </c>
      <c r="D27" s="135"/>
      <c r="E27" s="135">
        <f t="shared" si="5"/>
        <v>25000</v>
      </c>
      <c r="F27" s="135"/>
      <c r="G27" s="135"/>
      <c r="H27" s="130"/>
      <c r="I27" s="130"/>
      <c r="J27" s="130">
        <f t="shared" si="1"/>
        <v>0</v>
      </c>
      <c r="K27" s="130"/>
      <c r="L27" s="130"/>
      <c r="M27" s="130"/>
      <c r="N27" s="130"/>
      <c r="O27" s="130">
        <f t="shared" si="2"/>
        <v>25000</v>
      </c>
      <c r="P27" s="130">
        <f t="shared" si="3"/>
        <v>0</v>
      </c>
      <c r="Q27" s="130">
        <f t="shared" si="4"/>
        <v>25000</v>
      </c>
    </row>
    <row r="28" spans="1:17" s="131" customFormat="1" ht="15.75" x14ac:dyDescent="0.25">
      <c r="A28" s="138">
        <v>2161</v>
      </c>
      <c r="B28" s="146" t="s">
        <v>123</v>
      </c>
      <c r="C28" s="135">
        <v>899616.66080000007</v>
      </c>
      <c r="D28" s="135"/>
      <c r="E28" s="135">
        <f t="shared" si="5"/>
        <v>899616.66080000007</v>
      </c>
      <c r="F28" s="135"/>
      <c r="G28" s="135"/>
      <c r="H28" s="130">
        <v>64686.06</v>
      </c>
      <c r="I28" s="130">
        <v>62801.919999999998</v>
      </c>
      <c r="J28" s="130">
        <f t="shared" si="1"/>
        <v>1884.1399999999994</v>
      </c>
      <c r="K28" s="130"/>
      <c r="L28" s="130"/>
      <c r="M28" s="130"/>
      <c r="N28" s="130"/>
      <c r="O28" s="130">
        <f t="shared" si="2"/>
        <v>899616.66080000007</v>
      </c>
      <c r="P28" s="130">
        <f t="shared" si="3"/>
        <v>62801.919999999998</v>
      </c>
      <c r="Q28" s="130">
        <f t="shared" si="4"/>
        <v>836814.74080000003</v>
      </c>
    </row>
    <row r="29" spans="1:17" s="131" customFormat="1" ht="15" customHeight="1" x14ac:dyDescent="0.25">
      <c r="A29" s="138">
        <v>2171</v>
      </c>
      <c r="B29" s="146" t="s">
        <v>124</v>
      </c>
      <c r="C29" s="135">
        <v>243450</v>
      </c>
      <c r="D29" s="135">
        <v>10000</v>
      </c>
      <c r="E29" s="135">
        <f t="shared" si="5"/>
        <v>253450</v>
      </c>
      <c r="F29" s="135"/>
      <c r="G29" s="135"/>
      <c r="H29" s="130">
        <f t="shared" ref="H29" si="8">C29/12</f>
        <v>20287.5</v>
      </c>
      <c r="I29" s="130">
        <v>24423.87</v>
      </c>
      <c r="J29" s="130">
        <f t="shared" si="1"/>
        <v>-4136.369999999999</v>
      </c>
      <c r="K29" s="130"/>
      <c r="L29" s="130">
        <v>4136</v>
      </c>
      <c r="M29" s="130"/>
      <c r="N29" s="130"/>
      <c r="O29" s="130">
        <f t="shared" si="2"/>
        <v>253450</v>
      </c>
      <c r="P29" s="130">
        <f t="shared" si="3"/>
        <v>24423.87</v>
      </c>
      <c r="Q29" s="130">
        <f t="shared" si="4"/>
        <v>229026.13</v>
      </c>
    </row>
    <row r="30" spans="1:17" s="131" customFormat="1" ht="45.75" x14ac:dyDescent="0.25">
      <c r="A30" s="138">
        <v>2212</v>
      </c>
      <c r="B30" s="147" t="s">
        <v>125</v>
      </c>
      <c r="C30" s="140">
        <v>5305045.78</v>
      </c>
      <c r="D30" s="135">
        <v>1000000</v>
      </c>
      <c r="E30" s="135">
        <f t="shared" si="5"/>
        <v>6305045.7800000003</v>
      </c>
      <c r="F30" s="135"/>
      <c r="G30" s="135"/>
      <c r="H30" s="130">
        <v>442087.16</v>
      </c>
      <c r="I30" s="130">
        <v>269517.18</v>
      </c>
      <c r="J30" s="130">
        <f t="shared" si="1"/>
        <v>172569.97999999998</v>
      </c>
      <c r="K30" s="130">
        <v>17257</v>
      </c>
      <c r="L30" s="130"/>
      <c r="M30" s="130"/>
      <c r="N30" s="130"/>
      <c r="O30" s="130">
        <f t="shared" si="2"/>
        <v>6305045.7800000003</v>
      </c>
      <c r="P30" s="130">
        <f t="shared" si="3"/>
        <v>269517.18</v>
      </c>
      <c r="Q30" s="130">
        <f t="shared" si="4"/>
        <v>6035528.6000000006</v>
      </c>
    </row>
    <row r="31" spans="1:17" s="131" customFormat="1" ht="30.75" x14ac:dyDescent="0.25">
      <c r="A31" s="138">
        <v>2214</v>
      </c>
      <c r="B31" s="147" t="s">
        <v>126</v>
      </c>
      <c r="C31" s="135">
        <f>1076260.9312</f>
        <v>1076260.9312</v>
      </c>
      <c r="D31" s="148"/>
      <c r="E31" s="135">
        <f t="shared" si="5"/>
        <v>1076260.9312</v>
      </c>
      <c r="F31" s="135"/>
      <c r="G31" s="135"/>
      <c r="H31" s="130">
        <v>69400.37</v>
      </c>
      <c r="I31" s="130">
        <v>67379.3</v>
      </c>
      <c r="J31" s="130">
        <f t="shared" si="1"/>
        <v>2021.0699999999924</v>
      </c>
      <c r="K31" s="130"/>
      <c r="L31" s="130"/>
      <c r="M31" s="130"/>
      <c r="N31" s="130"/>
      <c r="O31" s="130">
        <f t="shared" si="2"/>
        <v>1076260.9312</v>
      </c>
      <c r="P31" s="130">
        <f t="shared" si="3"/>
        <v>67379.3</v>
      </c>
      <c r="Q31" s="130">
        <f t="shared" si="4"/>
        <v>1008881.6311999999</v>
      </c>
    </row>
    <row r="32" spans="1:17" s="131" customFormat="1" ht="15.75" x14ac:dyDescent="0.25">
      <c r="A32" s="138">
        <v>2231</v>
      </c>
      <c r="B32" s="146" t="s">
        <v>127</v>
      </c>
      <c r="C32" s="135">
        <v>155673</v>
      </c>
      <c r="D32" s="148"/>
      <c r="E32" s="135">
        <f t="shared" si="5"/>
        <v>155673</v>
      </c>
      <c r="F32" s="135"/>
      <c r="G32" s="135"/>
      <c r="H32" s="130">
        <v>4482.5600000000004</v>
      </c>
      <c r="I32" s="130">
        <v>4352.1499999999996</v>
      </c>
      <c r="J32" s="130">
        <f t="shared" si="1"/>
        <v>130.41000000000076</v>
      </c>
      <c r="K32" s="130"/>
      <c r="L32" s="130"/>
      <c r="M32" s="130"/>
      <c r="N32" s="130"/>
      <c r="O32" s="130">
        <f t="shared" si="2"/>
        <v>155673</v>
      </c>
      <c r="P32" s="130">
        <f t="shared" si="3"/>
        <v>4352.1499999999996</v>
      </c>
      <c r="Q32" s="130">
        <f t="shared" si="4"/>
        <v>151320.85</v>
      </c>
    </row>
    <row r="33" spans="1:17" s="131" customFormat="1" ht="15" customHeight="1" x14ac:dyDescent="0.25">
      <c r="A33" s="138">
        <v>2411</v>
      </c>
      <c r="B33" s="146" t="s">
        <v>128</v>
      </c>
      <c r="C33" s="135">
        <v>112500</v>
      </c>
      <c r="D33" s="135"/>
      <c r="E33" s="135">
        <f t="shared" si="5"/>
        <v>112500</v>
      </c>
      <c r="F33" s="135"/>
      <c r="G33" s="135"/>
      <c r="H33" s="130"/>
      <c r="I33" s="130"/>
      <c r="J33" s="130">
        <f t="shared" si="1"/>
        <v>0</v>
      </c>
      <c r="K33" s="130"/>
      <c r="L33" s="130"/>
      <c r="M33" s="130"/>
      <c r="N33" s="130"/>
      <c r="O33" s="130">
        <f t="shared" si="2"/>
        <v>112500</v>
      </c>
      <c r="P33" s="130">
        <f t="shared" si="3"/>
        <v>0</v>
      </c>
      <c r="Q33" s="130">
        <f t="shared" si="4"/>
        <v>112500</v>
      </c>
    </row>
    <row r="34" spans="1:17" s="131" customFormat="1" ht="15.75" x14ac:dyDescent="0.25">
      <c r="A34" s="138">
        <v>2421</v>
      </c>
      <c r="B34" s="146" t="s">
        <v>129</v>
      </c>
      <c r="C34" s="135">
        <v>125000</v>
      </c>
      <c r="D34" s="135"/>
      <c r="E34" s="135">
        <f t="shared" si="5"/>
        <v>125000</v>
      </c>
      <c r="F34" s="135"/>
      <c r="G34" s="135"/>
      <c r="H34" s="130"/>
      <c r="I34" s="130"/>
      <c r="J34" s="130">
        <f t="shared" si="1"/>
        <v>0</v>
      </c>
      <c r="K34" s="130"/>
      <c r="L34" s="130"/>
      <c r="M34" s="130"/>
      <c r="N34" s="130"/>
      <c r="O34" s="130">
        <f t="shared" si="2"/>
        <v>125000</v>
      </c>
      <c r="P34" s="130">
        <f t="shared" si="3"/>
        <v>0</v>
      </c>
      <c r="Q34" s="130">
        <f t="shared" si="4"/>
        <v>125000</v>
      </c>
    </row>
    <row r="35" spans="1:17" s="131" customFormat="1" ht="15" customHeight="1" x14ac:dyDescent="0.25">
      <c r="A35" s="138">
        <v>2431</v>
      </c>
      <c r="B35" s="146" t="s">
        <v>130</v>
      </c>
      <c r="C35" s="135">
        <v>95000</v>
      </c>
      <c r="D35" s="135"/>
      <c r="E35" s="135">
        <f t="shared" si="5"/>
        <v>95000</v>
      </c>
      <c r="F35" s="135"/>
      <c r="G35" s="135"/>
      <c r="H35" s="130"/>
      <c r="I35" s="130"/>
      <c r="J35" s="130">
        <f t="shared" si="1"/>
        <v>0</v>
      </c>
      <c r="K35" s="130"/>
      <c r="L35" s="130"/>
      <c r="M35" s="130"/>
      <c r="N35" s="130"/>
      <c r="O35" s="130">
        <f t="shared" si="2"/>
        <v>95000</v>
      </c>
      <c r="P35" s="130">
        <f t="shared" si="3"/>
        <v>0</v>
      </c>
      <c r="Q35" s="130">
        <f t="shared" si="4"/>
        <v>95000</v>
      </c>
    </row>
    <row r="36" spans="1:17" s="131" customFormat="1" ht="15.75" x14ac:dyDescent="0.25">
      <c r="A36" s="138">
        <v>2441</v>
      </c>
      <c r="B36" s="146" t="s">
        <v>131</v>
      </c>
      <c r="C36" s="135">
        <v>85000</v>
      </c>
      <c r="D36" s="135"/>
      <c r="E36" s="135">
        <f t="shared" si="5"/>
        <v>85000</v>
      </c>
      <c r="F36" s="135"/>
      <c r="G36" s="135"/>
      <c r="H36" s="130"/>
      <c r="I36" s="130"/>
      <c r="J36" s="130">
        <f t="shared" si="1"/>
        <v>0</v>
      </c>
      <c r="K36" s="130"/>
      <c r="L36" s="130"/>
      <c r="M36" s="130"/>
      <c r="N36" s="130"/>
      <c r="O36" s="130">
        <f t="shared" si="2"/>
        <v>85000</v>
      </c>
      <c r="P36" s="130">
        <f t="shared" si="3"/>
        <v>0</v>
      </c>
      <c r="Q36" s="130">
        <f t="shared" si="4"/>
        <v>85000</v>
      </c>
    </row>
    <row r="37" spans="1:17" s="131" customFormat="1" ht="15" customHeight="1" x14ac:dyDescent="0.25">
      <c r="A37" s="138">
        <v>2451</v>
      </c>
      <c r="B37" s="146" t="s">
        <v>132</v>
      </c>
      <c r="C37" s="135">
        <v>105000</v>
      </c>
      <c r="D37" s="148"/>
      <c r="E37" s="135">
        <f t="shared" si="5"/>
        <v>105000</v>
      </c>
      <c r="F37" s="135"/>
      <c r="G37" s="135"/>
      <c r="H37" s="130"/>
      <c r="I37" s="130"/>
      <c r="J37" s="130">
        <f t="shared" si="1"/>
        <v>0</v>
      </c>
      <c r="K37" s="130"/>
      <c r="L37" s="130"/>
      <c r="M37" s="130"/>
      <c r="N37" s="130"/>
      <c r="O37" s="130">
        <f t="shared" si="2"/>
        <v>105000</v>
      </c>
      <c r="P37" s="130">
        <f t="shared" si="3"/>
        <v>0</v>
      </c>
      <c r="Q37" s="130">
        <f t="shared" si="4"/>
        <v>105000</v>
      </c>
    </row>
    <row r="38" spans="1:17" s="131" customFormat="1" ht="15.75" x14ac:dyDescent="0.25">
      <c r="A38" s="138">
        <v>2461</v>
      </c>
      <c r="B38" s="146" t="s">
        <v>133</v>
      </c>
      <c r="C38" s="135">
        <f>229928*1.2</f>
        <v>275913.59999999998</v>
      </c>
      <c r="D38" s="148"/>
      <c r="E38" s="135">
        <f t="shared" si="5"/>
        <v>275913.59999999998</v>
      </c>
      <c r="F38" s="135"/>
      <c r="G38" s="135"/>
      <c r="H38" s="130">
        <v>6106.87</v>
      </c>
      <c r="I38" s="130">
        <v>5929.22</v>
      </c>
      <c r="J38" s="130">
        <f t="shared" si="1"/>
        <v>177.64999999999964</v>
      </c>
      <c r="K38" s="130"/>
      <c r="L38" s="130"/>
      <c r="M38" s="130"/>
      <c r="N38" s="130"/>
      <c r="O38" s="130">
        <f t="shared" si="2"/>
        <v>275913.59999999998</v>
      </c>
      <c r="P38" s="130">
        <f t="shared" si="3"/>
        <v>5929.22</v>
      </c>
      <c r="Q38" s="130">
        <f t="shared" si="4"/>
        <v>269984.38</v>
      </c>
    </row>
    <row r="39" spans="1:17" s="131" customFormat="1" ht="15" customHeight="1" x14ac:dyDescent="0.25">
      <c r="A39" s="138">
        <v>2471</v>
      </c>
      <c r="B39" s="146" t="s">
        <v>134</v>
      </c>
      <c r="C39" s="135">
        <f>29110.37+1.2</f>
        <v>29111.57</v>
      </c>
      <c r="D39" s="135"/>
      <c r="E39" s="135">
        <f t="shared" si="5"/>
        <v>29111.57</v>
      </c>
      <c r="F39" s="135"/>
      <c r="G39" s="135"/>
      <c r="H39" s="130">
        <v>47290.39</v>
      </c>
      <c r="I39" s="130">
        <v>45913.29</v>
      </c>
      <c r="J39" s="130">
        <f t="shared" si="1"/>
        <v>1377.0999999999985</v>
      </c>
      <c r="K39" s="130"/>
      <c r="L39" s="130"/>
      <c r="M39" s="130"/>
      <c r="N39" s="130"/>
      <c r="O39" s="130">
        <f t="shared" si="2"/>
        <v>29111.57</v>
      </c>
      <c r="P39" s="130">
        <f t="shared" si="3"/>
        <v>45913.29</v>
      </c>
      <c r="Q39" s="130">
        <f t="shared" si="4"/>
        <v>-16801.72</v>
      </c>
    </row>
    <row r="40" spans="1:17" s="131" customFormat="1" ht="15.75" x14ac:dyDescent="0.25">
      <c r="A40" s="138">
        <v>2481</v>
      </c>
      <c r="B40" s="146" t="s">
        <v>135</v>
      </c>
      <c r="C40" s="135">
        <v>25000</v>
      </c>
      <c r="D40" s="148"/>
      <c r="E40" s="135">
        <f t="shared" si="5"/>
        <v>25000</v>
      </c>
      <c r="F40" s="135"/>
      <c r="G40" s="135"/>
      <c r="H40" s="130"/>
      <c r="I40" s="130"/>
      <c r="J40" s="130">
        <f t="shared" si="1"/>
        <v>0</v>
      </c>
      <c r="K40" s="130"/>
      <c r="L40" s="130"/>
      <c r="M40" s="130"/>
      <c r="N40" s="130"/>
      <c r="O40" s="130">
        <f t="shared" si="2"/>
        <v>25000</v>
      </c>
      <c r="P40" s="130">
        <f t="shared" si="3"/>
        <v>0</v>
      </c>
      <c r="Q40" s="130">
        <f t="shared" si="4"/>
        <v>25000</v>
      </c>
    </row>
    <row r="41" spans="1:17" s="131" customFormat="1" ht="30.75" x14ac:dyDescent="0.25">
      <c r="A41" s="138">
        <v>2491</v>
      </c>
      <c r="B41" s="147" t="s">
        <v>136</v>
      </c>
      <c r="C41" s="135">
        <v>25000</v>
      </c>
      <c r="D41" s="148"/>
      <c r="E41" s="135">
        <f t="shared" si="5"/>
        <v>25000</v>
      </c>
      <c r="F41" s="135"/>
      <c r="G41" s="135"/>
      <c r="H41" s="130"/>
      <c r="I41" s="130"/>
      <c r="J41" s="130">
        <f t="shared" si="1"/>
        <v>0</v>
      </c>
      <c r="K41" s="130"/>
      <c r="L41" s="130"/>
      <c r="M41" s="130"/>
      <c r="N41" s="130"/>
      <c r="O41" s="130">
        <f t="shared" si="2"/>
        <v>25000</v>
      </c>
      <c r="P41" s="130">
        <f t="shared" si="3"/>
        <v>0</v>
      </c>
      <c r="Q41" s="130">
        <f t="shared" si="4"/>
        <v>25000</v>
      </c>
    </row>
    <row r="42" spans="1:17" s="131" customFormat="1" ht="15.75" x14ac:dyDescent="0.25">
      <c r="A42" s="138">
        <v>2521</v>
      </c>
      <c r="B42" s="146" t="s">
        <v>137</v>
      </c>
      <c r="C42" s="135">
        <v>0</v>
      </c>
      <c r="D42" s="135">
        <v>20000</v>
      </c>
      <c r="E42" s="135">
        <f t="shared" si="5"/>
        <v>20000</v>
      </c>
      <c r="F42" s="135"/>
      <c r="G42" s="135"/>
      <c r="H42" s="130"/>
      <c r="I42" s="130"/>
      <c r="J42" s="130">
        <f t="shared" si="1"/>
        <v>0</v>
      </c>
      <c r="K42" s="130"/>
      <c r="L42" s="130"/>
      <c r="M42" s="130"/>
      <c r="N42" s="130"/>
      <c r="O42" s="130">
        <f t="shared" si="2"/>
        <v>20000</v>
      </c>
      <c r="P42" s="130">
        <f t="shared" si="3"/>
        <v>0</v>
      </c>
      <c r="Q42" s="130">
        <f t="shared" si="4"/>
        <v>20000</v>
      </c>
    </row>
    <row r="43" spans="1:17" s="131" customFormat="1" ht="15" customHeight="1" x14ac:dyDescent="0.25">
      <c r="A43" s="138">
        <v>2531</v>
      </c>
      <c r="B43" s="146" t="s">
        <v>138</v>
      </c>
      <c r="C43" s="135">
        <f>2189939.44</f>
        <v>2189939.44</v>
      </c>
      <c r="D43" s="135">
        <f>350000+25000</f>
        <v>375000</v>
      </c>
      <c r="E43" s="135">
        <f t="shared" si="5"/>
        <v>2564939.44</v>
      </c>
      <c r="F43" s="135"/>
      <c r="G43" s="135"/>
      <c r="H43" s="130">
        <v>123251.86</v>
      </c>
      <c r="I43" s="130">
        <v>119661.78</v>
      </c>
      <c r="J43" s="130">
        <f t="shared" si="1"/>
        <v>3590.0800000000017</v>
      </c>
      <c r="K43" s="130"/>
      <c r="L43" s="130"/>
      <c r="M43" s="130"/>
      <c r="N43" s="130"/>
      <c r="O43" s="130">
        <f t="shared" si="2"/>
        <v>2564939.44</v>
      </c>
      <c r="P43" s="130">
        <f t="shared" si="3"/>
        <v>119661.78</v>
      </c>
      <c r="Q43" s="130">
        <f t="shared" si="4"/>
        <v>2445277.66</v>
      </c>
    </row>
    <row r="44" spans="1:17" s="131" customFormat="1" ht="15.75" x14ac:dyDescent="0.25">
      <c r="A44" s="138">
        <v>2541</v>
      </c>
      <c r="B44" s="146" t="s">
        <v>139</v>
      </c>
      <c r="C44" s="135">
        <v>173372.78399999999</v>
      </c>
      <c r="D44" s="148"/>
      <c r="E44" s="135">
        <f t="shared" si="5"/>
        <v>173372.78399999999</v>
      </c>
      <c r="F44" s="135"/>
      <c r="G44" s="135"/>
      <c r="H44" s="130">
        <v>12137.52</v>
      </c>
      <c r="I44" s="130">
        <v>11784.32</v>
      </c>
      <c r="J44" s="130">
        <f t="shared" si="1"/>
        <v>353.20000000000073</v>
      </c>
      <c r="K44" s="130"/>
      <c r="L44" s="130"/>
      <c r="M44" s="130"/>
      <c r="N44" s="130"/>
      <c r="O44" s="130">
        <f t="shared" si="2"/>
        <v>173372.78399999999</v>
      </c>
      <c r="P44" s="130">
        <f t="shared" si="3"/>
        <v>11784.32</v>
      </c>
      <c r="Q44" s="130">
        <f t="shared" si="4"/>
        <v>161588.46399999998</v>
      </c>
    </row>
    <row r="45" spans="1:17" s="131" customFormat="1" ht="15" customHeight="1" x14ac:dyDescent="0.25">
      <c r="A45" s="138">
        <v>2551</v>
      </c>
      <c r="B45" s="146" t="s">
        <v>140</v>
      </c>
      <c r="C45" s="135">
        <v>0</v>
      </c>
      <c r="D45" s="148"/>
      <c r="E45" s="135">
        <f t="shared" si="5"/>
        <v>0</v>
      </c>
      <c r="F45" s="135"/>
      <c r="G45" s="135"/>
      <c r="H45" s="130"/>
      <c r="I45" s="130"/>
      <c r="J45" s="130">
        <f t="shared" si="1"/>
        <v>0</v>
      </c>
      <c r="K45" s="130"/>
      <c r="L45" s="130"/>
      <c r="M45" s="130"/>
      <c r="N45" s="130"/>
      <c r="O45" s="130">
        <f t="shared" si="2"/>
        <v>0</v>
      </c>
      <c r="P45" s="130">
        <f t="shared" si="3"/>
        <v>0</v>
      </c>
      <c r="Q45" s="130">
        <f t="shared" si="4"/>
        <v>0</v>
      </c>
    </row>
    <row r="46" spans="1:17" s="131" customFormat="1" ht="45.75" x14ac:dyDescent="0.25">
      <c r="A46" s="138">
        <v>2611</v>
      </c>
      <c r="B46" s="147" t="s">
        <v>141</v>
      </c>
      <c r="C46" s="135">
        <f>(1149164.2368*36.27/100)*1.2</f>
        <v>500162.24242483207</v>
      </c>
      <c r="D46" s="148"/>
      <c r="E46" s="135">
        <f t="shared" si="5"/>
        <v>500162.24242483207</v>
      </c>
      <c r="F46" s="135"/>
      <c r="G46" s="135"/>
      <c r="H46" s="130">
        <v>26016.77</v>
      </c>
      <c r="I46" s="130">
        <v>25259.02</v>
      </c>
      <c r="J46" s="130">
        <f t="shared" si="1"/>
        <v>757.75</v>
      </c>
      <c r="K46" s="130"/>
      <c r="L46" s="130"/>
      <c r="M46" s="130"/>
      <c r="N46" s="130"/>
      <c r="O46" s="130">
        <f t="shared" si="2"/>
        <v>500162.24242483207</v>
      </c>
      <c r="P46" s="130">
        <f t="shared" si="3"/>
        <v>25259.02</v>
      </c>
      <c r="Q46" s="130">
        <f t="shared" si="4"/>
        <v>474903.22242483206</v>
      </c>
    </row>
    <row r="47" spans="1:17" s="131" customFormat="1" ht="30.75" x14ac:dyDescent="0.25">
      <c r="A47" s="138">
        <v>2614</v>
      </c>
      <c r="B47" s="147" t="s">
        <v>142</v>
      </c>
      <c r="C47" s="135">
        <f>(1149164.2368*63.73/100)*1.2</f>
        <v>878834.84173516813</v>
      </c>
      <c r="D47" s="148"/>
      <c r="E47" s="135">
        <f t="shared" si="5"/>
        <v>878834.84173516813</v>
      </c>
      <c r="F47" s="135"/>
      <c r="G47" s="135"/>
      <c r="H47" s="130">
        <v>71111.199999999997</v>
      </c>
      <c r="I47" s="130">
        <v>69040.02</v>
      </c>
      <c r="J47" s="130">
        <f t="shared" si="1"/>
        <v>2071.179999999993</v>
      </c>
      <c r="K47" s="130"/>
      <c r="L47" s="130"/>
      <c r="M47" s="130"/>
      <c r="N47" s="130"/>
      <c r="O47" s="130">
        <f t="shared" si="2"/>
        <v>878834.84173516813</v>
      </c>
      <c r="P47" s="130">
        <f t="shared" si="3"/>
        <v>69040.02</v>
      </c>
      <c r="Q47" s="130">
        <f t="shared" si="4"/>
        <v>809794.82173516811</v>
      </c>
    </row>
    <row r="48" spans="1:17" s="131" customFormat="1" ht="15.75" x14ac:dyDescent="0.25">
      <c r="A48" s="138">
        <v>2711</v>
      </c>
      <c r="B48" s="146" t="s">
        <v>143</v>
      </c>
      <c r="C48" s="135">
        <v>449879.47680000006</v>
      </c>
      <c r="D48" s="148">
        <f>107000+982372</f>
        <v>1089372</v>
      </c>
      <c r="E48" s="135">
        <f t="shared" si="5"/>
        <v>1539251.4768000001</v>
      </c>
      <c r="F48" s="135"/>
      <c r="G48" s="135"/>
      <c r="H48" s="130">
        <v>93579.62</v>
      </c>
      <c r="I48" s="130">
        <v>90854.080000000002</v>
      </c>
      <c r="J48" s="130">
        <f t="shared" si="1"/>
        <v>2725.5399999999936</v>
      </c>
      <c r="K48" s="130"/>
      <c r="L48" s="130"/>
      <c r="M48" s="130"/>
      <c r="N48" s="130"/>
      <c r="O48" s="130">
        <f t="shared" si="2"/>
        <v>1539251.4768000001</v>
      </c>
      <c r="P48" s="130">
        <f t="shared" si="3"/>
        <v>90854.080000000002</v>
      </c>
      <c r="Q48" s="130">
        <f t="shared" si="4"/>
        <v>1448397.3968</v>
      </c>
    </row>
    <row r="49" spans="1:17" s="131" customFormat="1" ht="15" customHeight="1" x14ac:dyDescent="0.25">
      <c r="A49" s="138">
        <v>2721</v>
      </c>
      <c r="B49" s="146" t="s">
        <v>144</v>
      </c>
      <c r="C49" s="135">
        <v>30462.329600000001</v>
      </c>
      <c r="D49" s="148"/>
      <c r="E49" s="135">
        <f t="shared" si="5"/>
        <v>30462.329600000001</v>
      </c>
      <c r="F49" s="135"/>
      <c r="G49" s="135"/>
      <c r="H49" s="130">
        <v>1234.97</v>
      </c>
      <c r="I49" s="130">
        <v>1199.44</v>
      </c>
      <c r="J49" s="130">
        <f t="shared" si="1"/>
        <v>35.529999999999973</v>
      </c>
      <c r="K49" s="130"/>
      <c r="L49" s="130"/>
      <c r="M49" s="130"/>
      <c r="N49" s="130"/>
      <c r="O49" s="130">
        <f t="shared" si="2"/>
        <v>30462.329600000001</v>
      </c>
      <c r="P49" s="130">
        <f t="shared" si="3"/>
        <v>1199.44</v>
      </c>
      <c r="Q49" s="130">
        <f t="shared" si="4"/>
        <v>29262.889600000002</v>
      </c>
    </row>
    <row r="50" spans="1:17" s="131" customFormat="1" ht="15.75" x14ac:dyDescent="0.25">
      <c r="A50" s="138">
        <v>2731</v>
      </c>
      <c r="B50" s="146" t="s">
        <v>145</v>
      </c>
      <c r="C50" s="135">
        <v>69957.659200000009</v>
      </c>
      <c r="D50" s="135">
        <v>200000</v>
      </c>
      <c r="E50" s="135">
        <f t="shared" si="5"/>
        <v>269957.65919999999</v>
      </c>
      <c r="F50" s="135"/>
      <c r="G50" s="135"/>
      <c r="H50" s="130">
        <v>36180.81</v>
      </c>
      <c r="I50" s="130">
        <v>35127.26</v>
      </c>
      <c r="J50" s="130">
        <f t="shared" si="1"/>
        <v>1053.5499999999956</v>
      </c>
      <c r="K50" s="130"/>
      <c r="L50" s="130"/>
      <c r="M50" s="130"/>
      <c r="N50" s="130"/>
      <c r="O50" s="130">
        <f t="shared" si="2"/>
        <v>269957.65919999999</v>
      </c>
      <c r="P50" s="130">
        <f t="shared" si="3"/>
        <v>35127.26</v>
      </c>
      <c r="Q50" s="130">
        <f t="shared" si="4"/>
        <v>234830.39919999999</v>
      </c>
    </row>
    <row r="51" spans="1:17" s="131" customFormat="1" ht="15" customHeight="1" x14ac:dyDescent="0.25">
      <c r="A51" s="138">
        <v>2741</v>
      </c>
      <c r="B51" s="146" t="s">
        <v>146</v>
      </c>
      <c r="C51" s="135">
        <v>41777.486400000002</v>
      </c>
      <c r="D51" s="148"/>
      <c r="E51" s="135">
        <f t="shared" si="5"/>
        <v>41777.486400000002</v>
      </c>
      <c r="F51" s="135"/>
      <c r="G51" s="135"/>
      <c r="H51" s="130">
        <v>1512.04</v>
      </c>
      <c r="I51" s="130">
        <v>1467.54</v>
      </c>
      <c r="J51" s="130">
        <f t="shared" si="1"/>
        <v>44.5</v>
      </c>
      <c r="K51" s="130"/>
      <c r="L51" s="130"/>
      <c r="M51" s="130"/>
      <c r="N51" s="130"/>
      <c r="O51" s="130">
        <f t="shared" si="2"/>
        <v>41777.486400000002</v>
      </c>
      <c r="P51" s="130">
        <f t="shared" si="3"/>
        <v>1467.54</v>
      </c>
      <c r="Q51" s="130">
        <f t="shared" si="4"/>
        <v>40309.946400000001</v>
      </c>
    </row>
    <row r="52" spans="1:17" s="131" customFormat="1" ht="15.75" x14ac:dyDescent="0.25">
      <c r="A52" s="138">
        <v>2751</v>
      </c>
      <c r="B52" s="146" t="s">
        <v>147</v>
      </c>
      <c r="C52" s="135">
        <v>342927.31199999998</v>
      </c>
      <c r="D52" s="148"/>
      <c r="E52" s="135">
        <f t="shared" si="5"/>
        <v>342927.31199999998</v>
      </c>
      <c r="F52" s="135"/>
      <c r="G52" s="135"/>
      <c r="H52" s="130">
        <v>128.75</v>
      </c>
      <c r="I52" s="130">
        <v>125</v>
      </c>
      <c r="J52" s="130">
        <f t="shared" si="1"/>
        <v>3.75</v>
      </c>
      <c r="K52" s="130"/>
      <c r="L52" s="130"/>
      <c r="M52" s="130"/>
      <c r="N52" s="130"/>
      <c r="O52" s="130">
        <f t="shared" si="2"/>
        <v>342927.31199999998</v>
      </c>
      <c r="P52" s="130">
        <f t="shared" si="3"/>
        <v>125</v>
      </c>
      <c r="Q52" s="130">
        <f t="shared" si="4"/>
        <v>342802.31199999998</v>
      </c>
    </row>
    <row r="53" spans="1:17" s="131" customFormat="1" ht="15" customHeight="1" x14ac:dyDescent="0.25">
      <c r="A53" s="138">
        <v>2911</v>
      </c>
      <c r="B53" s="146" t="s">
        <v>148</v>
      </c>
      <c r="C53" s="135">
        <v>34403.200000000004</v>
      </c>
      <c r="D53" s="148"/>
      <c r="E53" s="135">
        <f t="shared" si="5"/>
        <v>34403.200000000004</v>
      </c>
      <c r="F53" s="135"/>
      <c r="G53" s="135"/>
      <c r="H53" s="130"/>
      <c r="I53" s="130"/>
      <c r="J53" s="130">
        <f t="shared" si="1"/>
        <v>0</v>
      </c>
      <c r="K53" s="130"/>
      <c r="L53" s="130"/>
      <c r="M53" s="130"/>
      <c r="N53" s="130"/>
      <c r="O53" s="130">
        <f t="shared" si="2"/>
        <v>34403.200000000004</v>
      </c>
      <c r="P53" s="130">
        <f t="shared" si="3"/>
        <v>0</v>
      </c>
      <c r="Q53" s="130">
        <f t="shared" si="4"/>
        <v>34403.200000000004</v>
      </c>
    </row>
    <row r="54" spans="1:17" s="131" customFormat="1" ht="15.75" x14ac:dyDescent="0.25">
      <c r="A54" s="138">
        <v>2921</v>
      </c>
      <c r="B54" s="146" t="s">
        <v>149</v>
      </c>
      <c r="C54" s="135">
        <v>100000</v>
      </c>
      <c r="D54" s="148"/>
      <c r="E54" s="135">
        <f t="shared" si="5"/>
        <v>100000</v>
      </c>
      <c r="F54" s="135"/>
      <c r="G54" s="135"/>
      <c r="H54" s="130"/>
      <c r="I54" s="130"/>
      <c r="J54" s="130">
        <f t="shared" si="1"/>
        <v>0</v>
      </c>
      <c r="K54" s="130"/>
      <c r="L54" s="130"/>
      <c r="M54" s="130"/>
      <c r="N54" s="130"/>
      <c r="O54" s="130">
        <f t="shared" si="2"/>
        <v>100000</v>
      </c>
      <c r="P54" s="130">
        <f t="shared" si="3"/>
        <v>0</v>
      </c>
      <c r="Q54" s="130">
        <f t="shared" si="4"/>
        <v>100000</v>
      </c>
    </row>
    <row r="55" spans="1:17" s="131" customFormat="1" ht="15" customHeight="1" x14ac:dyDescent="0.25">
      <c r="A55" s="138">
        <v>2931</v>
      </c>
      <c r="B55" s="146" t="s">
        <v>150</v>
      </c>
      <c r="C55" s="135">
        <v>10000</v>
      </c>
      <c r="D55" s="148"/>
      <c r="E55" s="135">
        <f t="shared" si="5"/>
        <v>10000</v>
      </c>
      <c r="F55" s="135"/>
      <c r="G55" s="135"/>
      <c r="H55" s="130"/>
      <c r="I55" s="130"/>
      <c r="J55" s="130">
        <f t="shared" si="1"/>
        <v>0</v>
      </c>
      <c r="K55" s="130"/>
      <c r="L55" s="130"/>
      <c r="M55" s="130"/>
      <c r="N55" s="130"/>
      <c r="O55" s="130">
        <f t="shared" si="2"/>
        <v>10000</v>
      </c>
      <c r="P55" s="130">
        <f t="shared" si="3"/>
        <v>0</v>
      </c>
      <c r="Q55" s="130">
        <f t="shared" si="4"/>
        <v>10000</v>
      </c>
    </row>
    <row r="56" spans="1:17" s="131" customFormat="1" ht="15.75" x14ac:dyDescent="0.25">
      <c r="A56" s="138">
        <v>2941</v>
      </c>
      <c r="B56" s="146" t="s">
        <v>151</v>
      </c>
      <c r="C56" s="135">
        <v>15000</v>
      </c>
      <c r="D56" s="148"/>
      <c r="E56" s="135"/>
      <c r="F56" s="135"/>
      <c r="G56" s="135"/>
      <c r="H56" s="130"/>
      <c r="I56" s="130"/>
      <c r="J56" s="130">
        <f t="shared" si="1"/>
        <v>0</v>
      </c>
      <c r="K56" s="130"/>
      <c r="L56" s="130"/>
      <c r="M56" s="130"/>
      <c r="N56" s="130"/>
      <c r="O56" s="130">
        <f t="shared" si="2"/>
        <v>15000</v>
      </c>
      <c r="P56" s="130">
        <f t="shared" si="3"/>
        <v>0</v>
      </c>
      <c r="Q56" s="130">
        <f t="shared" si="4"/>
        <v>15000</v>
      </c>
    </row>
    <row r="57" spans="1:17" s="131" customFormat="1" ht="15" customHeight="1" x14ac:dyDescent="0.25">
      <c r="A57" s="138">
        <v>2961</v>
      </c>
      <c r="B57" s="146" t="s">
        <v>152</v>
      </c>
      <c r="C57" s="135">
        <v>25000</v>
      </c>
      <c r="D57" s="148"/>
      <c r="E57" s="135">
        <f t="shared" si="5"/>
        <v>25000</v>
      </c>
      <c r="F57" s="135"/>
      <c r="G57" s="135"/>
      <c r="H57" s="130"/>
      <c r="I57" s="130"/>
      <c r="J57" s="130">
        <f t="shared" si="1"/>
        <v>0</v>
      </c>
      <c r="K57" s="130"/>
      <c r="L57" s="130"/>
      <c r="M57" s="130"/>
      <c r="N57" s="130"/>
      <c r="O57" s="130">
        <f t="shared" si="2"/>
        <v>25000</v>
      </c>
      <c r="P57" s="130">
        <f t="shared" si="3"/>
        <v>0</v>
      </c>
      <c r="Q57" s="130">
        <f t="shared" si="4"/>
        <v>25000</v>
      </c>
    </row>
    <row r="58" spans="1:17" s="145" customFormat="1" ht="15.75" x14ac:dyDescent="0.25">
      <c r="A58" s="149"/>
      <c r="B58" s="149" t="s">
        <v>153</v>
      </c>
      <c r="C58" s="143">
        <f>SUM(C26:C57)</f>
        <v>13544470.557360001</v>
      </c>
      <c r="D58" s="143">
        <f>SUM(D26:D57)</f>
        <v>2694372</v>
      </c>
      <c r="E58" s="144">
        <f t="shared" si="5"/>
        <v>16238842.557360001</v>
      </c>
      <c r="F58" s="143">
        <f t="shared" ref="F58:G58" si="9">SUM(F26:F57)</f>
        <v>0</v>
      </c>
      <c r="G58" s="143">
        <f t="shared" si="9"/>
        <v>0</v>
      </c>
      <c r="H58" s="144">
        <f>SUM(H26:H57)</f>
        <v>1027843.45</v>
      </c>
      <c r="I58" s="144">
        <f t="shared" ref="I58:Q58" si="10">SUM(I26:I57)</f>
        <v>844748.35999999987</v>
      </c>
      <c r="J58" s="144">
        <f t="shared" si="10"/>
        <v>183095.08999999994</v>
      </c>
      <c r="K58" s="144">
        <f t="shared" si="10"/>
        <v>17257</v>
      </c>
      <c r="L58" s="144">
        <f t="shared" si="10"/>
        <v>5700</v>
      </c>
      <c r="M58" s="144">
        <f t="shared" si="10"/>
        <v>0</v>
      </c>
      <c r="N58" s="144">
        <f t="shared" si="10"/>
        <v>0</v>
      </c>
      <c r="O58" s="144">
        <f t="shared" si="10"/>
        <v>16238842.557360001</v>
      </c>
      <c r="P58" s="144">
        <f t="shared" si="10"/>
        <v>844748.35999999987</v>
      </c>
      <c r="Q58" s="144">
        <f t="shared" si="10"/>
        <v>15394094.19736</v>
      </c>
    </row>
    <row r="59" spans="1:17" s="131" customFormat="1" ht="15" customHeight="1" x14ac:dyDescent="0.25">
      <c r="A59" s="138">
        <v>3111</v>
      </c>
      <c r="B59" s="150" t="s">
        <v>154</v>
      </c>
      <c r="C59" s="151">
        <v>461469.80000000005</v>
      </c>
      <c r="D59" s="152"/>
      <c r="E59" s="135">
        <f>D59+C59</f>
        <v>461469.80000000005</v>
      </c>
      <c r="F59" s="135"/>
      <c r="G59" s="135"/>
      <c r="H59" s="130">
        <v>38456</v>
      </c>
      <c r="I59" s="130">
        <v>46820</v>
      </c>
      <c r="J59" s="130">
        <f t="shared" si="1"/>
        <v>-8364</v>
      </c>
      <c r="K59" s="130"/>
      <c r="L59" s="130">
        <v>8364</v>
      </c>
      <c r="M59" s="130"/>
      <c r="N59" s="130"/>
      <c r="O59" s="130">
        <f t="shared" si="2"/>
        <v>461469.80000000005</v>
      </c>
      <c r="P59" s="130">
        <f t="shared" si="3"/>
        <v>46820</v>
      </c>
      <c r="Q59" s="130">
        <f t="shared" si="4"/>
        <v>414649.80000000005</v>
      </c>
    </row>
    <row r="60" spans="1:17" s="131" customFormat="1" ht="15.75" x14ac:dyDescent="0.25">
      <c r="A60" s="138">
        <v>3121</v>
      </c>
      <c r="B60" s="150" t="s">
        <v>155</v>
      </c>
      <c r="C60" s="151">
        <v>159510.72799999997</v>
      </c>
      <c r="D60" s="152"/>
      <c r="E60" s="135">
        <f t="shared" ref="E60:E96" si="11">D60+C60</f>
        <v>159510.72799999997</v>
      </c>
      <c r="F60" s="135"/>
      <c r="G60" s="135"/>
      <c r="H60" s="130">
        <v>13293</v>
      </c>
      <c r="I60" s="130">
        <v>13999.48</v>
      </c>
      <c r="J60" s="130">
        <f t="shared" si="1"/>
        <v>-706.47999999999956</v>
      </c>
      <c r="K60" s="130"/>
      <c r="L60" s="130">
        <v>706</v>
      </c>
      <c r="M60" s="130"/>
      <c r="N60" s="130"/>
      <c r="O60" s="130">
        <f t="shared" si="2"/>
        <v>159510.72799999997</v>
      </c>
      <c r="P60" s="130">
        <f t="shared" si="3"/>
        <v>13999.48</v>
      </c>
      <c r="Q60" s="130">
        <f t="shared" si="4"/>
        <v>145511.24799999996</v>
      </c>
    </row>
    <row r="61" spans="1:17" s="131" customFormat="1" ht="15" customHeight="1" x14ac:dyDescent="0.25">
      <c r="A61" s="138">
        <v>3131</v>
      </c>
      <c r="B61" s="150" t="s">
        <v>156</v>
      </c>
      <c r="C61" s="151">
        <v>10860.48</v>
      </c>
      <c r="D61" s="152"/>
      <c r="E61" s="135">
        <f t="shared" si="11"/>
        <v>10860.48</v>
      </c>
      <c r="F61" s="135"/>
      <c r="G61" s="135"/>
      <c r="H61" s="130"/>
      <c r="I61" s="130"/>
      <c r="J61" s="130">
        <f t="shared" si="1"/>
        <v>0</v>
      </c>
      <c r="K61" s="130"/>
      <c r="L61" s="130"/>
      <c r="M61" s="130"/>
      <c r="N61" s="130"/>
      <c r="O61" s="130">
        <f t="shared" si="2"/>
        <v>10860.48</v>
      </c>
      <c r="P61" s="130">
        <f t="shared" si="3"/>
        <v>0</v>
      </c>
      <c r="Q61" s="130">
        <f t="shared" si="4"/>
        <v>10860.48</v>
      </c>
    </row>
    <row r="62" spans="1:17" s="131" customFormat="1" ht="15.75" x14ac:dyDescent="0.25">
      <c r="A62" s="138">
        <v>3141</v>
      </c>
      <c r="B62" s="150" t="s">
        <v>157</v>
      </c>
      <c r="C62" s="151">
        <f>149034.7664+18133</f>
        <v>167167.76639999999</v>
      </c>
      <c r="D62" s="152"/>
      <c r="E62" s="135">
        <f t="shared" si="11"/>
        <v>167167.76639999999</v>
      </c>
      <c r="F62" s="135"/>
      <c r="G62" s="135"/>
      <c r="H62" s="130">
        <v>11735.82</v>
      </c>
      <c r="I62" s="130">
        <v>11393.96</v>
      </c>
      <c r="J62" s="130">
        <f t="shared" si="1"/>
        <v>341.86000000000058</v>
      </c>
      <c r="K62" s="130"/>
      <c r="L62" s="130"/>
      <c r="M62" s="130"/>
      <c r="N62" s="130"/>
      <c r="O62" s="130">
        <f t="shared" si="2"/>
        <v>167167.76639999999</v>
      </c>
      <c r="P62" s="130">
        <f t="shared" si="3"/>
        <v>11393.96</v>
      </c>
      <c r="Q62" s="130">
        <f t="shared" si="4"/>
        <v>155773.8064</v>
      </c>
    </row>
    <row r="63" spans="1:17" s="131" customFormat="1" ht="15" customHeight="1" x14ac:dyDescent="0.25">
      <c r="A63" s="138">
        <v>3171</v>
      </c>
      <c r="B63" s="150" t="s">
        <v>158</v>
      </c>
      <c r="C63" s="151">
        <v>6500</v>
      </c>
      <c r="D63" s="152"/>
      <c r="E63" s="135">
        <f t="shared" si="11"/>
        <v>6500</v>
      </c>
      <c r="F63" s="135"/>
      <c r="G63" s="135"/>
      <c r="H63" s="130"/>
      <c r="I63" s="130"/>
      <c r="J63" s="130">
        <f t="shared" si="1"/>
        <v>0</v>
      </c>
      <c r="K63" s="130"/>
      <c r="L63" s="130"/>
      <c r="M63" s="130"/>
      <c r="N63" s="130"/>
      <c r="O63" s="130">
        <f t="shared" si="2"/>
        <v>6500</v>
      </c>
      <c r="P63" s="130">
        <f t="shared" si="3"/>
        <v>0</v>
      </c>
      <c r="Q63" s="130">
        <f t="shared" si="4"/>
        <v>6500</v>
      </c>
    </row>
    <row r="64" spans="1:17" s="131" customFormat="1" ht="15.75" x14ac:dyDescent="0.25">
      <c r="A64" s="138">
        <v>3181</v>
      </c>
      <c r="B64" s="150" t="s">
        <v>159</v>
      </c>
      <c r="C64" s="151">
        <v>3112.2208000000001</v>
      </c>
      <c r="D64" s="152"/>
      <c r="E64" s="135">
        <f t="shared" si="11"/>
        <v>3112.2208000000001</v>
      </c>
      <c r="F64" s="135"/>
      <c r="G64" s="135"/>
      <c r="H64" s="130">
        <v>259</v>
      </c>
      <c r="I64" s="130">
        <v>346.43</v>
      </c>
      <c r="J64" s="130">
        <f t="shared" si="1"/>
        <v>-87.43</v>
      </c>
      <c r="K64" s="130"/>
      <c r="L64" s="130">
        <v>87</v>
      </c>
      <c r="M64" s="130"/>
      <c r="N64" s="130"/>
      <c r="O64" s="130">
        <f t="shared" si="2"/>
        <v>3112.2208000000001</v>
      </c>
      <c r="P64" s="130">
        <f t="shared" si="3"/>
        <v>346.43</v>
      </c>
      <c r="Q64" s="130">
        <f t="shared" si="4"/>
        <v>2765.7908000000002</v>
      </c>
    </row>
    <row r="65" spans="1:17" s="131" customFormat="1" ht="15" customHeight="1" x14ac:dyDescent="0.25">
      <c r="A65" s="138">
        <v>3232</v>
      </c>
      <c r="B65" s="150" t="s">
        <v>160</v>
      </c>
      <c r="C65" s="151">
        <v>40000</v>
      </c>
      <c r="D65" s="152"/>
      <c r="E65" s="135">
        <f t="shared" si="11"/>
        <v>40000</v>
      </c>
      <c r="F65" s="135"/>
      <c r="G65" s="135"/>
      <c r="H65" s="130"/>
      <c r="I65" s="130"/>
      <c r="J65" s="130">
        <f t="shared" si="1"/>
        <v>0</v>
      </c>
      <c r="K65" s="130"/>
      <c r="L65" s="130"/>
      <c r="M65" s="130"/>
      <c r="N65" s="130"/>
      <c r="O65" s="130">
        <f t="shared" si="2"/>
        <v>40000</v>
      </c>
      <c r="P65" s="130">
        <f t="shared" si="3"/>
        <v>0</v>
      </c>
      <c r="Q65" s="130">
        <f t="shared" si="4"/>
        <v>40000</v>
      </c>
    </row>
    <row r="66" spans="1:17" s="131" customFormat="1" ht="15.75" x14ac:dyDescent="0.25">
      <c r="A66" s="138">
        <v>3261</v>
      </c>
      <c r="B66" s="150" t="s">
        <v>161</v>
      </c>
      <c r="C66" s="151">
        <v>30000</v>
      </c>
      <c r="D66" s="152"/>
      <c r="E66" s="135">
        <f t="shared" si="11"/>
        <v>30000</v>
      </c>
      <c r="F66" s="135"/>
      <c r="G66" s="135"/>
      <c r="H66" s="130"/>
      <c r="I66" s="130"/>
      <c r="J66" s="130">
        <f t="shared" si="1"/>
        <v>0</v>
      </c>
      <c r="K66" s="130"/>
      <c r="L66" s="130"/>
      <c r="M66" s="130"/>
      <c r="N66" s="130"/>
      <c r="O66" s="130">
        <f t="shared" si="2"/>
        <v>30000</v>
      </c>
      <c r="P66" s="130">
        <f t="shared" si="3"/>
        <v>0</v>
      </c>
      <c r="Q66" s="130">
        <f t="shared" si="4"/>
        <v>30000</v>
      </c>
    </row>
    <row r="67" spans="1:17" s="131" customFormat="1" ht="15" customHeight="1" x14ac:dyDescent="0.25">
      <c r="A67" s="138">
        <v>3311</v>
      </c>
      <c r="B67" s="150" t="s">
        <v>162</v>
      </c>
      <c r="C67" s="151">
        <f>45000+240000+237600+83520</f>
        <v>606120</v>
      </c>
      <c r="D67" s="153"/>
      <c r="E67" s="135">
        <f t="shared" si="11"/>
        <v>606120</v>
      </c>
      <c r="F67" s="135"/>
      <c r="G67" s="135"/>
      <c r="H67" s="130">
        <v>5829.8</v>
      </c>
      <c r="I67" s="130">
        <v>5660.38</v>
      </c>
      <c r="J67" s="130">
        <f t="shared" si="1"/>
        <v>169.42000000000007</v>
      </c>
      <c r="K67" s="130"/>
      <c r="L67" s="130"/>
      <c r="M67" s="130"/>
      <c r="N67" s="130"/>
      <c r="O67" s="130">
        <f t="shared" si="2"/>
        <v>606120</v>
      </c>
      <c r="P67" s="130">
        <f t="shared" si="3"/>
        <v>5660.38</v>
      </c>
      <c r="Q67" s="130">
        <f t="shared" si="4"/>
        <v>600459.62</v>
      </c>
    </row>
    <row r="68" spans="1:17" s="131" customFormat="1" ht="15.75" x14ac:dyDescent="0.25">
      <c r="A68" s="138">
        <v>3331</v>
      </c>
      <c r="B68" s="150" t="s">
        <v>163</v>
      </c>
      <c r="C68" s="151">
        <f>170000+30000</f>
        <v>200000</v>
      </c>
      <c r="D68" s="153"/>
      <c r="E68" s="135">
        <f t="shared" si="11"/>
        <v>200000</v>
      </c>
      <c r="F68" s="135"/>
      <c r="G68" s="135"/>
      <c r="H68" s="130"/>
      <c r="I68" s="130"/>
      <c r="J68" s="130">
        <f t="shared" si="1"/>
        <v>0</v>
      </c>
      <c r="K68" s="130"/>
      <c r="L68" s="130"/>
      <c r="M68" s="130"/>
      <c r="N68" s="130"/>
      <c r="O68" s="130">
        <f t="shared" si="2"/>
        <v>200000</v>
      </c>
      <c r="P68" s="130">
        <f t="shared" si="3"/>
        <v>0</v>
      </c>
      <c r="Q68" s="130">
        <f t="shared" si="4"/>
        <v>200000</v>
      </c>
    </row>
    <row r="69" spans="1:17" s="131" customFormat="1" ht="15" customHeight="1" x14ac:dyDescent="0.25">
      <c r="A69" s="138">
        <v>3341</v>
      </c>
      <c r="B69" s="150" t="s">
        <v>164</v>
      </c>
      <c r="C69" s="151">
        <v>50000</v>
      </c>
      <c r="D69" s="152"/>
      <c r="E69" s="135">
        <f t="shared" si="11"/>
        <v>50000</v>
      </c>
      <c r="F69" s="135"/>
      <c r="G69" s="135"/>
      <c r="H69" s="130">
        <v>27841.93</v>
      </c>
      <c r="I69" s="130">
        <v>27030.5</v>
      </c>
      <c r="J69" s="130">
        <f t="shared" si="1"/>
        <v>811.43000000000029</v>
      </c>
      <c r="K69" s="130"/>
      <c r="L69" s="130"/>
      <c r="M69" s="130"/>
      <c r="N69" s="130"/>
      <c r="O69" s="130">
        <f t="shared" si="2"/>
        <v>50000</v>
      </c>
      <c r="P69" s="130">
        <f t="shared" si="3"/>
        <v>27030.5</v>
      </c>
      <c r="Q69" s="130">
        <f t="shared" si="4"/>
        <v>22969.5</v>
      </c>
    </row>
    <row r="70" spans="1:17" s="131" customFormat="1" ht="15.75" x14ac:dyDescent="0.25">
      <c r="A70" s="138">
        <v>3342</v>
      </c>
      <c r="B70" s="150" t="s">
        <v>165</v>
      </c>
      <c r="C70" s="151">
        <f>15000+240000</f>
        <v>255000</v>
      </c>
      <c r="D70" s="152"/>
      <c r="E70" s="135">
        <f t="shared" si="11"/>
        <v>255000</v>
      </c>
      <c r="F70" s="135"/>
      <c r="G70" s="135"/>
      <c r="H70" s="130">
        <v>2389.6</v>
      </c>
      <c r="I70" s="130">
        <v>2320</v>
      </c>
      <c r="J70" s="130">
        <f t="shared" si="1"/>
        <v>69.599999999999909</v>
      </c>
      <c r="K70" s="130"/>
      <c r="L70" s="130"/>
      <c r="M70" s="130"/>
      <c r="N70" s="130"/>
      <c r="O70" s="130">
        <f t="shared" si="2"/>
        <v>255000</v>
      </c>
      <c r="P70" s="130">
        <f t="shared" si="3"/>
        <v>2320</v>
      </c>
      <c r="Q70" s="130">
        <f t="shared" si="4"/>
        <v>252680</v>
      </c>
    </row>
    <row r="71" spans="1:17" s="131" customFormat="1" ht="15" customHeight="1" x14ac:dyDescent="0.25">
      <c r="A71" s="138">
        <v>3351</v>
      </c>
      <c r="B71" s="150" t="s">
        <v>166</v>
      </c>
      <c r="C71" s="151">
        <f>90000+124976</f>
        <v>214976</v>
      </c>
      <c r="D71" s="152"/>
      <c r="E71" s="135">
        <f t="shared" si="11"/>
        <v>214976</v>
      </c>
      <c r="F71" s="135"/>
      <c r="G71" s="135"/>
      <c r="H71" s="130"/>
      <c r="I71" s="130"/>
      <c r="J71" s="130">
        <f t="shared" si="1"/>
        <v>0</v>
      </c>
      <c r="K71" s="130"/>
      <c r="L71" s="130"/>
      <c r="M71" s="130"/>
      <c r="N71" s="130"/>
      <c r="O71" s="130">
        <f t="shared" si="2"/>
        <v>214976</v>
      </c>
      <c r="P71" s="130">
        <f t="shared" si="3"/>
        <v>0</v>
      </c>
      <c r="Q71" s="130">
        <f t="shared" si="4"/>
        <v>214976</v>
      </c>
    </row>
    <row r="72" spans="1:17" s="131" customFormat="1" ht="15.75" x14ac:dyDescent="0.25">
      <c r="A72" s="138">
        <v>3362</v>
      </c>
      <c r="B72" s="150" t="s">
        <v>167</v>
      </c>
      <c r="C72" s="151">
        <v>45668.001600000011</v>
      </c>
      <c r="D72" s="152"/>
      <c r="E72" s="135">
        <f t="shared" si="11"/>
        <v>45668.001600000011</v>
      </c>
      <c r="F72" s="135"/>
      <c r="G72" s="135"/>
      <c r="H72" s="130">
        <v>3225.96</v>
      </c>
      <c r="I72" s="130">
        <v>3132</v>
      </c>
      <c r="J72" s="130">
        <f t="shared" ref="J72:J126" si="12">H72-I72</f>
        <v>93.960000000000036</v>
      </c>
      <c r="K72" s="130"/>
      <c r="L72" s="130"/>
      <c r="M72" s="130"/>
      <c r="N72" s="130"/>
      <c r="O72" s="130">
        <f t="shared" ref="O72:O124" si="13">C72+D72</f>
        <v>45668.001600000011</v>
      </c>
      <c r="P72" s="130">
        <f t="shared" ref="P72:P124" si="14">I72</f>
        <v>3132</v>
      </c>
      <c r="Q72" s="130">
        <f t="shared" ref="Q72:Q124" si="15">O72-P72</f>
        <v>42536.001600000011</v>
      </c>
    </row>
    <row r="73" spans="1:17" s="131" customFormat="1" ht="15" customHeight="1" x14ac:dyDescent="0.25">
      <c r="A73" s="138">
        <v>3363</v>
      </c>
      <c r="B73" s="150" t="s">
        <v>168</v>
      </c>
      <c r="C73" s="151">
        <v>50000</v>
      </c>
      <c r="D73" s="152"/>
      <c r="E73" s="135">
        <f t="shared" si="11"/>
        <v>50000</v>
      </c>
      <c r="F73" s="135"/>
      <c r="G73" s="135"/>
      <c r="H73" s="130"/>
      <c r="I73" s="130"/>
      <c r="J73" s="130">
        <f t="shared" si="12"/>
        <v>0</v>
      </c>
      <c r="K73" s="130"/>
      <c r="L73" s="130"/>
      <c r="M73" s="130"/>
      <c r="N73" s="130"/>
      <c r="O73" s="130">
        <f t="shared" si="13"/>
        <v>50000</v>
      </c>
      <c r="P73" s="130">
        <f t="shared" si="14"/>
        <v>0</v>
      </c>
      <c r="Q73" s="130">
        <f t="shared" si="15"/>
        <v>50000</v>
      </c>
    </row>
    <row r="74" spans="1:17" s="131" customFormat="1" ht="15.75" x14ac:dyDescent="0.25">
      <c r="A74" s="138">
        <v>3391</v>
      </c>
      <c r="B74" s="150" t="s">
        <v>169</v>
      </c>
      <c r="C74" s="135">
        <f>83520+120000+15000+170000</f>
        <v>388520</v>
      </c>
      <c r="D74" s="151">
        <v>638000</v>
      </c>
      <c r="E74" s="135">
        <f t="shared" si="11"/>
        <v>1026520</v>
      </c>
      <c r="F74" s="135"/>
      <c r="G74" s="135"/>
      <c r="H74" s="130">
        <v>24734.42</v>
      </c>
      <c r="I74" s="130">
        <f>16058.04+2296</f>
        <v>18354.04</v>
      </c>
      <c r="J74" s="130">
        <f t="shared" si="12"/>
        <v>6380.3799999999974</v>
      </c>
      <c r="K74" s="130"/>
      <c r="L74" s="130"/>
      <c r="M74" s="130"/>
      <c r="N74" s="130"/>
      <c r="O74" s="130">
        <f t="shared" si="13"/>
        <v>1026520</v>
      </c>
      <c r="P74" s="130">
        <f t="shared" si="14"/>
        <v>18354.04</v>
      </c>
      <c r="Q74" s="130">
        <f t="shared" si="15"/>
        <v>1008165.96</v>
      </c>
    </row>
    <row r="75" spans="1:17" s="131" customFormat="1" ht="15" customHeight="1" x14ac:dyDescent="0.25">
      <c r="A75" s="138">
        <v>3411</v>
      </c>
      <c r="B75" s="150" t="s">
        <v>170</v>
      </c>
      <c r="C75" s="151">
        <v>3567.4495999999999</v>
      </c>
      <c r="D75" s="152"/>
      <c r="E75" s="135">
        <f t="shared" si="11"/>
        <v>3567.4495999999999</v>
      </c>
      <c r="F75" s="135"/>
      <c r="G75" s="135"/>
      <c r="H75" s="130">
        <v>25476.02</v>
      </c>
      <c r="I75" s="130">
        <v>264.88</v>
      </c>
      <c r="J75" s="130">
        <f t="shared" si="12"/>
        <v>25211.14</v>
      </c>
      <c r="K75" s="130">
        <v>931</v>
      </c>
      <c r="L75" s="130"/>
      <c r="M75" s="130"/>
      <c r="N75" s="130"/>
      <c r="O75" s="130">
        <f t="shared" si="13"/>
        <v>3567.4495999999999</v>
      </c>
      <c r="P75" s="130">
        <f t="shared" si="14"/>
        <v>264.88</v>
      </c>
      <c r="Q75" s="130">
        <f t="shared" si="15"/>
        <v>3302.5695999999998</v>
      </c>
    </row>
    <row r="76" spans="1:17" s="131" customFormat="1" ht="15.75" x14ac:dyDescent="0.25">
      <c r="A76" s="138">
        <v>3451</v>
      </c>
      <c r="B76" s="150" t="s">
        <v>171</v>
      </c>
      <c r="C76" s="151">
        <v>101437</v>
      </c>
      <c r="D76" s="152"/>
      <c r="E76" s="135">
        <f t="shared" si="11"/>
        <v>101437</v>
      </c>
      <c r="F76" s="135"/>
      <c r="G76" s="135"/>
      <c r="H76" s="130"/>
      <c r="I76" s="130"/>
      <c r="J76" s="130">
        <f t="shared" si="12"/>
        <v>0</v>
      </c>
      <c r="K76" s="130"/>
      <c r="L76" s="130"/>
      <c r="M76" s="130"/>
      <c r="N76" s="130"/>
      <c r="O76" s="130">
        <f t="shared" si="13"/>
        <v>101437</v>
      </c>
      <c r="P76" s="130">
        <f t="shared" si="14"/>
        <v>0</v>
      </c>
      <c r="Q76" s="130">
        <f t="shared" si="15"/>
        <v>101437</v>
      </c>
    </row>
    <row r="77" spans="1:17" s="131" customFormat="1" ht="15" customHeight="1" x14ac:dyDescent="0.25">
      <c r="A77" s="138">
        <v>3471</v>
      </c>
      <c r="B77" s="150" t="s">
        <v>172</v>
      </c>
      <c r="C77" s="151">
        <v>8686.08</v>
      </c>
      <c r="D77" s="152"/>
      <c r="E77" s="135">
        <f t="shared" si="11"/>
        <v>8686.08</v>
      </c>
      <c r="F77" s="135"/>
      <c r="G77" s="135"/>
      <c r="H77" s="130">
        <v>716.88</v>
      </c>
      <c r="I77" s="130">
        <v>696</v>
      </c>
      <c r="J77" s="130">
        <f t="shared" si="12"/>
        <v>20.879999999999995</v>
      </c>
      <c r="K77" s="130"/>
      <c r="L77" s="130"/>
      <c r="M77" s="130"/>
      <c r="N77" s="130"/>
      <c r="O77" s="130">
        <f t="shared" si="13"/>
        <v>8686.08</v>
      </c>
      <c r="P77" s="130">
        <f t="shared" si="14"/>
        <v>696</v>
      </c>
      <c r="Q77" s="130">
        <f t="shared" si="15"/>
        <v>7990.08</v>
      </c>
    </row>
    <row r="78" spans="1:17" s="131" customFormat="1" ht="15.75" x14ac:dyDescent="0.25">
      <c r="A78" s="138">
        <v>3481</v>
      </c>
      <c r="B78" s="150" t="s">
        <v>173</v>
      </c>
      <c r="C78" s="151">
        <v>0</v>
      </c>
      <c r="D78" s="152"/>
      <c r="E78" s="135">
        <f t="shared" si="11"/>
        <v>0</v>
      </c>
      <c r="F78" s="135"/>
      <c r="G78" s="135"/>
      <c r="H78" s="130"/>
      <c r="I78" s="130"/>
      <c r="J78" s="130">
        <f t="shared" si="12"/>
        <v>0</v>
      </c>
      <c r="K78" s="130"/>
      <c r="L78" s="130"/>
      <c r="M78" s="130"/>
      <c r="N78" s="130"/>
      <c r="O78" s="130">
        <f t="shared" si="13"/>
        <v>0</v>
      </c>
      <c r="P78" s="130">
        <f t="shared" si="14"/>
        <v>0</v>
      </c>
      <c r="Q78" s="130">
        <f t="shared" si="15"/>
        <v>0</v>
      </c>
    </row>
    <row r="79" spans="1:17" s="131" customFormat="1" ht="15" customHeight="1" x14ac:dyDescent="0.25">
      <c r="A79" s="138">
        <v>3512</v>
      </c>
      <c r="B79" s="150" t="s">
        <v>174</v>
      </c>
      <c r="C79" s="151">
        <f>500000+150000+300000</f>
        <v>950000</v>
      </c>
      <c r="D79" s="151">
        <f>5735172-3+100000</f>
        <v>5835169</v>
      </c>
      <c r="E79" s="135">
        <f t="shared" si="11"/>
        <v>6785169</v>
      </c>
      <c r="F79" s="135"/>
      <c r="G79" s="135"/>
      <c r="H79" s="130">
        <v>17220.57</v>
      </c>
      <c r="I79" s="130">
        <v>16719.18</v>
      </c>
      <c r="J79" s="130">
        <f t="shared" si="12"/>
        <v>501.38999999999942</v>
      </c>
      <c r="K79" s="130"/>
      <c r="L79" s="130"/>
      <c r="M79" s="130"/>
      <c r="N79" s="130"/>
      <c r="O79" s="130">
        <f t="shared" si="13"/>
        <v>6785169</v>
      </c>
      <c r="P79" s="130">
        <f t="shared" si="14"/>
        <v>16719.18</v>
      </c>
      <c r="Q79" s="130">
        <f t="shared" si="15"/>
        <v>6768449.8200000003</v>
      </c>
    </row>
    <row r="80" spans="1:17" s="131" customFormat="1" ht="15.75" x14ac:dyDescent="0.25">
      <c r="A80" s="138">
        <v>3521</v>
      </c>
      <c r="B80" s="150" t="s">
        <v>175</v>
      </c>
      <c r="C80" s="151">
        <v>250000</v>
      </c>
      <c r="D80" s="152"/>
      <c r="E80" s="135">
        <f t="shared" si="11"/>
        <v>250000</v>
      </c>
      <c r="F80" s="135"/>
      <c r="G80" s="135"/>
      <c r="H80" s="130"/>
      <c r="I80" s="130"/>
      <c r="J80" s="130">
        <f t="shared" si="12"/>
        <v>0</v>
      </c>
      <c r="K80" s="130"/>
      <c r="L80" s="130"/>
      <c r="M80" s="130"/>
      <c r="N80" s="130"/>
      <c r="O80" s="130">
        <f t="shared" si="13"/>
        <v>250000</v>
      </c>
      <c r="P80" s="130">
        <f t="shared" si="14"/>
        <v>0</v>
      </c>
      <c r="Q80" s="130">
        <f t="shared" si="15"/>
        <v>250000</v>
      </c>
    </row>
    <row r="81" spans="1:17" s="131" customFormat="1" ht="15" customHeight="1" x14ac:dyDescent="0.25">
      <c r="A81" s="138">
        <v>3531</v>
      </c>
      <c r="B81" s="150" t="s">
        <v>176</v>
      </c>
      <c r="C81" s="151">
        <v>1650000</v>
      </c>
      <c r="D81" s="152"/>
      <c r="E81" s="135">
        <f t="shared" si="11"/>
        <v>1650000</v>
      </c>
      <c r="F81" s="135"/>
      <c r="G81" s="135"/>
      <c r="H81" s="130">
        <v>5669.12</v>
      </c>
      <c r="I81" s="130">
        <v>5504</v>
      </c>
      <c r="J81" s="130">
        <f t="shared" si="12"/>
        <v>165.11999999999989</v>
      </c>
      <c r="K81" s="130"/>
      <c r="L81" s="130"/>
      <c r="M81" s="130"/>
      <c r="N81" s="130"/>
      <c r="O81" s="130">
        <f t="shared" si="13"/>
        <v>1650000</v>
      </c>
      <c r="P81" s="130">
        <f t="shared" si="14"/>
        <v>5504</v>
      </c>
      <c r="Q81" s="130">
        <f t="shared" si="15"/>
        <v>1644496</v>
      </c>
    </row>
    <row r="82" spans="1:17" s="131" customFormat="1" ht="15.75" x14ac:dyDescent="0.25">
      <c r="A82" s="138">
        <v>3551</v>
      </c>
      <c r="B82" s="150" t="s">
        <v>177</v>
      </c>
      <c r="C82" s="151">
        <v>213722</v>
      </c>
      <c r="D82" s="152"/>
      <c r="E82" s="135">
        <f t="shared" si="11"/>
        <v>213722</v>
      </c>
      <c r="F82" s="135"/>
      <c r="G82" s="135"/>
      <c r="H82" s="130">
        <v>1252.48</v>
      </c>
      <c r="I82" s="130">
        <v>1216.04</v>
      </c>
      <c r="J82" s="130">
        <f t="shared" si="12"/>
        <v>36.440000000000055</v>
      </c>
      <c r="K82" s="130"/>
      <c r="L82" s="130"/>
      <c r="M82" s="130"/>
      <c r="N82" s="130"/>
      <c r="O82" s="130">
        <f t="shared" si="13"/>
        <v>213722</v>
      </c>
      <c r="P82" s="130">
        <f t="shared" si="14"/>
        <v>1216.04</v>
      </c>
      <c r="Q82" s="130">
        <f t="shared" si="15"/>
        <v>212505.96</v>
      </c>
    </row>
    <row r="83" spans="1:17" s="131" customFormat="1" ht="15" customHeight="1" x14ac:dyDescent="0.25">
      <c r="A83" s="138">
        <v>3571</v>
      </c>
      <c r="B83" s="150" t="s">
        <v>178</v>
      </c>
      <c r="C83" s="151">
        <v>250000</v>
      </c>
      <c r="D83" s="152"/>
      <c r="E83" s="135">
        <f t="shared" si="11"/>
        <v>250000</v>
      </c>
      <c r="F83" s="135"/>
      <c r="G83" s="135"/>
      <c r="H83" s="130"/>
      <c r="I83" s="130"/>
      <c r="J83" s="130">
        <f t="shared" si="12"/>
        <v>0</v>
      </c>
      <c r="K83" s="130"/>
      <c r="L83" s="130"/>
      <c r="M83" s="130"/>
      <c r="N83" s="130"/>
      <c r="O83" s="130">
        <f t="shared" si="13"/>
        <v>250000</v>
      </c>
      <c r="P83" s="130">
        <f t="shared" si="14"/>
        <v>0</v>
      </c>
      <c r="Q83" s="130">
        <f t="shared" si="15"/>
        <v>250000</v>
      </c>
    </row>
    <row r="84" spans="1:17" s="131" customFormat="1" ht="15.75" x14ac:dyDescent="0.25">
      <c r="A84" s="138">
        <v>3572</v>
      </c>
      <c r="B84" s="150" t="s">
        <v>179</v>
      </c>
      <c r="C84" s="151">
        <v>50000</v>
      </c>
      <c r="D84" s="152"/>
      <c r="E84" s="135">
        <f t="shared" si="11"/>
        <v>50000</v>
      </c>
      <c r="F84" s="135"/>
      <c r="G84" s="135"/>
      <c r="H84" s="130"/>
      <c r="I84" s="130"/>
      <c r="J84" s="130">
        <f t="shared" si="12"/>
        <v>0</v>
      </c>
      <c r="K84" s="130"/>
      <c r="L84" s="130"/>
      <c r="M84" s="130"/>
      <c r="N84" s="130"/>
      <c r="O84" s="130">
        <f t="shared" si="13"/>
        <v>50000</v>
      </c>
      <c r="P84" s="130">
        <f t="shared" si="14"/>
        <v>0</v>
      </c>
      <c r="Q84" s="130">
        <f t="shared" si="15"/>
        <v>50000</v>
      </c>
    </row>
    <row r="85" spans="1:17" s="131" customFormat="1" ht="15" customHeight="1" x14ac:dyDescent="0.25">
      <c r="A85" s="138">
        <v>3581</v>
      </c>
      <c r="B85" s="150" t="s">
        <v>180</v>
      </c>
      <c r="C85" s="151">
        <v>150000</v>
      </c>
      <c r="D85" s="152"/>
      <c r="E85" s="135">
        <f t="shared" si="11"/>
        <v>150000</v>
      </c>
      <c r="F85" s="135"/>
      <c r="G85" s="135"/>
      <c r="H85" s="130">
        <v>12500</v>
      </c>
      <c r="I85" s="130">
        <v>15831.16</v>
      </c>
      <c r="J85" s="130">
        <f t="shared" si="12"/>
        <v>-3331.16</v>
      </c>
      <c r="K85" s="130"/>
      <c r="L85" s="130">
        <v>3331</v>
      </c>
      <c r="M85" s="130"/>
      <c r="N85" s="130"/>
      <c r="O85" s="130">
        <f t="shared" si="13"/>
        <v>150000</v>
      </c>
      <c r="P85" s="130">
        <f t="shared" si="14"/>
        <v>15831.16</v>
      </c>
      <c r="Q85" s="130">
        <f t="shared" si="15"/>
        <v>134168.84</v>
      </c>
    </row>
    <row r="86" spans="1:17" s="131" customFormat="1" ht="15.75" x14ac:dyDescent="0.25">
      <c r="A86" s="138">
        <v>3591</v>
      </c>
      <c r="B86" s="150" t="s">
        <v>181</v>
      </c>
      <c r="C86" s="151">
        <f>15000*12</f>
        <v>180000</v>
      </c>
      <c r="D86" s="152"/>
      <c r="E86" s="135">
        <f t="shared" si="11"/>
        <v>180000</v>
      </c>
      <c r="F86" s="135"/>
      <c r="G86" s="135"/>
      <c r="H86" s="130"/>
      <c r="I86" s="130"/>
      <c r="J86" s="130">
        <f t="shared" si="12"/>
        <v>0</v>
      </c>
      <c r="K86" s="130"/>
      <c r="L86" s="130"/>
      <c r="M86" s="130"/>
      <c r="N86" s="130"/>
      <c r="O86" s="130">
        <f t="shared" si="13"/>
        <v>180000</v>
      </c>
      <c r="P86" s="130">
        <f t="shared" si="14"/>
        <v>0</v>
      </c>
      <c r="Q86" s="130">
        <f t="shared" si="15"/>
        <v>180000</v>
      </c>
    </row>
    <row r="87" spans="1:17" s="131" customFormat="1" ht="15" customHeight="1" x14ac:dyDescent="0.25">
      <c r="A87" s="138">
        <v>3721</v>
      </c>
      <c r="B87" s="150" t="s">
        <v>182</v>
      </c>
      <c r="C87" s="151">
        <v>64623.748800000001</v>
      </c>
      <c r="D87" s="152"/>
      <c r="E87" s="135">
        <f t="shared" si="11"/>
        <v>64623.748800000001</v>
      </c>
      <c r="F87" s="135"/>
      <c r="G87" s="135"/>
      <c r="H87" s="130">
        <v>20598.97</v>
      </c>
      <c r="I87" s="130">
        <v>19998.759999999998</v>
      </c>
      <c r="J87" s="130">
        <f t="shared" si="12"/>
        <v>600.21000000000276</v>
      </c>
      <c r="K87" s="130"/>
      <c r="L87" s="130"/>
      <c r="M87" s="130"/>
      <c r="N87" s="130"/>
      <c r="O87" s="130">
        <f t="shared" si="13"/>
        <v>64623.748800000001</v>
      </c>
      <c r="P87" s="130">
        <f t="shared" si="14"/>
        <v>19998.759999999998</v>
      </c>
      <c r="Q87" s="130">
        <f t="shared" si="15"/>
        <v>44624.988800000006</v>
      </c>
    </row>
    <row r="88" spans="1:17" s="131" customFormat="1" ht="15.75" x14ac:dyDescent="0.25">
      <c r="A88" s="138">
        <v>3751</v>
      </c>
      <c r="B88" s="150" t="s">
        <v>183</v>
      </c>
      <c r="C88" s="151">
        <f>8371.68+25000</f>
        <v>33371.68</v>
      </c>
      <c r="D88" s="152"/>
      <c r="E88" s="135">
        <f t="shared" si="11"/>
        <v>33371.68</v>
      </c>
      <c r="F88" s="135"/>
      <c r="G88" s="135"/>
      <c r="H88" s="130">
        <v>1827.22</v>
      </c>
      <c r="I88" s="130">
        <v>1774</v>
      </c>
      <c r="J88" s="130">
        <f t="shared" si="12"/>
        <v>53.220000000000027</v>
      </c>
      <c r="K88" s="130"/>
      <c r="L88" s="130"/>
      <c r="M88" s="130"/>
      <c r="N88" s="130"/>
      <c r="O88" s="130">
        <f t="shared" si="13"/>
        <v>33371.68</v>
      </c>
      <c r="P88" s="130">
        <f t="shared" si="14"/>
        <v>1774</v>
      </c>
      <c r="Q88" s="130">
        <f t="shared" si="15"/>
        <v>31597.68</v>
      </c>
    </row>
    <row r="89" spans="1:17" s="131" customFormat="1" ht="15" customHeight="1" x14ac:dyDescent="0.25">
      <c r="A89" s="138">
        <v>3791</v>
      </c>
      <c r="B89" s="150" t="s">
        <v>184</v>
      </c>
      <c r="C89" s="151">
        <v>6000</v>
      </c>
      <c r="D89" s="152"/>
      <c r="E89" s="135">
        <f t="shared" si="11"/>
        <v>6000</v>
      </c>
      <c r="F89" s="135"/>
      <c r="G89" s="135"/>
      <c r="H89" s="130"/>
      <c r="I89" s="130"/>
      <c r="J89" s="130">
        <f t="shared" si="12"/>
        <v>0</v>
      </c>
      <c r="K89" s="130"/>
      <c r="L89" s="130"/>
      <c r="M89" s="130"/>
      <c r="N89" s="130"/>
      <c r="O89" s="130">
        <f t="shared" si="13"/>
        <v>6000</v>
      </c>
      <c r="P89" s="130">
        <f t="shared" si="14"/>
        <v>0</v>
      </c>
      <c r="Q89" s="130">
        <f t="shared" si="15"/>
        <v>6000</v>
      </c>
    </row>
    <row r="90" spans="1:17" s="131" customFormat="1" ht="15.75" x14ac:dyDescent="0.25">
      <c r="A90" s="138">
        <v>3821</v>
      </c>
      <c r="B90" s="150" t="s">
        <v>185</v>
      </c>
      <c r="C90" s="151">
        <v>14400</v>
      </c>
      <c r="D90" s="152"/>
      <c r="E90" s="135">
        <f t="shared" si="11"/>
        <v>14400</v>
      </c>
      <c r="F90" s="135"/>
      <c r="G90" s="135"/>
      <c r="H90" s="130"/>
      <c r="I90" s="130"/>
      <c r="J90" s="130">
        <f t="shared" si="12"/>
        <v>0</v>
      </c>
      <c r="K90" s="130"/>
      <c r="L90" s="130"/>
      <c r="M90" s="130"/>
      <c r="N90" s="130"/>
      <c r="O90" s="130">
        <f t="shared" si="13"/>
        <v>14400</v>
      </c>
      <c r="P90" s="130">
        <f t="shared" si="14"/>
        <v>0</v>
      </c>
      <c r="Q90" s="130">
        <f t="shared" si="15"/>
        <v>14400</v>
      </c>
    </row>
    <row r="91" spans="1:17" s="131" customFormat="1" ht="15" customHeight="1" x14ac:dyDescent="0.25">
      <c r="A91" s="138">
        <v>3822</v>
      </c>
      <c r="B91" s="150" t="s">
        <v>186</v>
      </c>
      <c r="C91" s="151">
        <v>15000</v>
      </c>
      <c r="D91" s="152"/>
      <c r="E91" s="135">
        <f t="shared" si="11"/>
        <v>15000</v>
      </c>
      <c r="F91" s="135"/>
      <c r="G91" s="135"/>
      <c r="H91" s="130">
        <v>15330.52</v>
      </c>
      <c r="I91" s="130">
        <v>14884</v>
      </c>
      <c r="J91" s="130">
        <f t="shared" si="12"/>
        <v>446.52000000000044</v>
      </c>
      <c r="K91" s="130"/>
      <c r="L91" s="130"/>
      <c r="M91" s="130"/>
      <c r="N91" s="130"/>
      <c r="O91" s="130">
        <f t="shared" si="13"/>
        <v>15000</v>
      </c>
      <c r="P91" s="130">
        <f t="shared" si="14"/>
        <v>14884</v>
      </c>
      <c r="Q91" s="130">
        <f t="shared" si="15"/>
        <v>116</v>
      </c>
    </row>
    <row r="92" spans="1:17" s="131" customFormat="1" ht="15.75" x14ac:dyDescent="0.25">
      <c r="A92" s="138">
        <v>3921</v>
      </c>
      <c r="B92" s="150" t="s">
        <v>187</v>
      </c>
      <c r="C92" s="151">
        <v>226398.22399999999</v>
      </c>
      <c r="D92" s="152"/>
      <c r="E92" s="135">
        <f t="shared" si="11"/>
        <v>226398.22399999999</v>
      </c>
      <c r="F92" s="135"/>
      <c r="G92" s="135"/>
      <c r="H92" s="130">
        <v>18863.419999999998</v>
      </c>
      <c r="I92" s="130">
        <v>18314.23</v>
      </c>
      <c r="J92" s="130">
        <f t="shared" si="12"/>
        <v>549.18999999999869</v>
      </c>
      <c r="K92" s="130"/>
      <c r="L92" s="130"/>
      <c r="M92" s="130"/>
      <c r="N92" s="130"/>
      <c r="O92" s="130">
        <f t="shared" si="13"/>
        <v>226398.22399999999</v>
      </c>
      <c r="P92" s="130">
        <f t="shared" si="14"/>
        <v>18314.23</v>
      </c>
      <c r="Q92" s="130">
        <f t="shared" si="15"/>
        <v>208083.99399999998</v>
      </c>
    </row>
    <row r="93" spans="1:17" s="131" customFormat="1" ht="15" customHeight="1" x14ac:dyDescent="0.25">
      <c r="A93" s="138">
        <v>3941</v>
      </c>
      <c r="B93" s="150" t="s">
        <v>188</v>
      </c>
      <c r="C93" s="151">
        <v>500000</v>
      </c>
      <c r="D93" s="152"/>
      <c r="E93" s="135">
        <f t="shared" si="11"/>
        <v>500000</v>
      </c>
      <c r="F93" s="135"/>
      <c r="G93" s="135"/>
      <c r="H93" s="130"/>
      <c r="I93" s="130"/>
      <c r="J93" s="130">
        <f t="shared" si="12"/>
        <v>0</v>
      </c>
      <c r="K93" s="130"/>
      <c r="L93" s="130"/>
      <c r="M93" s="130"/>
      <c r="N93" s="130"/>
      <c r="O93" s="130">
        <f t="shared" si="13"/>
        <v>500000</v>
      </c>
      <c r="P93" s="130">
        <f t="shared" si="14"/>
        <v>0</v>
      </c>
      <c r="Q93" s="130">
        <f t="shared" si="15"/>
        <v>500000</v>
      </c>
    </row>
    <row r="94" spans="1:17" s="131" customFormat="1" ht="15.75" x14ac:dyDescent="0.25">
      <c r="A94" s="138">
        <v>3944</v>
      </c>
      <c r="B94" s="150" t="s">
        <v>189</v>
      </c>
      <c r="C94" s="151">
        <v>50000</v>
      </c>
      <c r="D94" s="152"/>
      <c r="E94" s="135">
        <f t="shared" si="11"/>
        <v>50000</v>
      </c>
      <c r="F94" s="135"/>
      <c r="G94" s="135"/>
      <c r="H94" s="130"/>
      <c r="I94" s="130"/>
      <c r="J94" s="130">
        <f t="shared" si="12"/>
        <v>0</v>
      </c>
      <c r="K94" s="130"/>
      <c r="L94" s="130"/>
      <c r="M94" s="130"/>
      <c r="N94" s="130"/>
      <c r="O94" s="130">
        <f t="shared" si="13"/>
        <v>50000</v>
      </c>
      <c r="P94" s="130">
        <f t="shared" si="14"/>
        <v>0</v>
      </c>
      <c r="Q94" s="130">
        <f t="shared" si="15"/>
        <v>50000</v>
      </c>
    </row>
    <row r="95" spans="1:17" s="131" customFormat="1" ht="15" customHeight="1" x14ac:dyDescent="0.25">
      <c r="A95" s="138">
        <v>3981</v>
      </c>
      <c r="B95" s="150" t="s">
        <v>190</v>
      </c>
      <c r="C95" s="151">
        <v>750000</v>
      </c>
      <c r="D95" s="152"/>
      <c r="E95" s="135">
        <f t="shared" si="11"/>
        <v>750000</v>
      </c>
      <c r="F95" s="135"/>
      <c r="G95" s="135"/>
      <c r="H95" s="130"/>
      <c r="I95" s="130"/>
      <c r="J95" s="130">
        <f t="shared" si="12"/>
        <v>0</v>
      </c>
      <c r="K95" s="130"/>
      <c r="L95" s="130"/>
      <c r="M95" s="130"/>
      <c r="N95" s="130"/>
      <c r="O95" s="130">
        <f t="shared" si="13"/>
        <v>750000</v>
      </c>
      <c r="P95" s="130">
        <f t="shared" si="14"/>
        <v>0</v>
      </c>
      <c r="Q95" s="130">
        <f t="shared" si="15"/>
        <v>750000</v>
      </c>
    </row>
    <row r="96" spans="1:17" s="131" customFormat="1" ht="15.75" x14ac:dyDescent="0.25">
      <c r="A96" s="138">
        <v>3993</v>
      </c>
      <c r="B96" s="150" t="s">
        <v>191</v>
      </c>
      <c r="C96" s="151">
        <f>53859.3536-14400</f>
        <v>39459.353600000002</v>
      </c>
      <c r="D96" s="152"/>
      <c r="E96" s="135">
        <f t="shared" si="11"/>
        <v>39459.353600000002</v>
      </c>
      <c r="F96" s="135"/>
      <c r="G96" s="135"/>
      <c r="H96" s="130">
        <v>1325.61</v>
      </c>
      <c r="I96" s="130">
        <v>1286.6500000000001</v>
      </c>
      <c r="J96" s="130">
        <f t="shared" si="12"/>
        <v>38.959999999999809</v>
      </c>
      <c r="K96" s="130"/>
      <c r="L96" s="130"/>
      <c r="M96" s="130"/>
      <c r="N96" s="130"/>
      <c r="O96" s="130">
        <f t="shared" si="13"/>
        <v>39459.353600000002</v>
      </c>
      <c r="P96" s="130">
        <f t="shared" si="14"/>
        <v>1286.6500000000001</v>
      </c>
      <c r="Q96" s="130">
        <f t="shared" si="15"/>
        <v>38172.703600000001</v>
      </c>
    </row>
    <row r="97" spans="1:17" s="157" customFormat="1" ht="15" customHeight="1" x14ac:dyDescent="0.25">
      <c r="A97" s="154"/>
      <c r="B97" s="154" t="s">
        <v>192</v>
      </c>
      <c r="C97" s="155">
        <f>SUM(C59:C96)</f>
        <v>8195570.5328000002</v>
      </c>
      <c r="D97" s="155">
        <f>SUM(D59:D96)</f>
        <v>6473169</v>
      </c>
      <c r="E97" s="155">
        <f t="shared" ref="E97:Q97" si="16">SUM(E59:E96)</f>
        <v>14668739.532799998</v>
      </c>
      <c r="F97" s="155">
        <f t="shared" si="16"/>
        <v>0</v>
      </c>
      <c r="G97" s="155">
        <f t="shared" si="16"/>
        <v>0</v>
      </c>
      <c r="H97" s="155">
        <f t="shared" si="16"/>
        <v>248546.33999999997</v>
      </c>
      <c r="I97" s="155">
        <f t="shared" si="16"/>
        <v>225545.69000000003</v>
      </c>
      <c r="J97" s="155">
        <f t="shared" si="16"/>
        <v>23000.649999999998</v>
      </c>
      <c r="K97" s="156">
        <f t="shared" si="16"/>
        <v>931</v>
      </c>
      <c r="L97" s="156">
        <f t="shared" si="16"/>
        <v>12488</v>
      </c>
      <c r="M97" s="156">
        <f t="shared" si="16"/>
        <v>0</v>
      </c>
      <c r="N97" s="156">
        <f t="shared" si="16"/>
        <v>0</v>
      </c>
      <c r="O97" s="156">
        <f t="shared" si="16"/>
        <v>14668739.532799998</v>
      </c>
      <c r="P97" s="156">
        <f t="shared" si="16"/>
        <v>225545.69000000003</v>
      </c>
      <c r="Q97" s="156">
        <f t="shared" si="16"/>
        <v>14443193.842800003</v>
      </c>
    </row>
    <row r="98" spans="1:17" s="131" customFormat="1" ht="30" x14ac:dyDescent="0.25">
      <c r="A98" s="158">
        <v>4412</v>
      </c>
      <c r="B98" s="159" t="s">
        <v>193</v>
      </c>
      <c r="C98" s="160">
        <v>100000</v>
      </c>
      <c r="D98" s="135">
        <v>0</v>
      </c>
      <c r="E98" s="148">
        <f t="shared" ref="E98:E126" si="17">C98+D98</f>
        <v>100000</v>
      </c>
      <c r="F98" s="148"/>
      <c r="G98" s="148"/>
      <c r="H98" s="130"/>
      <c r="I98" s="130"/>
      <c r="J98" s="130">
        <f t="shared" si="12"/>
        <v>0</v>
      </c>
      <c r="K98" s="130"/>
      <c r="L98" s="130"/>
      <c r="M98" s="130"/>
      <c r="N98" s="130"/>
      <c r="O98" s="130">
        <f t="shared" si="13"/>
        <v>100000</v>
      </c>
      <c r="P98" s="130">
        <f t="shared" si="14"/>
        <v>0</v>
      </c>
      <c r="Q98" s="130">
        <f t="shared" si="15"/>
        <v>100000</v>
      </c>
    </row>
    <row r="99" spans="1:17" s="131" customFormat="1" ht="15.75" x14ac:dyDescent="0.25">
      <c r="A99" s="158">
        <v>4413</v>
      </c>
      <c r="B99" s="159" t="s">
        <v>194</v>
      </c>
      <c r="C99" s="160"/>
      <c r="D99" s="135">
        <v>2700000</v>
      </c>
      <c r="E99" s="148">
        <f t="shared" si="17"/>
        <v>2700000</v>
      </c>
      <c r="F99" s="148"/>
      <c r="G99" s="148"/>
      <c r="H99" s="130"/>
      <c r="I99" s="130"/>
      <c r="J99" s="130">
        <f t="shared" si="12"/>
        <v>0</v>
      </c>
      <c r="K99" s="130"/>
      <c r="L99" s="130"/>
      <c r="M99" s="130"/>
      <c r="N99" s="130"/>
      <c r="O99" s="130">
        <f t="shared" si="13"/>
        <v>2700000</v>
      </c>
      <c r="P99" s="130">
        <f t="shared" si="14"/>
        <v>0</v>
      </c>
      <c r="Q99" s="130">
        <f t="shared" si="15"/>
        <v>2700000</v>
      </c>
    </row>
    <row r="100" spans="1:17" s="131" customFormat="1" ht="15.75" x14ac:dyDescent="0.25">
      <c r="A100" s="158">
        <v>4421</v>
      </c>
      <c r="B100" s="159" t="s">
        <v>195</v>
      </c>
      <c r="C100" s="160">
        <f>150000+200000</f>
        <v>350000</v>
      </c>
      <c r="D100" s="135">
        <f>6897153-1000000</f>
        <v>5897153</v>
      </c>
      <c r="E100" s="148">
        <f t="shared" si="17"/>
        <v>6247153</v>
      </c>
      <c r="F100" s="148"/>
      <c r="G100" s="148"/>
      <c r="H100" s="130"/>
      <c r="I100" s="130"/>
      <c r="J100" s="130">
        <f t="shared" si="12"/>
        <v>0</v>
      </c>
      <c r="K100" s="130"/>
      <c r="L100" s="130"/>
      <c r="M100" s="130"/>
      <c r="N100" s="130"/>
      <c r="O100" s="130">
        <f t="shared" si="13"/>
        <v>6247153</v>
      </c>
      <c r="P100" s="130">
        <f t="shared" si="14"/>
        <v>0</v>
      </c>
      <c r="Q100" s="130">
        <f t="shared" si="15"/>
        <v>6247153</v>
      </c>
    </row>
    <row r="101" spans="1:17" s="166" customFormat="1" ht="15" customHeight="1" x14ac:dyDescent="0.25">
      <c r="A101" s="161"/>
      <c r="B101" s="162"/>
      <c r="C101" s="163"/>
      <c r="D101" s="135"/>
      <c r="E101" s="164">
        <f t="shared" si="17"/>
        <v>0</v>
      </c>
      <c r="F101" s="164"/>
      <c r="G101" s="164"/>
      <c r="H101" s="130">
        <f t="shared" ref="H101:H118" si="18">E101/12</f>
        <v>0</v>
      </c>
      <c r="I101" s="165"/>
      <c r="J101" s="130">
        <f t="shared" si="12"/>
        <v>0</v>
      </c>
      <c r="K101" s="165"/>
      <c r="L101" s="165"/>
      <c r="M101" s="165"/>
      <c r="N101" s="165"/>
      <c r="O101" s="130">
        <f t="shared" si="13"/>
        <v>0</v>
      </c>
      <c r="P101" s="130">
        <f t="shared" si="14"/>
        <v>0</v>
      </c>
      <c r="Q101" s="130">
        <f t="shared" si="15"/>
        <v>0</v>
      </c>
    </row>
    <row r="102" spans="1:17" s="166" customFormat="1" ht="15.75" x14ac:dyDescent="0.25">
      <c r="A102" s="167"/>
      <c r="B102" s="168" t="s">
        <v>196</v>
      </c>
      <c r="C102" s="169">
        <f>SUM(C98:C101)</f>
        <v>450000</v>
      </c>
      <c r="D102" s="169">
        <f>SUM(D98:D101)</f>
        <v>8597153</v>
      </c>
      <c r="E102" s="169">
        <f>SUM(E98:E101)</f>
        <v>9047153</v>
      </c>
      <c r="F102" s="169"/>
      <c r="G102" s="169"/>
      <c r="H102" s="169">
        <f t="shared" ref="H102:Q102" si="19">SUM(H98:H101)</f>
        <v>0</v>
      </c>
      <c r="I102" s="169">
        <f t="shared" si="19"/>
        <v>0</v>
      </c>
      <c r="J102" s="169">
        <f t="shared" si="19"/>
        <v>0</v>
      </c>
      <c r="K102" s="169">
        <f t="shared" si="19"/>
        <v>0</v>
      </c>
      <c r="L102" s="169">
        <f t="shared" si="19"/>
        <v>0</v>
      </c>
      <c r="M102" s="169">
        <f t="shared" si="19"/>
        <v>0</v>
      </c>
      <c r="N102" s="169">
        <f t="shared" si="19"/>
        <v>0</v>
      </c>
      <c r="O102" s="169">
        <f t="shared" si="19"/>
        <v>9047153</v>
      </c>
      <c r="P102" s="169">
        <f t="shared" si="19"/>
        <v>0</v>
      </c>
      <c r="Q102" s="169">
        <f t="shared" si="19"/>
        <v>9047153</v>
      </c>
    </row>
    <row r="103" spans="1:17" s="131" customFormat="1" ht="15" customHeight="1" x14ac:dyDescent="0.25">
      <c r="A103" s="138">
        <v>5111</v>
      </c>
      <c r="B103" s="146" t="s">
        <v>84</v>
      </c>
      <c r="C103" s="135">
        <v>250000</v>
      </c>
      <c r="D103" s="135"/>
      <c r="E103" s="135">
        <f t="shared" si="17"/>
        <v>250000</v>
      </c>
      <c r="F103" s="135"/>
      <c r="G103" s="135"/>
      <c r="H103" s="130"/>
      <c r="I103" s="130"/>
      <c r="J103" s="130">
        <f t="shared" si="12"/>
        <v>0</v>
      </c>
      <c r="K103" s="130"/>
      <c r="L103" s="130"/>
      <c r="M103" s="130"/>
      <c r="N103" s="130"/>
      <c r="O103" s="130">
        <f t="shared" si="13"/>
        <v>250000</v>
      </c>
      <c r="P103" s="130">
        <f t="shared" si="14"/>
        <v>0</v>
      </c>
      <c r="Q103" s="130">
        <f t="shared" si="15"/>
        <v>250000</v>
      </c>
    </row>
    <row r="104" spans="1:17" s="131" customFormat="1" ht="15.75" x14ac:dyDescent="0.25">
      <c r="A104" s="138">
        <v>5121</v>
      </c>
      <c r="B104" s="146" t="s">
        <v>85</v>
      </c>
      <c r="C104" s="135">
        <f>1000000+250000</f>
        <v>1250000</v>
      </c>
      <c r="D104" s="135">
        <f>350000-178139.77</f>
        <v>171860.23</v>
      </c>
      <c r="E104" s="135">
        <f t="shared" si="17"/>
        <v>1421860.23</v>
      </c>
      <c r="F104" s="135"/>
      <c r="G104" s="135"/>
      <c r="H104" s="130">
        <v>6318.02</v>
      </c>
      <c r="I104" s="130">
        <v>6134.08</v>
      </c>
      <c r="J104" s="130">
        <f t="shared" si="12"/>
        <v>183.94000000000051</v>
      </c>
      <c r="K104" s="130"/>
      <c r="L104" s="130"/>
      <c r="M104" s="130"/>
      <c r="N104" s="130"/>
      <c r="O104" s="130">
        <f t="shared" si="13"/>
        <v>1421860.23</v>
      </c>
      <c r="P104" s="130">
        <f t="shared" si="14"/>
        <v>6134.08</v>
      </c>
      <c r="Q104" s="130">
        <f t="shared" si="15"/>
        <v>1415726.15</v>
      </c>
    </row>
    <row r="105" spans="1:17" s="131" customFormat="1" ht="15" customHeight="1" x14ac:dyDescent="0.25">
      <c r="A105" s="138">
        <v>5151</v>
      </c>
      <c r="B105" s="146" t="s">
        <v>86</v>
      </c>
      <c r="C105" s="135">
        <f>215800+825000-52192.3+250000</f>
        <v>1238607.7</v>
      </c>
      <c r="D105" s="135">
        <v>0</v>
      </c>
      <c r="E105" s="135">
        <f t="shared" si="17"/>
        <v>1238607.7</v>
      </c>
      <c r="F105" s="135"/>
      <c r="G105" s="135"/>
      <c r="H105" s="130"/>
      <c r="I105" s="130"/>
      <c r="J105" s="130">
        <f t="shared" si="12"/>
        <v>0</v>
      </c>
      <c r="K105" s="130"/>
      <c r="L105" s="130"/>
      <c r="M105" s="130"/>
      <c r="N105" s="130"/>
      <c r="O105" s="130">
        <f t="shared" si="13"/>
        <v>1238607.7</v>
      </c>
      <c r="P105" s="130">
        <f t="shared" si="14"/>
        <v>0</v>
      </c>
      <c r="Q105" s="130">
        <f t="shared" si="15"/>
        <v>1238607.7</v>
      </c>
    </row>
    <row r="106" spans="1:17" s="131" customFormat="1" ht="15.75" x14ac:dyDescent="0.25">
      <c r="A106" s="138">
        <v>5191</v>
      </c>
      <c r="B106" s="146" t="s">
        <v>87</v>
      </c>
      <c r="C106" s="135">
        <v>0</v>
      </c>
      <c r="D106" s="135">
        <v>15000</v>
      </c>
      <c r="E106" s="135">
        <f t="shared" si="17"/>
        <v>15000</v>
      </c>
      <c r="F106" s="135"/>
      <c r="G106" s="135"/>
      <c r="H106" s="130"/>
      <c r="I106" s="130"/>
      <c r="J106" s="130">
        <f t="shared" si="12"/>
        <v>0</v>
      </c>
      <c r="K106" s="130"/>
      <c r="L106" s="130"/>
      <c r="M106" s="130"/>
      <c r="N106" s="130"/>
      <c r="O106" s="130">
        <f t="shared" si="13"/>
        <v>15000</v>
      </c>
      <c r="P106" s="130">
        <f t="shared" si="14"/>
        <v>0</v>
      </c>
      <c r="Q106" s="130">
        <f t="shared" si="15"/>
        <v>15000</v>
      </c>
    </row>
    <row r="107" spans="1:17" s="131" customFormat="1" ht="15" customHeight="1" x14ac:dyDescent="0.25">
      <c r="A107" s="138">
        <v>5211</v>
      </c>
      <c r="B107" s="146" t="s">
        <v>88</v>
      </c>
      <c r="C107" s="152"/>
      <c r="D107" s="135">
        <v>0</v>
      </c>
      <c r="E107" s="135">
        <f t="shared" si="17"/>
        <v>0</v>
      </c>
      <c r="F107" s="135"/>
      <c r="G107" s="135"/>
      <c r="H107" s="130"/>
      <c r="I107" s="130"/>
      <c r="J107" s="130">
        <f t="shared" si="12"/>
        <v>0</v>
      </c>
      <c r="K107" s="130"/>
      <c r="L107" s="130"/>
      <c r="M107" s="130"/>
      <c r="N107" s="130"/>
      <c r="O107" s="130">
        <f t="shared" si="13"/>
        <v>0</v>
      </c>
      <c r="P107" s="130">
        <f t="shared" si="14"/>
        <v>0</v>
      </c>
      <c r="Q107" s="130">
        <f t="shared" si="15"/>
        <v>0</v>
      </c>
    </row>
    <row r="108" spans="1:17" s="131" customFormat="1" ht="15.75" x14ac:dyDescent="0.25">
      <c r="A108" s="138">
        <v>5291</v>
      </c>
      <c r="B108" s="170" t="s">
        <v>197</v>
      </c>
      <c r="C108" s="152"/>
      <c r="D108" s="135">
        <v>0</v>
      </c>
      <c r="E108" s="135">
        <f t="shared" si="17"/>
        <v>0</v>
      </c>
      <c r="F108" s="135"/>
      <c r="G108" s="135"/>
      <c r="H108" s="130"/>
      <c r="I108" s="130"/>
      <c r="J108" s="130">
        <f t="shared" si="12"/>
        <v>0</v>
      </c>
      <c r="K108" s="130"/>
      <c r="L108" s="130"/>
      <c r="M108" s="130"/>
      <c r="N108" s="130"/>
      <c r="O108" s="130">
        <f t="shared" si="13"/>
        <v>0</v>
      </c>
      <c r="P108" s="130">
        <f t="shared" si="14"/>
        <v>0</v>
      </c>
      <c r="Q108" s="130">
        <f t="shared" si="15"/>
        <v>0</v>
      </c>
    </row>
    <row r="109" spans="1:17" s="131" customFormat="1" ht="15" customHeight="1" x14ac:dyDescent="0.25">
      <c r="A109" s="138">
        <v>5311</v>
      </c>
      <c r="B109" s="170" t="s">
        <v>198</v>
      </c>
      <c r="C109" s="135">
        <v>300000</v>
      </c>
      <c r="D109" s="135">
        <f>4814972.24-15600-4099372</f>
        <v>700000.24000000022</v>
      </c>
      <c r="E109" s="135">
        <f t="shared" si="17"/>
        <v>1000000.2400000002</v>
      </c>
      <c r="F109" s="135"/>
      <c r="G109" s="135"/>
      <c r="H109" s="130"/>
      <c r="I109" s="130"/>
      <c r="J109" s="130">
        <f t="shared" si="12"/>
        <v>0</v>
      </c>
      <c r="K109" s="130"/>
      <c r="L109" s="130"/>
      <c r="M109" s="130"/>
      <c r="N109" s="130"/>
      <c r="O109" s="130">
        <f t="shared" si="13"/>
        <v>1000000.2400000002</v>
      </c>
      <c r="P109" s="130">
        <f t="shared" si="14"/>
        <v>0</v>
      </c>
      <c r="Q109" s="130">
        <f t="shared" si="15"/>
        <v>1000000.2400000002</v>
      </c>
    </row>
    <row r="110" spans="1:17" s="131" customFormat="1" ht="15.75" x14ac:dyDescent="0.25">
      <c r="A110" s="138">
        <v>5621</v>
      </c>
      <c r="B110" s="146" t="s">
        <v>89</v>
      </c>
      <c r="C110" s="135">
        <v>500000</v>
      </c>
      <c r="D110" s="135">
        <v>0</v>
      </c>
      <c r="E110" s="135">
        <f t="shared" si="17"/>
        <v>500000</v>
      </c>
      <c r="F110" s="135"/>
      <c r="G110" s="135"/>
      <c r="H110" s="130"/>
      <c r="I110" s="130"/>
      <c r="J110" s="130">
        <f t="shared" si="12"/>
        <v>0</v>
      </c>
      <c r="K110" s="130"/>
      <c r="L110" s="130"/>
      <c r="M110" s="130"/>
      <c r="N110" s="130"/>
      <c r="O110" s="130">
        <f t="shared" si="13"/>
        <v>500000</v>
      </c>
      <c r="P110" s="130">
        <f t="shared" si="14"/>
        <v>0</v>
      </c>
      <c r="Q110" s="130">
        <f t="shared" si="15"/>
        <v>500000</v>
      </c>
    </row>
    <row r="111" spans="1:17" s="131" customFormat="1" ht="15" customHeight="1" x14ac:dyDescent="0.25">
      <c r="A111" s="138">
        <v>5641</v>
      </c>
      <c r="B111" s="146" t="s">
        <v>199</v>
      </c>
      <c r="C111" s="135">
        <f>1500000-291261.22</f>
        <v>1208738.78</v>
      </c>
      <c r="D111" s="135">
        <v>425000</v>
      </c>
      <c r="E111" s="135">
        <f t="shared" si="17"/>
        <v>1633738.78</v>
      </c>
      <c r="F111" s="135"/>
      <c r="G111" s="135"/>
      <c r="H111" s="130"/>
      <c r="I111" s="130"/>
      <c r="J111" s="130">
        <f t="shared" si="12"/>
        <v>0</v>
      </c>
      <c r="K111" s="130"/>
      <c r="L111" s="130"/>
      <c r="M111" s="130"/>
      <c r="N111" s="130"/>
      <c r="O111" s="130">
        <f t="shared" si="13"/>
        <v>1633738.78</v>
      </c>
      <c r="P111" s="130">
        <f t="shared" si="14"/>
        <v>0</v>
      </c>
      <c r="Q111" s="130">
        <f t="shared" si="15"/>
        <v>1633738.78</v>
      </c>
    </row>
    <row r="112" spans="1:17" s="131" customFormat="1" ht="15.75" x14ac:dyDescent="0.25">
      <c r="A112" s="138">
        <v>5661</v>
      </c>
      <c r="B112" s="146" t="s">
        <v>200</v>
      </c>
      <c r="C112" s="135">
        <v>1200000</v>
      </c>
      <c r="D112" s="135"/>
      <c r="E112" s="135">
        <f t="shared" si="17"/>
        <v>1200000</v>
      </c>
      <c r="F112" s="135"/>
      <c r="G112" s="135"/>
      <c r="H112" s="130"/>
      <c r="I112" s="130"/>
      <c r="J112" s="130">
        <f t="shared" si="12"/>
        <v>0</v>
      </c>
      <c r="K112" s="130"/>
      <c r="L112" s="130"/>
      <c r="M112" s="130"/>
      <c r="N112" s="130"/>
      <c r="O112" s="130">
        <f t="shared" si="13"/>
        <v>1200000</v>
      </c>
      <c r="P112" s="130">
        <f t="shared" si="14"/>
        <v>0</v>
      </c>
      <c r="Q112" s="130">
        <f t="shared" si="15"/>
        <v>1200000</v>
      </c>
    </row>
    <row r="113" spans="1:17" s="131" customFormat="1" ht="15" customHeight="1" x14ac:dyDescent="0.25">
      <c r="A113" s="138">
        <v>5411</v>
      </c>
      <c r="B113" s="146" t="s">
        <v>201</v>
      </c>
      <c r="C113" s="135">
        <v>565000</v>
      </c>
      <c r="D113" s="135"/>
      <c r="E113" s="135">
        <f t="shared" si="17"/>
        <v>565000</v>
      </c>
      <c r="F113" s="135"/>
      <c r="G113" s="135"/>
      <c r="H113" s="130"/>
      <c r="I113" s="130"/>
      <c r="J113" s="130">
        <f t="shared" si="12"/>
        <v>0</v>
      </c>
      <c r="K113" s="130"/>
      <c r="L113" s="130"/>
      <c r="M113" s="130"/>
      <c r="N113" s="130"/>
      <c r="O113" s="130">
        <f t="shared" si="13"/>
        <v>565000</v>
      </c>
      <c r="P113" s="130">
        <f t="shared" si="14"/>
        <v>0</v>
      </c>
      <c r="Q113" s="130">
        <f t="shared" si="15"/>
        <v>565000</v>
      </c>
    </row>
    <row r="114" spans="1:17" s="131" customFormat="1" ht="15.75" x14ac:dyDescent="0.25">
      <c r="A114" s="138">
        <v>5911</v>
      </c>
      <c r="B114" s="146" t="s">
        <v>92</v>
      </c>
      <c r="C114" s="135">
        <f>25000+25000</f>
        <v>50000</v>
      </c>
      <c r="D114" s="135">
        <v>0</v>
      </c>
      <c r="E114" s="135">
        <f t="shared" si="17"/>
        <v>50000</v>
      </c>
      <c r="F114" s="135"/>
      <c r="G114" s="135"/>
      <c r="H114" s="130"/>
      <c r="I114" s="130"/>
      <c r="J114" s="130">
        <f t="shared" si="12"/>
        <v>0</v>
      </c>
      <c r="K114" s="130"/>
      <c r="L114" s="130"/>
      <c r="M114" s="130"/>
      <c r="N114" s="130"/>
      <c r="O114" s="130">
        <f t="shared" si="13"/>
        <v>50000</v>
      </c>
      <c r="P114" s="130">
        <f t="shared" si="14"/>
        <v>0</v>
      </c>
      <c r="Q114" s="130">
        <f t="shared" si="15"/>
        <v>50000</v>
      </c>
    </row>
    <row r="115" spans="1:17" s="131" customFormat="1" ht="15.75" x14ac:dyDescent="0.25">
      <c r="A115" s="138">
        <v>5971</v>
      </c>
      <c r="B115" s="146" t="s">
        <v>93</v>
      </c>
      <c r="C115" s="135">
        <v>350000</v>
      </c>
      <c r="D115" s="135">
        <v>0</v>
      </c>
      <c r="E115" s="135">
        <f t="shared" si="17"/>
        <v>350000</v>
      </c>
      <c r="F115" s="135"/>
      <c r="G115" s="135"/>
      <c r="H115" s="130"/>
      <c r="I115" s="130"/>
      <c r="J115" s="130">
        <f t="shared" si="12"/>
        <v>0</v>
      </c>
      <c r="K115" s="130"/>
      <c r="L115" s="130"/>
      <c r="M115" s="130"/>
      <c r="N115" s="130"/>
      <c r="O115" s="130">
        <f t="shared" si="13"/>
        <v>350000</v>
      </c>
      <c r="P115" s="130">
        <f t="shared" si="14"/>
        <v>0</v>
      </c>
      <c r="Q115" s="130">
        <f t="shared" si="15"/>
        <v>350000</v>
      </c>
    </row>
    <row r="116" spans="1:17" s="166" customFormat="1" ht="15.75" x14ac:dyDescent="0.25">
      <c r="A116" s="167"/>
      <c r="B116" s="168" t="s">
        <v>202</v>
      </c>
      <c r="C116" s="156">
        <f>SUM(C103:C115)</f>
        <v>6912346.4800000004</v>
      </c>
      <c r="D116" s="156">
        <f>SUM(D103:D115)</f>
        <v>1311860.4700000002</v>
      </c>
      <c r="E116" s="156">
        <f>C116+D116</f>
        <v>8224206.9500000011</v>
      </c>
      <c r="F116" s="156">
        <f t="shared" ref="F116:G116" si="20">SUM(F103:F115)</f>
        <v>0</v>
      </c>
      <c r="G116" s="156">
        <f t="shared" si="20"/>
        <v>0</v>
      </c>
      <c r="H116" s="156">
        <f>SUM(H103:H115)</f>
        <v>6318.02</v>
      </c>
      <c r="I116" s="156"/>
      <c r="J116" s="169">
        <f>SUM(J103:J115)</f>
        <v>183.94000000000051</v>
      </c>
      <c r="K116" s="169">
        <f t="shared" ref="K116:Q116" si="21">SUM(K103:K115)</f>
        <v>0</v>
      </c>
      <c r="L116" s="169">
        <f t="shared" si="21"/>
        <v>0</v>
      </c>
      <c r="M116" s="169">
        <f t="shared" si="21"/>
        <v>0</v>
      </c>
      <c r="N116" s="169">
        <f t="shared" si="21"/>
        <v>0</v>
      </c>
      <c r="O116" s="169">
        <f>SUM(O103:O115)</f>
        <v>8224206.9500000002</v>
      </c>
      <c r="P116" s="169">
        <f t="shared" si="21"/>
        <v>6134.08</v>
      </c>
      <c r="Q116" s="169">
        <f t="shared" si="21"/>
        <v>8218072.8700000001</v>
      </c>
    </row>
    <row r="117" spans="1:17" s="166" customFormat="1" ht="15.75" x14ac:dyDescent="0.25">
      <c r="A117" s="171">
        <v>6171</v>
      </c>
      <c r="B117" s="159" t="s">
        <v>203</v>
      </c>
      <c r="C117" s="160"/>
      <c r="D117" s="172"/>
      <c r="E117" s="164">
        <f t="shared" si="17"/>
        <v>0</v>
      </c>
      <c r="F117" s="164"/>
      <c r="G117" s="164"/>
      <c r="H117" s="130">
        <f t="shared" si="18"/>
        <v>0</v>
      </c>
      <c r="I117" s="165"/>
      <c r="J117" s="130">
        <f t="shared" si="12"/>
        <v>0</v>
      </c>
      <c r="K117" s="165"/>
      <c r="L117" s="165"/>
      <c r="M117" s="165"/>
      <c r="N117" s="165"/>
      <c r="O117" s="130">
        <f t="shared" si="13"/>
        <v>0</v>
      </c>
      <c r="P117" s="130">
        <f t="shared" si="14"/>
        <v>0</v>
      </c>
      <c r="Q117" s="130">
        <f t="shared" si="15"/>
        <v>0</v>
      </c>
    </row>
    <row r="118" spans="1:17" s="166" customFormat="1" ht="15.75" x14ac:dyDescent="0.25">
      <c r="A118" s="171">
        <v>6211</v>
      </c>
      <c r="B118" s="159" t="s">
        <v>204</v>
      </c>
      <c r="C118" s="160"/>
      <c r="D118" s="135"/>
      <c r="E118" s="164">
        <f t="shared" si="17"/>
        <v>0</v>
      </c>
      <c r="F118" s="164"/>
      <c r="G118" s="164"/>
      <c r="H118" s="130">
        <f t="shared" si="18"/>
        <v>0</v>
      </c>
      <c r="I118" s="165"/>
      <c r="J118" s="130">
        <f t="shared" si="12"/>
        <v>0</v>
      </c>
      <c r="K118" s="165"/>
      <c r="L118" s="165"/>
      <c r="M118" s="165"/>
      <c r="N118" s="165"/>
      <c r="O118" s="130">
        <f t="shared" si="13"/>
        <v>0</v>
      </c>
      <c r="P118" s="130">
        <f t="shared" si="14"/>
        <v>0</v>
      </c>
      <c r="Q118" s="130">
        <f t="shared" si="15"/>
        <v>0</v>
      </c>
    </row>
    <row r="119" spans="1:17" s="166" customFormat="1" ht="15.75" x14ac:dyDescent="0.25">
      <c r="A119" s="167"/>
      <c r="B119" s="168" t="s">
        <v>205</v>
      </c>
      <c r="C119" s="173"/>
      <c r="D119" s="173">
        <f>SUM(D117:D118)</f>
        <v>0</v>
      </c>
      <c r="E119" s="173">
        <f t="shared" si="17"/>
        <v>0</v>
      </c>
      <c r="F119" s="173"/>
      <c r="G119" s="173"/>
      <c r="H119" s="156">
        <f>SUM(H117:H118)</f>
        <v>0</v>
      </c>
      <c r="I119" s="173">
        <f t="shared" ref="I119" si="22">E119+H119</f>
        <v>0</v>
      </c>
      <c r="J119" s="173">
        <f t="shared" ref="J119:N119" si="23">H119+I119</f>
        <v>0</v>
      </c>
      <c r="K119" s="173">
        <f t="shared" si="23"/>
        <v>0</v>
      </c>
      <c r="L119" s="173">
        <f t="shared" si="23"/>
        <v>0</v>
      </c>
      <c r="M119" s="173">
        <f t="shared" si="23"/>
        <v>0</v>
      </c>
      <c r="N119" s="173">
        <f t="shared" si="23"/>
        <v>0</v>
      </c>
      <c r="O119" s="169">
        <f>SUM(O117:O118)</f>
        <v>0</v>
      </c>
      <c r="P119" s="173">
        <f t="shared" ref="P119" si="24">N119+O119</f>
        <v>0</v>
      </c>
      <c r="Q119" s="169">
        <f>SUM(Q117:Q118)</f>
        <v>0</v>
      </c>
    </row>
    <row r="120" spans="1:17" s="166" customFormat="1" ht="15.75" x14ac:dyDescent="0.25">
      <c r="A120" s="161"/>
      <c r="B120" s="162"/>
      <c r="C120" s="163"/>
      <c r="D120" s="135"/>
      <c r="E120" s="164">
        <f t="shared" si="17"/>
        <v>0</v>
      </c>
      <c r="F120" s="164"/>
      <c r="G120" s="164"/>
      <c r="H120" s="165"/>
      <c r="I120" s="165"/>
      <c r="J120" s="130">
        <f t="shared" si="12"/>
        <v>0</v>
      </c>
      <c r="K120" s="165"/>
      <c r="L120" s="165"/>
      <c r="M120" s="165"/>
      <c r="N120" s="165"/>
      <c r="O120" s="130">
        <f t="shared" si="13"/>
        <v>0</v>
      </c>
      <c r="P120" s="130">
        <f t="shared" si="14"/>
        <v>0</v>
      </c>
      <c r="Q120" s="130">
        <f t="shared" si="15"/>
        <v>0</v>
      </c>
    </row>
    <row r="121" spans="1:17" s="166" customFormat="1" ht="15.75" x14ac:dyDescent="0.25">
      <c r="A121" s="161"/>
      <c r="B121" s="162"/>
      <c r="C121" s="163"/>
      <c r="D121" s="135"/>
      <c r="E121" s="164">
        <f t="shared" si="17"/>
        <v>0</v>
      </c>
      <c r="F121" s="164"/>
      <c r="G121" s="164"/>
      <c r="H121" s="165"/>
      <c r="I121" s="165"/>
      <c r="J121" s="130">
        <f t="shared" si="12"/>
        <v>0</v>
      </c>
      <c r="K121" s="165"/>
      <c r="L121" s="165"/>
      <c r="M121" s="165"/>
      <c r="N121" s="165"/>
      <c r="O121" s="130">
        <f t="shared" si="13"/>
        <v>0</v>
      </c>
      <c r="P121" s="130">
        <f t="shared" si="14"/>
        <v>0</v>
      </c>
      <c r="Q121" s="130">
        <f t="shared" si="15"/>
        <v>0</v>
      </c>
    </row>
    <row r="122" spans="1:17" s="166" customFormat="1" ht="15.75" x14ac:dyDescent="0.25">
      <c r="A122" s="167"/>
      <c r="B122" s="168"/>
      <c r="C122" s="173"/>
      <c r="D122" s="173">
        <f>SUM(D120:D121)</f>
        <v>0</v>
      </c>
      <c r="E122" s="173">
        <f t="shared" si="17"/>
        <v>0</v>
      </c>
      <c r="F122" s="173"/>
      <c r="G122" s="173"/>
      <c r="H122" s="156">
        <f>SUM(H120:H121)</f>
        <v>0</v>
      </c>
      <c r="I122" s="173">
        <f t="shared" ref="I122" si="25">E122+H122</f>
        <v>0</v>
      </c>
      <c r="J122" s="173">
        <f t="shared" ref="J122:N122" si="26">H122+I122</f>
        <v>0</v>
      </c>
      <c r="K122" s="173">
        <f t="shared" si="26"/>
        <v>0</v>
      </c>
      <c r="L122" s="173">
        <f t="shared" si="26"/>
        <v>0</v>
      </c>
      <c r="M122" s="173">
        <f t="shared" si="26"/>
        <v>0</v>
      </c>
      <c r="N122" s="173">
        <f t="shared" si="26"/>
        <v>0</v>
      </c>
      <c r="O122" s="169">
        <f>SUM(O120:O121)</f>
        <v>0</v>
      </c>
      <c r="P122" s="173">
        <f t="shared" ref="P122" si="27">N122+O122</f>
        <v>0</v>
      </c>
      <c r="Q122" s="169">
        <f>SUM(Q120:Q121)</f>
        <v>0</v>
      </c>
    </row>
    <row r="123" spans="1:17" s="166" customFormat="1" ht="30.75" x14ac:dyDescent="0.25">
      <c r="A123" s="161">
        <v>7991</v>
      </c>
      <c r="B123" s="174" t="s">
        <v>207</v>
      </c>
      <c r="C123" s="135"/>
      <c r="D123" s="135">
        <v>1000000</v>
      </c>
      <c r="E123" s="164">
        <f t="shared" si="17"/>
        <v>1000000</v>
      </c>
      <c r="F123" s="164"/>
      <c r="G123" s="164"/>
      <c r="H123" s="165"/>
      <c r="I123" s="165"/>
      <c r="J123" s="130">
        <f t="shared" si="12"/>
        <v>0</v>
      </c>
      <c r="K123" s="165"/>
      <c r="L123" s="165"/>
      <c r="M123" s="165"/>
      <c r="N123" s="165"/>
      <c r="O123" s="130">
        <f t="shared" si="13"/>
        <v>1000000</v>
      </c>
      <c r="P123" s="130">
        <f t="shared" si="14"/>
        <v>0</v>
      </c>
      <c r="Q123" s="130">
        <f t="shared" si="15"/>
        <v>1000000</v>
      </c>
    </row>
    <row r="124" spans="1:17" s="166" customFormat="1" ht="15.75" x14ac:dyDescent="0.25">
      <c r="A124" s="161"/>
      <c r="B124" s="162"/>
      <c r="C124" s="163"/>
      <c r="D124" s="135"/>
      <c r="E124" s="164">
        <f t="shared" si="17"/>
        <v>0</v>
      </c>
      <c r="F124" s="164"/>
      <c r="G124" s="164"/>
      <c r="H124" s="165"/>
      <c r="I124" s="165"/>
      <c r="J124" s="130">
        <f t="shared" si="12"/>
        <v>0</v>
      </c>
      <c r="K124" s="165"/>
      <c r="L124" s="165"/>
      <c r="M124" s="165"/>
      <c r="N124" s="165"/>
      <c r="O124" s="130">
        <f t="shared" si="13"/>
        <v>0</v>
      </c>
      <c r="P124" s="130">
        <f t="shared" si="14"/>
        <v>0</v>
      </c>
      <c r="Q124" s="130">
        <f t="shared" si="15"/>
        <v>0</v>
      </c>
    </row>
    <row r="125" spans="1:17" s="166" customFormat="1" ht="15.75" x14ac:dyDescent="0.25">
      <c r="A125" s="167"/>
      <c r="B125" s="168" t="s">
        <v>206</v>
      </c>
      <c r="C125" s="169">
        <f>SUM(C123:C124)</f>
        <v>0</v>
      </c>
      <c r="D125" s="169">
        <f>SUM(D123:D124)</f>
        <v>1000000</v>
      </c>
      <c r="E125" s="169">
        <f t="shared" si="17"/>
        <v>1000000</v>
      </c>
      <c r="F125" s="169">
        <f t="shared" ref="F125:G125" si="28">SUM(F123:F124)</f>
        <v>0</v>
      </c>
      <c r="G125" s="169">
        <f t="shared" si="28"/>
        <v>0</v>
      </c>
      <c r="H125" s="156">
        <f>SUM(H123:H124)</f>
        <v>0</v>
      </c>
      <c r="I125" s="169">
        <v>0</v>
      </c>
      <c r="J125" s="169">
        <v>0</v>
      </c>
      <c r="K125" s="169">
        <v>0</v>
      </c>
      <c r="L125" s="169">
        <v>0</v>
      </c>
      <c r="M125" s="169">
        <v>0</v>
      </c>
      <c r="N125" s="169">
        <v>0</v>
      </c>
      <c r="O125" s="169">
        <f>SUM(O123:O124)</f>
        <v>1000000</v>
      </c>
      <c r="P125" s="169">
        <v>0</v>
      </c>
      <c r="Q125" s="169">
        <f>SUM(Q123:Q124)</f>
        <v>1000000</v>
      </c>
    </row>
    <row r="126" spans="1:17" s="166" customFormat="1" ht="15.75" x14ac:dyDescent="0.25">
      <c r="A126" s="175"/>
      <c r="B126" s="176"/>
      <c r="C126" s="163"/>
      <c r="D126" s="135"/>
      <c r="E126" s="164">
        <f t="shared" si="17"/>
        <v>0</v>
      </c>
      <c r="F126" s="164"/>
      <c r="G126" s="164"/>
      <c r="H126" s="165"/>
      <c r="I126" s="165"/>
      <c r="J126" s="130">
        <f t="shared" si="12"/>
        <v>0</v>
      </c>
      <c r="K126" s="165"/>
      <c r="L126" s="165"/>
      <c r="M126" s="165"/>
      <c r="N126" s="165"/>
      <c r="O126" s="165"/>
      <c r="P126" s="165"/>
      <c r="Q126" s="165"/>
    </row>
    <row r="127" spans="1:17" s="166" customFormat="1" ht="15.75" x14ac:dyDescent="0.25">
      <c r="A127" s="177"/>
      <c r="B127" s="177" t="s">
        <v>226</v>
      </c>
      <c r="C127" s="178"/>
      <c r="D127" s="178"/>
      <c r="E127" s="178"/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</row>
    <row r="128" spans="1:17" s="166" customFormat="1" ht="15.75" x14ac:dyDescent="0.25">
      <c r="A128" s="177"/>
      <c r="B128" s="177" t="s">
        <v>209</v>
      </c>
      <c r="C128" s="179">
        <f>C25+C58+C97+C102+C116+C119+C122+C125</f>
        <v>87061207.268828481</v>
      </c>
      <c r="D128" s="179">
        <f>D25+D58+D97+D102+D116+D119+D122+D125</f>
        <v>20076554.469999999</v>
      </c>
      <c r="E128" s="178">
        <f>E25+E58+E97+E102+E116+E119+E122+E125</f>
        <v>107137761.73882848</v>
      </c>
      <c r="F128" s="178">
        <f>F25+F58+F97+F102+F116+F119+F122+F125</f>
        <v>0</v>
      </c>
      <c r="G128" s="178">
        <f>G25+G58+G97+G102+G116+G119+G122+G125</f>
        <v>0</v>
      </c>
      <c r="H128" s="178">
        <f t="shared" ref="H128:Q128" si="29">H25+H58+H97+H102+H116+H119+H122+H125</f>
        <v>5762243.8099999996</v>
      </c>
      <c r="I128" s="179">
        <f t="shared" si="29"/>
        <v>4475481.6499999994</v>
      </c>
      <c r="J128" s="179">
        <f t="shared" si="29"/>
        <v>1280628.0799999996</v>
      </c>
      <c r="K128" s="178">
        <f t="shared" si="29"/>
        <v>18188</v>
      </c>
      <c r="L128" s="178">
        <f t="shared" si="29"/>
        <v>18188</v>
      </c>
      <c r="M128" s="178">
        <f t="shared" si="29"/>
        <v>0</v>
      </c>
      <c r="N128" s="178">
        <f t="shared" si="29"/>
        <v>0</v>
      </c>
      <c r="O128" s="178">
        <f t="shared" si="29"/>
        <v>107137761.73882848</v>
      </c>
      <c r="P128" s="178">
        <f t="shared" si="29"/>
        <v>4481615.7299999995</v>
      </c>
      <c r="Q128" s="178">
        <f t="shared" si="29"/>
        <v>102656146.00882848</v>
      </c>
    </row>
    <row r="129" spans="1:7" x14ac:dyDescent="0.25">
      <c r="A129" s="81"/>
      <c r="B129" s="82"/>
      <c r="C129" s="91"/>
      <c r="D129" s="92"/>
      <c r="E129" s="93"/>
      <c r="F129" s="93"/>
      <c r="G129" s="93"/>
    </row>
    <row r="130" spans="1:7" x14ac:dyDescent="0.25">
      <c r="D130" s="94"/>
    </row>
  </sheetData>
  <mergeCells count="8">
    <mergeCell ref="P5:P6"/>
    <mergeCell ref="Q5:Q6"/>
    <mergeCell ref="A5:A6"/>
    <mergeCell ref="B5:B6"/>
    <mergeCell ref="C5:C6"/>
    <mergeCell ref="F5:G5"/>
    <mergeCell ref="K5:L5"/>
    <mergeCell ref="O5:O6"/>
  </mergeCells>
  <pageMargins left="2.2834645669291338" right="0.70866141732283472" top="0.74803149606299213" bottom="0.74803149606299213" header="0.31496062992125984" footer="0.31496062992125984"/>
  <pageSetup paperSize="5" scale="48" fitToHeight="2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30"/>
  <sheetViews>
    <sheetView workbookViewId="0">
      <pane ySplit="6" topLeftCell="A28" activePane="bottomLeft" state="frozen"/>
      <selection activeCell="B1" sqref="B1"/>
      <selection pane="bottomLeft" activeCell="I33" sqref="I33"/>
    </sheetView>
  </sheetViews>
  <sheetFormatPr baseColWidth="10" defaultColWidth="9.140625" defaultRowHeight="15" x14ac:dyDescent="0.25"/>
  <cols>
    <col min="1" max="1" width="7.140625" style="58" customWidth="1"/>
    <col min="2" max="2" width="73.140625" style="58" customWidth="1"/>
    <col min="3" max="3" width="13" style="85" customWidth="1"/>
    <col min="4" max="4" width="13.5703125" style="85" customWidth="1"/>
    <col min="5" max="5" width="17.7109375" style="85" customWidth="1"/>
    <col min="6" max="7" width="17.7109375" style="85" hidden="1" customWidth="1"/>
    <col min="8" max="8" width="18" style="85" bestFit="1" customWidth="1"/>
    <col min="9" max="9" width="12.5703125" style="85" customWidth="1"/>
    <col min="10" max="10" width="14.28515625" style="85" customWidth="1"/>
    <col min="11" max="12" width="11.42578125" style="85" customWidth="1"/>
    <col min="13" max="13" width="15.5703125" style="85" bestFit="1" customWidth="1"/>
    <col min="14" max="14" width="14.7109375" style="85" bestFit="1" customWidth="1"/>
    <col min="15" max="15" width="16.85546875" style="85" customWidth="1"/>
    <col min="16" max="16" width="18.42578125" style="85" customWidth="1"/>
    <col min="17" max="17" width="15" style="85" customWidth="1"/>
    <col min="18" max="215" width="11.42578125" style="58" customWidth="1"/>
    <col min="216" max="16384" width="9.140625" style="58"/>
  </cols>
  <sheetData>
    <row r="2" spans="1:17" ht="18" x14ac:dyDescent="0.25">
      <c r="C2" s="87" t="s">
        <v>225</v>
      </c>
      <c r="D2" s="88"/>
    </row>
    <row r="3" spans="1:17" x14ac:dyDescent="0.25">
      <c r="C3" s="89" t="s">
        <v>224</v>
      </c>
      <c r="D3" s="89"/>
    </row>
    <row r="4" spans="1:17" ht="24.75" customHeight="1" x14ac:dyDescent="0.25"/>
    <row r="5" spans="1:17" ht="15" customHeight="1" x14ac:dyDescent="0.25">
      <c r="A5" s="296" t="s">
        <v>99</v>
      </c>
      <c r="B5" s="298" t="s">
        <v>100</v>
      </c>
      <c r="C5" s="303" t="s">
        <v>210</v>
      </c>
      <c r="D5" s="223" t="s">
        <v>19</v>
      </c>
      <c r="E5" s="223" t="s">
        <v>101</v>
      </c>
      <c r="F5" s="304" t="s">
        <v>227</v>
      </c>
      <c r="G5" s="305"/>
      <c r="H5" s="224" t="s">
        <v>211</v>
      </c>
      <c r="I5" s="224" t="s">
        <v>212</v>
      </c>
      <c r="J5" s="224"/>
      <c r="K5" s="306" t="s">
        <v>213</v>
      </c>
      <c r="L5" s="307"/>
      <c r="M5" s="224"/>
      <c r="N5" s="224"/>
      <c r="O5" s="308" t="s">
        <v>214</v>
      </c>
      <c r="P5" s="302" t="s">
        <v>215</v>
      </c>
      <c r="Q5" s="302" t="s">
        <v>216</v>
      </c>
    </row>
    <row r="6" spans="1:17" ht="25.5" x14ac:dyDescent="0.25">
      <c r="A6" s="297"/>
      <c r="B6" s="298"/>
      <c r="C6" s="303"/>
      <c r="D6" s="222" t="s">
        <v>222</v>
      </c>
      <c r="E6" s="223" t="s">
        <v>264</v>
      </c>
      <c r="F6" s="223" t="s">
        <v>218</v>
      </c>
      <c r="G6" s="223" t="s">
        <v>219</v>
      </c>
      <c r="H6" s="84" t="s">
        <v>33</v>
      </c>
      <c r="I6" s="84" t="s">
        <v>33</v>
      </c>
      <c r="J6" s="84" t="s">
        <v>217</v>
      </c>
      <c r="K6" s="84" t="s">
        <v>218</v>
      </c>
      <c r="L6" s="84" t="s">
        <v>219</v>
      </c>
      <c r="M6" s="84" t="s">
        <v>220</v>
      </c>
      <c r="N6" s="84" t="s">
        <v>221</v>
      </c>
      <c r="O6" s="309"/>
      <c r="P6" s="302"/>
      <c r="Q6" s="302"/>
    </row>
    <row r="7" spans="1:17" s="131" customFormat="1" ht="15" customHeight="1" x14ac:dyDescent="0.25">
      <c r="A7" s="126">
        <v>1131</v>
      </c>
      <c r="B7" s="127" t="s">
        <v>102</v>
      </c>
      <c r="C7" s="128">
        <f>29378510.336+2561872.56+53797.14</f>
        <v>31994180.035999998</v>
      </c>
      <c r="D7" s="129"/>
      <c r="E7" s="129">
        <f>C7+D7</f>
        <v>31994180.035999998</v>
      </c>
      <c r="F7" s="129"/>
      <c r="G7" s="129"/>
      <c r="H7" s="130">
        <v>2675467</v>
      </c>
      <c r="I7" s="130">
        <v>2401012.83</v>
      </c>
      <c r="J7" s="130">
        <f>E7-I7</f>
        <v>29593167.206</v>
      </c>
      <c r="K7" s="130"/>
      <c r="L7" s="130"/>
      <c r="M7" s="130"/>
      <c r="N7" s="130"/>
      <c r="O7" s="130">
        <f>C7+D7</f>
        <v>31994180.035999998</v>
      </c>
      <c r="P7" s="130">
        <f>I7</f>
        <v>2401012.83</v>
      </c>
      <c r="Q7" s="130">
        <f>O7-P7</f>
        <v>29593167.206</v>
      </c>
    </row>
    <row r="8" spans="1:17" s="131" customFormat="1" ht="30" x14ac:dyDescent="0.25">
      <c r="A8" s="132">
        <v>1311</v>
      </c>
      <c r="B8" s="133" t="s">
        <v>103</v>
      </c>
      <c r="C8" s="134">
        <v>432901.92</v>
      </c>
      <c r="D8" s="135"/>
      <c r="E8" s="135">
        <f t="shared" ref="E8:E23" si="0">C8+D8</f>
        <v>432901.92</v>
      </c>
      <c r="F8" s="135"/>
      <c r="G8" s="135"/>
      <c r="H8" s="130">
        <v>35681</v>
      </c>
      <c r="I8" s="130">
        <v>30266.55</v>
      </c>
      <c r="J8" s="130">
        <f t="shared" ref="J8:J24" si="1">E8-I8</f>
        <v>402635.37</v>
      </c>
      <c r="K8" s="130"/>
      <c r="L8" s="130"/>
      <c r="M8" s="130"/>
      <c r="N8" s="130"/>
      <c r="O8" s="130">
        <f t="shared" ref="O8:O71" si="2">C8+D8</f>
        <v>432901.92</v>
      </c>
      <c r="P8" s="130">
        <f t="shared" ref="P8:P71" si="3">I8</f>
        <v>30266.55</v>
      </c>
      <c r="Q8" s="130">
        <f t="shared" ref="Q8:Q71" si="4">O8-P8</f>
        <v>402635.37</v>
      </c>
    </row>
    <row r="9" spans="1:17" s="131" customFormat="1" ht="15" customHeight="1" x14ac:dyDescent="0.25">
      <c r="A9" s="132">
        <v>1321</v>
      </c>
      <c r="B9" s="136" t="s">
        <v>104</v>
      </c>
      <c r="C9" s="134">
        <f>402160.408000001+35581.56</f>
        <v>437741.96800000098</v>
      </c>
      <c r="D9" s="135"/>
      <c r="E9" s="135">
        <f t="shared" si="0"/>
        <v>437741.96800000098</v>
      </c>
      <c r="F9" s="135"/>
      <c r="G9" s="135"/>
      <c r="H9" s="130">
        <v>4377</v>
      </c>
      <c r="I9" s="130">
        <v>252.09</v>
      </c>
      <c r="J9" s="130">
        <f t="shared" si="1"/>
        <v>437489.87800000096</v>
      </c>
      <c r="K9" s="130"/>
      <c r="L9" s="130"/>
      <c r="M9" s="130"/>
      <c r="N9" s="130"/>
      <c r="O9" s="130">
        <f t="shared" si="2"/>
        <v>437741.96800000098</v>
      </c>
      <c r="P9" s="130">
        <f t="shared" si="3"/>
        <v>252.09</v>
      </c>
      <c r="Q9" s="130">
        <f t="shared" si="4"/>
        <v>437489.87800000096</v>
      </c>
    </row>
    <row r="10" spans="1:17" s="131" customFormat="1" ht="15.75" x14ac:dyDescent="0.25">
      <c r="A10" s="132">
        <v>1322</v>
      </c>
      <c r="B10" s="136" t="s">
        <v>105</v>
      </c>
      <c r="C10" s="134">
        <f>4021604.08+355815.63</f>
        <v>4377419.71</v>
      </c>
      <c r="D10" s="135"/>
      <c r="E10" s="135">
        <f t="shared" si="0"/>
        <v>4377419.71</v>
      </c>
      <c r="F10" s="135"/>
      <c r="G10" s="135"/>
      <c r="H10" s="130">
        <v>44692</v>
      </c>
      <c r="I10" s="130">
        <v>645.99</v>
      </c>
      <c r="J10" s="130">
        <f t="shared" si="1"/>
        <v>4376773.72</v>
      </c>
      <c r="K10" s="130"/>
      <c r="L10" s="130"/>
      <c r="M10" s="130"/>
      <c r="N10" s="130"/>
      <c r="O10" s="130">
        <f t="shared" si="2"/>
        <v>4377419.71</v>
      </c>
      <c r="P10" s="130">
        <f t="shared" si="3"/>
        <v>645.99</v>
      </c>
      <c r="Q10" s="130">
        <f t="shared" si="4"/>
        <v>4376773.72</v>
      </c>
    </row>
    <row r="11" spans="1:17" s="131" customFormat="1" ht="15" customHeight="1" x14ac:dyDescent="0.25">
      <c r="A11" s="132">
        <v>1332</v>
      </c>
      <c r="B11" s="136" t="s">
        <v>106</v>
      </c>
      <c r="C11" s="134">
        <v>1388969</v>
      </c>
      <c r="D11" s="135"/>
      <c r="E11" s="135">
        <f t="shared" si="0"/>
        <v>1388969</v>
      </c>
      <c r="F11" s="135"/>
      <c r="G11" s="135"/>
      <c r="H11" s="130">
        <v>118210</v>
      </c>
      <c r="I11" s="130">
        <v>20629.509999999998</v>
      </c>
      <c r="J11" s="130">
        <f t="shared" si="1"/>
        <v>1368339.49</v>
      </c>
      <c r="K11" s="130"/>
      <c r="L11" s="130"/>
      <c r="M11" s="130"/>
      <c r="N11" s="130"/>
      <c r="O11" s="130">
        <f t="shared" si="2"/>
        <v>1388969</v>
      </c>
      <c r="P11" s="130">
        <f t="shared" si="3"/>
        <v>20629.509999999998</v>
      </c>
      <c r="Q11" s="130">
        <f t="shared" si="4"/>
        <v>1368339.49</v>
      </c>
    </row>
    <row r="12" spans="1:17" s="131" customFormat="1" ht="15.75" x14ac:dyDescent="0.25">
      <c r="A12" s="132">
        <v>1347</v>
      </c>
      <c r="B12" s="136" t="s">
        <v>107</v>
      </c>
      <c r="C12" s="134">
        <v>350000</v>
      </c>
      <c r="D12" s="135"/>
      <c r="E12" s="135">
        <f t="shared" si="0"/>
        <v>350000</v>
      </c>
      <c r="F12" s="135"/>
      <c r="G12" s="135"/>
      <c r="H12" s="130">
        <v>29167</v>
      </c>
      <c r="I12" s="130"/>
      <c r="J12" s="130">
        <f t="shared" si="1"/>
        <v>350000</v>
      </c>
      <c r="K12" s="130"/>
      <c r="L12" s="130"/>
      <c r="M12" s="130"/>
      <c r="N12" s="130"/>
      <c r="O12" s="130">
        <f t="shared" si="2"/>
        <v>350000</v>
      </c>
      <c r="P12" s="130">
        <f t="shared" si="3"/>
        <v>0</v>
      </c>
      <c r="Q12" s="130">
        <f t="shared" si="4"/>
        <v>350000</v>
      </c>
    </row>
    <row r="13" spans="1:17" s="131" customFormat="1" ht="15" customHeight="1" x14ac:dyDescent="0.25">
      <c r="A13" s="132">
        <v>1411</v>
      </c>
      <c r="B13" s="136" t="s">
        <v>108</v>
      </c>
      <c r="C13" s="134">
        <f>1739434.94666845+153581.18</f>
        <v>1893016.12666845</v>
      </c>
      <c r="D13" s="135"/>
      <c r="E13" s="135">
        <f t="shared" si="0"/>
        <v>1893016.12666845</v>
      </c>
      <c r="F13" s="135"/>
      <c r="G13" s="135"/>
      <c r="H13" s="130">
        <v>155590</v>
      </c>
      <c r="I13" s="130">
        <v>146649.09</v>
      </c>
      <c r="J13" s="130">
        <f t="shared" si="1"/>
        <v>1746367.0366684499</v>
      </c>
      <c r="K13" s="130"/>
      <c r="L13" s="130"/>
      <c r="M13" s="130"/>
      <c r="N13" s="130"/>
      <c r="O13" s="130">
        <f t="shared" si="2"/>
        <v>1893016.12666845</v>
      </c>
      <c r="P13" s="130">
        <f t="shared" si="3"/>
        <v>146649.09</v>
      </c>
      <c r="Q13" s="130">
        <f t="shared" si="4"/>
        <v>1746367.0366684499</v>
      </c>
    </row>
    <row r="14" spans="1:17" s="131" customFormat="1" ht="15.75" x14ac:dyDescent="0.25">
      <c r="A14" s="132">
        <v>1421</v>
      </c>
      <c r="B14" s="136" t="s">
        <v>109</v>
      </c>
      <c r="C14" s="134">
        <f>880731.291280002+76856.18</f>
        <v>957587.47128000204</v>
      </c>
      <c r="D14" s="135"/>
      <c r="E14" s="135">
        <f t="shared" si="0"/>
        <v>957587.47128000204</v>
      </c>
      <c r="F14" s="135"/>
      <c r="G14" s="135"/>
      <c r="H14" s="130">
        <v>78706</v>
      </c>
      <c r="I14" s="130">
        <v>62022.53</v>
      </c>
      <c r="J14" s="130">
        <f t="shared" si="1"/>
        <v>895564.94128000201</v>
      </c>
      <c r="K14" s="130"/>
      <c r="L14" s="130"/>
      <c r="M14" s="130"/>
      <c r="N14" s="130"/>
      <c r="O14" s="130">
        <f t="shared" si="2"/>
        <v>957587.47128000204</v>
      </c>
      <c r="P14" s="130">
        <f t="shared" si="3"/>
        <v>62022.53</v>
      </c>
      <c r="Q14" s="130">
        <f t="shared" si="4"/>
        <v>895564.94128000201</v>
      </c>
    </row>
    <row r="15" spans="1:17" s="131" customFormat="1" ht="15" customHeight="1" x14ac:dyDescent="0.25">
      <c r="A15" s="132">
        <v>1431</v>
      </c>
      <c r="B15" s="136" t="s">
        <v>110</v>
      </c>
      <c r="C15" s="134">
        <f>5137599.2108+384280.88</f>
        <v>5521880.0907999994</v>
      </c>
      <c r="D15" s="135"/>
      <c r="E15" s="135">
        <f t="shared" si="0"/>
        <v>5521880.0907999994</v>
      </c>
      <c r="F15" s="135"/>
      <c r="G15" s="135"/>
      <c r="H15" s="130">
        <v>453853</v>
      </c>
      <c r="I15" s="130">
        <v>361792.83</v>
      </c>
      <c r="J15" s="130">
        <f t="shared" si="1"/>
        <v>5160087.2607999993</v>
      </c>
      <c r="K15" s="130"/>
      <c r="L15" s="130"/>
      <c r="M15" s="130"/>
      <c r="N15" s="130"/>
      <c r="O15" s="130">
        <f t="shared" si="2"/>
        <v>5521880.0907999994</v>
      </c>
      <c r="P15" s="130">
        <f t="shared" si="3"/>
        <v>361792.83</v>
      </c>
      <c r="Q15" s="130">
        <f t="shared" si="4"/>
        <v>5160087.2607999993</v>
      </c>
    </row>
    <row r="16" spans="1:17" s="131" customFormat="1" ht="15.75" x14ac:dyDescent="0.25">
      <c r="A16" s="132">
        <v>1432</v>
      </c>
      <c r="B16" s="136" t="s">
        <v>111</v>
      </c>
      <c r="C16" s="134">
        <f>587154.197520001+51237.45</f>
        <v>638391.64752000093</v>
      </c>
      <c r="D16" s="135"/>
      <c r="E16" s="135">
        <f t="shared" si="0"/>
        <v>638391.64752000093</v>
      </c>
      <c r="F16" s="135"/>
      <c r="G16" s="135"/>
      <c r="H16" s="130">
        <v>52471</v>
      </c>
      <c r="I16" s="130">
        <v>41347.74</v>
      </c>
      <c r="J16" s="130">
        <f t="shared" si="1"/>
        <v>597043.90752000094</v>
      </c>
      <c r="K16" s="130"/>
      <c r="L16" s="130"/>
      <c r="M16" s="130"/>
      <c r="N16" s="130"/>
      <c r="O16" s="130">
        <f t="shared" si="2"/>
        <v>638391.64752000093</v>
      </c>
      <c r="P16" s="130">
        <f t="shared" si="3"/>
        <v>41347.74</v>
      </c>
      <c r="Q16" s="130">
        <f t="shared" si="4"/>
        <v>597043.90752000094</v>
      </c>
    </row>
    <row r="17" spans="1:17" s="131" customFormat="1" ht="15" customHeight="1" x14ac:dyDescent="0.25">
      <c r="A17" s="132">
        <v>1441</v>
      </c>
      <c r="B17" s="136" t="s">
        <v>112</v>
      </c>
      <c r="C17" s="135">
        <v>25000</v>
      </c>
      <c r="D17" s="137"/>
      <c r="E17" s="135">
        <f>+C17+D17</f>
        <v>25000</v>
      </c>
      <c r="F17" s="135"/>
      <c r="G17" s="135"/>
      <c r="H17" s="130">
        <v>2123</v>
      </c>
      <c r="I17" s="130"/>
      <c r="J17" s="130">
        <f t="shared" si="1"/>
        <v>25000</v>
      </c>
      <c r="K17" s="130"/>
      <c r="L17" s="130"/>
      <c r="M17" s="130"/>
      <c r="N17" s="130"/>
      <c r="O17" s="130">
        <f t="shared" si="2"/>
        <v>25000</v>
      </c>
      <c r="P17" s="130">
        <f t="shared" si="3"/>
        <v>0</v>
      </c>
      <c r="Q17" s="130">
        <f t="shared" si="4"/>
        <v>25000</v>
      </c>
    </row>
    <row r="18" spans="1:17" s="131" customFormat="1" ht="15.75" x14ac:dyDescent="0.25">
      <c r="A18" s="132">
        <v>1521</v>
      </c>
      <c r="B18" s="136" t="s">
        <v>113</v>
      </c>
      <c r="C18" s="135">
        <v>540000</v>
      </c>
      <c r="D18" s="137"/>
      <c r="E18" s="135">
        <f>+C18+D18</f>
        <v>540000</v>
      </c>
      <c r="F18" s="135"/>
      <c r="G18" s="135"/>
      <c r="H18" s="130">
        <v>45000</v>
      </c>
      <c r="I18" s="130"/>
      <c r="J18" s="130">
        <f t="shared" si="1"/>
        <v>540000</v>
      </c>
      <c r="K18" s="130"/>
      <c r="L18" s="130"/>
      <c r="M18" s="130"/>
      <c r="N18" s="130"/>
      <c r="O18" s="130">
        <f t="shared" si="2"/>
        <v>540000</v>
      </c>
      <c r="P18" s="130">
        <f t="shared" si="3"/>
        <v>0</v>
      </c>
      <c r="Q18" s="130">
        <f t="shared" si="4"/>
        <v>540000</v>
      </c>
    </row>
    <row r="19" spans="1:17" s="131" customFormat="1" ht="15" customHeight="1" x14ac:dyDescent="0.25">
      <c r="A19" s="132">
        <v>1543</v>
      </c>
      <c r="B19" s="136" t="s">
        <v>114</v>
      </c>
      <c r="C19" s="134">
        <v>711880</v>
      </c>
      <c r="D19" s="135"/>
      <c r="E19" s="135">
        <f t="shared" si="0"/>
        <v>711880</v>
      </c>
      <c r="F19" s="135"/>
      <c r="G19" s="135"/>
      <c r="H19" s="130">
        <v>167440</v>
      </c>
      <c r="I19" s="130">
        <v>42700</v>
      </c>
      <c r="J19" s="130">
        <f t="shared" si="1"/>
        <v>669180</v>
      </c>
      <c r="K19" s="130"/>
      <c r="L19" s="130"/>
      <c r="M19" s="130"/>
      <c r="N19" s="130"/>
      <c r="O19" s="130">
        <f t="shared" si="2"/>
        <v>711880</v>
      </c>
      <c r="P19" s="130">
        <f t="shared" si="3"/>
        <v>42700</v>
      </c>
      <c r="Q19" s="130">
        <f t="shared" si="4"/>
        <v>669180</v>
      </c>
    </row>
    <row r="20" spans="1:17" s="131" customFormat="1" ht="15.75" x14ac:dyDescent="0.25">
      <c r="A20" s="132">
        <v>1611</v>
      </c>
      <c r="B20" s="136" t="s">
        <v>115</v>
      </c>
      <c r="C20" s="134">
        <f>1650000+985000</f>
        <v>2635000</v>
      </c>
      <c r="D20" s="134"/>
      <c r="E20" s="135">
        <f t="shared" si="0"/>
        <v>2635000</v>
      </c>
      <c r="F20" s="135"/>
      <c r="G20" s="135"/>
      <c r="H20" s="130">
        <v>219583</v>
      </c>
      <c r="I20" s="130"/>
      <c r="J20" s="130">
        <f t="shared" si="1"/>
        <v>2635000</v>
      </c>
      <c r="K20" s="130"/>
      <c r="L20" s="130"/>
      <c r="M20" s="130"/>
      <c r="N20" s="130"/>
      <c r="O20" s="130">
        <f t="shared" si="2"/>
        <v>2635000</v>
      </c>
      <c r="P20" s="130">
        <f t="shared" si="3"/>
        <v>0</v>
      </c>
      <c r="Q20" s="130">
        <f t="shared" si="4"/>
        <v>2635000</v>
      </c>
    </row>
    <row r="21" spans="1:17" s="131" customFormat="1" ht="15" customHeight="1" x14ac:dyDescent="0.25">
      <c r="A21" s="132">
        <v>1712</v>
      </c>
      <c r="B21" s="136" t="s">
        <v>116</v>
      </c>
      <c r="C21" s="134">
        <f>2380261.47840001+217453.56</f>
        <v>2597715.0384000102</v>
      </c>
      <c r="D21" s="135"/>
      <c r="E21" s="135">
        <f t="shared" si="0"/>
        <v>2597715.0384000102</v>
      </c>
      <c r="F21" s="135"/>
      <c r="G21" s="135"/>
      <c r="H21" s="130">
        <v>216476</v>
      </c>
      <c r="I21" s="130">
        <v>183499</v>
      </c>
      <c r="J21" s="130">
        <f t="shared" si="1"/>
        <v>2414216.0384000102</v>
      </c>
      <c r="K21" s="130"/>
      <c r="L21" s="130"/>
      <c r="M21" s="130"/>
      <c r="N21" s="130"/>
      <c r="O21" s="130">
        <f t="shared" si="2"/>
        <v>2597715.0384000102</v>
      </c>
      <c r="P21" s="130">
        <f t="shared" si="3"/>
        <v>183499</v>
      </c>
      <c r="Q21" s="130">
        <f t="shared" si="4"/>
        <v>2414216.0384000102</v>
      </c>
    </row>
    <row r="22" spans="1:17" s="131" customFormat="1" ht="15.75" x14ac:dyDescent="0.25">
      <c r="A22" s="138">
        <v>1713</v>
      </c>
      <c r="B22" s="139" t="s">
        <v>117</v>
      </c>
      <c r="C22" s="134">
        <f>141036+1512570</f>
        <v>1653606</v>
      </c>
      <c r="D22" s="135"/>
      <c r="E22" s="135">
        <f>C22+D22</f>
        <v>1653606</v>
      </c>
      <c r="F22" s="135"/>
      <c r="G22" s="135"/>
      <c r="H22" s="130">
        <v>137800</v>
      </c>
      <c r="I22" s="130">
        <v>114369.44</v>
      </c>
      <c r="J22" s="130">
        <f t="shared" si="1"/>
        <v>1539236.56</v>
      </c>
      <c r="K22" s="130"/>
      <c r="L22" s="130"/>
      <c r="M22" s="130"/>
      <c r="N22" s="130"/>
      <c r="O22" s="130">
        <f t="shared" si="2"/>
        <v>1653606</v>
      </c>
      <c r="P22" s="130">
        <f t="shared" si="3"/>
        <v>114369.44</v>
      </c>
      <c r="Q22" s="130">
        <f t="shared" si="4"/>
        <v>1539236.56</v>
      </c>
    </row>
    <row r="23" spans="1:17" s="131" customFormat="1" ht="15" customHeight="1" x14ac:dyDescent="0.25">
      <c r="A23" s="132">
        <v>1715</v>
      </c>
      <c r="B23" s="136" t="s">
        <v>118</v>
      </c>
      <c r="C23" s="140">
        <f>0+106744.69+1181986</f>
        <v>1288730.69</v>
      </c>
      <c r="D23" s="135"/>
      <c r="E23" s="135">
        <f t="shared" si="0"/>
        <v>1288730.69</v>
      </c>
      <c r="F23" s="135"/>
      <c r="G23" s="135"/>
      <c r="H23" s="130"/>
      <c r="I23" s="130"/>
      <c r="J23" s="130">
        <f t="shared" si="1"/>
        <v>1288730.69</v>
      </c>
      <c r="K23" s="130"/>
      <c r="L23" s="130"/>
      <c r="M23" s="130"/>
      <c r="N23" s="130"/>
      <c r="O23" s="130">
        <f t="shared" si="2"/>
        <v>1288730.69</v>
      </c>
      <c r="P23" s="130">
        <f t="shared" si="3"/>
        <v>0</v>
      </c>
      <c r="Q23" s="130">
        <f t="shared" si="4"/>
        <v>1288730.69</v>
      </c>
    </row>
    <row r="24" spans="1:17" s="131" customFormat="1" ht="15.75" x14ac:dyDescent="0.25">
      <c r="A24" s="132">
        <v>1716</v>
      </c>
      <c r="B24" s="136" t="s">
        <v>119</v>
      </c>
      <c r="C24" s="135">
        <v>514800</v>
      </c>
      <c r="D24" s="137"/>
      <c r="E24" s="135">
        <f>+C24+D24</f>
        <v>514800</v>
      </c>
      <c r="F24" s="135"/>
      <c r="G24" s="135"/>
      <c r="H24" s="130">
        <v>42900</v>
      </c>
      <c r="I24" s="130"/>
      <c r="J24" s="130">
        <f t="shared" si="1"/>
        <v>514800</v>
      </c>
      <c r="K24" s="130"/>
      <c r="L24" s="130"/>
      <c r="M24" s="130"/>
      <c r="N24" s="130"/>
      <c r="O24" s="130">
        <f t="shared" si="2"/>
        <v>514800</v>
      </c>
      <c r="P24" s="130">
        <f t="shared" si="3"/>
        <v>0</v>
      </c>
      <c r="Q24" s="130">
        <f t="shared" si="4"/>
        <v>514800</v>
      </c>
    </row>
    <row r="25" spans="1:17" s="145" customFormat="1" ht="15" customHeight="1" x14ac:dyDescent="0.25">
      <c r="A25" s="141"/>
      <c r="B25" s="142" t="s">
        <v>120</v>
      </c>
      <c r="C25" s="143">
        <f>SUM(C7:C24)</f>
        <v>57958819.698668465</v>
      </c>
      <c r="D25" s="143">
        <f>SUM(D7:D24)</f>
        <v>0</v>
      </c>
      <c r="E25" s="144">
        <f t="shared" ref="E25:E58" si="5">C25+D25</f>
        <v>57958819.698668465</v>
      </c>
      <c r="F25" s="143">
        <f t="shared" ref="F25:G25" si="6">SUM(F7:F24)</f>
        <v>0</v>
      </c>
      <c r="G25" s="143">
        <f t="shared" si="6"/>
        <v>0</v>
      </c>
      <c r="H25" s="144">
        <f>SUM(H7:H24)</f>
        <v>4479536</v>
      </c>
      <c r="I25" s="144">
        <f t="shared" ref="I25:Q25" si="7">SUM(I7:I24)</f>
        <v>3405187.5999999996</v>
      </c>
      <c r="J25" s="144">
        <f t="shared" si="7"/>
        <v>54553632.098668464</v>
      </c>
      <c r="K25" s="144">
        <f t="shared" si="7"/>
        <v>0</v>
      </c>
      <c r="L25" s="144">
        <f t="shared" si="7"/>
        <v>0</v>
      </c>
      <c r="M25" s="144">
        <f t="shared" si="7"/>
        <v>0</v>
      </c>
      <c r="N25" s="144">
        <f t="shared" si="7"/>
        <v>0</v>
      </c>
      <c r="O25" s="144">
        <f t="shared" si="7"/>
        <v>57958819.698668465</v>
      </c>
      <c r="P25" s="144">
        <f t="shared" si="7"/>
        <v>3405187.5999999996</v>
      </c>
      <c r="Q25" s="144">
        <f t="shared" si="7"/>
        <v>54553632.098668464</v>
      </c>
    </row>
    <row r="26" spans="1:17" s="131" customFormat="1" ht="15.75" x14ac:dyDescent="0.25">
      <c r="A26" s="138">
        <v>2111</v>
      </c>
      <c r="B26" s="146" t="s">
        <v>121</v>
      </c>
      <c r="C26" s="135">
        <v>100182.24320000001</v>
      </c>
      <c r="D26" s="135"/>
      <c r="E26" s="135">
        <f t="shared" si="5"/>
        <v>100182.24320000001</v>
      </c>
      <c r="F26" s="135"/>
      <c r="G26" s="135"/>
      <c r="H26" s="130">
        <v>8349</v>
      </c>
      <c r="I26" s="130">
        <v>9912.9699999999993</v>
      </c>
      <c r="J26" s="130">
        <f>E26-I26</f>
        <v>90269.273200000011</v>
      </c>
      <c r="K26" s="130"/>
      <c r="L26" s="130"/>
      <c r="M26" s="130"/>
      <c r="N26" s="130"/>
      <c r="O26" s="130">
        <f t="shared" si="2"/>
        <v>100182.24320000001</v>
      </c>
      <c r="P26" s="130">
        <f t="shared" si="3"/>
        <v>9912.9699999999993</v>
      </c>
      <c r="Q26" s="130">
        <f t="shared" si="4"/>
        <v>90269.273200000011</v>
      </c>
    </row>
    <row r="27" spans="1:17" s="131" customFormat="1" ht="30.75" x14ac:dyDescent="0.25">
      <c r="A27" s="138">
        <v>2141</v>
      </c>
      <c r="B27" s="147" t="s">
        <v>122</v>
      </c>
      <c r="C27" s="135">
        <v>25000</v>
      </c>
      <c r="D27" s="135"/>
      <c r="E27" s="135">
        <f t="shared" si="5"/>
        <v>25000</v>
      </c>
      <c r="F27" s="135"/>
      <c r="G27" s="135"/>
      <c r="H27" s="130"/>
      <c r="I27" s="130"/>
      <c r="J27" s="130">
        <f t="shared" ref="J27:J90" si="8">E27-I27</f>
        <v>25000</v>
      </c>
      <c r="K27" s="130"/>
      <c r="L27" s="130"/>
      <c r="M27" s="130"/>
      <c r="N27" s="130"/>
      <c r="O27" s="130">
        <f t="shared" si="2"/>
        <v>25000</v>
      </c>
      <c r="P27" s="130">
        <f t="shared" si="3"/>
        <v>0</v>
      </c>
      <c r="Q27" s="130">
        <f t="shared" si="4"/>
        <v>25000</v>
      </c>
    </row>
    <row r="28" spans="1:17" s="131" customFormat="1" ht="15.75" x14ac:dyDescent="0.25">
      <c r="A28" s="138">
        <v>2161</v>
      </c>
      <c r="B28" s="146" t="s">
        <v>123</v>
      </c>
      <c r="C28" s="135">
        <v>899616.66080000007</v>
      </c>
      <c r="D28" s="135"/>
      <c r="E28" s="135">
        <f t="shared" si="5"/>
        <v>899616.66080000007</v>
      </c>
      <c r="F28" s="135"/>
      <c r="G28" s="135"/>
      <c r="H28" s="130">
        <v>64686.06</v>
      </c>
      <c r="I28" s="130">
        <v>62801.919999999998</v>
      </c>
      <c r="J28" s="130">
        <f t="shared" si="8"/>
        <v>836814.74080000003</v>
      </c>
      <c r="K28" s="130"/>
      <c r="L28" s="130"/>
      <c r="M28" s="130"/>
      <c r="N28" s="130"/>
      <c r="O28" s="130">
        <f t="shared" si="2"/>
        <v>899616.66080000007</v>
      </c>
      <c r="P28" s="130">
        <f t="shared" si="3"/>
        <v>62801.919999999998</v>
      </c>
      <c r="Q28" s="130">
        <f t="shared" si="4"/>
        <v>836814.74080000003</v>
      </c>
    </row>
    <row r="29" spans="1:17" s="131" customFormat="1" ht="15" customHeight="1" x14ac:dyDescent="0.25">
      <c r="A29" s="138">
        <v>2171</v>
      </c>
      <c r="B29" s="146" t="s">
        <v>124</v>
      </c>
      <c r="C29" s="135">
        <v>243450</v>
      </c>
      <c r="D29" s="135">
        <v>10000</v>
      </c>
      <c r="E29" s="135">
        <f t="shared" si="5"/>
        <v>253450</v>
      </c>
      <c r="F29" s="135"/>
      <c r="G29" s="135"/>
      <c r="H29" s="130">
        <f t="shared" ref="H29" si="9">C29/12</f>
        <v>20287.5</v>
      </c>
      <c r="I29" s="130">
        <v>24423.87</v>
      </c>
      <c r="J29" s="130">
        <f t="shared" si="8"/>
        <v>229026.13</v>
      </c>
      <c r="K29" s="130"/>
      <c r="L29" s="130"/>
      <c r="M29" s="130"/>
      <c r="N29" s="130"/>
      <c r="O29" s="130">
        <f t="shared" si="2"/>
        <v>253450</v>
      </c>
      <c r="P29" s="130">
        <f t="shared" si="3"/>
        <v>24423.87</v>
      </c>
      <c r="Q29" s="130">
        <f t="shared" si="4"/>
        <v>229026.13</v>
      </c>
    </row>
    <row r="30" spans="1:17" s="131" customFormat="1" ht="45.75" x14ac:dyDescent="0.25">
      <c r="A30" s="138">
        <v>2212</v>
      </c>
      <c r="B30" s="147" t="s">
        <v>125</v>
      </c>
      <c r="C30" s="140">
        <v>5305045.78</v>
      </c>
      <c r="D30" s="135">
        <v>1000000</v>
      </c>
      <c r="E30" s="135">
        <f t="shared" si="5"/>
        <v>6305045.7800000003</v>
      </c>
      <c r="F30" s="135"/>
      <c r="G30" s="135"/>
      <c r="H30" s="130">
        <v>442087.16</v>
      </c>
      <c r="I30" s="130">
        <v>269517.18</v>
      </c>
      <c r="J30" s="130">
        <f t="shared" si="8"/>
        <v>6035528.6000000006</v>
      </c>
      <c r="K30" s="130"/>
      <c r="L30" s="130"/>
      <c r="M30" s="130"/>
      <c r="N30" s="130"/>
      <c r="O30" s="130">
        <f t="shared" si="2"/>
        <v>6305045.7800000003</v>
      </c>
      <c r="P30" s="130">
        <f t="shared" si="3"/>
        <v>269517.18</v>
      </c>
      <c r="Q30" s="130">
        <f t="shared" si="4"/>
        <v>6035528.6000000006</v>
      </c>
    </row>
    <row r="31" spans="1:17" s="131" customFormat="1" ht="30.75" x14ac:dyDescent="0.25">
      <c r="A31" s="138">
        <v>2214</v>
      </c>
      <c r="B31" s="147" t="s">
        <v>126</v>
      </c>
      <c r="C31" s="135">
        <f>1076260.9312</f>
        <v>1076260.9312</v>
      </c>
      <c r="D31" s="148"/>
      <c r="E31" s="135">
        <f t="shared" si="5"/>
        <v>1076260.9312</v>
      </c>
      <c r="F31" s="135"/>
      <c r="G31" s="135"/>
      <c r="H31" s="130">
        <v>69400.37</v>
      </c>
      <c r="I31" s="130">
        <v>67379.3</v>
      </c>
      <c r="J31" s="130">
        <f t="shared" si="8"/>
        <v>1008881.6311999999</v>
      </c>
      <c r="K31" s="130"/>
      <c r="L31" s="130"/>
      <c r="M31" s="130"/>
      <c r="N31" s="130"/>
      <c r="O31" s="130">
        <f t="shared" si="2"/>
        <v>1076260.9312</v>
      </c>
      <c r="P31" s="130">
        <f t="shared" si="3"/>
        <v>67379.3</v>
      </c>
      <c r="Q31" s="130">
        <f t="shared" si="4"/>
        <v>1008881.6311999999</v>
      </c>
    </row>
    <row r="32" spans="1:17" s="131" customFormat="1" ht="15.75" x14ac:dyDescent="0.25">
      <c r="A32" s="138">
        <v>2231</v>
      </c>
      <c r="B32" s="146" t="s">
        <v>127</v>
      </c>
      <c r="C32" s="135">
        <v>155673</v>
      </c>
      <c r="D32" s="148"/>
      <c r="E32" s="135">
        <f t="shared" si="5"/>
        <v>155673</v>
      </c>
      <c r="F32" s="135"/>
      <c r="G32" s="135"/>
      <c r="H32" s="130">
        <v>4482.5600000000004</v>
      </c>
      <c r="I32" s="130">
        <v>4352.1499999999996</v>
      </c>
      <c r="J32" s="130">
        <f t="shared" si="8"/>
        <v>151320.85</v>
      </c>
      <c r="K32" s="130"/>
      <c r="L32" s="130"/>
      <c r="M32" s="130"/>
      <c r="N32" s="130"/>
      <c r="O32" s="130">
        <f t="shared" si="2"/>
        <v>155673</v>
      </c>
      <c r="P32" s="130">
        <f t="shared" si="3"/>
        <v>4352.1499999999996</v>
      </c>
      <c r="Q32" s="130">
        <f t="shared" si="4"/>
        <v>151320.85</v>
      </c>
    </row>
    <row r="33" spans="1:17" s="131" customFormat="1" ht="15" customHeight="1" x14ac:dyDescent="0.25">
      <c r="A33" s="138">
        <v>2411</v>
      </c>
      <c r="B33" s="146" t="s">
        <v>128</v>
      </c>
      <c r="C33" s="135">
        <v>112500</v>
      </c>
      <c r="D33" s="135"/>
      <c r="E33" s="135">
        <f t="shared" si="5"/>
        <v>112500</v>
      </c>
      <c r="F33" s="135"/>
      <c r="G33" s="135"/>
      <c r="H33" s="130"/>
      <c r="I33" s="130">
        <f>17643.78+708.26</f>
        <v>18352.039999999997</v>
      </c>
      <c r="J33" s="130">
        <f t="shared" si="8"/>
        <v>94147.96</v>
      </c>
      <c r="K33" s="130"/>
      <c r="L33" s="130"/>
      <c r="M33" s="130"/>
      <c r="N33" s="130"/>
      <c r="O33" s="130">
        <f t="shared" si="2"/>
        <v>112500</v>
      </c>
      <c r="P33" s="130">
        <f t="shared" si="3"/>
        <v>18352.039999999997</v>
      </c>
      <c r="Q33" s="130">
        <f t="shared" si="4"/>
        <v>94147.96</v>
      </c>
    </row>
    <row r="34" spans="1:17" s="131" customFormat="1" ht="15.75" x14ac:dyDescent="0.25">
      <c r="A34" s="138">
        <v>2421</v>
      </c>
      <c r="B34" s="146" t="s">
        <v>129</v>
      </c>
      <c r="C34" s="135">
        <v>125000</v>
      </c>
      <c r="D34" s="135"/>
      <c r="E34" s="135">
        <f t="shared" si="5"/>
        <v>125000</v>
      </c>
      <c r="F34" s="135"/>
      <c r="G34" s="135"/>
      <c r="H34" s="130"/>
      <c r="I34" s="130">
        <v>2517.4499999999998</v>
      </c>
      <c r="J34" s="130">
        <f t="shared" si="8"/>
        <v>122482.55</v>
      </c>
      <c r="K34" s="130"/>
      <c r="L34" s="130"/>
      <c r="M34" s="130"/>
      <c r="N34" s="130"/>
      <c r="O34" s="130">
        <f t="shared" si="2"/>
        <v>125000</v>
      </c>
      <c r="P34" s="130">
        <f t="shared" si="3"/>
        <v>2517.4499999999998</v>
      </c>
      <c r="Q34" s="130">
        <f t="shared" si="4"/>
        <v>122482.55</v>
      </c>
    </row>
    <row r="35" spans="1:17" s="131" customFormat="1" ht="15" customHeight="1" x14ac:dyDescent="0.25">
      <c r="A35" s="138">
        <v>2431</v>
      </c>
      <c r="B35" s="146" t="s">
        <v>130</v>
      </c>
      <c r="C35" s="135">
        <v>95000</v>
      </c>
      <c r="D35" s="135"/>
      <c r="E35" s="135">
        <f t="shared" si="5"/>
        <v>95000</v>
      </c>
      <c r="F35" s="135"/>
      <c r="G35" s="135"/>
      <c r="H35" s="130"/>
      <c r="I35" s="130"/>
      <c r="J35" s="130">
        <f t="shared" si="8"/>
        <v>95000</v>
      </c>
      <c r="K35" s="130"/>
      <c r="L35" s="130"/>
      <c r="M35" s="130"/>
      <c r="N35" s="130"/>
      <c r="O35" s="130">
        <f t="shared" si="2"/>
        <v>95000</v>
      </c>
      <c r="P35" s="130">
        <f t="shared" si="3"/>
        <v>0</v>
      </c>
      <c r="Q35" s="130">
        <f t="shared" si="4"/>
        <v>95000</v>
      </c>
    </row>
    <row r="36" spans="1:17" s="131" customFormat="1" ht="15.75" x14ac:dyDescent="0.25">
      <c r="A36" s="138">
        <v>2441</v>
      </c>
      <c r="B36" s="146" t="s">
        <v>131</v>
      </c>
      <c r="C36" s="135">
        <v>85000</v>
      </c>
      <c r="D36" s="135"/>
      <c r="E36" s="135">
        <f t="shared" si="5"/>
        <v>85000</v>
      </c>
      <c r="F36" s="135"/>
      <c r="G36" s="135"/>
      <c r="H36" s="130"/>
      <c r="I36" s="130">
        <v>11535.94</v>
      </c>
      <c r="J36" s="130">
        <f t="shared" si="8"/>
        <v>73464.06</v>
      </c>
      <c r="K36" s="130"/>
      <c r="L36" s="130"/>
      <c r="M36" s="130"/>
      <c r="N36" s="130"/>
      <c r="O36" s="130">
        <f t="shared" si="2"/>
        <v>85000</v>
      </c>
      <c r="P36" s="130">
        <f t="shared" si="3"/>
        <v>11535.94</v>
      </c>
      <c r="Q36" s="130">
        <f t="shared" si="4"/>
        <v>73464.06</v>
      </c>
    </row>
    <row r="37" spans="1:17" s="131" customFormat="1" ht="15" customHeight="1" x14ac:dyDescent="0.25">
      <c r="A37" s="138">
        <v>2451</v>
      </c>
      <c r="B37" s="146" t="s">
        <v>132</v>
      </c>
      <c r="C37" s="135">
        <v>105000</v>
      </c>
      <c r="D37" s="148"/>
      <c r="E37" s="135">
        <f t="shared" si="5"/>
        <v>105000</v>
      </c>
      <c r="F37" s="135"/>
      <c r="G37" s="135"/>
      <c r="H37" s="130"/>
      <c r="I37" s="130"/>
      <c r="J37" s="130">
        <f t="shared" si="8"/>
        <v>105000</v>
      </c>
      <c r="K37" s="130"/>
      <c r="L37" s="130"/>
      <c r="M37" s="130"/>
      <c r="N37" s="130"/>
      <c r="O37" s="130">
        <f t="shared" si="2"/>
        <v>105000</v>
      </c>
      <c r="P37" s="130">
        <f t="shared" si="3"/>
        <v>0</v>
      </c>
      <c r="Q37" s="130">
        <f t="shared" si="4"/>
        <v>105000</v>
      </c>
    </row>
    <row r="38" spans="1:17" s="131" customFormat="1" ht="15.75" x14ac:dyDescent="0.25">
      <c r="A38" s="138">
        <v>2461</v>
      </c>
      <c r="B38" s="146" t="s">
        <v>133</v>
      </c>
      <c r="C38" s="135">
        <f>229928*1.2</f>
        <v>275913.59999999998</v>
      </c>
      <c r="D38" s="148"/>
      <c r="E38" s="135">
        <f t="shared" si="5"/>
        <v>275913.59999999998</v>
      </c>
      <c r="F38" s="135"/>
      <c r="G38" s="135"/>
      <c r="H38" s="130">
        <v>6106.87</v>
      </c>
      <c r="I38" s="130">
        <v>5929.22</v>
      </c>
      <c r="J38" s="130">
        <f t="shared" si="8"/>
        <v>269984.38</v>
      </c>
      <c r="K38" s="130"/>
      <c r="L38" s="130"/>
      <c r="M38" s="130"/>
      <c r="N38" s="130"/>
      <c r="O38" s="130">
        <f t="shared" si="2"/>
        <v>275913.59999999998</v>
      </c>
      <c r="P38" s="130">
        <f t="shared" si="3"/>
        <v>5929.22</v>
      </c>
      <c r="Q38" s="130">
        <f t="shared" si="4"/>
        <v>269984.38</v>
      </c>
    </row>
    <row r="39" spans="1:17" s="131" customFormat="1" ht="15" customHeight="1" x14ac:dyDescent="0.25">
      <c r="A39" s="138">
        <v>2471</v>
      </c>
      <c r="B39" s="146" t="s">
        <v>134</v>
      </c>
      <c r="C39" s="135">
        <f>29110.37+1.2</f>
        <v>29111.57</v>
      </c>
      <c r="D39" s="135"/>
      <c r="E39" s="135">
        <f t="shared" si="5"/>
        <v>29111.57</v>
      </c>
      <c r="F39" s="135"/>
      <c r="G39" s="135"/>
      <c r="H39" s="130">
        <v>47290.39</v>
      </c>
      <c r="I39" s="130">
        <f>9806.64+3701.22</f>
        <v>13507.859999999999</v>
      </c>
      <c r="J39" s="130">
        <f t="shared" si="8"/>
        <v>15603.710000000001</v>
      </c>
      <c r="K39" s="130"/>
      <c r="L39" s="130"/>
      <c r="M39" s="130"/>
      <c r="N39" s="130"/>
      <c r="O39" s="130">
        <f t="shared" si="2"/>
        <v>29111.57</v>
      </c>
      <c r="P39" s="130">
        <f t="shared" si="3"/>
        <v>13507.859999999999</v>
      </c>
      <c r="Q39" s="130">
        <f t="shared" si="4"/>
        <v>15603.710000000001</v>
      </c>
    </row>
    <row r="40" spans="1:17" s="131" customFormat="1" ht="15.75" x14ac:dyDescent="0.25">
      <c r="A40" s="138">
        <v>2481</v>
      </c>
      <c r="B40" s="146" t="s">
        <v>135</v>
      </c>
      <c r="C40" s="135">
        <v>25000</v>
      </c>
      <c r="D40" s="148"/>
      <c r="E40" s="135">
        <f t="shared" si="5"/>
        <v>25000</v>
      </c>
      <c r="F40" s="135"/>
      <c r="G40" s="135"/>
      <c r="H40" s="130"/>
      <c r="I40" s="130"/>
      <c r="J40" s="130">
        <f t="shared" si="8"/>
        <v>25000</v>
      </c>
      <c r="K40" s="130"/>
      <c r="L40" s="130"/>
      <c r="M40" s="130"/>
      <c r="N40" s="130"/>
      <c r="O40" s="130">
        <f t="shared" si="2"/>
        <v>25000</v>
      </c>
      <c r="P40" s="130">
        <f t="shared" si="3"/>
        <v>0</v>
      </c>
      <c r="Q40" s="130">
        <f t="shared" si="4"/>
        <v>25000</v>
      </c>
    </row>
    <row r="41" spans="1:17" s="131" customFormat="1" ht="30.75" x14ac:dyDescent="0.25">
      <c r="A41" s="138">
        <v>2491</v>
      </c>
      <c r="B41" s="147" t="s">
        <v>136</v>
      </c>
      <c r="C41" s="135">
        <v>25000</v>
      </c>
      <c r="D41" s="148"/>
      <c r="E41" s="135">
        <f t="shared" si="5"/>
        <v>25000</v>
      </c>
      <c r="F41" s="135"/>
      <c r="G41" s="135"/>
      <c r="H41" s="130"/>
      <c r="I41" s="130"/>
      <c r="J41" s="130">
        <f t="shared" si="8"/>
        <v>25000</v>
      </c>
      <c r="K41" s="130"/>
      <c r="L41" s="130"/>
      <c r="M41" s="130"/>
      <c r="N41" s="130"/>
      <c r="O41" s="130">
        <f t="shared" si="2"/>
        <v>25000</v>
      </c>
      <c r="P41" s="130">
        <f t="shared" si="3"/>
        <v>0</v>
      </c>
      <c r="Q41" s="130">
        <f t="shared" si="4"/>
        <v>25000</v>
      </c>
    </row>
    <row r="42" spans="1:17" s="131" customFormat="1" ht="15.75" x14ac:dyDescent="0.25">
      <c r="A42" s="138">
        <v>2521</v>
      </c>
      <c r="B42" s="146" t="s">
        <v>137</v>
      </c>
      <c r="C42" s="135">
        <v>0</v>
      </c>
      <c r="D42" s="135">
        <v>20000</v>
      </c>
      <c r="E42" s="135">
        <f t="shared" si="5"/>
        <v>20000</v>
      </c>
      <c r="F42" s="135"/>
      <c r="G42" s="135"/>
      <c r="H42" s="130"/>
      <c r="I42" s="130"/>
      <c r="J42" s="130">
        <f t="shared" si="8"/>
        <v>20000</v>
      </c>
      <c r="K42" s="130"/>
      <c r="L42" s="130"/>
      <c r="M42" s="130"/>
      <c r="N42" s="130"/>
      <c r="O42" s="130">
        <f t="shared" si="2"/>
        <v>20000</v>
      </c>
      <c r="P42" s="130">
        <f t="shared" si="3"/>
        <v>0</v>
      </c>
      <c r="Q42" s="130">
        <f t="shared" si="4"/>
        <v>20000</v>
      </c>
    </row>
    <row r="43" spans="1:17" s="131" customFormat="1" ht="15" customHeight="1" x14ac:dyDescent="0.25">
      <c r="A43" s="138">
        <v>2531</v>
      </c>
      <c r="B43" s="146" t="s">
        <v>138</v>
      </c>
      <c r="C43" s="135">
        <f>2189939.44</f>
        <v>2189939.44</v>
      </c>
      <c r="D43" s="135">
        <f>350000+25000</f>
        <v>375000</v>
      </c>
      <c r="E43" s="135">
        <f t="shared" si="5"/>
        <v>2564939.44</v>
      </c>
      <c r="F43" s="135"/>
      <c r="G43" s="135"/>
      <c r="H43" s="130">
        <v>123251.86</v>
      </c>
      <c r="I43" s="130">
        <v>119661.78</v>
      </c>
      <c r="J43" s="130">
        <f t="shared" si="8"/>
        <v>2445277.66</v>
      </c>
      <c r="K43" s="130"/>
      <c r="L43" s="130"/>
      <c r="M43" s="130"/>
      <c r="N43" s="130"/>
      <c r="O43" s="130">
        <f t="shared" si="2"/>
        <v>2564939.44</v>
      </c>
      <c r="P43" s="130">
        <f t="shared" si="3"/>
        <v>119661.78</v>
      </c>
      <c r="Q43" s="130">
        <f t="shared" si="4"/>
        <v>2445277.66</v>
      </c>
    </row>
    <row r="44" spans="1:17" s="131" customFormat="1" ht="15.75" x14ac:dyDescent="0.25">
      <c r="A44" s="138">
        <v>2541</v>
      </c>
      <c r="B44" s="146" t="s">
        <v>139</v>
      </c>
      <c r="C44" s="135">
        <v>173372.78399999999</v>
      </c>
      <c r="D44" s="148"/>
      <c r="E44" s="135">
        <f t="shared" si="5"/>
        <v>173372.78399999999</v>
      </c>
      <c r="F44" s="135"/>
      <c r="G44" s="135"/>
      <c r="H44" s="130">
        <v>12137.52</v>
      </c>
      <c r="I44" s="130">
        <v>11784.32</v>
      </c>
      <c r="J44" s="130">
        <f t="shared" si="8"/>
        <v>161588.46399999998</v>
      </c>
      <c r="K44" s="130"/>
      <c r="L44" s="130"/>
      <c r="M44" s="130"/>
      <c r="N44" s="130"/>
      <c r="O44" s="130">
        <f t="shared" si="2"/>
        <v>173372.78399999999</v>
      </c>
      <c r="P44" s="130">
        <f t="shared" si="3"/>
        <v>11784.32</v>
      </c>
      <c r="Q44" s="130">
        <f t="shared" si="4"/>
        <v>161588.46399999998</v>
      </c>
    </row>
    <row r="45" spans="1:17" s="131" customFormat="1" ht="15" customHeight="1" x14ac:dyDescent="0.25">
      <c r="A45" s="138">
        <v>2551</v>
      </c>
      <c r="B45" s="146" t="s">
        <v>140</v>
      </c>
      <c r="C45" s="135">
        <v>0</v>
      </c>
      <c r="D45" s="148"/>
      <c r="E45" s="135">
        <f t="shared" si="5"/>
        <v>0</v>
      </c>
      <c r="F45" s="135"/>
      <c r="G45" s="135"/>
      <c r="H45" s="130"/>
      <c r="I45" s="130"/>
      <c r="J45" s="130">
        <f t="shared" si="8"/>
        <v>0</v>
      </c>
      <c r="K45" s="130"/>
      <c r="L45" s="130"/>
      <c r="M45" s="130"/>
      <c r="N45" s="130"/>
      <c r="O45" s="130">
        <f t="shared" si="2"/>
        <v>0</v>
      </c>
      <c r="P45" s="130">
        <f t="shared" si="3"/>
        <v>0</v>
      </c>
      <c r="Q45" s="130">
        <f t="shared" si="4"/>
        <v>0</v>
      </c>
    </row>
    <row r="46" spans="1:17" s="131" customFormat="1" ht="45.75" x14ac:dyDescent="0.25">
      <c r="A46" s="138">
        <v>2611</v>
      </c>
      <c r="B46" s="147" t="s">
        <v>141</v>
      </c>
      <c r="C46" s="135">
        <f>(1149164.2368*36.27/100)*1.2</f>
        <v>500162.24242483207</v>
      </c>
      <c r="D46" s="148"/>
      <c r="E46" s="135">
        <f t="shared" si="5"/>
        <v>500162.24242483207</v>
      </c>
      <c r="F46" s="135"/>
      <c r="G46" s="135"/>
      <c r="H46" s="130">
        <v>26016.77</v>
      </c>
      <c r="I46" s="130">
        <v>25259.02</v>
      </c>
      <c r="J46" s="130">
        <f t="shared" si="8"/>
        <v>474903.22242483206</v>
      </c>
      <c r="K46" s="130"/>
      <c r="L46" s="130"/>
      <c r="M46" s="130"/>
      <c r="N46" s="130"/>
      <c r="O46" s="130">
        <f t="shared" si="2"/>
        <v>500162.24242483207</v>
      </c>
      <c r="P46" s="130">
        <f t="shared" si="3"/>
        <v>25259.02</v>
      </c>
      <c r="Q46" s="130">
        <f t="shared" si="4"/>
        <v>474903.22242483206</v>
      </c>
    </row>
    <row r="47" spans="1:17" s="131" customFormat="1" ht="30.75" x14ac:dyDescent="0.25">
      <c r="A47" s="138">
        <v>2614</v>
      </c>
      <c r="B47" s="147" t="s">
        <v>142</v>
      </c>
      <c r="C47" s="135">
        <f>(1149164.2368*63.73/100)*1.2</f>
        <v>878834.84173516813</v>
      </c>
      <c r="D47" s="148"/>
      <c r="E47" s="135">
        <f t="shared" si="5"/>
        <v>878834.84173516813</v>
      </c>
      <c r="F47" s="135"/>
      <c r="G47" s="135"/>
      <c r="H47" s="130">
        <v>71111.199999999997</v>
      </c>
      <c r="I47" s="130">
        <v>69040.02</v>
      </c>
      <c r="J47" s="130">
        <f t="shared" si="8"/>
        <v>809794.82173516811</v>
      </c>
      <c r="K47" s="130"/>
      <c r="L47" s="130"/>
      <c r="M47" s="130"/>
      <c r="N47" s="130"/>
      <c r="O47" s="130">
        <f t="shared" si="2"/>
        <v>878834.84173516813</v>
      </c>
      <c r="P47" s="130">
        <f t="shared" si="3"/>
        <v>69040.02</v>
      </c>
      <c r="Q47" s="130">
        <f t="shared" si="4"/>
        <v>809794.82173516811</v>
      </c>
    </row>
    <row r="48" spans="1:17" s="131" customFormat="1" ht="15.75" x14ac:dyDescent="0.25">
      <c r="A48" s="138">
        <v>2711</v>
      </c>
      <c r="B48" s="146" t="s">
        <v>143</v>
      </c>
      <c r="C48" s="135">
        <v>449879.47680000006</v>
      </c>
      <c r="D48" s="148">
        <f>107000+982372</f>
        <v>1089372</v>
      </c>
      <c r="E48" s="135">
        <f t="shared" si="5"/>
        <v>1539251.4768000001</v>
      </c>
      <c r="F48" s="135"/>
      <c r="G48" s="135"/>
      <c r="H48" s="130">
        <v>93579.62</v>
      </c>
      <c r="I48" s="130">
        <v>90854.080000000002</v>
      </c>
      <c r="J48" s="130">
        <f t="shared" si="8"/>
        <v>1448397.3968</v>
      </c>
      <c r="K48" s="130"/>
      <c r="L48" s="130"/>
      <c r="M48" s="130"/>
      <c r="N48" s="130"/>
      <c r="O48" s="130">
        <f t="shared" si="2"/>
        <v>1539251.4768000001</v>
      </c>
      <c r="P48" s="130">
        <f t="shared" si="3"/>
        <v>90854.080000000002</v>
      </c>
      <c r="Q48" s="130">
        <f t="shared" si="4"/>
        <v>1448397.3968</v>
      </c>
    </row>
    <row r="49" spans="1:17" s="131" customFormat="1" ht="15" customHeight="1" x14ac:dyDescent="0.25">
      <c r="A49" s="138">
        <v>2721</v>
      </c>
      <c r="B49" s="146" t="s">
        <v>144</v>
      </c>
      <c r="C49" s="135">
        <v>30462.329600000001</v>
      </c>
      <c r="D49" s="148"/>
      <c r="E49" s="135">
        <f t="shared" si="5"/>
        <v>30462.329600000001</v>
      </c>
      <c r="F49" s="135"/>
      <c r="G49" s="135"/>
      <c r="H49" s="130">
        <v>1234.97</v>
      </c>
      <c r="I49" s="130">
        <v>1199.44</v>
      </c>
      <c r="J49" s="130">
        <f t="shared" si="8"/>
        <v>29262.889600000002</v>
      </c>
      <c r="K49" s="130"/>
      <c r="L49" s="130"/>
      <c r="M49" s="130"/>
      <c r="N49" s="130"/>
      <c r="O49" s="130">
        <f t="shared" si="2"/>
        <v>30462.329600000001</v>
      </c>
      <c r="P49" s="130">
        <f t="shared" si="3"/>
        <v>1199.44</v>
      </c>
      <c r="Q49" s="130">
        <f t="shared" si="4"/>
        <v>29262.889600000002</v>
      </c>
    </row>
    <row r="50" spans="1:17" s="131" customFormat="1" ht="15.75" x14ac:dyDescent="0.25">
      <c r="A50" s="138">
        <v>2731</v>
      </c>
      <c r="B50" s="146" t="s">
        <v>145</v>
      </c>
      <c r="C50" s="135">
        <v>69957.659200000009</v>
      </c>
      <c r="D50" s="135">
        <v>200000</v>
      </c>
      <c r="E50" s="135">
        <f t="shared" si="5"/>
        <v>269957.65919999999</v>
      </c>
      <c r="F50" s="135"/>
      <c r="G50" s="135"/>
      <c r="H50" s="130">
        <v>36180.81</v>
      </c>
      <c r="I50" s="130">
        <v>35127.26</v>
      </c>
      <c r="J50" s="130">
        <f t="shared" si="8"/>
        <v>234830.39919999999</v>
      </c>
      <c r="K50" s="130"/>
      <c r="L50" s="130"/>
      <c r="M50" s="130"/>
      <c r="N50" s="130"/>
      <c r="O50" s="130">
        <f t="shared" si="2"/>
        <v>269957.65919999999</v>
      </c>
      <c r="P50" s="130">
        <f t="shared" si="3"/>
        <v>35127.26</v>
      </c>
      <c r="Q50" s="130">
        <f t="shared" si="4"/>
        <v>234830.39919999999</v>
      </c>
    </row>
    <row r="51" spans="1:17" s="131" customFormat="1" ht="15" customHeight="1" x14ac:dyDescent="0.25">
      <c r="A51" s="138">
        <v>2741</v>
      </c>
      <c r="B51" s="146" t="s">
        <v>146</v>
      </c>
      <c r="C51" s="135">
        <v>41777.486400000002</v>
      </c>
      <c r="D51" s="148"/>
      <c r="E51" s="135">
        <f t="shared" si="5"/>
        <v>41777.486400000002</v>
      </c>
      <c r="F51" s="135"/>
      <c r="G51" s="135"/>
      <c r="H51" s="130">
        <v>1512.04</v>
      </c>
      <c r="I51" s="130">
        <v>1467.54</v>
      </c>
      <c r="J51" s="130">
        <f t="shared" si="8"/>
        <v>40309.946400000001</v>
      </c>
      <c r="K51" s="130"/>
      <c r="L51" s="130"/>
      <c r="M51" s="130"/>
      <c r="N51" s="130"/>
      <c r="O51" s="130">
        <f t="shared" si="2"/>
        <v>41777.486400000002</v>
      </c>
      <c r="P51" s="130">
        <f t="shared" si="3"/>
        <v>1467.54</v>
      </c>
      <c r="Q51" s="130">
        <f t="shared" si="4"/>
        <v>40309.946400000001</v>
      </c>
    </row>
    <row r="52" spans="1:17" s="131" customFormat="1" ht="15.75" x14ac:dyDescent="0.25">
      <c r="A52" s="138">
        <v>2751</v>
      </c>
      <c r="B52" s="146" t="s">
        <v>147</v>
      </c>
      <c r="C52" s="135">
        <v>342927.31199999998</v>
      </c>
      <c r="D52" s="148"/>
      <c r="E52" s="135">
        <f t="shared" si="5"/>
        <v>342927.31199999998</v>
      </c>
      <c r="F52" s="135"/>
      <c r="G52" s="135"/>
      <c r="H52" s="130">
        <v>128.75</v>
      </c>
      <c r="I52" s="130">
        <v>125</v>
      </c>
      <c r="J52" s="130">
        <f t="shared" si="8"/>
        <v>342802.31199999998</v>
      </c>
      <c r="K52" s="130"/>
      <c r="L52" s="130"/>
      <c r="M52" s="130"/>
      <c r="N52" s="130"/>
      <c r="O52" s="130">
        <f t="shared" si="2"/>
        <v>342927.31199999998</v>
      </c>
      <c r="P52" s="130">
        <f t="shared" si="3"/>
        <v>125</v>
      </c>
      <c r="Q52" s="130">
        <f t="shared" si="4"/>
        <v>342802.31199999998</v>
      </c>
    </row>
    <row r="53" spans="1:17" s="131" customFormat="1" ht="15" customHeight="1" x14ac:dyDescent="0.25">
      <c r="A53" s="138">
        <v>2911</v>
      </c>
      <c r="B53" s="146" t="s">
        <v>148</v>
      </c>
      <c r="C53" s="135">
        <v>34403.200000000004</v>
      </c>
      <c r="D53" s="148"/>
      <c r="E53" s="135">
        <f t="shared" si="5"/>
        <v>34403.200000000004</v>
      </c>
      <c r="F53" s="135"/>
      <c r="G53" s="135"/>
      <c r="H53" s="130"/>
      <c r="I53" s="130"/>
      <c r="J53" s="130">
        <f t="shared" si="8"/>
        <v>34403.200000000004</v>
      </c>
      <c r="K53" s="130"/>
      <c r="L53" s="130"/>
      <c r="M53" s="130"/>
      <c r="N53" s="130"/>
      <c r="O53" s="130">
        <f t="shared" si="2"/>
        <v>34403.200000000004</v>
      </c>
      <c r="P53" s="130">
        <f t="shared" si="3"/>
        <v>0</v>
      </c>
      <c r="Q53" s="130">
        <f t="shared" si="4"/>
        <v>34403.200000000004</v>
      </c>
    </row>
    <row r="54" spans="1:17" s="131" customFormat="1" ht="15.75" x14ac:dyDescent="0.25">
      <c r="A54" s="138">
        <v>2921</v>
      </c>
      <c r="B54" s="146" t="s">
        <v>149</v>
      </c>
      <c r="C54" s="135">
        <v>100000</v>
      </c>
      <c r="D54" s="148"/>
      <c r="E54" s="135">
        <f t="shared" si="5"/>
        <v>100000</v>
      </c>
      <c r="F54" s="135"/>
      <c r="G54" s="135"/>
      <c r="H54" s="130"/>
      <c r="I54" s="130"/>
      <c r="J54" s="130">
        <f t="shared" si="8"/>
        <v>100000</v>
      </c>
      <c r="K54" s="130"/>
      <c r="L54" s="130"/>
      <c r="M54" s="130"/>
      <c r="N54" s="130"/>
      <c r="O54" s="130">
        <f t="shared" si="2"/>
        <v>100000</v>
      </c>
      <c r="P54" s="130">
        <f t="shared" si="3"/>
        <v>0</v>
      </c>
      <c r="Q54" s="130">
        <f t="shared" si="4"/>
        <v>100000</v>
      </c>
    </row>
    <row r="55" spans="1:17" s="131" customFormat="1" ht="15" customHeight="1" x14ac:dyDescent="0.25">
      <c r="A55" s="138">
        <v>2931</v>
      </c>
      <c r="B55" s="146" t="s">
        <v>150</v>
      </c>
      <c r="C55" s="135">
        <v>10000</v>
      </c>
      <c r="D55" s="148"/>
      <c r="E55" s="135">
        <f t="shared" si="5"/>
        <v>10000</v>
      </c>
      <c r="F55" s="135"/>
      <c r="G55" s="135"/>
      <c r="H55" s="130"/>
      <c r="I55" s="130"/>
      <c r="J55" s="130">
        <f t="shared" si="8"/>
        <v>10000</v>
      </c>
      <c r="K55" s="130"/>
      <c r="L55" s="130"/>
      <c r="M55" s="130"/>
      <c r="N55" s="130"/>
      <c r="O55" s="130">
        <f t="shared" si="2"/>
        <v>10000</v>
      </c>
      <c r="P55" s="130">
        <f t="shared" si="3"/>
        <v>0</v>
      </c>
      <c r="Q55" s="130">
        <f t="shared" si="4"/>
        <v>10000</v>
      </c>
    </row>
    <row r="56" spans="1:17" s="131" customFormat="1" ht="15.75" x14ac:dyDescent="0.25">
      <c r="A56" s="138">
        <v>2941</v>
      </c>
      <c r="B56" s="146" t="s">
        <v>151</v>
      </c>
      <c r="C56" s="135">
        <v>15000</v>
      </c>
      <c r="D56" s="148"/>
      <c r="E56" s="135">
        <f t="shared" si="5"/>
        <v>15000</v>
      </c>
      <c r="F56" s="135"/>
      <c r="G56" s="135"/>
      <c r="H56" s="130"/>
      <c r="I56" s="130"/>
      <c r="J56" s="130">
        <f t="shared" si="8"/>
        <v>15000</v>
      </c>
      <c r="K56" s="130"/>
      <c r="L56" s="130"/>
      <c r="M56" s="130"/>
      <c r="N56" s="130"/>
      <c r="O56" s="130">
        <f t="shared" si="2"/>
        <v>15000</v>
      </c>
      <c r="P56" s="130">
        <f t="shared" si="3"/>
        <v>0</v>
      </c>
      <c r="Q56" s="130">
        <f t="shared" si="4"/>
        <v>15000</v>
      </c>
    </row>
    <row r="57" spans="1:17" s="131" customFormat="1" ht="15" customHeight="1" x14ac:dyDescent="0.25">
      <c r="A57" s="138">
        <v>2961</v>
      </c>
      <c r="B57" s="146" t="s">
        <v>152</v>
      </c>
      <c r="C57" s="135">
        <v>25000</v>
      </c>
      <c r="D57" s="148"/>
      <c r="E57" s="135">
        <f t="shared" si="5"/>
        <v>25000</v>
      </c>
      <c r="F57" s="135"/>
      <c r="G57" s="135"/>
      <c r="H57" s="130"/>
      <c r="I57" s="130"/>
      <c r="J57" s="130">
        <f t="shared" si="8"/>
        <v>25000</v>
      </c>
      <c r="K57" s="130"/>
      <c r="L57" s="130"/>
      <c r="M57" s="130"/>
      <c r="N57" s="130"/>
      <c r="O57" s="130">
        <f t="shared" si="2"/>
        <v>25000</v>
      </c>
      <c r="P57" s="130">
        <f t="shared" si="3"/>
        <v>0</v>
      </c>
      <c r="Q57" s="130">
        <f t="shared" si="4"/>
        <v>25000</v>
      </c>
    </row>
    <row r="58" spans="1:17" s="145" customFormat="1" ht="15.75" x14ac:dyDescent="0.25">
      <c r="A58" s="149"/>
      <c r="B58" s="149" t="s">
        <v>153</v>
      </c>
      <c r="C58" s="143">
        <f>SUM(C26:C57)</f>
        <v>13544470.557360001</v>
      </c>
      <c r="D58" s="143">
        <f>SUM(D26:D57)</f>
        <v>2694372</v>
      </c>
      <c r="E58" s="144">
        <f t="shared" si="5"/>
        <v>16238842.557360001</v>
      </c>
      <c r="F58" s="143">
        <f t="shared" ref="F58:G58" si="10">SUM(F26:F57)</f>
        <v>0</v>
      </c>
      <c r="G58" s="143">
        <f t="shared" si="10"/>
        <v>0</v>
      </c>
      <c r="H58" s="144">
        <f>SUM(H26:H57)</f>
        <v>1027843.45</v>
      </c>
      <c r="I58" s="144">
        <f t="shared" ref="I58:Q58" si="11">SUM(I26:I57)</f>
        <v>844748.35999999987</v>
      </c>
      <c r="J58" s="144">
        <f t="shared" si="11"/>
        <v>15394094.197360002</v>
      </c>
      <c r="K58" s="144">
        <f t="shared" si="11"/>
        <v>0</v>
      </c>
      <c r="L58" s="144">
        <f t="shared" si="11"/>
        <v>0</v>
      </c>
      <c r="M58" s="144">
        <f t="shared" si="11"/>
        <v>0</v>
      </c>
      <c r="N58" s="144">
        <f t="shared" si="11"/>
        <v>0</v>
      </c>
      <c r="O58" s="144">
        <f t="shared" si="11"/>
        <v>16238842.557360001</v>
      </c>
      <c r="P58" s="144">
        <f t="shared" si="11"/>
        <v>844748.35999999987</v>
      </c>
      <c r="Q58" s="144">
        <f t="shared" si="11"/>
        <v>15394094.197360002</v>
      </c>
    </row>
    <row r="59" spans="1:17" s="131" customFormat="1" ht="15" customHeight="1" x14ac:dyDescent="0.25">
      <c r="A59" s="138">
        <v>3111</v>
      </c>
      <c r="B59" s="150" t="s">
        <v>154</v>
      </c>
      <c r="C59" s="151">
        <v>461469.80000000005</v>
      </c>
      <c r="D59" s="152"/>
      <c r="E59" s="135">
        <f>D59+C59</f>
        <v>461469.80000000005</v>
      </c>
      <c r="F59" s="135"/>
      <c r="G59" s="135"/>
      <c r="H59" s="130">
        <v>38456</v>
      </c>
      <c r="I59" s="130">
        <v>46820</v>
      </c>
      <c r="J59" s="130">
        <f t="shared" si="8"/>
        <v>414649.80000000005</v>
      </c>
      <c r="K59" s="130"/>
      <c r="L59" s="130"/>
      <c r="M59" s="130"/>
      <c r="N59" s="130"/>
      <c r="O59" s="130">
        <f t="shared" si="2"/>
        <v>461469.80000000005</v>
      </c>
      <c r="P59" s="130">
        <f t="shared" si="3"/>
        <v>46820</v>
      </c>
      <c r="Q59" s="130">
        <f t="shared" si="4"/>
        <v>414649.80000000005</v>
      </c>
    </row>
    <row r="60" spans="1:17" s="131" customFormat="1" ht="15.75" x14ac:dyDescent="0.25">
      <c r="A60" s="138">
        <v>3121</v>
      </c>
      <c r="B60" s="150" t="s">
        <v>155</v>
      </c>
      <c r="C60" s="151">
        <v>159510.72799999997</v>
      </c>
      <c r="D60" s="152"/>
      <c r="E60" s="135">
        <f t="shared" ref="E60:E96" si="12">D60+C60</f>
        <v>159510.72799999997</v>
      </c>
      <c r="F60" s="135"/>
      <c r="G60" s="135"/>
      <c r="H60" s="130">
        <v>13293</v>
      </c>
      <c r="I60" s="130">
        <v>13999.48</v>
      </c>
      <c r="J60" s="130">
        <f t="shared" si="8"/>
        <v>145511.24799999996</v>
      </c>
      <c r="K60" s="130"/>
      <c r="L60" s="130"/>
      <c r="M60" s="130"/>
      <c r="N60" s="130"/>
      <c r="O60" s="130">
        <f t="shared" si="2"/>
        <v>159510.72799999997</v>
      </c>
      <c r="P60" s="130">
        <f t="shared" si="3"/>
        <v>13999.48</v>
      </c>
      <c r="Q60" s="130">
        <f t="shared" si="4"/>
        <v>145511.24799999996</v>
      </c>
    </row>
    <row r="61" spans="1:17" s="131" customFormat="1" ht="15" customHeight="1" x14ac:dyDescent="0.25">
      <c r="A61" s="138">
        <v>3131</v>
      </c>
      <c r="B61" s="150" t="s">
        <v>156</v>
      </c>
      <c r="C61" s="151">
        <v>10860.48</v>
      </c>
      <c r="D61" s="152"/>
      <c r="E61" s="135">
        <f t="shared" si="12"/>
        <v>10860.48</v>
      </c>
      <c r="F61" s="135"/>
      <c r="G61" s="135"/>
      <c r="H61" s="130"/>
      <c r="I61" s="130"/>
      <c r="J61" s="130">
        <f t="shared" si="8"/>
        <v>10860.48</v>
      </c>
      <c r="K61" s="130"/>
      <c r="L61" s="130"/>
      <c r="M61" s="130"/>
      <c r="N61" s="130"/>
      <c r="O61" s="130">
        <f t="shared" si="2"/>
        <v>10860.48</v>
      </c>
      <c r="P61" s="130">
        <f t="shared" si="3"/>
        <v>0</v>
      </c>
      <c r="Q61" s="130">
        <f t="shared" si="4"/>
        <v>10860.48</v>
      </c>
    </row>
    <row r="62" spans="1:17" s="131" customFormat="1" ht="15.75" x14ac:dyDescent="0.25">
      <c r="A62" s="138">
        <v>3141</v>
      </c>
      <c r="B62" s="150" t="s">
        <v>157</v>
      </c>
      <c r="C62" s="151">
        <f>149034.7664+18133</f>
        <v>167167.76639999999</v>
      </c>
      <c r="D62" s="152"/>
      <c r="E62" s="135">
        <f t="shared" si="12"/>
        <v>167167.76639999999</v>
      </c>
      <c r="F62" s="135"/>
      <c r="G62" s="135"/>
      <c r="H62" s="130">
        <v>11735.82</v>
      </c>
      <c r="I62" s="130">
        <v>11393.96</v>
      </c>
      <c r="J62" s="130">
        <f t="shared" si="8"/>
        <v>155773.8064</v>
      </c>
      <c r="K62" s="130"/>
      <c r="L62" s="130"/>
      <c r="M62" s="130"/>
      <c r="N62" s="130"/>
      <c r="O62" s="130">
        <f t="shared" si="2"/>
        <v>167167.76639999999</v>
      </c>
      <c r="P62" s="130">
        <f t="shared" si="3"/>
        <v>11393.96</v>
      </c>
      <c r="Q62" s="130">
        <f t="shared" si="4"/>
        <v>155773.8064</v>
      </c>
    </row>
    <row r="63" spans="1:17" s="131" customFormat="1" ht="15" customHeight="1" x14ac:dyDescent="0.25">
      <c r="A63" s="138">
        <v>3171</v>
      </c>
      <c r="B63" s="150" t="s">
        <v>158</v>
      </c>
      <c r="C63" s="151">
        <v>6500</v>
      </c>
      <c r="D63" s="152"/>
      <c r="E63" s="135">
        <f t="shared" si="12"/>
        <v>6500</v>
      </c>
      <c r="F63" s="135"/>
      <c r="G63" s="135"/>
      <c r="H63" s="130"/>
      <c r="I63" s="130"/>
      <c r="J63" s="130">
        <f t="shared" si="8"/>
        <v>6500</v>
      </c>
      <c r="K63" s="130"/>
      <c r="L63" s="130"/>
      <c r="M63" s="130"/>
      <c r="N63" s="130"/>
      <c r="O63" s="130">
        <f t="shared" si="2"/>
        <v>6500</v>
      </c>
      <c r="P63" s="130">
        <f t="shared" si="3"/>
        <v>0</v>
      </c>
      <c r="Q63" s="130">
        <f t="shared" si="4"/>
        <v>6500</v>
      </c>
    </row>
    <row r="64" spans="1:17" s="131" customFormat="1" ht="15.75" x14ac:dyDescent="0.25">
      <c r="A64" s="138">
        <v>3181</v>
      </c>
      <c r="B64" s="150" t="s">
        <v>159</v>
      </c>
      <c r="C64" s="151">
        <v>3112.2208000000001</v>
      </c>
      <c r="D64" s="152"/>
      <c r="E64" s="135">
        <f t="shared" si="12"/>
        <v>3112.2208000000001</v>
      </c>
      <c r="F64" s="135"/>
      <c r="G64" s="135"/>
      <c r="H64" s="130">
        <v>259</v>
      </c>
      <c r="I64" s="130">
        <v>346.43</v>
      </c>
      <c r="J64" s="130">
        <f t="shared" si="8"/>
        <v>2765.7908000000002</v>
      </c>
      <c r="K64" s="130"/>
      <c r="L64" s="130"/>
      <c r="M64" s="130"/>
      <c r="N64" s="130"/>
      <c r="O64" s="130">
        <f t="shared" si="2"/>
        <v>3112.2208000000001</v>
      </c>
      <c r="P64" s="130">
        <f t="shared" si="3"/>
        <v>346.43</v>
      </c>
      <c r="Q64" s="130">
        <f t="shared" si="4"/>
        <v>2765.7908000000002</v>
      </c>
    </row>
    <row r="65" spans="1:17" s="131" customFormat="1" ht="15" customHeight="1" x14ac:dyDescent="0.25">
      <c r="A65" s="138">
        <v>3232</v>
      </c>
      <c r="B65" s="150" t="s">
        <v>160</v>
      </c>
      <c r="C65" s="151">
        <v>40000</v>
      </c>
      <c r="D65" s="152"/>
      <c r="E65" s="135">
        <f t="shared" si="12"/>
        <v>40000</v>
      </c>
      <c r="F65" s="135"/>
      <c r="G65" s="135"/>
      <c r="H65" s="130"/>
      <c r="I65" s="130"/>
      <c r="J65" s="130">
        <f t="shared" si="8"/>
        <v>40000</v>
      </c>
      <c r="K65" s="130"/>
      <c r="L65" s="130"/>
      <c r="M65" s="130"/>
      <c r="N65" s="130"/>
      <c r="O65" s="130">
        <f t="shared" si="2"/>
        <v>40000</v>
      </c>
      <c r="P65" s="130">
        <f t="shared" si="3"/>
        <v>0</v>
      </c>
      <c r="Q65" s="130">
        <f t="shared" si="4"/>
        <v>40000</v>
      </c>
    </row>
    <row r="66" spans="1:17" s="131" customFormat="1" ht="15.75" x14ac:dyDescent="0.25">
      <c r="A66" s="138">
        <v>3261</v>
      </c>
      <c r="B66" s="150" t="s">
        <v>161</v>
      </c>
      <c r="C66" s="151">
        <v>30000</v>
      </c>
      <c r="D66" s="152"/>
      <c r="E66" s="135">
        <f t="shared" si="12"/>
        <v>30000</v>
      </c>
      <c r="F66" s="135"/>
      <c r="G66" s="135"/>
      <c r="H66" s="130"/>
      <c r="I66" s="130"/>
      <c r="J66" s="130">
        <f t="shared" si="8"/>
        <v>30000</v>
      </c>
      <c r="K66" s="130"/>
      <c r="L66" s="130"/>
      <c r="M66" s="130"/>
      <c r="N66" s="130"/>
      <c r="O66" s="130">
        <f t="shared" si="2"/>
        <v>30000</v>
      </c>
      <c r="P66" s="130">
        <f t="shared" si="3"/>
        <v>0</v>
      </c>
      <c r="Q66" s="130">
        <f t="shared" si="4"/>
        <v>30000</v>
      </c>
    </row>
    <row r="67" spans="1:17" s="131" customFormat="1" ht="15" customHeight="1" x14ac:dyDescent="0.25">
      <c r="A67" s="138">
        <v>3311</v>
      </c>
      <c r="B67" s="150" t="s">
        <v>162</v>
      </c>
      <c r="C67" s="151">
        <f>45000+240000+237600+83520</f>
        <v>606120</v>
      </c>
      <c r="D67" s="153"/>
      <c r="E67" s="135">
        <f t="shared" si="12"/>
        <v>606120</v>
      </c>
      <c r="F67" s="135"/>
      <c r="G67" s="135"/>
      <c r="H67" s="130">
        <v>5829.8</v>
      </c>
      <c r="I67" s="130">
        <v>5660.38</v>
      </c>
      <c r="J67" s="130">
        <f t="shared" si="8"/>
        <v>600459.62</v>
      </c>
      <c r="K67" s="130"/>
      <c r="L67" s="130"/>
      <c r="M67" s="130"/>
      <c r="N67" s="130"/>
      <c r="O67" s="130">
        <f t="shared" si="2"/>
        <v>606120</v>
      </c>
      <c r="P67" s="130">
        <f t="shared" si="3"/>
        <v>5660.38</v>
      </c>
      <c r="Q67" s="130">
        <f t="shared" si="4"/>
        <v>600459.62</v>
      </c>
    </row>
    <row r="68" spans="1:17" s="131" customFormat="1" ht="15.75" x14ac:dyDescent="0.25">
      <c r="A68" s="138">
        <v>3331</v>
      </c>
      <c r="B68" s="150" t="s">
        <v>163</v>
      </c>
      <c r="C68" s="151">
        <f>170000+30000</f>
        <v>200000</v>
      </c>
      <c r="D68" s="153"/>
      <c r="E68" s="135">
        <f t="shared" si="12"/>
        <v>200000</v>
      </c>
      <c r="F68" s="135"/>
      <c r="G68" s="135"/>
      <c r="H68" s="130"/>
      <c r="I68" s="130"/>
      <c r="J68" s="130">
        <f t="shared" si="8"/>
        <v>200000</v>
      </c>
      <c r="K68" s="130"/>
      <c r="L68" s="130"/>
      <c r="M68" s="130"/>
      <c r="N68" s="130"/>
      <c r="O68" s="130">
        <f t="shared" si="2"/>
        <v>200000</v>
      </c>
      <c r="P68" s="130">
        <f t="shared" si="3"/>
        <v>0</v>
      </c>
      <c r="Q68" s="130">
        <f t="shared" si="4"/>
        <v>200000</v>
      </c>
    </row>
    <row r="69" spans="1:17" s="131" customFormat="1" ht="15" customHeight="1" x14ac:dyDescent="0.25">
      <c r="A69" s="138">
        <v>3341</v>
      </c>
      <c r="B69" s="150" t="s">
        <v>164</v>
      </c>
      <c r="C69" s="151">
        <v>50000</v>
      </c>
      <c r="D69" s="152"/>
      <c r="E69" s="135">
        <f t="shared" si="12"/>
        <v>50000</v>
      </c>
      <c r="F69" s="135"/>
      <c r="G69" s="135"/>
      <c r="H69" s="130">
        <v>27841.93</v>
      </c>
      <c r="I69" s="130">
        <v>27030.5</v>
      </c>
      <c r="J69" s="130">
        <f t="shared" si="8"/>
        <v>22969.5</v>
      </c>
      <c r="K69" s="130"/>
      <c r="L69" s="130"/>
      <c r="M69" s="130"/>
      <c r="N69" s="130"/>
      <c r="O69" s="130">
        <f t="shared" si="2"/>
        <v>50000</v>
      </c>
      <c r="P69" s="130">
        <f t="shared" si="3"/>
        <v>27030.5</v>
      </c>
      <c r="Q69" s="130">
        <f t="shared" si="4"/>
        <v>22969.5</v>
      </c>
    </row>
    <row r="70" spans="1:17" s="131" customFormat="1" ht="15.75" x14ac:dyDescent="0.25">
      <c r="A70" s="138">
        <v>3342</v>
      </c>
      <c r="B70" s="150" t="s">
        <v>165</v>
      </c>
      <c r="C70" s="151">
        <f>15000+240000</f>
        <v>255000</v>
      </c>
      <c r="D70" s="152"/>
      <c r="E70" s="135">
        <f t="shared" si="12"/>
        <v>255000</v>
      </c>
      <c r="F70" s="135"/>
      <c r="G70" s="135"/>
      <c r="H70" s="130">
        <v>2389.6</v>
      </c>
      <c r="I70" s="130">
        <v>2320</v>
      </c>
      <c r="J70" s="130">
        <f t="shared" si="8"/>
        <v>252680</v>
      </c>
      <c r="K70" s="130"/>
      <c r="L70" s="130"/>
      <c r="M70" s="130"/>
      <c r="N70" s="130"/>
      <c r="O70" s="130">
        <f t="shared" si="2"/>
        <v>255000</v>
      </c>
      <c r="P70" s="130">
        <f t="shared" si="3"/>
        <v>2320</v>
      </c>
      <c r="Q70" s="130">
        <f t="shared" si="4"/>
        <v>252680</v>
      </c>
    </row>
    <row r="71" spans="1:17" s="131" customFormat="1" ht="15" customHeight="1" x14ac:dyDescent="0.25">
      <c r="A71" s="138">
        <v>3351</v>
      </c>
      <c r="B71" s="150" t="s">
        <v>166</v>
      </c>
      <c r="C71" s="151">
        <f>90000+124976</f>
        <v>214976</v>
      </c>
      <c r="D71" s="152"/>
      <c r="E71" s="135">
        <f t="shared" si="12"/>
        <v>214976</v>
      </c>
      <c r="F71" s="135"/>
      <c r="G71" s="135"/>
      <c r="H71" s="130"/>
      <c r="I71" s="130"/>
      <c r="J71" s="130">
        <f t="shared" si="8"/>
        <v>214976</v>
      </c>
      <c r="K71" s="130"/>
      <c r="L71" s="130"/>
      <c r="M71" s="130"/>
      <c r="N71" s="130"/>
      <c r="O71" s="130">
        <f t="shared" si="2"/>
        <v>214976</v>
      </c>
      <c r="P71" s="130">
        <f t="shared" si="3"/>
        <v>0</v>
      </c>
      <c r="Q71" s="130">
        <f t="shared" si="4"/>
        <v>214976</v>
      </c>
    </row>
    <row r="72" spans="1:17" s="131" customFormat="1" ht="15.75" x14ac:dyDescent="0.25">
      <c r="A72" s="138">
        <v>3362</v>
      </c>
      <c r="B72" s="150" t="s">
        <v>167</v>
      </c>
      <c r="C72" s="151">
        <v>45668.001600000011</v>
      </c>
      <c r="D72" s="152"/>
      <c r="E72" s="135">
        <f t="shared" si="12"/>
        <v>45668.001600000011</v>
      </c>
      <c r="F72" s="135"/>
      <c r="G72" s="135"/>
      <c r="H72" s="130">
        <v>3225.96</v>
      </c>
      <c r="I72" s="130">
        <v>3132</v>
      </c>
      <c r="J72" s="130">
        <f t="shared" si="8"/>
        <v>42536.001600000011</v>
      </c>
      <c r="K72" s="130"/>
      <c r="L72" s="130"/>
      <c r="M72" s="130"/>
      <c r="N72" s="130"/>
      <c r="O72" s="130">
        <f t="shared" ref="O72:O124" si="13">C72+D72</f>
        <v>45668.001600000011</v>
      </c>
      <c r="P72" s="130">
        <f t="shared" ref="P72:P124" si="14">I72</f>
        <v>3132</v>
      </c>
      <c r="Q72" s="130">
        <f t="shared" ref="Q72:Q124" si="15">O72-P72</f>
        <v>42536.001600000011</v>
      </c>
    </row>
    <row r="73" spans="1:17" s="131" customFormat="1" ht="15" customHeight="1" x14ac:dyDescent="0.25">
      <c r="A73" s="138">
        <v>3363</v>
      </c>
      <c r="B73" s="150" t="s">
        <v>168</v>
      </c>
      <c r="C73" s="151">
        <v>50000</v>
      </c>
      <c r="D73" s="152"/>
      <c r="E73" s="135">
        <f t="shared" si="12"/>
        <v>50000</v>
      </c>
      <c r="F73" s="135"/>
      <c r="G73" s="135"/>
      <c r="H73" s="130"/>
      <c r="I73" s="130"/>
      <c r="J73" s="130">
        <f t="shared" si="8"/>
        <v>50000</v>
      </c>
      <c r="K73" s="130"/>
      <c r="L73" s="130"/>
      <c r="M73" s="130"/>
      <c r="N73" s="130"/>
      <c r="O73" s="130">
        <f t="shared" si="13"/>
        <v>50000</v>
      </c>
      <c r="P73" s="130">
        <f t="shared" si="14"/>
        <v>0</v>
      </c>
      <c r="Q73" s="130">
        <f t="shared" si="15"/>
        <v>50000</v>
      </c>
    </row>
    <row r="74" spans="1:17" s="131" customFormat="1" ht="15.75" x14ac:dyDescent="0.25">
      <c r="A74" s="138">
        <v>3391</v>
      </c>
      <c r="B74" s="150" t="s">
        <v>169</v>
      </c>
      <c r="C74" s="135">
        <f>83520+120000+15000+170000</f>
        <v>388520</v>
      </c>
      <c r="D74" s="151">
        <v>638000</v>
      </c>
      <c r="E74" s="135">
        <f t="shared" si="12"/>
        <v>1026520</v>
      </c>
      <c r="F74" s="135"/>
      <c r="G74" s="135"/>
      <c r="H74" s="130">
        <v>24734.42</v>
      </c>
      <c r="I74" s="130">
        <f>16058.04+2296</f>
        <v>18354.04</v>
      </c>
      <c r="J74" s="130">
        <f t="shared" si="8"/>
        <v>1008165.96</v>
      </c>
      <c r="K74" s="130"/>
      <c r="L74" s="130"/>
      <c r="M74" s="130"/>
      <c r="N74" s="130"/>
      <c r="O74" s="130">
        <f t="shared" si="13"/>
        <v>1026520</v>
      </c>
      <c r="P74" s="130">
        <f t="shared" si="14"/>
        <v>18354.04</v>
      </c>
      <c r="Q74" s="130">
        <f t="shared" si="15"/>
        <v>1008165.96</v>
      </c>
    </row>
    <row r="75" spans="1:17" s="131" customFormat="1" ht="15" customHeight="1" x14ac:dyDescent="0.25">
      <c r="A75" s="138">
        <v>3411</v>
      </c>
      <c r="B75" s="150" t="s">
        <v>170</v>
      </c>
      <c r="C75" s="151">
        <v>3567.4495999999999</v>
      </c>
      <c r="D75" s="152"/>
      <c r="E75" s="135">
        <f t="shared" si="12"/>
        <v>3567.4495999999999</v>
      </c>
      <c r="F75" s="135"/>
      <c r="G75" s="135"/>
      <c r="H75" s="130">
        <v>25476.02</v>
      </c>
      <c r="I75" s="130">
        <v>264.88</v>
      </c>
      <c r="J75" s="130">
        <f t="shared" si="8"/>
        <v>3302.5695999999998</v>
      </c>
      <c r="K75" s="130"/>
      <c r="L75" s="130"/>
      <c r="M75" s="130"/>
      <c r="N75" s="130"/>
      <c r="O75" s="130">
        <f t="shared" si="13"/>
        <v>3567.4495999999999</v>
      </c>
      <c r="P75" s="130">
        <f t="shared" si="14"/>
        <v>264.88</v>
      </c>
      <c r="Q75" s="130">
        <f t="shared" si="15"/>
        <v>3302.5695999999998</v>
      </c>
    </row>
    <row r="76" spans="1:17" s="131" customFormat="1" ht="15.75" x14ac:dyDescent="0.25">
      <c r="A76" s="138">
        <v>3451</v>
      </c>
      <c r="B76" s="150" t="s">
        <v>171</v>
      </c>
      <c r="C76" s="151">
        <v>101437</v>
      </c>
      <c r="D76" s="152"/>
      <c r="E76" s="135">
        <f t="shared" si="12"/>
        <v>101437</v>
      </c>
      <c r="F76" s="135"/>
      <c r="G76" s="135"/>
      <c r="H76" s="130"/>
      <c r="I76" s="130"/>
      <c r="J76" s="130">
        <f t="shared" si="8"/>
        <v>101437</v>
      </c>
      <c r="K76" s="130"/>
      <c r="L76" s="130"/>
      <c r="M76" s="130"/>
      <c r="N76" s="130"/>
      <c r="O76" s="130">
        <f t="shared" si="13"/>
        <v>101437</v>
      </c>
      <c r="P76" s="130">
        <f t="shared" si="14"/>
        <v>0</v>
      </c>
      <c r="Q76" s="130">
        <f t="shared" si="15"/>
        <v>101437</v>
      </c>
    </row>
    <row r="77" spans="1:17" s="131" customFormat="1" ht="15" customHeight="1" x14ac:dyDescent="0.25">
      <c r="A77" s="138">
        <v>3471</v>
      </c>
      <c r="B77" s="150" t="s">
        <v>172</v>
      </c>
      <c r="C77" s="151">
        <v>8686.08</v>
      </c>
      <c r="D77" s="152"/>
      <c r="E77" s="135">
        <f t="shared" si="12"/>
        <v>8686.08</v>
      </c>
      <c r="F77" s="135"/>
      <c r="G77" s="135"/>
      <c r="H77" s="130">
        <v>716.88</v>
      </c>
      <c r="I77" s="130">
        <v>696</v>
      </c>
      <c r="J77" s="130">
        <f t="shared" si="8"/>
        <v>7990.08</v>
      </c>
      <c r="K77" s="130"/>
      <c r="L77" s="130"/>
      <c r="M77" s="130"/>
      <c r="N77" s="130"/>
      <c r="O77" s="130">
        <f t="shared" si="13"/>
        <v>8686.08</v>
      </c>
      <c r="P77" s="130">
        <f t="shared" si="14"/>
        <v>696</v>
      </c>
      <c r="Q77" s="130">
        <f t="shared" si="15"/>
        <v>7990.08</v>
      </c>
    </row>
    <row r="78" spans="1:17" s="131" customFormat="1" ht="15.75" x14ac:dyDescent="0.25">
      <c r="A78" s="138">
        <v>3481</v>
      </c>
      <c r="B78" s="150" t="s">
        <v>173</v>
      </c>
      <c r="C78" s="151">
        <v>0</v>
      </c>
      <c r="D78" s="152"/>
      <c r="E78" s="135">
        <f t="shared" si="12"/>
        <v>0</v>
      </c>
      <c r="F78" s="135"/>
      <c r="G78" s="135"/>
      <c r="H78" s="130"/>
      <c r="I78" s="130"/>
      <c r="J78" s="130">
        <f t="shared" si="8"/>
        <v>0</v>
      </c>
      <c r="K78" s="130"/>
      <c r="L78" s="130"/>
      <c r="M78" s="130"/>
      <c r="N78" s="130"/>
      <c r="O78" s="130">
        <f t="shared" si="13"/>
        <v>0</v>
      </c>
      <c r="P78" s="130">
        <f t="shared" si="14"/>
        <v>0</v>
      </c>
      <c r="Q78" s="130">
        <f t="shared" si="15"/>
        <v>0</v>
      </c>
    </row>
    <row r="79" spans="1:17" s="131" customFormat="1" ht="15" customHeight="1" x14ac:dyDescent="0.25">
      <c r="A79" s="138">
        <v>3512</v>
      </c>
      <c r="B79" s="150" t="s">
        <v>174</v>
      </c>
      <c r="C79" s="151">
        <f>500000+150000+300000</f>
        <v>950000</v>
      </c>
      <c r="D79" s="151">
        <f>5735172-3+100000</f>
        <v>5835169</v>
      </c>
      <c r="E79" s="135">
        <f t="shared" si="12"/>
        <v>6785169</v>
      </c>
      <c r="F79" s="135"/>
      <c r="G79" s="135"/>
      <c r="H79" s="130">
        <v>17220.57</v>
      </c>
      <c r="I79" s="130">
        <v>16719.18</v>
      </c>
      <c r="J79" s="130">
        <f t="shared" si="8"/>
        <v>6768449.8200000003</v>
      </c>
      <c r="K79" s="130"/>
      <c r="L79" s="130"/>
      <c r="M79" s="130"/>
      <c r="N79" s="130"/>
      <c r="O79" s="130">
        <f t="shared" si="13"/>
        <v>6785169</v>
      </c>
      <c r="P79" s="130">
        <f t="shared" si="14"/>
        <v>16719.18</v>
      </c>
      <c r="Q79" s="130">
        <f t="shared" si="15"/>
        <v>6768449.8200000003</v>
      </c>
    </row>
    <row r="80" spans="1:17" s="131" customFormat="1" ht="15.75" x14ac:dyDescent="0.25">
      <c r="A80" s="138">
        <v>3521</v>
      </c>
      <c r="B80" s="150" t="s">
        <v>175</v>
      </c>
      <c r="C80" s="151">
        <v>250000</v>
      </c>
      <c r="D80" s="152"/>
      <c r="E80" s="135">
        <f t="shared" si="12"/>
        <v>250000</v>
      </c>
      <c r="F80" s="135"/>
      <c r="G80" s="135"/>
      <c r="H80" s="130"/>
      <c r="I80" s="130"/>
      <c r="J80" s="130">
        <f t="shared" si="8"/>
        <v>250000</v>
      </c>
      <c r="K80" s="130"/>
      <c r="L80" s="130"/>
      <c r="M80" s="130"/>
      <c r="N80" s="130"/>
      <c r="O80" s="130">
        <f t="shared" si="13"/>
        <v>250000</v>
      </c>
      <c r="P80" s="130">
        <f t="shared" si="14"/>
        <v>0</v>
      </c>
      <c r="Q80" s="130">
        <f t="shared" si="15"/>
        <v>250000</v>
      </c>
    </row>
    <row r="81" spans="1:17" s="131" customFormat="1" ht="15" customHeight="1" x14ac:dyDescent="0.25">
      <c r="A81" s="138">
        <v>3531</v>
      </c>
      <c r="B81" s="150" t="s">
        <v>176</v>
      </c>
      <c r="C81" s="151">
        <v>1650000</v>
      </c>
      <c r="D81" s="152"/>
      <c r="E81" s="135">
        <f t="shared" si="12"/>
        <v>1650000</v>
      </c>
      <c r="F81" s="135"/>
      <c r="G81" s="135"/>
      <c r="H81" s="130">
        <v>5669.12</v>
      </c>
      <c r="I81" s="130">
        <v>5504</v>
      </c>
      <c r="J81" s="130">
        <f t="shared" si="8"/>
        <v>1644496</v>
      </c>
      <c r="K81" s="130"/>
      <c r="L81" s="130"/>
      <c r="M81" s="130"/>
      <c r="N81" s="130"/>
      <c r="O81" s="130">
        <f t="shared" si="13"/>
        <v>1650000</v>
      </c>
      <c r="P81" s="130">
        <f t="shared" si="14"/>
        <v>5504</v>
      </c>
      <c r="Q81" s="130">
        <f t="shared" si="15"/>
        <v>1644496</v>
      </c>
    </row>
    <row r="82" spans="1:17" s="131" customFormat="1" ht="15.75" x14ac:dyDescent="0.25">
      <c r="A82" s="138">
        <v>3551</v>
      </c>
      <c r="B82" s="150" t="s">
        <v>177</v>
      </c>
      <c r="C82" s="151">
        <v>213722</v>
      </c>
      <c r="D82" s="152"/>
      <c r="E82" s="135">
        <f t="shared" si="12"/>
        <v>213722</v>
      </c>
      <c r="F82" s="135"/>
      <c r="G82" s="135"/>
      <c r="H82" s="130">
        <v>1252.48</v>
      </c>
      <c r="I82" s="130">
        <v>1216.04</v>
      </c>
      <c r="J82" s="130">
        <f t="shared" si="8"/>
        <v>212505.96</v>
      </c>
      <c r="K82" s="130"/>
      <c r="L82" s="130"/>
      <c r="M82" s="130"/>
      <c r="N82" s="130"/>
      <c r="O82" s="130">
        <f t="shared" si="13"/>
        <v>213722</v>
      </c>
      <c r="P82" s="130">
        <f t="shared" si="14"/>
        <v>1216.04</v>
      </c>
      <c r="Q82" s="130">
        <f t="shared" si="15"/>
        <v>212505.96</v>
      </c>
    </row>
    <row r="83" spans="1:17" s="131" customFormat="1" ht="15" customHeight="1" x14ac:dyDescent="0.25">
      <c r="A83" s="138">
        <v>3571</v>
      </c>
      <c r="B83" s="150" t="s">
        <v>178</v>
      </c>
      <c r="C83" s="151">
        <v>250000</v>
      </c>
      <c r="D83" s="152"/>
      <c r="E83" s="135">
        <f t="shared" si="12"/>
        <v>250000</v>
      </c>
      <c r="F83" s="135"/>
      <c r="G83" s="135"/>
      <c r="H83" s="130"/>
      <c r="I83" s="130"/>
      <c r="J83" s="130">
        <f t="shared" si="8"/>
        <v>250000</v>
      </c>
      <c r="K83" s="130"/>
      <c r="L83" s="130"/>
      <c r="M83" s="130"/>
      <c r="N83" s="130"/>
      <c r="O83" s="130">
        <f t="shared" si="13"/>
        <v>250000</v>
      </c>
      <c r="P83" s="130">
        <f t="shared" si="14"/>
        <v>0</v>
      </c>
      <c r="Q83" s="130">
        <f t="shared" si="15"/>
        <v>250000</v>
      </c>
    </row>
    <row r="84" spans="1:17" s="131" customFormat="1" ht="15.75" x14ac:dyDescent="0.25">
      <c r="A84" s="138">
        <v>3572</v>
      </c>
      <c r="B84" s="150" t="s">
        <v>179</v>
      </c>
      <c r="C84" s="151">
        <v>50000</v>
      </c>
      <c r="D84" s="152"/>
      <c r="E84" s="135">
        <f t="shared" si="12"/>
        <v>50000</v>
      </c>
      <c r="F84" s="135"/>
      <c r="G84" s="135"/>
      <c r="H84" s="130"/>
      <c r="I84" s="130"/>
      <c r="J84" s="130">
        <f t="shared" si="8"/>
        <v>50000</v>
      </c>
      <c r="K84" s="130"/>
      <c r="L84" s="130"/>
      <c r="M84" s="130"/>
      <c r="N84" s="130"/>
      <c r="O84" s="130">
        <f t="shared" si="13"/>
        <v>50000</v>
      </c>
      <c r="P84" s="130">
        <f t="shared" si="14"/>
        <v>0</v>
      </c>
      <c r="Q84" s="130">
        <f t="shared" si="15"/>
        <v>50000</v>
      </c>
    </row>
    <row r="85" spans="1:17" s="131" customFormat="1" ht="15" customHeight="1" x14ac:dyDescent="0.25">
      <c r="A85" s="138">
        <v>3581</v>
      </c>
      <c r="B85" s="150" t="s">
        <v>180</v>
      </c>
      <c r="C85" s="151">
        <v>150000</v>
      </c>
      <c r="D85" s="152"/>
      <c r="E85" s="135">
        <f t="shared" si="12"/>
        <v>150000</v>
      </c>
      <c r="F85" s="135"/>
      <c r="G85" s="135"/>
      <c r="H85" s="130">
        <v>12500</v>
      </c>
      <c r="I85" s="130">
        <v>15831.16</v>
      </c>
      <c r="J85" s="130">
        <f t="shared" si="8"/>
        <v>134168.84</v>
      </c>
      <c r="K85" s="130"/>
      <c r="L85" s="130"/>
      <c r="M85" s="130"/>
      <c r="N85" s="130"/>
      <c r="O85" s="130">
        <f t="shared" si="13"/>
        <v>150000</v>
      </c>
      <c r="P85" s="130">
        <f t="shared" si="14"/>
        <v>15831.16</v>
      </c>
      <c r="Q85" s="130">
        <f t="shared" si="15"/>
        <v>134168.84</v>
      </c>
    </row>
    <row r="86" spans="1:17" s="131" customFormat="1" ht="15.75" x14ac:dyDescent="0.25">
      <c r="A86" s="138">
        <v>3591</v>
      </c>
      <c r="B86" s="150" t="s">
        <v>181</v>
      </c>
      <c r="C86" s="151">
        <f>15000*12</f>
        <v>180000</v>
      </c>
      <c r="D86" s="152"/>
      <c r="E86" s="135">
        <f t="shared" si="12"/>
        <v>180000</v>
      </c>
      <c r="F86" s="135"/>
      <c r="G86" s="135"/>
      <c r="H86" s="130"/>
      <c r="I86" s="130"/>
      <c r="J86" s="130">
        <f t="shared" si="8"/>
        <v>180000</v>
      </c>
      <c r="K86" s="130"/>
      <c r="L86" s="130"/>
      <c r="M86" s="130"/>
      <c r="N86" s="130"/>
      <c r="O86" s="130">
        <f t="shared" si="13"/>
        <v>180000</v>
      </c>
      <c r="P86" s="130">
        <f t="shared" si="14"/>
        <v>0</v>
      </c>
      <c r="Q86" s="130">
        <f t="shared" si="15"/>
        <v>180000</v>
      </c>
    </row>
    <row r="87" spans="1:17" s="131" customFormat="1" ht="15" customHeight="1" x14ac:dyDescent="0.25">
      <c r="A87" s="138">
        <v>3721</v>
      </c>
      <c r="B87" s="150" t="s">
        <v>182</v>
      </c>
      <c r="C87" s="151">
        <v>64623.748800000001</v>
      </c>
      <c r="D87" s="152"/>
      <c r="E87" s="135">
        <f t="shared" si="12"/>
        <v>64623.748800000001</v>
      </c>
      <c r="F87" s="135"/>
      <c r="G87" s="135"/>
      <c r="H87" s="130">
        <v>20598.97</v>
      </c>
      <c r="I87" s="130">
        <v>19998.759999999998</v>
      </c>
      <c r="J87" s="130">
        <f t="shared" si="8"/>
        <v>44624.988800000006</v>
      </c>
      <c r="K87" s="130"/>
      <c r="L87" s="130"/>
      <c r="M87" s="130"/>
      <c r="N87" s="130"/>
      <c r="O87" s="130">
        <f t="shared" si="13"/>
        <v>64623.748800000001</v>
      </c>
      <c r="P87" s="130">
        <f t="shared" si="14"/>
        <v>19998.759999999998</v>
      </c>
      <c r="Q87" s="130">
        <f t="shared" si="15"/>
        <v>44624.988800000006</v>
      </c>
    </row>
    <row r="88" spans="1:17" s="131" customFormat="1" ht="15.75" x14ac:dyDescent="0.25">
      <c r="A88" s="138">
        <v>3751</v>
      </c>
      <c r="B88" s="150" t="s">
        <v>183</v>
      </c>
      <c r="C88" s="151">
        <f>8371.68+25000</f>
        <v>33371.68</v>
      </c>
      <c r="D88" s="152"/>
      <c r="E88" s="135">
        <f t="shared" si="12"/>
        <v>33371.68</v>
      </c>
      <c r="F88" s="135"/>
      <c r="G88" s="135"/>
      <c r="H88" s="130">
        <v>1827.22</v>
      </c>
      <c r="I88" s="130">
        <v>1774</v>
      </c>
      <c r="J88" s="130">
        <f t="shared" si="8"/>
        <v>31597.68</v>
      </c>
      <c r="K88" s="130"/>
      <c r="L88" s="130"/>
      <c r="M88" s="130"/>
      <c r="N88" s="130"/>
      <c r="O88" s="130">
        <f t="shared" si="13"/>
        <v>33371.68</v>
      </c>
      <c r="P88" s="130">
        <f t="shared" si="14"/>
        <v>1774</v>
      </c>
      <c r="Q88" s="130">
        <f t="shared" si="15"/>
        <v>31597.68</v>
      </c>
    </row>
    <row r="89" spans="1:17" s="131" customFormat="1" ht="15" customHeight="1" x14ac:dyDescent="0.25">
      <c r="A89" s="138">
        <v>3791</v>
      </c>
      <c r="B89" s="150" t="s">
        <v>184</v>
      </c>
      <c r="C89" s="151">
        <v>6000</v>
      </c>
      <c r="D89" s="152"/>
      <c r="E89" s="135">
        <f t="shared" si="12"/>
        <v>6000</v>
      </c>
      <c r="F89" s="135"/>
      <c r="G89" s="135"/>
      <c r="H89" s="130"/>
      <c r="I89" s="130"/>
      <c r="J89" s="130">
        <f t="shared" si="8"/>
        <v>6000</v>
      </c>
      <c r="K89" s="130"/>
      <c r="L89" s="130"/>
      <c r="M89" s="130"/>
      <c r="N89" s="130"/>
      <c r="O89" s="130">
        <f t="shared" si="13"/>
        <v>6000</v>
      </c>
      <c r="P89" s="130">
        <f t="shared" si="14"/>
        <v>0</v>
      </c>
      <c r="Q89" s="130">
        <f t="shared" si="15"/>
        <v>6000</v>
      </c>
    </row>
    <row r="90" spans="1:17" s="131" customFormat="1" ht="15.75" x14ac:dyDescent="0.25">
      <c r="A90" s="138">
        <v>3821</v>
      </c>
      <c r="B90" s="150" t="s">
        <v>185</v>
      </c>
      <c r="C90" s="151">
        <v>14400</v>
      </c>
      <c r="D90" s="152"/>
      <c r="E90" s="135">
        <f t="shared" si="12"/>
        <v>14400</v>
      </c>
      <c r="F90" s="135"/>
      <c r="G90" s="135"/>
      <c r="H90" s="130"/>
      <c r="I90" s="130"/>
      <c r="J90" s="130">
        <f t="shared" si="8"/>
        <v>14400</v>
      </c>
      <c r="K90" s="130"/>
      <c r="L90" s="130"/>
      <c r="M90" s="130"/>
      <c r="N90" s="130"/>
      <c r="O90" s="130">
        <f t="shared" si="13"/>
        <v>14400</v>
      </c>
      <c r="P90" s="130">
        <f t="shared" si="14"/>
        <v>0</v>
      </c>
      <c r="Q90" s="130">
        <f t="shared" si="15"/>
        <v>14400</v>
      </c>
    </row>
    <row r="91" spans="1:17" s="131" customFormat="1" ht="15" customHeight="1" x14ac:dyDescent="0.25">
      <c r="A91" s="138">
        <v>3822</v>
      </c>
      <c r="B91" s="150" t="s">
        <v>186</v>
      </c>
      <c r="C91" s="151">
        <v>15000</v>
      </c>
      <c r="D91" s="152"/>
      <c r="E91" s="135">
        <f t="shared" si="12"/>
        <v>15000</v>
      </c>
      <c r="F91" s="135"/>
      <c r="G91" s="135"/>
      <c r="H91" s="130">
        <v>15330.52</v>
      </c>
      <c r="I91" s="130">
        <v>14884</v>
      </c>
      <c r="J91" s="130">
        <f t="shared" ref="J91:J124" si="16">E91-I91</f>
        <v>116</v>
      </c>
      <c r="K91" s="130"/>
      <c r="L91" s="130"/>
      <c r="M91" s="130"/>
      <c r="N91" s="130"/>
      <c r="O91" s="130">
        <f t="shared" si="13"/>
        <v>15000</v>
      </c>
      <c r="P91" s="130">
        <f t="shared" si="14"/>
        <v>14884</v>
      </c>
      <c r="Q91" s="130">
        <f t="shared" si="15"/>
        <v>116</v>
      </c>
    </row>
    <row r="92" spans="1:17" s="131" customFormat="1" ht="15.75" x14ac:dyDescent="0.25">
      <c r="A92" s="138">
        <v>3921</v>
      </c>
      <c r="B92" s="150" t="s">
        <v>187</v>
      </c>
      <c r="C92" s="151">
        <v>226398.22399999999</v>
      </c>
      <c r="D92" s="152"/>
      <c r="E92" s="135">
        <f t="shared" si="12"/>
        <v>226398.22399999999</v>
      </c>
      <c r="F92" s="135"/>
      <c r="G92" s="135"/>
      <c r="H92" s="130">
        <v>18863.419999999998</v>
      </c>
      <c r="I92" s="130">
        <v>18314.23</v>
      </c>
      <c r="J92" s="130">
        <f t="shared" si="16"/>
        <v>208083.99399999998</v>
      </c>
      <c r="K92" s="130"/>
      <c r="L92" s="130"/>
      <c r="M92" s="130"/>
      <c r="N92" s="130"/>
      <c r="O92" s="130">
        <f t="shared" si="13"/>
        <v>226398.22399999999</v>
      </c>
      <c r="P92" s="130">
        <f t="shared" si="14"/>
        <v>18314.23</v>
      </c>
      <c r="Q92" s="130">
        <f t="shared" si="15"/>
        <v>208083.99399999998</v>
      </c>
    </row>
    <row r="93" spans="1:17" s="131" customFormat="1" ht="15" customHeight="1" x14ac:dyDescent="0.25">
      <c r="A93" s="138">
        <v>3941</v>
      </c>
      <c r="B93" s="150" t="s">
        <v>188</v>
      </c>
      <c r="C93" s="151">
        <v>500000</v>
      </c>
      <c r="D93" s="152"/>
      <c r="E93" s="135">
        <f t="shared" si="12"/>
        <v>500000</v>
      </c>
      <c r="F93" s="135"/>
      <c r="G93" s="135"/>
      <c r="H93" s="130"/>
      <c r="I93" s="130"/>
      <c r="J93" s="130">
        <f t="shared" si="16"/>
        <v>500000</v>
      </c>
      <c r="K93" s="130"/>
      <c r="L93" s="130"/>
      <c r="M93" s="130"/>
      <c r="N93" s="130"/>
      <c r="O93" s="130">
        <f t="shared" si="13"/>
        <v>500000</v>
      </c>
      <c r="P93" s="130">
        <f t="shared" si="14"/>
        <v>0</v>
      </c>
      <c r="Q93" s="130">
        <f t="shared" si="15"/>
        <v>500000</v>
      </c>
    </row>
    <row r="94" spans="1:17" s="131" customFormat="1" ht="15.75" x14ac:dyDescent="0.25">
      <c r="A94" s="138">
        <v>3944</v>
      </c>
      <c r="B94" s="150" t="s">
        <v>189</v>
      </c>
      <c r="C94" s="151">
        <v>50000</v>
      </c>
      <c r="D94" s="152"/>
      <c r="E94" s="135">
        <f t="shared" si="12"/>
        <v>50000</v>
      </c>
      <c r="F94" s="135"/>
      <c r="G94" s="135"/>
      <c r="H94" s="130"/>
      <c r="I94" s="130"/>
      <c r="J94" s="130">
        <f t="shared" si="16"/>
        <v>50000</v>
      </c>
      <c r="K94" s="130"/>
      <c r="L94" s="130"/>
      <c r="M94" s="130"/>
      <c r="N94" s="130"/>
      <c r="O94" s="130">
        <f t="shared" si="13"/>
        <v>50000</v>
      </c>
      <c r="P94" s="130">
        <f t="shared" si="14"/>
        <v>0</v>
      </c>
      <c r="Q94" s="130">
        <f t="shared" si="15"/>
        <v>50000</v>
      </c>
    </row>
    <row r="95" spans="1:17" s="131" customFormat="1" ht="15" customHeight="1" x14ac:dyDescent="0.25">
      <c r="A95" s="138">
        <v>3981</v>
      </c>
      <c r="B95" s="150" t="s">
        <v>190</v>
      </c>
      <c r="C95" s="151">
        <v>750000</v>
      </c>
      <c r="D95" s="152"/>
      <c r="E95" s="135">
        <f t="shared" si="12"/>
        <v>750000</v>
      </c>
      <c r="F95" s="135"/>
      <c r="G95" s="135"/>
      <c r="H95" s="130"/>
      <c r="I95" s="130"/>
      <c r="J95" s="130">
        <f t="shared" si="16"/>
        <v>750000</v>
      </c>
      <c r="K95" s="130"/>
      <c r="L95" s="130"/>
      <c r="M95" s="130"/>
      <c r="N95" s="130"/>
      <c r="O95" s="130">
        <f t="shared" si="13"/>
        <v>750000</v>
      </c>
      <c r="P95" s="130">
        <f t="shared" si="14"/>
        <v>0</v>
      </c>
      <c r="Q95" s="130">
        <f t="shared" si="15"/>
        <v>750000</v>
      </c>
    </row>
    <row r="96" spans="1:17" s="131" customFormat="1" ht="15.75" x14ac:dyDescent="0.25">
      <c r="A96" s="138">
        <v>3993</v>
      </c>
      <c r="B96" s="150" t="s">
        <v>191</v>
      </c>
      <c r="C96" s="151">
        <f>53859.3536-14400</f>
        <v>39459.353600000002</v>
      </c>
      <c r="D96" s="152"/>
      <c r="E96" s="135">
        <f t="shared" si="12"/>
        <v>39459.353600000002</v>
      </c>
      <c r="F96" s="135"/>
      <c r="G96" s="135"/>
      <c r="H96" s="130">
        <v>1325.61</v>
      </c>
      <c r="I96" s="130">
        <v>1286.6500000000001</v>
      </c>
      <c r="J96" s="130">
        <f t="shared" si="16"/>
        <v>38172.703600000001</v>
      </c>
      <c r="K96" s="130"/>
      <c r="L96" s="130"/>
      <c r="M96" s="130"/>
      <c r="N96" s="130"/>
      <c r="O96" s="130">
        <f t="shared" si="13"/>
        <v>39459.353600000002</v>
      </c>
      <c r="P96" s="130">
        <f t="shared" si="14"/>
        <v>1286.6500000000001</v>
      </c>
      <c r="Q96" s="130">
        <f t="shared" si="15"/>
        <v>38172.703600000001</v>
      </c>
    </row>
    <row r="97" spans="1:17" s="157" customFormat="1" ht="15" customHeight="1" x14ac:dyDescent="0.25">
      <c r="A97" s="154"/>
      <c r="B97" s="154" t="s">
        <v>192</v>
      </c>
      <c r="C97" s="155">
        <f>SUM(C59:C96)</f>
        <v>8195570.5328000002</v>
      </c>
      <c r="D97" s="155">
        <f>SUM(D59:D96)</f>
        <v>6473169</v>
      </c>
      <c r="E97" s="155">
        <f t="shared" ref="E97:Q97" si="17">SUM(E59:E96)</f>
        <v>14668739.532799998</v>
      </c>
      <c r="F97" s="155">
        <f t="shared" si="17"/>
        <v>0</v>
      </c>
      <c r="G97" s="155">
        <f t="shared" si="17"/>
        <v>0</v>
      </c>
      <c r="H97" s="155">
        <f t="shared" si="17"/>
        <v>248546.33999999997</v>
      </c>
      <c r="I97" s="155">
        <f t="shared" si="17"/>
        <v>225545.69000000003</v>
      </c>
      <c r="J97" s="155">
        <f t="shared" si="17"/>
        <v>14443193.842800003</v>
      </c>
      <c r="K97" s="156">
        <f t="shared" si="17"/>
        <v>0</v>
      </c>
      <c r="L97" s="156">
        <f t="shared" si="17"/>
        <v>0</v>
      </c>
      <c r="M97" s="156">
        <f t="shared" si="17"/>
        <v>0</v>
      </c>
      <c r="N97" s="156">
        <f t="shared" si="17"/>
        <v>0</v>
      </c>
      <c r="O97" s="156">
        <f t="shared" si="17"/>
        <v>14668739.532799998</v>
      </c>
      <c r="P97" s="156">
        <f t="shared" si="17"/>
        <v>225545.69000000003</v>
      </c>
      <c r="Q97" s="156">
        <f t="shared" si="17"/>
        <v>14443193.842800003</v>
      </c>
    </row>
    <row r="98" spans="1:17" s="131" customFormat="1" ht="30" x14ac:dyDescent="0.25">
      <c r="A98" s="158">
        <v>4412</v>
      </c>
      <c r="B98" s="159" t="s">
        <v>193</v>
      </c>
      <c r="C98" s="160">
        <v>100000</v>
      </c>
      <c r="D98" s="135">
        <v>0</v>
      </c>
      <c r="E98" s="148">
        <f t="shared" ref="E98:E125" si="18">C98+D98</f>
        <v>100000</v>
      </c>
      <c r="F98" s="148"/>
      <c r="G98" s="148"/>
      <c r="H98" s="130"/>
      <c r="I98" s="130"/>
      <c r="J98" s="130">
        <f t="shared" si="16"/>
        <v>100000</v>
      </c>
      <c r="K98" s="130"/>
      <c r="L98" s="130"/>
      <c r="M98" s="130"/>
      <c r="N98" s="130"/>
      <c r="O98" s="130">
        <f t="shared" si="13"/>
        <v>100000</v>
      </c>
      <c r="P98" s="130">
        <f t="shared" si="14"/>
        <v>0</v>
      </c>
      <c r="Q98" s="130">
        <f t="shared" si="15"/>
        <v>100000</v>
      </c>
    </row>
    <row r="99" spans="1:17" s="131" customFormat="1" ht="15.75" x14ac:dyDescent="0.25">
      <c r="A99" s="158">
        <v>4413</v>
      </c>
      <c r="B99" s="159" t="s">
        <v>194</v>
      </c>
      <c r="C99" s="160"/>
      <c r="D99" s="135">
        <v>2700000</v>
      </c>
      <c r="E99" s="148">
        <f t="shared" si="18"/>
        <v>2700000</v>
      </c>
      <c r="F99" s="148"/>
      <c r="G99" s="148"/>
      <c r="H99" s="130"/>
      <c r="I99" s="130"/>
      <c r="J99" s="130">
        <f t="shared" si="16"/>
        <v>2700000</v>
      </c>
      <c r="K99" s="130"/>
      <c r="L99" s="130"/>
      <c r="M99" s="130"/>
      <c r="N99" s="130"/>
      <c r="O99" s="130">
        <f t="shared" si="13"/>
        <v>2700000</v>
      </c>
      <c r="P99" s="130">
        <f t="shared" si="14"/>
        <v>0</v>
      </c>
      <c r="Q99" s="130">
        <f t="shared" si="15"/>
        <v>2700000</v>
      </c>
    </row>
    <row r="100" spans="1:17" s="131" customFormat="1" ht="15.75" x14ac:dyDescent="0.25">
      <c r="A100" s="158">
        <v>4421</v>
      </c>
      <c r="B100" s="159" t="s">
        <v>195</v>
      </c>
      <c r="C100" s="160">
        <f>150000+200000</f>
        <v>350000</v>
      </c>
      <c r="D100" s="135">
        <f>6897153-1000000</f>
        <v>5897153</v>
      </c>
      <c r="E100" s="148">
        <f t="shared" si="18"/>
        <v>6247153</v>
      </c>
      <c r="F100" s="148"/>
      <c r="G100" s="148"/>
      <c r="H100" s="130"/>
      <c r="I100" s="130"/>
      <c r="J100" s="130">
        <f t="shared" si="16"/>
        <v>6247153</v>
      </c>
      <c r="K100" s="130"/>
      <c r="L100" s="130"/>
      <c r="M100" s="130"/>
      <c r="N100" s="130"/>
      <c r="O100" s="130">
        <f t="shared" si="13"/>
        <v>6247153</v>
      </c>
      <c r="P100" s="130">
        <f t="shared" si="14"/>
        <v>0</v>
      </c>
      <c r="Q100" s="130">
        <f t="shared" si="15"/>
        <v>6247153</v>
      </c>
    </row>
    <row r="101" spans="1:17" s="166" customFormat="1" ht="15" customHeight="1" x14ac:dyDescent="0.25">
      <c r="A101" s="161"/>
      <c r="B101" s="162"/>
      <c r="C101" s="163"/>
      <c r="D101" s="135"/>
      <c r="E101" s="164">
        <f t="shared" si="18"/>
        <v>0</v>
      </c>
      <c r="F101" s="164"/>
      <c r="G101" s="164"/>
      <c r="H101" s="130">
        <f t="shared" ref="H101:H118" si="19">E101/12</f>
        <v>0</v>
      </c>
      <c r="I101" s="165"/>
      <c r="J101" s="130">
        <f t="shared" si="16"/>
        <v>0</v>
      </c>
      <c r="K101" s="165"/>
      <c r="L101" s="165"/>
      <c r="M101" s="165"/>
      <c r="N101" s="165"/>
      <c r="O101" s="130">
        <f t="shared" si="13"/>
        <v>0</v>
      </c>
      <c r="P101" s="130">
        <f t="shared" si="14"/>
        <v>0</v>
      </c>
      <c r="Q101" s="130">
        <f t="shared" si="15"/>
        <v>0</v>
      </c>
    </row>
    <row r="102" spans="1:17" s="166" customFormat="1" ht="15.75" x14ac:dyDescent="0.25">
      <c r="A102" s="167"/>
      <c r="B102" s="168" t="s">
        <v>196</v>
      </c>
      <c r="C102" s="169">
        <f>SUM(C98:C101)</f>
        <v>450000</v>
      </c>
      <c r="D102" s="169">
        <f>SUM(D98:D101)</f>
        <v>8597153</v>
      </c>
      <c r="E102" s="169">
        <f>SUM(E98:E101)</f>
        <v>9047153</v>
      </c>
      <c r="F102" s="169"/>
      <c r="G102" s="169"/>
      <c r="H102" s="169">
        <f t="shared" ref="H102:Q102" si="20">SUM(H98:H101)</f>
        <v>0</v>
      </c>
      <c r="I102" s="169">
        <f t="shared" si="20"/>
        <v>0</v>
      </c>
      <c r="J102" s="169">
        <f t="shared" si="20"/>
        <v>9047153</v>
      </c>
      <c r="K102" s="169">
        <f t="shared" si="20"/>
        <v>0</v>
      </c>
      <c r="L102" s="169">
        <f t="shared" si="20"/>
        <v>0</v>
      </c>
      <c r="M102" s="169">
        <f t="shared" si="20"/>
        <v>0</v>
      </c>
      <c r="N102" s="169">
        <f t="shared" si="20"/>
        <v>0</v>
      </c>
      <c r="O102" s="169">
        <f t="shared" si="20"/>
        <v>9047153</v>
      </c>
      <c r="P102" s="169">
        <f t="shared" si="20"/>
        <v>0</v>
      </c>
      <c r="Q102" s="169">
        <f t="shared" si="20"/>
        <v>9047153</v>
      </c>
    </row>
    <row r="103" spans="1:17" s="131" customFormat="1" ht="15" customHeight="1" x14ac:dyDescent="0.25">
      <c r="A103" s="138">
        <v>5111</v>
      </c>
      <c r="B103" s="146" t="s">
        <v>84</v>
      </c>
      <c r="C103" s="135">
        <v>250000</v>
      </c>
      <c r="D103" s="135"/>
      <c r="E103" s="135">
        <f t="shared" si="18"/>
        <v>250000</v>
      </c>
      <c r="F103" s="135"/>
      <c r="G103" s="135"/>
      <c r="H103" s="130"/>
      <c r="I103" s="130"/>
      <c r="J103" s="130">
        <f t="shared" si="16"/>
        <v>250000</v>
      </c>
      <c r="K103" s="130"/>
      <c r="L103" s="130"/>
      <c r="M103" s="130"/>
      <c r="N103" s="130"/>
      <c r="O103" s="130">
        <f t="shared" si="13"/>
        <v>250000</v>
      </c>
      <c r="P103" s="130">
        <f t="shared" si="14"/>
        <v>0</v>
      </c>
      <c r="Q103" s="130">
        <f t="shared" si="15"/>
        <v>250000</v>
      </c>
    </row>
    <row r="104" spans="1:17" s="131" customFormat="1" ht="15.75" x14ac:dyDescent="0.25">
      <c r="A104" s="138">
        <v>5121</v>
      </c>
      <c r="B104" s="146" t="s">
        <v>85</v>
      </c>
      <c r="C104" s="135">
        <f>1000000+250000</f>
        <v>1250000</v>
      </c>
      <c r="D104" s="135">
        <f>350000-178139.77</f>
        <v>171860.23</v>
      </c>
      <c r="E104" s="135">
        <f t="shared" si="18"/>
        <v>1421860.23</v>
      </c>
      <c r="F104" s="135"/>
      <c r="G104" s="135"/>
      <c r="H104" s="130">
        <v>6318.02</v>
      </c>
      <c r="I104" s="130">
        <v>6134.08</v>
      </c>
      <c r="J104" s="130">
        <f t="shared" si="16"/>
        <v>1415726.15</v>
      </c>
      <c r="K104" s="130"/>
      <c r="L104" s="130"/>
      <c r="M104" s="130"/>
      <c r="N104" s="130"/>
      <c r="O104" s="130">
        <f t="shared" si="13"/>
        <v>1421860.23</v>
      </c>
      <c r="P104" s="130">
        <f t="shared" si="14"/>
        <v>6134.08</v>
      </c>
      <c r="Q104" s="130">
        <f t="shared" si="15"/>
        <v>1415726.15</v>
      </c>
    </row>
    <row r="105" spans="1:17" s="131" customFormat="1" ht="15" customHeight="1" x14ac:dyDescent="0.25">
      <c r="A105" s="138">
        <v>5151</v>
      </c>
      <c r="B105" s="146" t="s">
        <v>86</v>
      </c>
      <c r="C105" s="135">
        <f>215800+825000-52192.3+250000</f>
        <v>1238607.7</v>
      </c>
      <c r="D105" s="135">
        <v>0</v>
      </c>
      <c r="E105" s="135">
        <f t="shared" si="18"/>
        <v>1238607.7</v>
      </c>
      <c r="F105" s="135"/>
      <c r="G105" s="135"/>
      <c r="H105" s="130"/>
      <c r="I105" s="130"/>
      <c r="J105" s="130">
        <f t="shared" si="16"/>
        <v>1238607.7</v>
      </c>
      <c r="K105" s="130"/>
      <c r="L105" s="130"/>
      <c r="M105" s="130"/>
      <c r="N105" s="130"/>
      <c r="O105" s="130">
        <f t="shared" si="13"/>
        <v>1238607.7</v>
      </c>
      <c r="P105" s="130">
        <f t="shared" si="14"/>
        <v>0</v>
      </c>
      <c r="Q105" s="130">
        <f t="shared" si="15"/>
        <v>1238607.7</v>
      </c>
    </row>
    <row r="106" spans="1:17" s="131" customFormat="1" ht="15.75" x14ac:dyDescent="0.25">
      <c r="A106" s="138">
        <v>5191</v>
      </c>
      <c r="B106" s="146" t="s">
        <v>87</v>
      </c>
      <c r="C106" s="135">
        <v>0</v>
      </c>
      <c r="D106" s="135">
        <v>15000</v>
      </c>
      <c r="E106" s="135">
        <f t="shared" si="18"/>
        <v>15000</v>
      </c>
      <c r="F106" s="135"/>
      <c r="G106" s="135"/>
      <c r="H106" s="130"/>
      <c r="I106" s="130"/>
      <c r="J106" s="130">
        <f t="shared" si="16"/>
        <v>15000</v>
      </c>
      <c r="K106" s="130"/>
      <c r="L106" s="130"/>
      <c r="M106" s="130"/>
      <c r="N106" s="130"/>
      <c r="O106" s="130">
        <f t="shared" si="13"/>
        <v>15000</v>
      </c>
      <c r="P106" s="130">
        <f t="shared" si="14"/>
        <v>0</v>
      </c>
      <c r="Q106" s="130">
        <f t="shared" si="15"/>
        <v>15000</v>
      </c>
    </row>
    <row r="107" spans="1:17" s="131" customFormat="1" ht="15" customHeight="1" x14ac:dyDescent="0.25">
      <c r="A107" s="138">
        <v>5211</v>
      </c>
      <c r="B107" s="146" t="s">
        <v>88</v>
      </c>
      <c r="C107" s="152"/>
      <c r="D107" s="135">
        <v>0</v>
      </c>
      <c r="E107" s="135">
        <f t="shared" si="18"/>
        <v>0</v>
      </c>
      <c r="F107" s="135"/>
      <c r="G107" s="135"/>
      <c r="H107" s="130"/>
      <c r="I107" s="130"/>
      <c r="J107" s="130">
        <f t="shared" si="16"/>
        <v>0</v>
      </c>
      <c r="K107" s="130"/>
      <c r="L107" s="130"/>
      <c r="M107" s="130"/>
      <c r="N107" s="130"/>
      <c r="O107" s="130">
        <f t="shared" si="13"/>
        <v>0</v>
      </c>
      <c r="P107" s="130">
        <f t="shared" si="14"/>
        <v>0</v>
      </c>
      <c r="Q107" s="130">
        <f t="shared" si="15"/>
        <v>0</v>
      </c>
    </row>
    <row r="108" spans="1:17" s="131" customFormat="1" ht="15.75" x14ac:dyDescent="0.25">
      <c r="A108" s="138">
        <v>5291</v>
      </c>
      <c r="B108" s="170" t="s">
        <v>197</v>
      </c>
      <c r="C108" s="152"/>
      <c r="D108" s="135">
        <v>0</v>
      </c>
      <c r="E108" s="135">
        <f t="shared" si="18"/>
        <v>0</v>
      </c>
      <c r="F108" s="135"/>
      <c r="G108" s="135"/>
      <c r="H108" s="130"/>
      <c r="I108" s="130"/>
      <c r="J108" s="130">
        <f t="shared" si="16"/>
        <v>0</v>
      </c>
      <c r="K108" s="130"/>
      <c r="L108" s="130"/>
      <c r="M108" s="130"/>
      <c r="N108" s="130"/>
      <c r="O108" s="130">
        <f t="shared" si="13"/>
        <v>0</v>
      </c>
      <c r="P108" s="130">
        <f t="shared" si="14"/>
        <v>0</v>
      </c>
      <c r="Q108" s="130">
        <f t="shared" si="15"/>
        <v>0</v>
      </c>
    </row>
    <row r="109" spans="1:17" s="131" customFormat="1" ht="15" customHeight="1" x14ac:dyDescent="0.25">
      <c r="A109" s="138">
        <v>5311</v>
      </c>
      <c r="B109" s="170" t="s">
        <v>198</v>
      </c>
      <c r="C109" s="135">
        <v>300000</v>
      </c>
      <c r="D109" s="135">
        <f>4814972.24-15600-4099372</f>
        <v>700000.24000000022</v>
      </c>
      <c r="E109" s="135">
        <f t="shared" si="18"/>
        <v>1000000.2400000002</v>
      </c>
      <c r="F109" s="135"/>
      <c r="G109" s="135"/>
      <c r="H109" s="130"/>
      <c r="I109" s="130"/>
      <c r="J109" s="130">
        <f t="shared" si="16"/>
        <v>1000000.2400000002</v>
      </c>
      <c r="K109" s="130"/>
      <c r="L109" s="130"/>
      <c r="M109" s="130"/>
      <c r="N109" s="130"/>
      <c r="O109" s="130">
        <f t="shared" si="13"/>
        <v>1000000.2400000002</v>
      </c>
      <c r="P109" s="130">
        <f t="shared" si="14"/>
        <v>0</v>
      </c>
      <c r="Q109" s="130">
        <f t="shared" si="15"/>
        <v>1000000.2400000002</v>
      </c>
    </row>
    <row r="110" spans="1:17" s="131" customFormat="1" ht="15.75" x14ac:dyDescent="0.25">
      <c r="A110" s="138">
        <v>5621</v>
      </c>
      <c r="B110" s="146" t="s">
        <v>89</v>
      </c>
      <c r="C110" s="135">
        <v>500000</v>
      </c>
      <c r="D110" s="135">
        <v>0</v>
      </c>
      <c r="E110" s="135">
        <f t="shared" si="18"/>
        <v>500000</v>
      </c>
      <c r="F110" s="135"/>
      <c r="G110" s="135"/>
      <c r="H110" s="130"/>
      <c r="I110" s="130"/>
      <c r="J110" s="130">
        <f t="shared" si="16"/>
        <v>500000</v>
      </c>
      <c r="K110" s="130"/>
      <c r="L110" s="130"/>
      <c r="M110" s="130"/>
      <c r="N110" s="130"/>
      <c r="O110" s="130">
        <f t="shared" si="13"/>
        <v>500000</v>
      </c>
      <c r="P110" s="130">
        <f t="shared" si="14"/>
        <v>0</v>
      </c>
      <c r="Q110" s="130">
        <f t="shared" si="15"/>
        <v>500000</v>
      </c>
    </row>
    <row r="111" spans="1:17" s="131" customFormat="1" ht="15" customHeight="1" x14ac:dyDescent="0.25">
      <c r="A111" s="138">
        <v>5641</v>
      </c>
      <c r="B111" s="146" t="s">
        <v>199</v>
      </c>
      <c r="C111" s="135">
        <f>1500000-291261.22</f>
        <v>1208738.78</v>
      </c>
      <c r="D111" s="135">
        <v>425000</v>
      </c>
      <c r="E111" s="135">
        <f t="shared" si="18"/>
        <v>1633738.78</v>
      </c>
      <c r="F111" s="135"/>
      <c r="G111" s="135"/>
      <c r="H111" s="130"/>
      <c r="I111" s="130"/>
      <c r="J111" s="130">
        <f t="shared" si="16"/>
        <v>1633738.78</v>
      </c>
      <c r="K111" s="130"/>
      <c r="L111" s="130"/>
      <c r="M111" s="130"/>
      <c r="N111" s="130"/>
      <c r="O111" s="130">
        <f t="shared" si="13"/>
        <v>1633738.78</v>
      </c>
      <c r="P111" s="130">
        <f t="shared" si="14"/>
        <v>0</v>
      </c>
      <c r="Q111" s="130">
        <f t="shared" si="15"/>
        <v>1633738.78</v>
      </c>
    </row>
    <row r="112" spans="1:17" s="131" customFormat="1" ht="15.75" x14ac:dyDescent="0.25">
      <c r="A112" s="138">
        <v>5661</v>
      </c>
      <c r="B112" s="146" t="s">
        <v>200</v>
      </c>
      <c r="C112" s="135">
        <v>1200000</v>
      </c>
      <c r="D112" s="135"/>
      <c r="E112" s="135">
        <f t="shared" si="18"/>
        <v>1200000</v>
      </c>
      <c r="F112" s="135"/>
      <c r="G112" s="135"/>
      <c r="H112" s="130"/>
      <c r="I112" s="130"/>
      <c r="J112" s="130">
        <f t="shared" si="16"/>
        <v>1200000</v>
      </c>
      <c r="K112" s="130"/>
      <c r="L112" s="130"/>
      <c r="M112" s="130"/>
      <c r="N112" s="130"/>
      <c r="O112" s="130">
        <f t="shared" si="13"/>
        <v>1200000</v>
      </c>
      <c r="P112" s="130">
        <f t="shared" si="14"/>
        <v>0</v>
      </c>
      <c r="Q112" s="130">
        <f t="shared" si="15"/>
        <v>1200000</v>
      </c>
    </row>
    <row r="113" spans="1:17" s="131" customFormat="1" ht="15" customHeight="1" x14ac:dyDescent="0.25">
      <c r="A113" s="138">
        <v>5411</v>
      </c>
      <c r="B113" s="146" t="s">
        <v>201</v>
      </c>
      <c r="C113" s="135">
        <v>565000</v>
      </c>
      <c r="D113" s="135"/>
      <c r="E113" s="135">
        <f t="shared" si="18"/>
        <v>565000</v>
      </c>
      <c r="F113" s="135"/>
      <c r="G113" s="135"/>
      <c r="H113" s="130"/>
      <c r="I113" s="130"/>
      <c r="J113" s="130">
        <f t="shared" si="16"/>
        <v>565000</v>
      </c>
      <c r="K113" s="130"/>
      <c r="L113" s="130"/>
      <c r="M113" s="130"/>
      <c r="N113" s="130"/>
      <c r="O113" s="130">
        <f t="shared" si="13"/>
        <v>565000</v>
      </c>
      <c r="P113" s="130">
        <f t="shared" si="14"/>
        <v>0</v>
      </c>
      <c r="Q113" s="130">
        <f t="shared" si="15"/>
        <v>565000</v>
      </c>
    </row>
    <row r="114" spans="1:17" s="131" customFormat="1" ht="15.75" x14ac:dyDescent="0.25">
      <c r="A114" s="138">
        <v>5911</v>
      </c>
      <c r="B114" s="146" t="s">
        <v>92</v>
      </c>
      <c r="C114" s="135">
        <f>25000+25000</f>
        <v>50000</v>
      </c>
      <c r="D114" s="135">
        <v>0</v>
      </c>
      <c r="E114" s="135">
        <f t="shared" si="18"/>
        <v>50000</v>
      </c>
      <c r="F114" s="135"/>
      <c r="G114" s="135"/>
      <c r="H114" s="130"/>
      <c r="I114" s="130"/>
      <c r="J114" s="130">
        <f t="shared" si="16"/>
        <v>50000</v>
      </c>
      <c r="K114" s="130"/>
      <c r="L114" s="130"/>
      <c r="M114" s="130"/>
      <c r="N114" s="130"/>
      <c r="O114" s="130">
        <f t="shared" si="13"/>
        <v>50000</v>
      </c>
      <c r="P114" s="130">
        <f t="shared" si="14"/>
        <v>0</v>
      </c>
      <c r="Q114" s="130">
        <f t="shared" si="15"/>
        <v>50000</v>
      </c>
    </row>
    <row r="115" spans="1:17" s="131" customFormat="1" ht="15.75" x14ac:dyDescent="0.25">
      <c r="A115" s="138">
        <v>5971</v>
      </c>
      <c r="B115" s="146" t="s">
        <v>93</v>
      </c>
      <c r="C115" s="135">
        <v>350000</v>
      </c>
      <c r="D115" s="135">
        <v>0</v>
      </c>
      <c r="E115" s="135">
        <f t="shared" si="18"/>
        <v>350000</v>
      </c>
      <c r="F115" s="135"/>
      <c r="G115" s="135"/>
      <c r="H115" s="130"/>
      <c r="I115" s="130"/>
      <c r="J115" s="130">
        <f t="shared" si="16"/>
        <v>350000</v>
      </c>
      <c r="K115" s="130"/>
      <c r="L115" s="130"/>
      <c r="M115" s="130"/>
      <c r="N115" s="130"/>
      <c r="O115" s="130">
        <f t="shared" si="13"/>
        <v>350000</v>
      </c>
      <c r="P115" s="130">
        <f t="shared" si="14"/>
        <v>0</v>
      </c>
      <c r="Q115" s="130">
        <f t="shared" si="15"/>
        <v>350000</v>
      </c>
    </row>
    <row r="116" spans="1:17" s="166" customFormat="1" ht="15.75" x14ac:dyDescent="0.25">
      <c r="A116" s="167"/>
      <c r="B116" s="168" t="s">
        <v>202</v>
      </c>
      <c r="C116" s="156">
        <f>SUM(C103:C115)</f>
        <v>6912346.4800000004</v>
      </c>
      <c r="D116" s="156">
        <f>SUM(D103:D115)</f>
        <v>1311860.4700000002</v>
      </c>
      <c r="E116" s="156">
        <f>C116+D116</f>
        <v>8224206.9500000011</v>
      </c>
      <c r="F116" s="156">
        <f t="shared" ref="F116:G116" si="21">SUM(F103:F115)</f>
        <v>0</v>
      </c>
      <c r="G116" s="156">
        <f t="shared" si="21"/>
        <v>0</v>
      </c>
      <c r="H116" s="156">
        <f>SUM(H103:H115)</f>
        <v>6318.02</v>
      </c>
      <c r="I116" s="156"/>
      <c r="J116" s="169">
        <f>SUM(J103:J115)</f>
        <v>8218072.8700000001</v>
      </c>
      <c r="K116" s="169">
        <f t="shared" ref="K116:Q116" si="22">SUM(K103:K115)</f>
        <v>0</v>
      </c>
      <c r="L116" s="169">
        <f t="shared" si="22"/>
        <v>0</v>
      </c>
      <c r="M116" s="169">
        <f t="shared" si="22"/>
        <v>0</v>
      </c>
      <c r="N116" s="169">
        <f t="shared" si="22"/>
        <v>0</v>
      </c>
      <c r="O116" s="169">
        <f>SUM(O103:O115)</f>
        <v>8224206.9500000002</v>
      </c>
      <c r="P116" s="169">
        <f t="shared" si="22"/>
        <v>6134.08</v>
      </c>
      <c r="Q116" s="169">
        <f t="shared" si="22"/>
        <v>8218072.8700000001</v>
      </c>
    </row>
    <row r="117" spans="1:17" s="166" customFormat="1" ht="15.75" x14ac:dyDescent="0.25">
      <c r="A117" s="171">
        <v>6171</v>
      </c>
      <c r="B117" s="159" t="s">
        <v>203</v>
      </c>
      <c r="C117" s="160"/>
      <c r="D117" s="172"/>
      <c r="E117" s="164">
        <f t="shared" si="18"/>
        <v>0</v>
      </c>
      <c r="F117" s="164"/>
      <c r="G117" s="164"/>
      <c r="H117" s="130">
        <f t="shared" si="19"/>
        <v>0</v>
      </c>
      <c r="I117" s="165"/>
      <c r="J117" s="130">
        <f t="shared" si="16"/>
        <v>0</v>
      </c>
      <c r="K117" s="165"/>
      <c r="L117" s="165"/>
      <c r="M117" s="165"/>
      <c r="N117" s="165"/>
      <c r="O117" s="130">
        <f t="shared" si="13"/>
        <v>0</v>
      </c>
      <c r="P117" s="130">
        <f t="shared" si="14"/>
        <v>0</v>
      </c>
      <c r="Q117" s="130">
        <f t="shared" si="15"/>
        <v>0</v>
      </c>
    </row>
    <row r="118" spans="1:17" s="166" customFormat="1" ht="15.75" x14ac:dyDescent="0.25">
      <c r="A118" s="171">
        <v>6211</v>
      </c>
      <c r="B118" s="159" t="s">
        <v>204</v>
      </c>
      <c r="C118" s="160"/>
      <c r="D118" s="135"/>
      <c r="E118" s="164">
        <f t="shared" si="18"/>
        <v>0</v>
      </c>
      <c r="F118" s="164"/>
      <c r="G118" s="164"/>
      <c r="H118" s="130">
        <f t="shared" si="19"/>
        <v>0</v>
      </c>
      <c r="I118" s="165"/>
      <c r="J118" s="130">
        <f t="shared" si="16"/>
        <v>0</v>
      </c>
      <c r="K118" s="165"/>
      <c r="L118" s="165"/>
      <c r="M118" s="165"/>
      <c r="N118" s="165"/>
      <c r="O118" s="130">
        <f t="shared" si="13"/>
        <v>0</v>
      </c>
      <c r="P118" s="130">
        <f t="shared" si="14"/>
        <v>0</v>
      </c>
      <c r="Q118" s="130">
        <f t="shared" si="15"/>
        <v>0</v>
      </c>
    </row>
    <row r="119" spans="1:17" s="166" customFormat="1" ht="15.75" x14ac:dyDescent="0.25">
      <c r="A119" s="167"/>
      <c r="B119" s="168" t="s">
        <v>205</v>
      </c>
      <c r="C119" s="173"/>
      <c r="D119" s="173">
        <f>SUM(D117:D118)</f>
        <v>0</v>
      </c>
      <c r="E119" s="173">
        <f t="shared" si="18"/>
        <v>0</v>
      </c>
      <c r="F119" s="173"/>
      <c r="G119" s="173"/>
      <c r="H119" s="156">
        <f>SUM(H117:H118)</f>
        <v>0</v>
      </c>
      <c r="I119" s="173">
        <f t="shared" ref="I119" si="23">E119+H119</f>
        <v>0</v>
      </c>
      <c r="J119" s="173">
        <f t="shared" ref="J119:N119" si="24">H119+I119</f>
        <v>0</v>
      </c>
      <c r="K119" s="173">
        <f t="shared" si="24"/>
        <v>0</v>
      </c>
      <c r="L119" s="173">
        <f t="shared" si="24"/>
        <v>0</v>
      </c>
      <c r="M119" s="173">
        <f t="shared" si="24"/>
        <v>0</v>
      </c>
      <c r="N119" s="173">
        <f t="shared" si="24"/>
        <v>0</v>
      </c>
      <c r="O119" s="169">
        <f>SUM(O117:O118)</f>
        <v>0</v>
      </c>
      <c r="P119" s="173">
        <f t="shared" ref="P119" si="25">N119+O119</f>
        <v>0</v>
      </c>
      <c r="Q119" s="169">
        <f>SUM(Q117:Q118)</f>
        <v>0</v>
      </c>
    </row>
    <row r="120" spans="1:17" s="166" customFormat="1" ht="15.75" x14ac:dyDescent="0.25">
      <c r="A120" s="161"/>
      <c r="B120" s="162"/>
      <c r="C120" s="163"/>
      <c r="D120" s="135"/>
      <c r="E120" s="164">
        <f t="shared" si="18"/>
        <v>0</v>
      </c>
      <c r="F120" s="164"/>
      <c r="G120" s="164"/>
      <c r="H120" s="165"/>
      <c r="I120" s="165"/>
      <c r="J120" s="130">
        <f t="shared" si="16"/>
        <v>0</v>
      </c>
      <c r="K120" s="165"/>
      <c r="L120" s="165"/>
      <c r="M120" s="165"/>
      <c r="N120" s="165"/>
      <c r="O120" s="130">
        <f t="shared" si="13"/>
        <v>0</v>
      </c>
      <c r="P120" s="130">
        <f t="shared" si="14"/>
        <v>0</v>
      </c>
      <c r="Q120" s="130">
        <f t="shared" si="15"/>
        <v>0</v>
      </c>
    </row>
    <row r="121" spans="1:17" s="166" customFormat="1" ht="15.75" x14ac:dyDescent="0.25">
      <c r="A121" s="161"/>
      <c r="B121" s="162"/>
      <c r="C121" s="163"/>
      <c r="D121" s="135"/>
      <c r="E121" s="164">
        <f t="shared" si="18"/>
        <v>0</v>
      </c>
      <c r="F121" s="164"/>
      <c r="G121" s="164"/>
      <c r="H121" s="165"/>
      <c r="I121" s="165"/>
      <c r="J121" s="130">
        <f t="shared" si="16"/>
        <v>0</v>
      </c>
      <c r="K121" s="165"/>
      <c r="L121" s="165"/>
      <c r="M121" s="165"/>
      <c r="N121" s="165"/>
      <c r="O121" s="130">
        <f t="shared" si="13"/>
        <v>0</v>
      </c>
      <c r="P121" s="130">
        <f t="shared" si="14"/>
        <v>0</v>
      </c>
      <c r="Q121" s="130">
        <f t="shared" si="15"/>
        <v>0</v>
      </c>
    </row>
    <row r="122" spans="1:17" s="166" customFormat="1" ht="15.75" x14ac:dyDescent="0.25">
      <c r="A122" s="167"/>
      <c r="B122" s="168"/>
      <c r="C122" s="173"/>
      <c r="D122" s="173">
        <f>SUM(D120:D121)</f>
        <v>0</v>
      </c>
      <c r="E122" s="173">
        <f t="shared" si="18"/>
        <v>0</v>
      </c>
      <c r="F122" s="173"/>
      <c r="G122" s="173"/>
      <c r="H122" s="156">
        <f>SUM(H120:H121)</f>
        <v>0</v>
      </c>
      <c r="I122" s="173">
        <f t="shared" ref="I122" si="26">E122+H122</f>
        <v>0</v>
      </c>
      <c r="J122" s="173">
        <f t="shared" ref="J122:N122" si="27">H122+I122</f>
        <v>0</v>
      </c>
      <c r="K122" s="173">
        <f t="shared" si="27"/>
        <v>0</v>
      </c>
      <c r="L122" s="173">
        <f t="shared" si="27"/>
        <v>0</v>
      </c>
      <c r="M122" s="173">
        <f t="shared" si="27"/>
        <v>0</v>
      </c>
      <c r="N122" s="173">
        <f t="shared" si="27"/>
        <v>0</v>
      </c>
      <c r="O122" s="169">
        <f>SUM(O120:O121)</f>
        <v>0</v>
      </c>
      <c r="P122" s="173">
        <f t="shared" ref="P122" si="28">N122+O122</f>
        <v>0</v>
      </c>
      <c r="Q122" s="169">
        <f>SUM(Q120:Q121)</f>
        <v>0</v>
      </c>
    </row>
    <row r="123" spans="1:17" s="166" customFormat="1" ht="30.75" x14ac:dyDescent="0.25">
      <c r="A123" s="161">
        <v>7991</v>
      </c>
      <c r="B123" s="174" t="s">
        <v>207</v>
      </c>
      <c r="C123" s="135"/>
      <c r="D123" s="135">
        <v>1000000</v>
      </c>
      <c r="E123" s="164">
        <f t="shared" si="18"/>
        <v>1000000</v>
      </c>
      <c r="F123" s="164"/>
      <c r="G123" s="164"/>
      <c r="H123" s="165"/>
      <c r="I123" s="165"/>
      <c r="J123" s="130">
        <f t="shared" si="16"/>
        <v>1000000</v>
      </c>
      <c r="K123" s="165"/>
      <c r="L123" s="165"/>
      <c r="M123" s="165"/>
      <c r="N123" s="165"/>
      <c r="O123" s="130">
        <f t="shared" si="13"/>
        <v>1000000</v>
      </c>
      <c r="P123" s="130">
        <f t="shared" si="14"/>
        <v>0</v>
      </c>
      <c r="Q123" s="130">
        <f t="shared" si="15"/>
        <v>1000000</v>
      </c>
    </row>
    <row r="124" spans="1:17" s="166" customFormat="1" ht="15.75" x14ac:dyDescent="0.25">
      <c r="A124" s="161"/>
      <c r="B124" s="162"/>
      <c r="C124" s="163"/>
      <c r="D124" s="135"/>
      <c r="E124" s="164">
        <f t="shared" si="18"/>
        <v>0</v>
      </c>
      <c r="F124" s="164"/>
      <c r="G124" s="164"/>
      <c r="H124" s="165"/>
      <c r="I124" s="165"/>
      <c r="J124" s="130">
        <f t="shared" si="16"/>
        <v>0</v>
      </c>
      <c r="K124" s="165"/>
      <c r="L124" s="165"/>
      <c r="M124" s="165"/>
      <c r="N124" s="165"/>
      <c r="O124" s="130">
        <f t="shared" si="13"/>
        <v>0</v>
      </c>
      <c r="P124" s="130">
        <f t="shared" si="14"/>
        <v>0</v>
      </c>
      <c r="Q124" s="130">
        <f t="shared" si="15"/>
        <v>0</v>
      </c>
    </row>
    <row r="125" spans="1:17" s="166" customFormat="1" ht="15.75" x14ac:dyDescent="0.25">
      <c r="A125" s="167"/>
      <c r="B125" s="168" t="s">
        <v>206</v>
      </c>
      <c r="C125" s="169">
        <f>SUM(C123:C124)</f>
        <v>0</v>
      </c>
      <c r="D125" s="169">
        <f>SUM(D123:D124)</f>
        <v>1000000</v>
      </c>
      <c r="E125" s="169">
        <f t="shared" si="18"/>
        <v>1000000</v>
      </c>
      <c r="F125" s="169">
        <f t="shared" ref="F125:G125" si="29">SUM(F123:F124)</f>
        <v>0</v>
      </c>
      <c r="G125" s="169">
        <f t="shared" si="29"/>
        <v>0</v>
      </c>
      <c r="H125" s="156">
        <f>SUM(H123:H124)</f>
        <v>0</v>
      </c>
      <c r="I125" s="156">
        <f t="shared" ref="I125:K125" si="30">SUM(I123:I124)</f>
        <v>0</v>
      </c>
      <c r="J125" s="156">
        <f t="shared" si="30"/>
        <v>1000000</v>
      </c>
      <c r="K125" s="156">
        <f t="shared" si="30"/>
        <v>0</v>
      </c>
      <c r="L125" s="169">
        <v>0</v>
      </c>
      <c r="M125" s="169">
        <v>0</v>
      </c>
      <c r="N125" s="169">
        <v>0</v>
      </c>
      <c r="O125" s="169">
        <f>SUM(O123:O124)</f>
        <v>1000000</v>
      </c>
      <c r="P125" s="169">
        <v>0</v>
      </c>
      <c r="Q125" s="169">
        <f>SUM(Q123:Q124)</f>
        <v>1000000</v>
      </c>
    </row>
    <row r="126" spans="1:17" s="166" customFormat="1" ht="15.75" x14ac:dyDescent="0.25">
      <c r="A126" s="175"/>
      <c r="B126" s="176"/>
      <c r="C126" s="163"/>
      <c r="D126" s="135"/>
      <c r="E126" s="164"/>
      <c r="F126" s="164"/>
      <c r="G126" s="164"/>
      <c r="H126" s="165"/>
      <c r="I126" s="165"/>
      <c r="J126" s="130"/>
      <c r="K126" s="165"/>
      <c r="L126" s="165"/>
      <c r="M126" s="165"/>
      <c r="N126" s="165"/>
      <c r="O126" s="165"/>
      <c r="P126" s="165"/>
      <c r="Q126" s="165"/>
    </row>
    <row r="127" spans="1:17" s="166" customFormat="1" ht="15.75" x14ac:dyDescent="0.25">
      <c r="A127" s="177"/>
      <c r="B127" s="177" t="s">
        <v>226</v>
      </c>
      <c r="C127" s="178"/>
      <c r="D127" s="178"/>
      <c r="E127" s="178"/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</row>
    <row r="128" spans="1:17" s="166" customFormat="1" ht="15.75" x14ac:dyDescent="0.25">
      <c r="A128" s="177"/>
      <c r="B128" s="177" t="s">
        <v>209</v>
      </c>
      <c r="C128" s="179">
        <f>C25+C58+C97+C102+C116+C119+C122+C125</f>
        <v>87061207.268828481</v>
      </c>
      <c r="D128" s="179">
        <f>D25+D58+D97+D102+D116+D119+D122+D125</f>
        <v>20076554.469999999</v>
      </c>
      <c r="E128" s="178">
        <f>E25+E58+E97+E102+E116+E119+E122+E125</f>
        <v>107137761.73882848</v>
      </c>
      <c r="F128" s="178">
        <f>F25+F58+F97+F102+F116+F119+F122+F125</f>
        <v>0</v>
      </c>
      <c r="G128" s="178">
        <f>G25+G58+G97+G102+G116+G119+G122+G125</f>
        <v>0</v>
      </c>
      <c r="H128" s="178">
        <f t="shared" ref="H128:Q128" si="31">H25+H58+H97+H102+H116+H119+H122+H125</f>
        <v>5762243.8099999996</v>
      </c>
      <c r="I128" s="179">
        <f t="shared" si="31"/>
        <v>4475481.6499999994</v>
      </c>
      <c r="J128" s="179">
        <f t="shared" si="31"/>
        <v>102656146.00882848</v>
      </c>
      <c r="K128" s="178">
        <f t="shared" si="31"/>
        <v>0</v>
      </c>
      <c r="L128" s="178">
        <f t="shared" si="31"/>
        <v>0</v>
      </c>
      <c r="M128" s="178">
        <f t="shared" si="31"/>
        <v>0</v>
      </c>
      <c r="N128" s="178">
        <f t="shared" si="31"/>
        <v>0</v>
      </c>
      <c r="O128" s="178">
        <f t="shared" si="31"/>
        <v>107137761.73882848</v>
      </c>
      <c r="P128" s="178">
        <f t="shared" si="31"/>
        <v>4481615.7299999995</v>
      </c>
      <c r="Q128" s="178">
        <f t="shared" si="31"/>
        <v>102656146.00882848</v>
      </c>
    </row>
    <row r="129" spans="1:7" x14ac:dyDescent="0.25">
      <c r="A129" s="81"/>
      <c r="B129" s="82"/>
      <c r="C129" s="91"/>
      <c r="D129" s="92"/>
      <c r="E129" s="93"/>
      <c r="F129" s="93"/>
      <c r="G129" s="93"/>
    </row>
    <row r="130" spans="1:7" x14ac:dyDescent="0.25">
      <c r="D130" s="94"/>
    </row>
  </sheetData>
  <mergeCells count="8">
    <mergeCell ref="P5:P6"/>
    <mergeCell ref="Q5:Q6"/>
    <mergeCell ref="A5:A6"/>
    <mergeCell ref="B5:B6"/>
    <mergeCell ref="C5:C6"/>
    <mergeCell ref="F5:G5"/>
    <mergeCell ref="K5:L5"/>
    <mergeCell ref="O5:O6"/>
  </mergeCells>
  <pageMargins left="0.70866141732283472" right="0.70866141732283472" top="0.74803149606299213" bottom="0.74803149606299213" header="0.31496062992125984" footer="0.31496062992125984"/>
  <pageSetup paperSize="9" scale="46" fitToHeight="2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2:W132"/>
  <sheetViews>
    <sheetView view="pageBreakPreview" topLeftCell="L1" zoomScaleNormal="100" zoomScaleSheetLayoutView="100" workbookViewId="0">
      <pane ySplit="6" topLeftCell="A119" activePane="bottomLeft" state="frozen"/>
      <selection activeCell="B1" sqref="B1"/>
      <selection pane="bottomLeft" activeCell="V130" sqref="V130"/>
    </sheetView>
  </sheetViews>
  <sheetFormatPr baseColWidth="10" defaultColWidth="9.140625" defaultRowHeight="15" x14ac:dyDescent="0.25"/>
  <cols>
    <col min="1" max="1" width="7.140625" style="58" customWidth="1"/>
    <col min="2" max="2" width="73.140625" style="58" customWidth="1"/>
    <col min="3" max="3" width="13" style="85" customWidth="1"/>
    <col min="4" max="4" width="13.5703125" style="85" customWidth="1"/>
    <col min="5" max="5" width="17.7109375" style="85" customWidth="1"/>
    <col min="6" max="6" width="8.42578125" style="85" customWidth="1"/>
    <col min="7" max="7" width="12.85546875" style="85" customWidth="1"/>
    <col min="8" max="8" width="14.28515625" style="85" customWidth="1"/>
    <col min="9" max="9" width="14" style="85" customWidth="1"/>
    <col min="10" max="10" width="8.28515625" style="85" customWidth="1"/>
    <col min="11" max="11" width="11" style="85" customWidth="1"/>
    <col min="12" max="12" width="14.140625" style="85" customWidth="1"/>
    <col min="13" max="13" width="20" style="85" customWidth="1"/>
    <col min="14" max="15" width="18" style="85" customWidth="1"/>
    <col min="16" max="16" width="14" style="58" bestFit="1" customWidth="1"/>
    <col min="17" max="21" width="11.42578125" style="58" customWidth="1"/>
    <col min="22" max="22" width="14" style="58" customWidth="1"/>
    <col min="23" max="23" width="14.28515625" style="58" customWidth="1"/>
    <col min="24" max="212" width="11.42578125" style="58" customWidth="1"/>
    <col min="213" max="16384" width="9.140625" style="58"/>
  </cols>
  <sheetData>
    <row r="2" spans="1:23" ht="18" x14ac:dyDescent="0.25">
      <c r="C2" s="87" t="s">
        <v>277</v>
      </c>
      <c r="D2" s="88"/>
    </row>
    <row r="3" spans="1:23" x14ac:dyDescent="0.25">
      <c r="C3" s="89" t="s">
        <v>224</v>
      </c>
      <c r="D3" s="89"/>
    </row>
    <row r="4" spans="1:23" ht="24.75" customHeight="1" x14ac:dyDescent="0.25"/>
    <row r="5" spans="1:23" ht="27.75" customHeight="1" x14ac:dyDescent="0.25">
      <c r="A5" s="296" t="s">
        <v>99</v>
      </c>
      <c r="B5" s="298" t="s">
        <v>100</v>
      </c>
      <c r="C5" s="303" t="s">
        <v>210</v>
      </c>
      <c r="D5" s="236" t="s">
        <v>19</v>
      </c>
      <c r="E5" s="236" t="s">
        <v>101</v>
      </c>
      <c r="F5" s="304" t="s">
        <v>227</v>
      </c>
      <c r="G5" s="305"/>
      <c r="H5" s="237" t="s">
        <v>211</v>
      </c>
      <c r="I5" s="237" t="s">
        <v>212</v>
      </c>
      <c r="J5" s="306" t="s">
        <v>213</v>
      </c>
      <c r="K5" s="307"/>
      <c r="L5" s="237"/>
      <c r="M5" s="237"/>
      <c r="N5" s="237" t="s">
        <v>274</v>
      </c>
      <c r="O5" s="237" t="s">
        <v>276</v>
      </c>
      <c r="P5" s="237" t="s">
        <v>211</v>
      </c>
      <c r="Q5" s="237" t="s">
        <v>212</v>
      </c>
      <c r="R5" s="306" t="s">
        <v>213</v>
      </c>
      <c r="S5" s="307"/>
      <c r="T5" s="237"/>
      <c r="U5" s="237"/>
      <c r="V5" s="237" t="s">
        <v>274</v>
      </c>
      <c r="W5" s="237" t="s">
        <v>276</v>
      </c>
    </row>
    <row r="6" spans="1:23" ht="25.5" x14ac:dyDescent="0.25">
      <c r="A6" s="297"/>
      <c r="B6" s="298"/>
      <c r="C6" s="303"/>
      <c r="D6" s="235" t="s">
        <v>222</v>
      </c>
      <c r="E6" s="236" t="s">
        <v>264</v>
      </c>
      <c r="F6" s="236" t="s">
        <v>218</v>
      </c>
      <c r="G6" s="236" t="s">
        <v>219</v>
      </c>
      <c r="H6" s="84" t="s">
        <v>33</v>
      </c>
      <c r="I6" s="84" t="s">
        <v>33</v>
      </c>
      <c r="J6" s="84" t="s">
        <v>218</v>
      </c>
      <c r="K6" s="84" t="s">
        <v>219</v>
      </c>
      <c r="L6" s="84" t="s">
        <v>220</v>
      </c>
      <c r="M6" s="84" t="s">
        <v>221</v>
      </c>
      <c r="N6" s="84" t="s">
        <v>275</v>
      </c>
      <c r="O6" s="84" t="s">
        <v>216</v>
      </c>
      <c r="P6" s="84" t="s">
        <v>247</v>
      </c>
      <c r="Q6" s="84" t="s">
        <v>33</v>
      </c>
      <c r="R6" s="84" t="s">
        <v>218</v>
      </c>
      <c r="S6" s="84" t="s">
        <v>219</v>
      </c>
      <c r="T6" s="84" t="s">
        <v>220</v>
      </c>
      <c r="U6" s="84" t="s">
        <v>221</v>
      </c>
      <c r="V6" s="84" t="s">
        <v>275</v>
      </c>
      <c r="W6" s="84" t="s">
        <v>216</v>
      </c>
    </row>
    <row r="7" spans="1:23" s="131" customFormat="1" ht="15" customHeight="1" x14ac:dyDescent="0.25">
      <c r="A7" s="126">
        <v>1131</v>
      </c>
      <c r="B7" s="127" t="s">
        <v>102</v>
      </c>
      <c r="C7" s="128">
        <f>29378510.336+2561872.56+53797.14</f>
        <v>31994180.035999998</v>
      </c>
      <c r="D7" s="129"/>
      <c r="E7" s="129">
        <f>C7+D7</f>
        <v>31994180.035999998</v>
      </c>
      <c r="F7" s="129"/>
      <c r="G7" s="129"/>
      <c r="H7" s="130">
        <v>2675467</v>
      </c>
      <c r="I7" s="130">
        <v>2401012.83</v>
      </c>
      <c r="J7" s="130"/>
      <c r="K7" s="130"/>
      <c r="L7" s="130"/>
      <c r="M7" s="130"/>
      <c r="N7" s="130">
        <f>+E7-J7+K7-L7+M7</f>
        <v>31994180.035999998</v>
      </c>
      <c r="O7" s="130">
        <f>+N7-I7</f>
        <v>29593167.206</v>
      </c>
      <c r="P7" s="226">
        <v>2416550.92</v>
      </c>
      <c r="Q7" s="231">
        <v>2168504.21</v>
      </c>
      <c r="R7" s="130"/>
      <c r="S7" s="130"/>
      <c r="T7" s="130"/>
      <c r="U7" s="130"/>
      <c r="V7" s="130">
        <f>+N7-R7+S7-T7+U7</f>
        <v>31994180.035999998</v>
      </c>
      <c r="W7" s="130">
        <f>+V7-Q7</f>
        <v>29825675.825999998</v>
      </c>
    </row>
    <row r="8" spans="1:23" s="131" customFormat="1" ht="30" x14ac:dyDescent="0.25">
      <c r="A8" s="132">
        <v>1311</v>
      </c>
      <c r="B8" s="133" t="s">
        <v>103</v>
      </c>
      <c r="C8" s="134">
        <v>432901.92</v>
      </c>
      <c r="D8" s="135"/>
      <c r="E8" s="135">
        <f t="shared" ref="E8:E23" si="0">C8+D8</f>
        <v>432901.92</v>
      </c>
      <c r="F8" s="135"/>
      <c r="G8" s="135"/>
      <c r="H8" s="130">
        <v>35681</v>
      </c>
      <c r="I8" s="130">
        <v>30266.55</v>
      </c>
      <c r="J8" s="130"/>
      <c r="K8" s="130"/>
      <c r="L8" s="130"/>
      <c r="M8" s="130"/>
      <c r="N8" s="130">
        <f t="shared" ref="N8:N73" si="1">+E8-J8+K8-L8+M8</f>
        <v>432901.92</v>
      </c>
      <c r="O8" s="130">
        <f t="shared" ref="O8:O73" si="2">+N8-I8</f>
        <v>402635.37</v>
      </c>
      <c r="P8" s="226">
        <v>35845.159880000007</v>
      </c>
      <c r="Q8" s="231">
        <v>36340.06</v>
      </c>
      <c r="R8" s="130"/>
      <c r="S8" s="130"/>
      <c r="T8" s="130"/>
      <c r="U8" s="130"/>
      <c r="V8" s="130">
        <f t="shared" ref="V8:V71" si="3">+N8-R8+S8-T8+U8</f>
        <v>432901.92</v>
      </c>
      <c r="W8" s="130">
        <f t="shared" ref="W8:W24" si="4">+V8-Q8</f>
        <v>396561.86</v>
      </c>
    </row>
    <row r="9" spans="1:23" s="131" customFormat="1" ht="15" customHeight="1" x14ac:dyDescent="0.25">
      <c r="A9" s="132">
        <v>1321</v>
      </c>
      <c r="B9" s="136" t="s">
        <v>104</v>
      </c>
      <c r="C9" s="134">
        <f>402160.408000001+35581.56</f>
        <v>437741.96800000098</v>
      </c>
      <c r="D9" s="135"/>
      <c r="E9" s="135">
        <f t="shared" si="0"/>
        <v>437741.96800000098</v>
      </c>
      <c r="F9" s="135"/>
      <c r="G9" s="135"/>
      <c r="H9" s="130">
        <v>4377</v>
      </c>
      <c r="I9" s="130">
        <v>252.09</v>
      </c>
      <c r="J9" s="130"/>
      <c r="K9" s="130"/>
      <c r="L9" s="130"/>
      <c r="M9" s="130"/>
      <c r="N9" s="130">
        <f t="shared" si="1"/>
        <v>437741.96800000098</v>
      </c>
      <c r="O9" s="130">
        <f t="shared" si="2"/>
        <v>437489.87800000096</v>
      </c>
      <c r="P9" s="226">
        <v>4377.42</v>
      </c>
      <c r="Q9" s="231">
        <v>1660.72</v>
      </c>
      <c r="R9" s="130"/>
      <c r="S9" s="130"/>
      <c r="T9" s="130"/>
      <c r="U9" s="130"/>
      <c r="V9" s="130">
        <f t="shared" si="3"/>
        <v>437741.96800000098</v>
      </c>
      <c r="W9" s="130">
        <f t="shared" si="4"/>
        <v>436081.24800000101</v>
      </c>
    </row>
    <row r="10" spans="1:23" s="131" customFormat="1" ht="15.75" x14ac:dyDescent="0.25">
      <c r="A10" s="132">
        <v>1322</v>
      </c>
      <c r="B10" s="136" t="s">
        <v>105</v>
      </c>
      <c r="C10" s="134">
        <f>4021604.08+355815.63</f>
        <v>4377419.71</v>
      </c>
      <c r="D10" s="135"/>
      <c r="E10" s="135">
        <f t="shared" si="0"/>
        <v>4377419.71</v>
      </c>
      <c r="F10" s="135"/>
      <c r="G10" s="135"/>
      <c r="H10" s="130">
        <v>44692</v>
      </c>
      <c r="I10" s="130">
        <v>645.99</v>
      </c>
      <c r="J10" s="130"/>
      <c r="K10" s="130"/>
      <c r="L10" s="130"/>
      <c r="M10" s="130"/>
      <c r="N10" s="130">
        <f t="shared" si="1"/>
        <v>4377419.71</v>
      </c>
      <c r="O10" s="130">
        <f t="shared" si="2"/>
        <v>4376773.72</v>
      </c>
      <c r="P10" s="226">
        <v>40366.480000000003</v>
      </c>
      <c r="Q10" s="231">
        <v>5625.07</v>
      </c>
      <c r="R10" s="130"/>
      <c r="S10" s="130"/>
      <c r="T10" s="130"/>
      <c r="U10" s="130"/>
      <c r="V10" s="130">
        <f t="shared" si="3"/>
        <v>4377419.71</v>
      </c>
      <c r="W10" s="130">
        <f t="shared" si="4"/>
        <v>4371794.6399999997</v>
      </c>
    </row>
    <row r="11" spans="1:23" s="131" customFormat="1" ht="15" customHeight="1" x14ac:dyDescent="0.25">
      <c r="A11" s="132">
        <v>1332</v>
      </c>
      <c r="B11" s="136" t="s">
        <v>106</v>
      </c>
      <c r="C11" s="134">
        <v>1388969</v>
      </c>
      <c r="D11" s="135"/>
      <c r="E11" s="135">
        <f t="shared" si="0"/>
        <v>1388969</v>
      </c>
      <c r="F11" s="135"/>
      <c r="G11" s="135"/>
      <c r="H11" s="130">
        <v>118210</v>
      </c>
      <c r="I11" s="130">
        <v>20629.509999999998</v>
      </c>
      <c r="J11" s="130"/>
      <c r="K11" s="130"/>
      <c r="L11" s="130"/>
      <c r="M11" s="130"/>
      <c r="N11" s="130">
        <f t="shared" si="1"/>
        <v>1388969</v>
      </c>
      <c r="O11" s="130">
        <f t="shared" si="2"/>
        <v>1368339.49</v>
      </c>
      <c r="P11" s="227">
        <v>107127.91</v>
      </c>
      <c r="Q11" s="231">
        <v>7644.57</v>
      </c>
      <c r="R11" s="130"/>
      <c r="S11" s="130"/>
      <c r="T11" s="130"/>
      <c r="U11" s="130"/>
      <c r="V11" s="130">
        <f t="shared" si="3"/>
        <v>1388969</v>
      </c>
      <c r="W11" s="130">
        <f t="shared" si="4"/>
        <v>1381324.43</v>
      </c>
    </row>
    <row r="12" spans="1:23" s="131" customFormat="1" ht="15.75" x14ac:dyDescent="0.25">
      <c r="A12" s="132">
        <v>1347</v>
      </c>
      <c r="B12" s="136" t="s">
        <v>107</v>
      </c>
      <c r="C12" s="134">
        <v>350000</v>
      </c>
      <c r="D12" s="135"/>
      <c r="E12" s="135">
        <f t="shared" si="0"/>
        <v>350000</v>
      </c>
      <c r="F12" s="135"/>
      <c r="G12" s="135"/>
      <c r="H12" s="130">
        <v>29167</v>
      </c>
      <c r="I12" s="130"/>
      <c r="J12" s="130"/>
      <c r="K12" s="130"/>
      <c r="L12" s="130"/>
      <c r="M12" s="130"/>
      <c r="N12" s="130">
        <f t="shared" si="1"/>
        <v>350000</v>
      </c>
      <c r="O12" s="130">
        <f t="shared" si="2"/>
        <v>350000</v>
      </c>
      <c r="P12" s="226">
        <v>29166.66</v>
      </c>
      <c r="Q12" s="231"/>
      <c r="R12" s="130"/>
      <c r="S12" s="130"/>
      <c r="T12" s="130"/>
      <c r="U12" s="130"/>
      <c r="V12" s="130">
        <f t="shared" si="3"/>
        <v>350000</v>
      </c>
      <c r="W12" s="130">
        <f t="shared" si="4"/>
        <v>350000</v>
      </c>
    </row>
    <row r="13" spans="1:23" s="131" customFormat="1" ht="15" customHeight="1" x14ac:dyDescent="0.25">
      <c r="A13" s="132">
        <v>1411</v>
      </c>
      <c r="B13" s="136" t="s">
        <v>108</v>
      </c>
      <c r="C13" s="134">
        <f>1739434.94666845+153581.18</f>
        <v>1893016.12666845</v>
      </c>
      <c r="D13" s="135"/>
      <c r="E13" s="135">
        <f t="shared" si="0"/>
        <v>1893016.12666845</v>
      </c>
      <c r="F13" s="135"/>
      <c r="G13" s="135"/>
      <c r="H13" s="130">
        <v>155590</v>
      </c>
      <c r="I13" s="130">
        <v>146649.09</v>
      </c>
      <c r="J13" s="130"/>
      <c r="K13" s="130"/>
      <c r="L13" s="130"/>
      <c r="M13" s="130"/>
      <c r="N13" s="130">
        <f t="shared" si="1"/>
        <v>1893016.12666845</v>
      </c>
      <c r="O13" s="130">
        <f t="shared" si="2"/>
        <v>1746367.0366684499</v>
      </c>
      <c r="P13" s="226">
        <v>155590.35</v>
      </c>
      <c r="Q13" s="231">
        <v>133497.51999999999</v>
      </c>
      <c r="R13" s="130"/>
      <c r="S13" s="130"/>
      <c r="T13" s="130"/>
      <c r="U13" s="130"/>
      <c r="V13" s="130">
        <f t="shared" si="3"/>
        <v>1893016.12666845</v>
      </c>
      <c r="W13" s="130">
        <f t="shared" si="4"/>
        <v>1759518.6066684499</v>
      </c>
    </row>
    <row r="14" spans="1:23" s="131" customFormat="1" ht="15.75" x14ac:dyDescent="0.25">
      <c r="A14" s="132">
        <v>1421</v>
      </c>
      <c r="B14" s="136" t="s">
        <v>109</v>
      </c>
      <c r="C14" s="134">
        <f>880731.291280002+76856.18</f>
        <v>957587.47128000204</v>
      </c>
      <c r="D14" s="135"/>
      <c r="E14" s="135">
        <f t="shared" si="0"/>
        <v>957587.47128000204</v>
      </c>
      <c r="F14" s="135"/>
      <c r="G14" s="135"/>
      <c r="H14" s="130">
        <v>78706</v>
      </c>
      <c r="I14" s="130">
        <v>62022.53</v>
      </c>
      <c r="J14" s="130"/>
      <c r="K14" s="130"/>
      <c r="L14" s="130"/>
      <c r="M14" s="130"/>
      <c r="N14" s="130">
        <f t="shared" si="1"/>
        <v>957587.47128000204</v>
      </c>
      <c r="O14" s="130">
        <f t="shared" si="2"/>
        <v>895564.94128000201</v>
      </c>
      <c r="P14" s="226">
        <v>78705.78</v>
      </c>
      <c r="Q14" s="231">
        <v>62498.04</v>
      </c>
      <c r="R14" s="130"/>
      <c r="S14" s="130"/>
      <c r="T14" s="130"/>
      <c r="U14" s="130"/>
      <c r="V14" s="130">
        <f t="shared" si="3"/>
        <v>957587.47128000204</v>
      </c>
      <c r="W14" s="130">
        <f t="shared" si="4"/>
        <v>895089.431280002</v>
      </c>
    </row>
    <row r="15" spans="1:23" s="131" customFormat="1" ht="15" customHeight="1" x14ac:dyDescent="0.25">
      <c r="A15" s="132">
        <v>1431</v>
      </c>
      <c r="B15" s="136" t="s">
        <v>110</v>
      </c>
      <c r="C15" s="134">
        <f>5137599.2108+384280.88</f>
        <v>5521880.0907999994</v>
      </c>
      <c r="D15" s="135"/>
      <c r="E15" s="135">
        <f t="shared" si="0"/>
        <v>5521880.0907999994</v>
      </c>
      <c r="F15" s="135"/>
      <c r="G15" s="135"/>
      <c r="H15" s="130">
        <v>453853</v>
      </c>
      <c r="I15" s="130">
        <v>361792.83</v>
      </c>
      <c r="J15" s="130"/>
      <c r="K15" s="130"/>
      <c r="L15" s="130"/>
      <c r="M15" s="130"/>
      <c r="N15" s="130">
        <f t="shared" si="1"/>
        <v>5521880.0907999994</v>
      </c>
      <c r="O15" s="130">
        <f t="shared" si="2"/>
        <v>5160087.2607999993</v>
      </c>
      <c r="P15" s="226">
        <v>453853.14</v>
      </c>
      <c r="Q15" s="231">
        <v>364566.67</v>
      </c>
      <c r="R15" s="130"/>
      <c r="S15" s="130"/>
      <c r="T15" s="130"/>
      <c r="U15" s="130"/>
      <c r="V15" s="130">
        <f t="shared" si="3"/>
        <v>5521880.0907999994</v>
      </c>
      <c r="W15" s="130">
        <f t="shared" si="4"/>
        <v>5157313.4207999995</v>
      </c>
    </row>
    <row r="16" spans="1:23" s="131" customFormat="1" ht="15.75" x14ac:dyDescent="0.25">
      <c r="A16" s="132">
        <v>1432</v>
      </c>
      <c r="B16" s="136" t="s">
        <v>111</v>
      </c>
      <c r="C16" s="134">
        <f>587154.197520001+51237.45</f>
        <v>638391.64752000093</v>
      </c>
      <c r="D16" s="135"/>
      <c r="E16" s="135">
        <f t="shared" si="0"/>
        <v>638391.64752000093</v>
      </c>
      <c r="F16" s="135"/>
      <c r="G16" s="135"/>
      <c r="H16" s="130">
        <v>52471</v>
      </c>
      <c r="I16" s="130">
        <v>41347.74</v>
      </c>
      <c r="J16" s="130"/>
      <c r="K16" s="130"/>
      <c r="L16" s="130"/>
      <c r="M16" s="130"/>
      <c r="N16" s="130">
        <f t="shared" si="1"/>
        <v>638391.64752000093</v>
      </c>
      <c r="O16" s="130">
        <f t="shared" si="2"/>
        <v>597043.90752000094</v>
      </c>
      <c r="P16" s="226">
        <v>52470.57</v>
      </c>
      <c r="Q16" s="231">
        <v>41664.75</v>
      </c>
      <c r="R16" s="130"/>
      <c r="S16" s="130"/>
      <c r="T16" s="130"/>
      <c r="U16" s="130"/>
      <c r="V16" s="130">
        <f t="shared" si="3"/>
        <v>638391.64752000093</v>
      </c>
      <c r="W16" s="130">
        <f t="shared" si="4"/>
        <v>596726.89752000093</v>
      </c>
    </row>
    <row r="17" spans="1:23" s="131" customFormat="1" ht="15" customHeight="1" x14ac:dyDescent="0.25">
      <c r="A17" s="132">
        <v>1441</v>
      </c>
      <c r="B17" s="136" t="s">
        <v>112</v>
      </c>
      <c r="C17" s="135">
        <v>25000</v>
      </c>
      <c r="D17" s="137"/>
      <c r="E17" s="135">
        <f>+C17+D17</f>
        <v>25000</v>
      </c>
      <c r="F17" s="135"/>
      <c r="G17" s="135"/>
      <c r="H17" s="130">
        <v>2123</v>
      </c>
      <c r="I17" s="130"/>
      <c r="J17" s="130"/>
      <c r="K17" s="130"/>
      <c r="L17" s="130"/>
      <c r="M17" s="130"/>
      <c r="N17" s="130">
        <f t="shared" si="1"/>
        <v>25000</v>
      </c>
      <c r="O17" s="130">
        <f t="shared" si="2"/>
        <v>25000</v>
      </c>
      <c r="P17" s="226">
        <v>1917.72</v>
      </c>
      <c r="Q17" s="231"/>
      <c r="R17" s="130"/>
      <c r="S17" s="130"/>
      <c r="T17" s="130"/>
      <c r="U17" s="130"/>
      <c r="V17" s="130">
        <f t="shared" si="3"/>
        <v>25000</v>
      </c>
      <c r="W17" s="130">
        <f t="shared" si="4"/>
        <v>25000</v>
      </c>
    </row>
    <row r="18" spans="1:23" s="131" customFormat="1" ht="15.75" x14ac:dyDescent="0.25">
      <c r="A18" s="132">
        <v>1521</v>
      </c>
      <c r="B18" s="136" t="s">
        <v>113</v>
      </c>
      <c r="C18" s="135">
        <v>540000</v>
      </c>
      <c r="D18" s="137"/>
      <c r="E18" s="135">
        <f>+C18+D18</f>
        <v>540000</v>
      </c>
      <c r="F18" s="135"/>
      <c r="G18" s="135"/>
      <c r="H18" s="130">
        <v>45000</v>
      </c>
      <c r="I18" s="130"/>
      <c r="J18" s="130"/>
      <c r="K18" s="130"/>
      <c r="L18" s="130"/>
      <c r="M18" s="130"/>
      <c r="N18" s="130">
        <f t="shared" si="1"/>
        <v>540000</v>
      </c>
      <c r="O18" s="130">
        <f t="shared" si="2"/>
        <v>540000</v>
      </c>
      <c r="P18" s="226">
        <v>45000</v>
      </c>
      <c r="Q18" s="231">
        <v>45428.79</v>
      </c>
      <c r="R18" s="130"/>
      <c r="S18" s="130"/>
      <c r="T18" s="130"/>
      <c r="U18" s="130"/>
      <c r="V18" s="130">
        <f t="shared" si="3"/>
        <v>540000</v>
      </c>
      <c r="W18" s="130">
        <f t="shared" si="4"/>
        <v>494571.21</v>
      </c>
    </row>
    <row r="19" spans="1:23" s="131" customFormat="1" ht="15" customHeight="1" x14ac:dyDescent="0.25">
      <c r="A19" s="132">
        <v>1543</v>
      </c>
      <c r="B19" s="136" t="s">
        <v>114</v>
      </c>
      <c r="C19" s="134">
        <v>711880</v>
      </c>
      <c r="D19" s="135"/>
      <c r="E19" s="135">
        <f t="shared" si="0"/>
        <v>711880</v>
      </c>
      <c r="F19" s="135"/>
      <c r="G19" s="135"/>
      <c r="H19" s="130">
        <v>167440</v>
      </c>
      <c r="I19" s="130">
        <v>42700</v>
      </c>
      <c r="J19" s="130"/>
      <c r="K19" s="130"/>
      <c r="L19" s="130"/>
      <c r="M19" s="130"/>
      <c r="N19" s="130">
        <f t="shared" si="1"/>
        <v>711880</v>
      </c>
      <c r="O19" s="130">
        <f t="shared" si="2"/>
        <v>669180</v>
      </c>
      <c r="P19" s="226">
        <v>37700</v>
      </c>
      <c r="Q19" s="231">
        <v>31900</v>
      </c>
      <c r="R19" s="130"/>
      <c r="S19" s="130"/>
      <c r="T19" s="130"/>
      <c r="U19" s="130"/>
      <c r="V19" s="130">
        <f t="shared" si="3"/>
        <v>711880</v>
      </c>
      <c r="W19" s="130">
        <f t="shared" si="4"/>
        <v>679980</v>
      </c>
    </row>
    <row r="20" spans="1:23" s="131" customFormat="1" ht="15.75" x14ac:dyDescent="0.25">
      <c r="A20" s="132">
        <v>1611</v>
      </c>
      <c r="B20" s="136" t="s">
        <v>115</v>
      </c>
      <c r="C20" s="134">
        <f>1650000+985000</f>
        <v>2635000</v>
      </c>
      <c r="D20" s="134"/>
      <c r="E20" s="135">
        <f t="shared" si="0"/>
        <v>2635000</v>
      </c>
      <c r="F20" s="135"/>
      <c r="G20" s="135"/>
      <c r="H20" s="130">
        <v>219583</v>
      </c>
      <c r="I20" s="130"/>
      <c r="J20" s="130"/>
      <c r="K20" s="130"/>
      <c r="L20" s="130"/>
      <c r="M20" s="130"/>
      <c r="N20" s="130">
        <f t="shared" si="1"/>
        <v>2635000</v>
      </c>
      <c r="O20" s="130">
        <f t="shared" si="2"/>
        <v>2635000</v>
      </c>
      <c r="P20" s="226">
        <v>219583.33</v>
      </c>
      <c r="Q20" s="231"/>
      <c r="R20" s="130"/>
      <c r="S20" s="130"/>
      <c r="T20" s="130"/>
      <c r="U20" s="130"/>
      <c r="V20" s="130">
        <f t="shared" si="3"/>
        <v>2635000</v>
      </c>
      <c r="W20" s="130">
        <f t="shared" si="4"/>
        <v>2635000</v>
      </c>
    </row>
    <row r="21" spans="1:23" s="131" customFormat="1" ht="15" customHeight="1" x14ac:dyDescent="0.25">
      <c r="A21" s="132">
        <v>1712</v>
      </c>
      <c r="B21" s="136" t="s">
        <v>116</v>
      </c>
      <c r="C21" s="134">
        <f>2380261.47840001+217453.56</f>
        <v>2597715.0384000102</v>
      </c>
      <c r="D21" s="135"/>
      <c r="E21" s="135">
        <f t="shared" si="0"/>
        <v>2597715.0384000102</v>
      </c>
      <c r="F21" s="135"/>
      <c r="G21" s="135"/>
      <c r="H21" s="130">
        <v>216476</v>
      </c>
      <c r="I21" s="130">
        <v>183499</v>
      </c>
      <c r="J21" s="130"/>
      <c r="K21" s="130"/>
      <c r="L21" s="130"/>
      <c r="M21" s="130"/>
      <c r="N21" s="130">
        <f t="shared" si="1"/>
        <v>2597715.0384000102</v>
      </c>
      <c r="O21" s="130">
        <f t="shared" si="2"/>
        <v>2414216.0384000102</v>
      </c>
      <c r="P21" s="226">
        <v>216476</v>
      </c>
      <c r="Q21" s="231">
        <v>185545.61</v>
      </c>
      <c r="R21" s="130"/>
      <c r="S21" s="130"/>
      <c r="T21" s="130"/>
      <c r="U21" s="130"/>
      <c r="V21" s="130">
        <f t="shared" si="3"/>
        <v>2597715.0384000102</v>
      </c>
      <c r="W21" s="130">
        <f t="shared" si="4"/>
        <v>2412169.4284000103</v>
      </c>
    </row>
    <row r="22" spans="1:23" s="131" customFormat="1" ht="15.75" x14ac:dyDescent="0.25">
      <c r="A22" s="138">
        <v>1713</v>
      </c>
      <c r="B22" s="139" t="s">
        <v>117</v>
      </c>
      <c r="C22" s="134">
        <f>141036+1512570</f>
        <v>1653606</v>
      </c>
      <c r="D22" s="135"/>
      <c r="E22" s="135">
        <f>C22+D22</f>
        <v>1653606</v>
      </c>
      <c r="F22" s="135"/>
      <c r="G22" s="135"/>
      <c r="H22" s="130">
        <v>137800</v>
      </c>
      <c r="I22" s="130">
        <v>114369.44</v>
      </c>
      <c r="J22" s="130"/>
      <c r="K22" s="130"/>
      <c r="L22" s="130"/>
      <c r="M22" s="130"/>
      <c r="N22" s="130">
        <f t="shared" si="1"/>
        <v>1653606</v>
      </c>
      <c r="O22" s="130">
        <f t="shared" si="2"/>
        <v>1539236.56</v>
      </c>
      <c r="P22" s="226">
        <v>137800</v>
      </c>
      <c r="Q22" s="231">
        <v>116422.03</v>
      </c>
      <c r="R22" s="130"/>
      <c r="S22" s="130"/>
      <c r="T22" s="130"/>
      <c r="U22" s="130"/>
      <c r="V22" s="130">
        <f t="shared" si="3"/>
        <v>1653606</v>
      </c>
      <c r="W22" s="130">
        <f t="shared" si="4"/>
        <v>1537183.97</v>
      </c>
    </row>
    <row r="23" spans="1:23" s="131" customFormat="1" ht="15" customHeight="1" x14ac:dyDescent="0.25">
      <c r="A23" s="132">
        <v>1715</v>
      </c>
      <c r="B23" s="136" t="s">
        <v>118</v>
      </c>
      <c r="C23" s="140">
        <f>0+106744.69+1181986</f>
        <v>1288730.69</v>
      </c>
      <c r="D23" s="135"/>
      <c r="E23" s="135">
        <f t="shared" si="0"/>
        <v>1288730.69</v>
      </c>
      <c r="F23" s="135"/>
      <c r="G23" s="135"/>
      <c r="H23" s="130"/>
      <c r="I23" s="130"/>
      <c r="J23" s="130"/>
      <c r="K23" s="130"/>
      <c r="L23" s="130"/>
      <c r="M23" s="130"/>
      <c r="N23" s="130">
        <f t="shared" si="1"/>
        <v>1288730.69</v>
      </c>
      <c r="O23" s="130">
        <f t="shared" si="2"/>
        <v>1288730.69</v>
      </c>
      <c r="P23" s="226">
        <v>0</v>
      </c>
      <c r="Q23" s="231"/>
      <c r="R23" s="130"/>
      <c r="S23" s="130"/>
      <c r="T23" s="130"/>
      <c r="U23" s="130"/>
      <c r="V23" s="130">
        <f t="shared" si="3"/>
        <v>1288730.69</v>
      </c>
      <c r="W23" s="130">
        <f t="shared" si="4"/>
        <v>1288730.69</v>
      </c>
    </row>
    <row r="24" spans="1:23" s="131" customFormat="1" ht="15.75" x14ac:dyDescent="0.25">
      <c r="A24" s="132">
        <v>1716</v>
      </c>
      <c r="B24" s="136" t="s">
        <v>119</v>
      </c>
      <c r="C24" s="135">
        <v>514800</v>
      </c>
      <c r="D24" s="137"/>
      <c r="E24" s="135">
        <f>+C24+D24</f>
        <v>514800</v>
      </c>
      <c r="F24" s="135"/>
      <c r="G24" s="135"/>
      <c r="H24" s="130">
        <v>42900</v>
      </c>
      <c r="I24" s="130"/>
      <c r="J24" s="130"/>
      <c r="K24" s="130"/>
      <c r="L24" s="130"/>
      <c r="M24" s="130"/>
      <c r="N24" s="130">
        <f t="shared" si="1"/>
        <v>514800</v>
      </c>
      <c r="O24" s="130">
        <f t="shared" si="2"/>
        <v>514800</v>
      </c>
      <c r="P24" s="226">
        <v>42900</v>
      </c>
      <c r="Q24" s="231"/>
      <c r="R24" s="130"/>
      <c r="S24" s="130"/>
      <c r="T24" s="130"/>
      <c r="U24" s="130"/>
      <c r="V24" s="130">
        <f t="shared" si="3"/>
        <v>514800</v>
      </c>
      <c r="W24" s="130">
        <f t="shared" si="4"/>
        <v>514800</v>
      </c>
    </row>
    <row r="25" spans="1:23" s="145" customFormat="1" ht="15" customHeight="1" x14ac:dyDescent="0.25">
      <c r="A25" s="141"/>
      <c r="B25" s="142" t="s">
        <v>120</v>
      </c>
      <c r="C25" s="143">
        <f>SUM(C7:C24)</f>
        <v>57958819.698668465</v>
      </c>
      <c r="D25" s="143">
        <f>SUM(D7:D24)</f>
        <v>0</v>
      </c>
      <c r="E25" s="144">
        <f t="shared" ref="E25:E59" si="5">C25+D25</f>
        <v>57958819.698668465</v>
      </c>
      <c r="F25" s="143">
        <f t="shared" ref="F25:G25" si="6">SUM(F7:F24)</f>
        <v>0</v>
      </c>
      <c r="G25" s="143">
        <f t="shared" si="6"/>
        <v>0</v>
      </c>
      <c r="H25" s="144">
        <f>SUM(H7:H24)</f>
        <v>4479536</v>
      </c>
      <c r="I25" s="144">
        <f>SUM(I7:I24)</f>
        <v>3405187.5999999996</v>
      </c>
      <c r="J25" s="144">
        <f t="shared" ref="J25:M25" si="7">SUM(J7:J24)</f>
        <v>0</v>
      </c>
      <c r="K25" s="144">
        <f t="shared" si="7"/>
        <v>0</v>
      </c>
      <c r="L25" s="144">
        <f t="shared" si="7"/>
        <v>0</v>
      </c>
      <c r="M25" s="144">
        <f t="shared" si="7"/>
        <v>0</v>
      </c>
      <c r="N25" s="144">
        <f>SUM(N7:N24)</f>
        <v>57958819.698668465</v>
      </c>
      <c r="O25" s="144">
        <f>SUM(O7:O24)</f>
        <v>54553632.098668464</v>
      </c>
      <c r="P25" s="144">
        <f>SUM(P7:P24)</f>
        <v>4075431.4398800004</v>
      </c>
      <c r="Q25" s="144">
        <f>SUM(Q7:Q24)</f>
        <v>3201298.0399999996</v>
      </c>
      <c r="R25" s="144">
        <f t="shared" ref="R25" si="8">SUM(R7:R24)</f>
        <v>0</v>
      </c>
      <c r="S25" s="144">
        <f t="shared" ref="S25" si="9">SUM(S7:S24)</f>
        <v>0</v>
      </c>
      <c r="T25" s="144">
        <f t="shared" ref="T25" si="10">SUM(T7:T24)</f>
        <v>0</v>
      </c>
      <c r="U25" s="144">
        <f t="shared" ref="U25" si="11">SUM(U7:U24)</f>
        <v>0</v>
      </c>
      <c r="V25" s="144">
        <f>SUM(V7:V24)</f>
        <v>57958819.698668465</v>
      </c>
      <c r="W25" s="144">
        <f>SUM(W7:W24)</f>
        <v>54757521.658668451</v>
      </c>
    </row>
    <row r="26" spans="1:23" s="131" customFormat="1" ht="15.75" x14ac:dyDescent="0.25">
      <c r="A26" s="138">
        <v>2111</v>
      </c>
      <c r="B26" s="146" t="s">
        <v>121</v>
      </c>
      <c r="C26" s="135">
        <v>100182.24320000001</v>
      </c>
      <c r="D26" s="135"/>
      <c r="E26" s="135">
        <f t="shared" si="5"/>
        <v>100182.24320000001</v>
      </c>
      <c r="F26" s="135"/>
      <c r="G26" s="135"/>
      <c r="H26" s="130">
        <v>8349</v>
      </c>
      <c r="I26" s="130">
        <v>9912.9699999999993</v>
      </c>
      <c r="J26" s="130"/>
      <c r="K26" s="130"/>
      <c r="L26" s="130"/>
      <c r="M26" s="130"/>
      <c r="N26" s="130">
        <f t="shared" si="1"/>
        <v>100182.24320000001</v>
      </c>
      <c r="O26" s="130">
        <f t="shared" si="2"/>
        <v>90269.273200000011</v>
      </c>
      <c r="P26" s="130">
        <v>8349</v>
      </c>
      <c r="Q26" s="130">
        <v>9912.9699999999993</v>
      </c>
      <c r="R26" s="130"/>
      <c r="S26" s="130"/>
      <c r="T26" s="130"/>
      <c r="U26" s="130"/>
      <c r="V26" s="130">
        <f t="shared" si="3"/>
        <v>100182.24320000001</v>
      </c>
      <c r="W26" s="130">
        <f t="shared" ref="W26:W58" si="12">+V26-Q26</f>
        <v>90269.273200000011</v>
      </c>
    </row>
    <row r="27" spans="1:23" s="131" customFormat="1" ht="30.75" x14ac:dyDescent="0.25">
      <c r="A27" s="138">
        <v>2141</v>
      </c>
      <c r="B27" s="147" t="s">
        <v>122</v>
      </c>
      <c r="C27" s="135">
        <v>25000</v>
      </c>
      <c r="D27" s="135"/>
      <c r="E27" s="135">
        <f t="shared" si="5"/>
        <v>25000</v>
      </c>
      <c r="F27" s="135"/>
      <c r="G27" s="135"/>
      <c r="H27" s="130"/>
      <c r="I27" s="130"/>
      <c r="J27" s="130"/>
      <c r="K27" s="130"/>
      <c r="L27" s="130"/>
      <c r="M27" s="130"/>
      <c r="N27" s="130">
        <f t="shared" si="1"/>
        <v>25000</v>
      </c>
      <c r="O27" s="130">
        <f t="shared" si="2"/>
        <v>25000</v>
      </c>
      <c r="P27" s="130"/>
      <c r="Q27" s="130"/>
      <c r="R27" s="130"/>
      <c r="S27" s="130"/>
      <c r="T27" s="130"/>
      <c r="U27" s="130"/>
      <c r="V27" s="130">
        <f t="shared" si="3"/>
        <v>25000</v>
      </c>
      <c r="W27" s="130">
        <f t="shared" si="12"/>
        <v>25000</v>
      </c>
    </row>
    <row r="28" spans="1:23" s="131" customFormat="1" ht="15.75" x14ac:dyDescent="0.25">
      <c r="A28" s="138">
        <v>2161</v>
      </c>
      <c r="B28" s="146" t="s">
        <v>123</v>
      </c>
      <c r="C28" s="135">
        <v>899616.66080000007</v>
      </c>
      <c r="D28" s="135"/>
      <c r="E28" s="135">
        <f t="shared" si="5"/>
        <v>899616.66080000007</v>
      </c>
      <c r="F28" s="135"/>
      <c r="G28" s="135"/>
      <c r="H28" s="130">
        <v>64686.06</v>
      </c>
      <c r="I28" s="130">
        <v>62801.919999999998</v>
      </c>
      <c r="J28" s="130"/>
      <c r="K28" s="130"/>
      <c r="L28" s="130"/>
      <c r="M28" s="130"/>
      <c r="N28" s="130">
        <f t="shared" si="1"/>
        <v>899616.66080000007</v>
      </c>
      <c r="O28" s="130">
        <f t="shared" si="2"/>
        <v>836814.74080000003</v>
      </c>
      <c r="P28" s="130">
        <v>64686.06</v>
      </c>
      <c r="Q28" s="130">
        <v>62801.919999999998</v>
      </c>
      <c r="R28" s="130"/>
      <c r="S28" s="130"/>
      <c r="T28" s="130"/>
      <c r="U28" s="130"/>
      <c r="V28" s="130">
        <f t="shared" si="3"/>
        <v>899616.66080000007</v>
      </c>
      <c r="W28" s="130">
        <f t="shared" si="12"/>
        <v>836814.74080000003</v>
      </c>
    </row>
    <row r="29" spans="1:23" s="131" customFormat="1" ht="15" customHeight="1" x14ac:dyDescent="0.25">
      <c r="A29" s="138">
        <v>2171</v>
      </c>
      <c r="B29" s="146" t="s">
        <v>124</v>
      </c>
      <c r="C29" s="135">
        <v>243450</v>
      </c>
      <c r="D29" s="135">
        <v>10000</v>
      </c>
      <c r="E29" s="135">
        <f t="shared" si="5"/>
        <v>253450</v>
      </c>
      <c r="F29" s="135"/>
      <c r="G29" s="135"/>
      <c r="H29" s="130">
        <f t="shared" ref="H29" si="13">C29/12</f>
        <v>20287.5</v>
      </c>
      <c r="I29" s="130">
        <v>24423.87</v>
      </c>
      <c r="J29" s="130"/>
      <c r="K29" s="130"/>
      <c r="L29" s="130"/>
      <c r="M29" s="130"/>
      <c r="N29" s="130">
        <f t="shared" si="1"/>
        <v>253450</v>
      </c>
      <c r="O29" s="130">
        <f t="shared" si="2"/>
        <v>229026.13</v>
      </c>
      <c r="P29" s="130">
        <f t="shared" ref="P29" si="14">K29/12</f>
        <v>0</v>
      </c>
      <c r="Q29" s="130">
        <v>24423.87</v>
      </c>
      <c r="R29" s="130"/>
      <c r="S29" s="130"/>
      <c r="T29" s="130"/>
      <c r="U29" s="130"/>
      <c r="V29" s="130">
        <f t="shared" si="3"/>
        <v>253450</v>
      </c>
      <c r="W29" s="130">
        <f t="shared" si="12"/>
        <v>229026.13</v>
      </c>
    </row>
    <row r="30" spans="1:23" s="131" customFormat="1" ht="45.75" x14ac:dyDescent="0.25">
      <c r="A30" s="138">
        <v>2212</v>
      </c>
      <c r="B30" s="147" t="s">
        <v>125</v>
      </c>
      <c r="C30" s="140">
        <v>5305045.78</v>
      </c>
      <c r="D30" s="135">
        <v>1000000</v>
      </c>
      <c r="E30" s="135">
        <f t="shared" si="5"/>
        <v>6305045.7800000003</v>
      </c>
      <c r="F30" s="135"/>
      <c r="G30" s="135"/>
      <c r="H30" s="130">
        <v>442087.16</v>
      </c>
      <c r="I30" s="130">
        <v>269517.18</v>
      </c>
      <c r="J30" s="130"/>
      <c r="K30" s="130"/>
      <c r="L30" s="130"/>
      <c r="M30" s="130"/>
      <c r="N30" s="130">
        <f t="shared" si="1"/>
        <v>6305045.7800000003</v>
      </c>
      <c r="O30" s="130">
        <f t="shared" si="2"/>
        <v>6035528.6000000006</v>
      </c>
      <c r="P30" s="130">
        <v>442087.16</v>
      </c>
      <c r="Q30" s="130">
        <v>269517.18</v>
      </c>
      <c r="R30" s="130"/>
      <c r="S30" s="130"/>
      <c r="T30" s="130"/>
      <c r="U30" s="130"/>
      <c r="V30" s="130">
        <f t="shared" si="3"/>
        <v>6305045.7800000003</v>
      </c>
      <c r="W30" s="130">
        <f t="shared" si="12"/>
        <v>6035528.6000000006</v>
      </c>
    </row>
    <row r="31" spans="1:23" s="131" customFormat="1" ht="30.75" x14ac:dyDescent="0.25">
      <c r="A31" s="138">
        <v>2214</v>
      </c>
      <c r="B31" s="147" t="s">
        <v>126</v>
      </c>
      <c r="C31" s="135">
        <f>1076260.9312</f>
        <v>1076260.9312</v>
      </c>
      <c r="D31" s="148"/>
      <c r="E31" s="135">
        <f t="shared" si="5"/>
        <v>1076260.9312</v>
      </c>
      <c r="F31" s="135"/>
      <c r="G31" s="135"/>
      <c r="H31" s="130">
        <v>69400.37</v>
      </c>
      <c r="I31" s="130">
        <v>67379.3</v>
      </c>
      <c r="J31" s="130"/>
      <c r="K31" s="130"/>
      <c r="L31" s="130"/>
      <c r="M31" s="130"/>
      <c r="N31" s="130">
        <f t="shared" si="1"/>
        <v>1076260.9312</v>
      </c>
      <c r="O31" s="130">
        <f t="shared" si="2"/>
        <v>1008881.6311999999</v>
      </c>
      <c r="P31" s="130">
        <v>69400.37</v>
      </c>
      <c r="Q31" s="130">
        <v>67379.3</v>
      </c>
      <c r="R31" s="130"/>
      <c r="S31" s="130"/>
      <c r="T31" s="130"/>
      <c r="U31" s="130"/>
      <c r="V31" s="130">
        <f t="shared" si="3"/>
        <v>1076260.9312</v>
      </c>
      <c r="W31" s="130">
        <f t="shared" si="12"/>
        <v>1008881.6311999999</v>
      </c>
    </row>
    <row r="32" spans="1:23" s="131" customFormat="1" ht="15.75" x14ac:dyDescent="0.25">
      <c r="A32" s="138">
        <v>2231</v>
      </c>
      <c r="B32" s="146" t="s">
        <v>127</v>
      </c>
      <c r="C32" s="135">
        <v>155673</v>
      </c>
      <c r="D32" s="148"/>
      <c r="E32" s="135">
        <f t="shared" si="5"/>
        <v>155673</v>
      </c>
      <c r="F32" s="135"/>
      <c r="G32" s="135"/>
      <c r="H32" s="130">
        <v>4482.5600000000004</v>
      </c>
      <c r="I32" s="130">
        <v>4352.1499999999996</v>
      </c>
      <c r="J32" s="130"/>
      <c r="K32" s="130"/>
      <c r="L32" s="130"/>
      <c r="M32" s="130"/>
      <c r="N32" s="130">
        <f t="shared" si="1"/>
        <v>155673</v>
      </c>
      <c r="O32" s="130">
        <f t="shared" si="2"/>
        <v>151320.85</v>
      </c>
      <c r="P32" s="130">
        <v>4482.5600000000004</v>
      </c>
      <c r="Q32" s="130">
        <v>4352.1499999999996</v>
      </c>
      <c r="R32" s="130"/>
      <c r="S32" s="130"/>
      <c r="T32" s="130"/>
      <c r="U32" s="130"/>
      <c r="V32" s="130">
        <f t="shared" si="3"/>
        <v>155673</v>
      </c>
      <c r="W32" s="130">
        <f t="shared" si="12"/>
        <v>151320.85</v>
      </c>
    </row>
    <row r="33" spans="1:23" s="131" customFormat="1" ht="15" customHeight="1" x14ac:dyDescent="0.25">
      <c r="A33" s="138">
        <v>2411</v>
      </c>
      <c r="B33" s="146" t="s">
        <v>128</v>
      </c>
      <c r="C33" s="135">
        <v>112500</v>
      </c>
      <c r="D33" s="135"/>
      <c r="E33" s="135">
        <f t="shared" si="5"/>
        <v>112500</v>
      </c>
      <c r="F33" s="135"/>
      <c r="G33" s="135"/>
      <c r="H33" s="130"/>
      <c r="I33" s="130">
        <f>17643.78+708.26</f>
        <v>18352.039999999997</v>
      </c>
      <c r="J33" s="130"/>
      <c r="K33" s="130"/>
      <c r="L33" s="130"/>
      <c r="M33" s="130"/>
      <c r="N33" s="130">
        <f t="shared" si="1"/>
        <v>112500</v>
      </c>
      <c r="O33" s="130">
        <f t="shared" si="2"/>
        <v>94147.96</v>
      </c>
      <c r="P33" s="130"/>
      <c r="Q33" s="130">
        <f>17643.78+708.26</f>
        <v>18352.039999999997</v>
      </c>
      <c r="R33" s="130"/>
      <c r="S33" s="130"/>
      <c r="T33" s="130"/>
      <c r="U33" s="130"/>
      <c r="V33" s="130">
        <f t="shared" si="3"/>
        <v>112500</v>
      </c>
      <c r="W33" s="130">
        <f t="shared" si="12"/>
        <v>94147.96</v>
      </c>
    </row>
    <row r="34" spans="1:23" s="131" customFormat="1" ht="15.75" x14ac:dyDescent="0.25">
      <c r="A34" s="138">
        <v>2421</v>
      </c>
      <c r="B34" s="146" t="s">
        <v>129</v>
      </c>
      <c r="C34" s="135">
        <v>125000</v>
      </c>
      <c r="D34" s="135"/>
      <c r="E34" s="135">
        <f t="shared" si="5"/>
        <v>125000</v>
      </c>
      <c r="F34" s="135"/>
      <c r="G34" s="135"/>
      <c r="H34" s="130"/>
      <c r="I34" s="130">
        <v>2517.4499999999998</v>
      </c>
      <c r="J34" s="130"/>
      <c r="K34" s="130"/>
      <c r="L34" s="130"/>
      <c r="M34" s="130"/>
      <c r="N34" s="130">
        <f t="shared" si="1"/>
        <v>125000</v>
      </c>
      <c r="O34" s="130">
        <f t="shared" si="2"/>
        <v>122482.55</v>
      </c>
      <c r="P34" s="130"/>
      <c r="Q34" s="130">
        <v>2517.4499999999998</v>
      </c>
      <c r="R34" s="130"/>
      <c r="S34" s="130"/>
      <c r="T34" s="130"/>
      <c r="U34" s="130"/>
      <c r="V34" s="130">
        <f t="shared" si="3"/>
        <v>125000</v>
      </c>
      <c r="W34" s="130">
        <f t="shared" si="12"/>
        <v>122482.55</v>
      </c>
    </row>
    <row r="35" spans="1:23" s="131" customFormat="1" ht="15" customHeight="1" x14ac:dyDescent="0.25">
      <c r="A35" s="138">
        <v>2431</v>
      </c>
      <c r="B35" s="146" t="s">
        <v>130</v>
      </c>
      <c r="C35" s="135">
        <v>95000</v>
      </c>
      <c r="D35" s="135"/>
      <c r="E35" s="135">
        <f t="shared" si="5"/>
        <v>95000</v>
      </c>
      <c r="F35" s="135"/>
      <c r="G35" s="135"/>
      <c r="H35" s="130"/>
      <c r="I35" s="130"/>
      <c r="J35" s="130"/>
      <c r="K35" s="130"/>
      <c r="L35" s="130"/>
      <c r="M35" s="130"/>
      <c r="N35" s="130">
        <f t="shared" si="1"/>
        <v>95000</v>
      </c>
      <c r="O35" s="130">
        <f t="shared" si="2"/>
        <v>95000</v>
      </c>
      <c r="P35" s="130"/>
      <c r="Q35" s="130"/>
      <c r="R35" s="130"/>
      <c r="S35" s="130"/>
      <c r="T35" s="130"/>
      <c r="U35" s="130"/>
      <c r="V35" s="130">
        <f t="shared" si="3"/>
        <v>95000</v>
      </c>
      <c r="W35" s="130">
        <f t="shared" si="12"/>
        <v>95000</v>
      </c>
    </row>
    <row r="36" spans="1:23" s="131" customFormat="1" ht="15.75" x14ac:dyDescent="0.25">
      <c r="A36" s="138">
        <v>2441</v>
      </c>
      <c r="B36" s="146" t="s">
        <v>131</v>
      </c>
      <c r="C36" s="135">
        <v>85000</v>
      </c>
      <c r="D36" s="135"/>
      <c r="E36" s="135">
        <f t="shared" si="5"/>
        <v>85000</v>
      </c>
      <c r="F36" s="135"/>
      <c r="G36" s="135"/>
      <c r="H36" s="130"/>
      <c r="I36" s="130">
        <v>11535.94</v>
      </c>
      <c r="J36" s="130"/>
      <c r="K36" s="130"/>
      <c r="L36" s="130"/>
      <c r="M36" s="130"/>
      <c r="N36" s="130">
        <f t="shared" si="1"/>
        <v>85000</v>
      </c>
      <c r="O36" s="130">
        <f t="shared" si="2"/>
        <v>73464.06</v>
      </c>
      <c r="P36" s="130"/>
      <c r="Q36" s="130">
        <v>11535.94</v>
      </c>
      <c r="R36" s="130"/>
      <c r="S36" s="130"/>
      <c r="T36" s="130"/>
      <c r="U36" s="130"/>
      <c r="V36" s="130">
        <f t="shared" si="3"/>
        <v>85000</v>
      </c>
      <c r="W36" s="130">
        <f t="shared" si="12"/>
        <v>73464.06</v>
      </c>
    </row>
    <row r="37" spans="1:23" s="131" customFormat="1" ht="15" customHeight="1" x14ac:dyDescent="0.25">
      <c r="A37" s="138">
        <v>2451</v>
      </c>
      <c r="B37" s="146" t="s">
        <v>132</v>
      </c>
      <c r="C37" s="135">
        <v>105000</v>
      </c>
      <c r="D37" s="148"/>
      <c r="E37" s="135">
        <f t="shared" si="5"/>
        <v>105000</v>
      </c>
      <c r="F37" s="135"/>
      <c r="G37" s="135"/>
      <c r="H37" s="130"/>
      <c r="I37" s="130"/>
      <c r="J37" s="130"/>
      <c r="K37" s="130"/>
      <c r="L37" s="130"/>
      <c r="M37" s="130"/>
      <c r="N37" s="130">
        <f t="shared" si="1"/>
        <v>105000</v>
      </c>
      <c r="O37" s="130">
        <f t="shared" si="2"/>
        <v>105000</v>
      </c>
      <c r="P37" s="130"/>
      <c r="Q37" s="130"/>
      <c r="R37" s="130"/>
      <c r="S37" s="130"/>
      <c r="T37" s="130"/>
      <c r="U37" s="130"/>
      <c r="V37" s="130">
        <f t="shared" si="3"/>
        <v>105000</v>
      </c>
      <c r="W37" s="130">
        <f t="shared" si="12"/>
        <v>105000</v>
      </c>
    </row>
    <row r="38" spans="1:23" s="131" customFormat="1" ht="15.75" x14ac:dyDescent="0.25">
      <c r="A38" s="138">
        <v>2461</v>
      </c>
      <c r="B38" s="146" t="s">
        <v>133</v>
      </c>
      <c r="C38" s="135">
        <f>229928*1.2</f>
        <v>275913.59999999998</v>
      </c>
      <c r="D38" s="148"/>
      <c r="E38" s="135">
        <f t="shared" si="5"/>
        <v>275913.59999999998</v>
      </c>
      <c r="F38" s="135"/>
      <c r="G38" s="135"/>
      <c r="H38" s="130">
        <v>6106.87</v>
      </c>
      <c r="I38" s="130">
        <v>5929.22</v>
      </c>
      <c r="J38" s="130"/>
      <c r="K38" s="130"/>
      <c r="L38" s="130"/>
      <c r="M38" s="130"/>
      <c r="N38" s="130">
        <f t="shared" si="1"/>
        <v>275913.59999999998</v>
      </c>
      <c r="O38" s="130">
        <f t="shared" si="2"/>
        <v>269984.38</v>
      </c>
      <c r="P38" s="130">
        <v>6106.87</v>
      </c>
      <c r="Q38" s="130">
        <v>5929.22</v>
      </c>
      <c r="R38" s="130"/>
      <c r="S38" s="130"/>
      <c r="T38" s="130"/>
      <c r="U38" s="130"/>
      <c r="V38" s="130">
        <f t="shared" si="3"/>
        <v>275913.59999999998</v>
      </c>
      <c r="W38" s="130">
        <f t="shared" si="12"/>
        <v>269984.38</v>
      </c>
    </row>
    <row r="39" spans="1:23" s="131" customFormat="1" ht="15" customHeight="1" x14ac:dyDescent="0.25">
      <c r="A39" s="138">
        <v>2471</v>
      </c>
      <c r="B39" s="146" t="s">
        <v>134</v>
      </c>
      <c r="C39" s="135">
        <f>29110.37+1.2</f>
        <v>29111.57</v>
      </c>
      <c r="D39" s="135"/>
      <c r="E39" s="135">
        <f t="shared" si="5"/>
        <v>29111.57</v>
      </c>
      <c r="F39" s="135"/>
      <c r="G39" s="135"/>
      <c r="H39" s="130">
        <v>47290.39</v>
      </c>
      <c r="I39" s="130">
        <f>9806.64+3701.22</f>
        <v>13507.859999999999</v>
      </c>
      <c r="J39" s="130"/>
      <c r="K39" s="130"/>
      <c r="L39" s="130"/>
      <c r="M39" s="130"/>
      <c r="N39" s="130">
        <f t="shared" si="1"/>
        <v>29111.57</v>
      </c>
      <c r="O39" s="130">
        <f t="shared" si="2"/>
        <v>15603.710000000001</v>
      </c>
      <c r="P39" s="130">
        <v>47290.39</v>
      </c>
      <c r="Q39" s="130">
        <f>9806.64+3701.22</f>
        <v>13507.859999999999</v>
      </c>
      <c r="R39" s="130"/>
      <c r="S39" s="130"/>
      <c r="T39" s="130"/>
      <c r="U39" s="130"/>
      <c r="V39" s="130">
        <f t="shared" si="3"/>
        <v>29111.57</v>
      </c>
      <c r="W39" s="130">
        <f t="shared" si="12"/>
        <v>15603.710000000001</v>
      </c>
    </row>
    <row r="40" spans="1:23" s="131" customFormat="1" ht="15.75" x14ac:dyDescent="0.25">
      <c r="A40" s="138">
        <v>2481</v>
      </c>
      <c r="B40" s="146" t="s">
        <v>135</v>
      </c>
      <c r="C40" s="135">
        <v>25000</v>
      </c>
      <c r="D40" s="148"/>
      <c r="E40" s="135">
        <f t="shared" si="5"/>
        <v>25000</v>
      </c>
      <c r="F40" s="135"/>
      <c r="G40" s="135"/>
      <c r="H40" s="130"/>
      <c r="I40" s="130"/>
      <c r="J40" s="130"/>
      <c r="K40" s="130"/>
      <c r="L40" s="130"/>
      <c r="M40" s="130"/>
      <c r="N40" s="130">
        <f t="shared" si="1"/>
        <v>25000</v>
      </c>
      <c r="O40" s="130">
        <f t="shared" si="2"/>
        <v>25000</v>
      </c>
      <c r="P40" s="130"/>
      <c r="Q40" s="130"/>
      <c r="R40" s="130"/>
      <c r="S40" s="130"/>
      <c r="T40" s="130"/>
      <c r="U40" s="130"/>
      <c r="V40" s="130">
        <f t="shared" si="3"/>
        <v>25000</v>
      </c>
      <c r="W40" s="130">
        <f t="shared" si="12"/>
        <v>25000</v>
      </c>
    </row>
    <row r="41" spans="1:23" s="131" customFormat="1" ht="30.75" x14ac:dyDescent="0.25">
      <c r="A41" s="138">
        <v>2491</v>
      </c>
      <c r="B41" s="147" t="s">
        <v>136</v>
      </c>
      <c r="C41" s="135">
        <v>25000</v>
      </c>
      <c r="D41" s="148"/>
      <c r="E41" s="135">
        <f t="shared" si="5"/>
        <v>25000</v>
      </c>
      <c r="F41" s="135"/>
      <c r="G41" s="135"/>
      <c r="H41" s="130"/>
      <c r="I41" s="130"/>
      <c r="J41" s="130"/>
      <c r="K41" s="130"/>
      <c r="L41" s="130"/>
      <c r="M41" s="130"/>
      <c r="N41" s="130">
        <f t="shared" si="1"/>
        <v>25000</v>
      </c>
      <c r="O41" s="130">
        <f t="shared" si="2"/>
        <v>25000</v>
      </c>
      <c r="P41" s="130"/>
      <c r="Q41" s="130"/>
      <c r="R41" s="130"/>
      <c r="S41" s="130"/>
      <c r="T41" s="130"/>
      <c r="U41" s="130"/>
      <c r="V41" s="130">
        <f t="shared" si="3"/>
        <v>25000</v>
      </c>
      <c r="W41" s="130">
        <f t="shared" si="12"/>
        <v>25000</v>
      </c>
    </row>
    <row r="42" spans="1:23" s="131" customFormat="1" ht="15.75" x14ac:dyDescent="0.25">
      <c r="A42" s="138">
        <v>2521</v>
      </c>
      <c r="B42" s="146" t="s">
        <v>137</v>
      </c>
      <c r="C42" s="135">
        <v>0</v>
      </c>
      <c r="D42" s="135">
        <v>20000</v>
      </c>
      <c r="E42" s="135">
        <f t="shared" si="5"/>
        <v>20000</v>
      </c>
      <c r="F42" s="135"/>
      <c r="G42" s="135"/>
      <c r="H42" s="130"/>
      <c r="I42" s="130"/>
      <c r="J42" s="130"/>
      <c r="K42" s="130"/>
      <c r="L42" s="130"/>
      <c r="M42" s="130"/>
      <c r="N42" s="130">
        <f t="shared" si="1"/>
        <v>20000</v>
      </c>
      <c r="O42" s="130">
        <f t="shared" si="2"/>
        <v>20000</v>
      </c>
      <c r="P42" s="130"/>
      <c r="Q42" s="130"/>
      <c r="R42" s="130"/>
      <c r="S42" s="130"/>
      <c r="T42" s="130"/>
      <c r="U42" s="130"/>
      <c r="V42" s="130">
        <f t="shared" si="3"/>
        <v>20000</v>
      </c>
      <c r="W42" s="130">
        <f t="shared" si="12"/>
        <v>20000</v>
      </c>
    </row>
    <row r="43" spans="1:23" s="131" customFormat="1" ht="15" customHeight="1" x14ac:dyDescent="0.25">
      <c r="A43" s="138">
        <v>2531</v>
      </c>
      <c r="B43" s="146" t="s">
        <v>138</v>
      </c>
      <c r="C43" s="135">
        <f>2189939.44</f>
        <v>2189939.44</v>
      </c>
      <c r="D43" s="135">
        <f>350000+25000</f>
        <v>375000</v>
      </c>
      <c r="E43" s="135">
        <f t="shared" si="5"/>
        <v>2564939.44</v>
      </c>
      <c r="F43" s="135"/>
      <c r="G43" s="135"/>
      <c r="H43" s="130">
        <v>123251.86</v>
      </c>
      <c r="I43" s="130">
        <v>119661.78</v>
      </c>
      <c r="J43" s="130"/>
      <c r="K43" s="130"/>
      <c r="L43" s="130"/>
      <c r="M43" s="130"/>
      <c r="N43" s="130">
        <f t="shared" si="1"/>
        <v>2564939.44</v>
      </c>
      <c r="O43" s="130">
        <f t="shared" si="2"/>
        <v>2445277.66</v>
      </c>
      <c r="P43" s="130">
        <v>123251.86</v>
      </c>
      <c r="Q43" s="130">
        <v>119661.78</v>
      </c>
      <c r="R43" s="130"/>
      <c r="S43" s="130"/>
      <c r="T43" s="130"/>
      <c r="U43" s="130"/>
      <c r="V43" s="130">
        <f t="shared" si="3"/>
        <v>2564939.44</v>
      </c>
      <c r="W43" s="130">
        <f t="shared" si="12"/>
        <v>2445277.66</v>
      </c>
    </row>
    <row r="44" spans="1:23" s="131" customFormat="1" ht="15.75" x14ac:dyDescent="0.25">
      <c r="A44" s="138">
        <v>2541</v>
      </c>
      <c r="B44" s="146" t="s">
        <v>139</v>
      </c>
      <c r="C44" s="135">
        <v>173372.78399999999</v>
      </c>
      <c r="D44" s="148"/>
      <c r="E44" s="135">
        <f t="shared" si="5"/>
        <v>173372.78399999999</v>
      </c>
      <c r="F44" s="135"/>
      <c r="G44" s="135"/>
      <c r="H44" s="130">
        <v>12137.52</v>
      </c>
      <c r="I44" s="130">
        <v>11784.32</v>
      </c>
      <c r="J44" s="130"/>
      <c r="K44" s="130"/>
      <c r="L44" s="130"/>
      <c r="M44" s="130"/>
      <c r="N44" s="130">
        <f t="shared" si="1"/>
        <v>173372.78399999999</v>
      </c>
      <c r="O44" s="130">
        <f t="shared" si="2"/>
        <v>161588.46399999998</v>
      </c>
      <c r="P44" s="130">
        <v>12137.52</v>
      </c>
      <c r="Q44" s="130">
        <v>11784.32</v>
      </c>
      <c r="R44" s="130"/>
      <c r="S44" s="130"/>
      <c r="T44" s="130"/>
      <c r="U44" s="130"/>
      <c r="V44" s="130">
        <f t="shared" si="3"/>
        <v>173372.78399999999</v>
      </c>
      <c r="W44" s="130">
        <f t="shared" si="12"/>
        <v>161588.46399999998</v>
      </c>
    </row>
    <row r="45" spans="1:23" s="131" customFormat="1" ht="15" customHeight="1" x14ac:dyDescent="0.25">
      <c r="A45" s="138">
        <v>2551</v>
      </c>
      <c r="B45" s="146" t="s">
        <v>140</v>
      </c>
      <c r="C45" s="135">
        <v>0</v>
      </c>
      <c r="D45" s="148"/>
      <c r="E45" s="135">
        <f t="shared" si="5"/>
        <v>0</v>
      </c>
      <c r="F45" s="135"/>
      <c r="G45" s="135"/>
      <c r="H45" s="130"/>
      <c r="I45" s="130"/>
      <c r="J45" s="130"/>
      <c r="K45" s="130"/>
      <c r="L45" s="130"/>
      <c r="M45" s="130"/>
      <c r="N45" s="130">
        <f t="shared" si="1"/>
        <v>0</v>
      </c>
      <c r="O45" s="130">
        <f t="shared" si="2"/>
        <v>0</v>
      </c>
      <c r="P45" s="130"/>
      <c r="Q45" s="130"/>
      <c r="R45" s="130"/>
      <c r="S45" s="130"/>
      <c r="T45" s="130"/>
      <c r="U45" s="130"/>
      <c r="V45" s="130">
        <f t="shared" si="3"/>
        <v>0</v>
      </c>
      <c r="W45" s="130">
        <f t="shared" si="12"/>
        <v>0</v>
      </c>
    </row>
    <row r="46" spans="1:23" s="131" customFormat="1" ht="15" customHeight="1" x14ac:dyDescent="0.25">
      <c r="A46" s="138">
        <v>2561</v>
      </c>
      <c r="B46" s="146" t="s">
        <v>263</v>
      </c>
      <c r="C46" s="135"/>
      <c r="D46" s="148"/>
      <c r="E46" s="135"/>
      <c r="F46" s="135"/>
      <c r="G46" s="135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>
        <f t="shared" si="3"/>
        <v>0</v>
      </c>
      <c r="W46" s="130"/>
    </row>
    <row r="47" spans="1:23" s="131" customFormat="1" ht="45.75" x14ac:dyDescent="0.25">
      <c r="A47" s="138">
        <v>2611</v>
      </c>
      <c r="B47" s="147" t="s">
        <v>141</v>
      </c>
      <c r="C47" s="135">
        <f>(1149164.2368*36.27/100)*1.2</f>
        <v>500162.24242483207</v>
      </c>
      <c r="D47" s="148"/>
      <c r="E47" s="135">
        <f t="shared" si="5"/>
        <v>500162.24242483207</v>
      </c>
      <c r="F47" s="135"/>
      <c r="G47" s="135"/>
      <c r="H47" s="130">
        <v>26016.77</v>
      </c>
      <c r="I47" s="130">
        <v>25259.02</v>
      </c>
      <c r="J47" s="130"/>
      <c r="K47" s="130"/>
      <c r="L47" s="130"/>
      <c r="M47" s="130"/>
      <c r="N47" s="130">
        <f t="shared" si="1"/>
        <v>500162.24242483207</v>
      </c>
      <c r="O47" s="130">
        <f t="shared" si="2"/>
        <v>474903.22242483206</v>
      </c>
      <c r="P47" s="130">
        <v>26016.77</v>
      </c>
      <c r="Q47" s="130">
        <v>25259.02</v>
      </c>
      <c r="R47" s="130"/>
      <c r="S47" s="130"/>
      <c r="T47" s="130"/>
      <c r="U47" s="130"/>
      <c r="V47" s="130">
        <f t="shared" si="3"/>
        <v>500162.24242483207</v>
      </c>
      <c r="W47" s="130">
        <f t="shared" si="12"/>
        <v>474903.22242483206</v>
      </c>
    </row>
    <row r="48" spans="1:23" s="131" customFormat="1" ht="30.75" x14ac:dyDescent="0.25">
      <c r="A48" s="138">
        <v>2614</v>
      </c>
      <c r="B48" s="147" t="s">
        <v>142</v>
      </c>
      <c r="C48" s="135">
        <f>(1149164.2368*63.73/100)*1.2</f>
        <v>878834.84173516813</v>
      </c>
      <c r="D48" s="148"/>
      <c r="E48" s="135">
        <f t="shared" si="5"/>
        <v>878834.84173516813</v>
      </c>
      <c r="F48" s="135"/>
      <c r="G48" s="135"/>
      <c r="H48" s="130">
        <v>71111.199999999997</v>
      </c>
      <c r="I48" s="130">
        <v>69040.02</v>
      </c>
      <c r="J48" s="130"/>
      <c r="K48" s="130"/>
      <c r="L48" s="130"/>
      <c r="M48" s="130"/>
      <c r="N48" s="130">
        <f t="shared" si="1"/>
        <v>878834.84173516813</v>
      </c>
      <c r="O48" s="130">
        <f t="shared" si="2"/>
        <v>809794.82173516811</v>
      </c>
      <c r="P48" s="130">
        <v>71111.199999999997</v>
      </c>
      <c r="Q48" s="130">
        <v>69040.02</v>
      </c>
      <c r="R48" s="130"/>
      <c r="S48" s="130"/>
      <c r="T48" s="130"/>
      <c r="U48" s="130"/>
      <c r="V48" s="130">
        <f t="shared" si="3"/>
        <v>878834.84173516813</v>
      </c>
      <c r="W48" s="130">
        <f t="shared" si="12"/>
        <v>809794.82173516811</v>
      </c>
    </row>
    <row r="49" spans="1:23" s="131" customFormat="1" ht="15.75" x14ac:dyDescent="0.25">
      <c r="A49" s="138">
        <v>2711</v>
      </c>
      <c r="B49" s="146" t="s">
        <v>143</v>
      </c>
      <c r="C49" s="135">
        <v>449879.47680000006</v>
      </c>
      <c r="D49" s="148">
        <f>107000+982372</f>
        <v>1089372</v>
      </c>
      <c r="E49" s="135">
        <f t="shared" si="5"/>
        <v>1539251.4768000001</v>
      </c>
      <c r="F49" s="135"/>
      <c r="G49" s="135"/>
      <c r="H49" s="130">
        <v>93579.62</v>
      </c>
      <c r="I49" s="130">
        <v>90854.080000000002</v>
      </c>
      <c r="J49" s="130"/>
      <c r="K49" s="130"/>
      <c r="L49" s="130"/>
      <c r="M49" s="130"/>
      <c r="N49" s="130">
        <f t="shared" si="1"/>
        <v>1539251.4768000001</v>
      </c>
      <c r="O49" s="130">
        <f t="shared" si="2"/>
        <v>1448397.3968</v>
      </c>
      <c r="P49" s="130">
        <v>93579.62</v>
      </c>
      <c r="Q49" s="130">
        <v>90854.080000000002</v>
      </c>
      <c r="R49" s="130"/>
      <c r="S49" s="130"/>
      <c r="T49" s="130"/>
      <c r="U49" s="130"/>
      <c r="V49" s="130">
        <f t="shared" si="3"/>
        <v>1539251.4768000001</v>
      </c>
      <c r="W49" s="130">
        <f t="shared" si="12"/>
        <v>1448397.3968</v>
      </c>
    </row>
    <row r="50" spans="1:23" s="131" customFormat="1" ht="15" customHeight="1" x14ac:dyDescent="0.25">
      <c r="A50" s="138">
        <v>2721</v>
      </c>
      <c r="B50" s="146" t="s">
        <v>144</v>
      </c>
      <c r="C50" s="135">
        <v>30462.329600000001</v>
      </c>
      <c r="D50" s="148"/>
      <c r="E50" s="135">
        <f t="shared" si="5"/>
        <v>30462.329600000001</v>
      </c>
      <c r="F50" s="135"/>
      <c r="G50" s="135"/>
      <c r="H50" s="130">
        <v>1234.97</v>
      </c>
      <c r="I50" s="130">
        <v>1199.44</v>
      </c>
      <c r="J50" s="130"/>
      <c r="K50" s="130"/>
      <c r="L50" s="130"/>
      <c r="M50" s="130"/>
      <c r="N50" s="130">
        <f t="shared" si="1"/>
        <v>30462.329600000001</v>
      </c>
      <c r="O50" s="130">
        <f t="shared" si="2"/>
        <v>29262.889600000002</v>
      </c>
      <c r="P50" s="130">
        <v>1234.97</v>
      </c>
      <c r="Q50" s="130">
        <v>1199.44</v>
      </c>
      <c r="R50" s="130"/>
      <c r="S50" s="130"/>
      <c r="T50" s="130"/>
      <c r="U50" s="130"/>
      <c r="V50" s="130">
        <f t="shared" si="3"/>
        <v>30462.329600000001</v>
      </c>
      <c r="W50" s="130">
        <f t="shared" si="12"/>
        <v>29262.889600000002</v>
      </c>
    </row>
    <row r="51" spans="1:23" s="131" customFormat="1" ht="15.75" x14ac:dyDescent="0.25">
      <c r="A51" s="138">
        <v>2731</v>
      </c>
      <c r="B51" s="146" t="s">
        <v>145</v>
      </c>
      <c r="C51" s="135">
        <v>69957.659200000009</v>
      </c>
      <c r="D51" s="135">
        <v>200000</v>
      </c>
      <c r="E51" s="135">
        <f t="shared" si="5"/>
        <v>269957.65919999999</v>
      </c>
      <c r="F51" s="135"/>
      <c r="G51" s="135"/>
      <c r="H51" s="130">
        <v>36180.81</v>
      </c>
      <c r="I51" s="130">
        <v>35127.26</v>
      </c>
      <c r="J51" s="130"/>
      <c r="K51" s="130"/>
      <c r="L51" s="130"/>
      <c r="M51" s="130"/>
      <c r="N51" s="130">
        <f t="shared" si="1"/>
        <v>269957.65919999999</v>
      </c>
      <c r="O51" s="130">
        <f t="shared" si="2"/>
        <v>234830.39919999999</v>
      </c>
      <c r="P51" s="130">
        <v>36180.81</v>
      </c>
      <c r="Q51" s="130">
        <v>35127.26</v>
      </c>
      <c r="R51" s="130"/>
      <c r="S51" s="130"/>
      <c r="T51" s="130"/>
      <c r="U51" s="130"/>
      <c r="V51" s="130">
        <f t="shared" si="3"/>
        <v>269957.65919999999</v>
      </c>
      <c r="W51" s="130">
        <f t="shared" si="12"/>
        <v>234830.39919999999</v>
      </c>
    </row>
    <row r="52" spans="1:23" s="131" customFormat="1" ht="15" customHeight="1" x14ac:dyDescent="0.25">
      <c r="A52" s="138">
        <v>2741</v>
      </c>
      <c r="B52" s="146" t="s">
        <v>146</v>
      </c>
      <c r="C52" s="135">
        <v>41777.486400000002</v>
      </c>
      <c r="D52" s="148"/>
      <c r="E52" s="135">
        <f t="shared" si="5"/>
        <v>41777.486400000002</v>
      </c>
      <c r="F52" s="135"/>
      <c r="G52" s="135"/>
      <c r="H52" s="130">
        <v>1512.04</v>
      </c>
      <c r="I52" s="130">
        <v>1467.54</v>
      </c>
      <c r="J52" s="130"/>
      <c r="K52" s="130"/>
      <c r="L52" s="130"/>
      <c r="M52" s="130"/>
      <c r="N52" s="130">
        <f t="shared" si="1"/>
        <v>41777.486400000002</v>
      </c>
      <c r="O52" s="130">
        <f t="shared" si="2"/>
        <v>40309.946400000001</v>
      </c>
      <c r="P52" s="130">
        <v>1512.04</v>
      </c>
      <c r="Q52" s="130">
        <v>1467.54</v>
      </c>
      <c r="R52" s="130"/>
      <c r="S52" s="130"/>
      <c r="T52" s="130"/>
      <c r="U52" s="130"/>
      <c r="V52" s="130">
        <f t="shared" si="3"/>
        <v>41777.486400000002</v>
      </c>
      <c r="W52" s="130">
        <f t="shared" si="12"/>
        <v>40309.946400000001</v>
      </c>
    </row>
    <row r="53" spans="1:23" s="131" customFormat="1" ht="15.75" x14ac:dyDescent="0.25">
      <c r="A53" s="138">
        <v>2751</v>
      </c>
      <c r="B53" s="146" t="s">
        <v>147</v>
      </c>
      <c r="C53" s="135">
        <v>342927.31199999998</v>
      </c>
      <c r="D53" s="148"/>
      <c r="E53" s="135">
        <f t="shared" si="5"/>
        <v>342927.31199999998</v>
      </c>
      <c r="F53" s="135"/>
      <c r="G53" s="135"/>
      <c r="H53" s="130">
        <v>128.75</v>
      </c>
      <c r="I53" s="130">
        <v>125</v>
      </c>
      <c r="J53" s="130"/>
      <c r="K53" s="130"/>
      <c r="L53" s="130"/>
      <c r="M53" s="130"/>
      <c r="N53" s="130">
        <f t="shared" si="1"/>
        <v>342927.31199999998</v>
      </c>
      <c r="O53" s="130">
        <f t="shared" si="2"/>
        <v>342802.31199999998</v>
      </c>
      <c r="P53" s="130">
        <v>128.75</v>
      </c>
      <c r="Q53" s="130">
        <v>125</v>
      </c>
      <c r="R53" s="130"/>
      <c r="S53" s="130"/>
      <c r="T53" s="130"/>
      <c r="U53" s="130"/>
      <c r="V53" s="130">
        <f t="shared" si="3"/>
        <v>342927.31199999998</v>
      </c>
      <c r="W53" s="130">
        <f t="shared" si="12"/>
        <v>342802.31199999998</v>
      </c>
    </row>
    <row r="54" spans="1:23" s="131" customFormat="1" ht="15" customHeight="1" x14ac:dyDescent="0.25">
      <c r="A54" s="138">
        <v>2911</v>
      </c>
      <c r="B54" s="146" t="s">
        <v>148</v>
      </c>
      <c r="C54" s="135">
        <v>34403.200000000004</v>
      </c>
      <c r="D54" s="148"/>
      <c r="E54" s="135">
        <f t="shared" si="5"/>
        <v>34403.200000000004</v>
      </c>
      <c r="F54" s="135"/>
      <c r="G54" s="135"/>
      <c r="H54" s="130"/>
      <c r="I54" s="130"/>
      <c r="J54" s="130"/>
      <c r="K54" s="130"/>
      <c r="L54" s="130"/>
      <c r="M54" s="130"/>
      <c r="N54" s="130">
        <f t="shared" si="1"/>
        <v>34403.200000000004</v>
      </c>
      <c r="O54" s="130">
        <f t="shared" si="2"/>
        <v>34403.200000000004</v>
      </c>
      <c r="P54" s="130"/>
      <c r="Q54" s="130"/>
      <c r="R54" s="130"/>
      <c r="S54" s="130"/>
      <c r="T54" s="130"/>
      <c r="U54" s="130"/>
      <c r="V54" s="130">
        <f t="shared" si="3"/>
        <v>34403.200000000004</v>
      </c>
      <c r="W54" s="130">
        <f t="shared" si="12"/>
        <v>34403.200000000004</v>
      </c>
    </row>
    <row r="55" spans="1:23" s="131" customFormat="1" ht="15.75" x14ac:dyDescent="0.25">
      <c r="A55" s="138">
        <v>2921</v>
      </c>
      <c r="B55" s="146" t="s">
        <v>149</v>
      </c>
      <c r="C55" s="135">
        <v>100000</v>
      </c>
      <c r="D55" s="148"/>
      <c r="E55" s="135">
        <f t="shared" si="5"/>
        <v>100000</v>
      </c>
      <c r="F55" s="135"/>
      <c r="G55" s="135"/>
      <c r="H55" s="130"/>
      <c r="I55" s="130"/>
      <c r="J55" s="130"/>
      <c r="K55" s="130"/>
      <c r="L55" s="130"/>
      <c r="M55" s="130"/>
      <c r="N55" s="130">
        <f t="shared" si="1"/>
        <v>100000</v>
      </c>
      <c r="O55" s="130">
        <f t="shared" si="2"/>
        <v>100000</v>
      </c>
      <c r="P55" s="130"/>
      <c r="Q55" s="130"/>
      <c r="R55" s="130"/>
      <c r="S55" s="130"/>
      <c r="T55" s="130"/>
      <c r="U55" s="130"/>
      <c r="V55" s="130">
        <f t="shared" si="3"/>
        <v>100000</v>
      </c>
      <c r="W55" s="130">
        <f t="shared" si="12"/>
        <v>100000</v>
      </c>
    </row>
    <row r="56" spans="1:23" s="131" customFormat="1" ht="15" customHeight="1" x14ac:dyDescent="0.25">
      <c r="A56" s="138">
        <v>2931</v>
      </c>
      <c r="B56" s="146" t="s">
        <v>150</v>
      </c>
      <c r="C56" s="135">
        <v>10000</v>
      </c>
      <c r="D56" s="148"/>
      <c r="E56" s="135">
        <f t="shared" si="5"/>
        <v>10000</v>
      </c>
      <c r="F56" s="135"/>
      <c r="G56" s="135"/>
      <c r="H56" s="130"/>
      <c r="I56" s="130"/>
      <c r="J56" s="130"/>
      <c r="K56" s="130"/>
      <c r="L56" s="130"/>
      <c r="M56" s="130"/>
      <c r="N56" s="130">
        <f t="shared" si="1"/>
        <v>10000</v>
      </c>
      <c r="O56" s="130">
        <f t="shared" si="2"/>
        <v>10000</v>
      </c>
      <c r="P56" s="130"/>
      <c r="Q56" s="130"/>
      <c r="R56" s="130"/>
      <c r="S56" s="130"/>
      <c r="T56" s="130"/>
      <c r="U56" s="130"/>
      <c r="V56" s="130">
        <f t="shared" si="3"/>
        <v>10000</v>
      </c>
      <c r="W56" s="130">
        <f t="shared" si="12"/>
        <v>10000</v>
      </c>
    </row>
    <row r="57" spans="1:23" s="131" customFormat="1" ht="15.75" x14ac:dyDescent="0.25">
      <c r="A57" s="138">
        <v>2941</v>
      </c>
      <c r="B57" s="146" t="s">
        <v>151</v>
      </c>
      <c r="C57" s="135">
        <v>15000</v>
      </c>
      <c r="D57" s="148"/>
      <c r="E57" s="135">
        <f t="shared" si="5"/>
        <v>15000</v>
      </c>
      <c r="F57" s="135"/>
      <c r="G57" s="135"/>
      <c r="H57" s="130"/>
      <c r="I57" s="130"/>
      <c r="J57" s="130"/>
      <c r="K57" s="130"/>
      <c r="L57" s="130"/>
      <c r="M57" s="130"/>
      <c r="N57" s="130">
        <f t="shared" si="1"/>
        <v>15000</v>
      </c>
      <c r="O57" s="130">
        <f t="shared" si="2"/>
        <v>15000</v>
      </c>
      <c r="P57" s="130"/>
      <c r="Q57" s="130"/>
      <c r="R57" s="130"/>
      <c r="S57" s="130"/>
      <c r="T57" s="130"/>
      <c r="U57" s="130"/>
      <c r="V57" s="130">
        <f t="shared" si="3"/>
        <v>15000</v>
      </c>
      <c r="W57" s="130">
        <f t="shared" si="12"/>
        <v>15000</v>
      </c>
    </row>
    <row r="58" spans="1:23" s="131" customFormat="1" ht="15" customHeight="1" x14ac:dyDescent="0.25">
      <c r="A58" s="138">
        <v>2961</v>
      </c>
      <c r="B58" s="146" t="s">
        <v>152</v>
      </c>
      <c r="C58" s="135">
        <v>25000</v>
      </c>
      <c r="D58" s="148"/>
      <c r="E58" s="135">
        <f t="shared" si="5"/>
        <v>25000</v>
      </c>
      <c r="F58" s="135"/>
      <c r="G58" s="135"/>
      <c r="H58" s="130"/>
      <c r="I58" s="130"/>
      <c r="J58" s="130"/>
      <c r="K58" s="130"/>
      <c r="L58" s="130"/>
      <c r="M58" s="130"/>
      <c r="N58" s="130">
        <f t="shared" si="1"/>
        <v>25000</v>
      </c>
      <c r="O58" s="130">
        <f t="shared" si="2"/>
        <v>25000</v>
      </c>
      <c r="P58" s="130"/>
      <c r="Q58" s="130"/>
      <c r="R58" s="130"/>
      <c r="S58" s="130"/>
      <c r="T58" s="130"/>
      <c r="U58" s="130"/>
      <c r="V58" s="130">
        <f t="shared" si="3"/>
        <v>25000</v>
      </c>
      <c r="W58" s="130">
        <f t="shared" si="12"/>
        <v>25000</v>
      </c>
    </row>
    <row r="59" spans="1:23" s="145" customFormat="1" ht="15.75" x14ac:dyDescent="0.25">
      <c r="A59" s="149"/>
      <c r="B59" s="149" t="s">
        <v>153</v>
      </c>
      <c r="C59" s="143">
        <f>SUM(C26:C58)</f>
        <v>13544470.557360001</v>
      </c>
      <c r="D59" s="143">
        <f>SUM(D26:D58)</f>
        <v>2694372</v>
      </c>
      <c r="E59" s="144">
        <f t="shared" si="5"/>
        <v>16238842.557360001</v>
      </c>
      <c r="F59" s="143">
        <f t="shared" ref="F59:G59" si="15">SUM(F26:F58)</f>
        <v>0</v>
      </c>
      <c r="G59" s="143">
        <f t="shared" si="15"/>
        <v>0</v>
      </c>
      <c r="H59" s="144">
        <f>SUM(H26:H58)</f>
        <v>1027843.45</v>
      </c>
      <c r="I59" s="144">
        <f>SUM(I26:I58)</f>
        <v>844748.35999999987</v>
      </c>
      <c r="J59" s="144">
        <f t="shared" ref="J59:M59" si="16">SUM(J26:J58)</f>
        <v>0</v>
      </c>
      <c r="K59" s="144">
        <f t="shared" si="16"/>
        <v>0</v>
      </c>
      <c r="L59" s="144">
        <f t="shared" si="16"/>
        <v>0</v>
      </c>
      <c r="M59" s="144">
        <f t="shared" si="16"/>
        <v>0</v>
      </c>
      <c r="N59" s="144">
        <f>SUM(N26:N58)</f>
        <v>16238842.557360001</v>
      </c>
      <c r="O59" s="144">
        <f>SUM(O26:O58)</f>
        <v>15394094.197360002</v>
      </c>
      <c r="P59" s="144">
        <f>SUM(P26:P58)</f>
        <v>1007555.95</v>
      </c>
      <c r="Q59" s="144">
        <f>SUM(Q26:Q58)</f>
        <v>844748.35999999987</v>
      </c>
      <c r="R59" s="144">
        <f t="shared" ref="R59" si="17">SUM(R26:R58)</f>
        <v>0</v>
      </c>
      <c r="S59" s="144">
        <f t="shared" ref="S59" si="18">SUM(S26:S58)</f>
        <v>0</v>
      </c>
      <c r="T59" s="144">
        <f t="shared" ref="T59" si="19">SUM(T26:T58)</f>
        <v>0</v>
      </c>
      <c r="U59" s="144">
        <f t="shared" ref="U59" si="20">SUM(U26:U58)</f>
        <v>0</v>
      </c>
      <c r="V59" s="144">
        <f>SUM(V26:V58)</f>
        <v>16238842.557360001</v>
      </c>
      <c r="W59" s="144">
        <f>SUM(W26:W58)</f>
        <v>15394094.197360002</v>
      </c>
    </row>
    <row r="60" spans="1:23" s="131" customFormat="1" ht="15" customHeight="1" x14ac:dyDescent="0.25">
      <c r="A60" s="138">
        <v>3111</v>
      </c>
      <c r="B60" s="150" t="s">
        <v>154</v>
      </c>
      <c r="C60" s="151">
        <v>461469.80000000005</v>
      </c>
      <c r="D60" s="152"/>
      <c r="E60" s="135">
        <f>D60+C60</f>
        <v>461469.80000000005</v>
      </c>
      <c r="F60" s="135"/>
      <c r="G60" s="135"/>
      <c r="H60" s="130">
        <v>38456</v>
      </c>
      <c r="I60" s="130">
        <v>46820</v>
      </c>
      <c r="J60" s="130"/>
      <c r="K60" s="130"/>
      <c r="L60" s="130"/>
      <c r="M60" s="130"/>
      <c r="N60" s="130">
        <f t="shared" si="1"/>
        <v>461469.80000000005</v>
      </c>
      <c r="O60" s="130">
        <f t="shared" si="2"/>
        <v>414649.80000000005</v>
      </c>
      <c r="P60" s="130">
        <v>38456</v>
      </c>
      <c r="Q60" s="130">
        <v>46820</v>
      </c>
      <c r="R60" s="130"/>
      <c r="S60" s="130"/>
      <c r="T60" s="130"/>
      <c r="U60" s="130"/>
      <c r="V60" s="130">
        <f t="shared" si="3"/>
        <v>461469.80000000005</v>
      </c>
      <c r="W60" s="130">
        <f t="shared" ref="W60:W98" si="21">+V60-Q60</f>
        <v>414649.80000000005</v>
      </c>
    </row>
    <row r="61" spans="1:23" s="131" customFormat="1" ht="15.75" x14ac:dyDescent="0.25">
      <c r="A61" s="138">
        <v>3121</v>
      </c>
      <c r="B61" s="150" t="s">
        <v>155</v>
      </c>
      <c r="C61" s="151">
        <v>159510.72799999997</v>
      </c>
      <c r="D61" s="152"/>
      <c r="E61" s="135">
        <f t="shared" ref="E61:E98" si="22">D61+C61</f>
        <v>159510.72799999997</v>
      </c>
      <c r="F61" s="135"/>
      <c r="G61" s="135"/>
      <c r="H61" s="130">
        <v>13293</v>
      </c>
      <c r="I61" s="130">
        <v>13999.48</v>
      </c>
      <c r="J61" s="130"/>
      <c r="K61" s="130"/>
      <c r="L61" s="130"/>
      <c r="M61" s="130"/>
      <c r="N61" s="130">
        <f t="shared" si="1"/>
        <v>159510.72799999997</v>
      </c>
      <c r="O61" s="130">
        <f t="shared" si="2"/>
        <v>145511.24799999996</v>
      </c>
      <c r="P61" s="130">
        <v>13293</v>
      </c>
      <c r="Q61" s="130">
        <v>13999.48</v>
      </c>
      <c r="R61" s="130"/>
      <c r="S61" s="130"/>
      <c r="T61" s="130"/>
      <c r="U61" s="130"/>
      <c r="V61" s="130">
        <f t="shared" si="3"/>
        <v>159510.72799999997</v>
      </c>
      <c r="W61" s="130">
        <f t="shared" si="21"/>
        <v>145511.24799999996</v>
      </c>
    </row>
    <row r="62" spans="1:23" s="131" customFormat="1" ht="15" customHeight="1" x14ac:dyDescent="0.25">
      <c r="A62" s="138">
        <v>3131</v>
      </c>
      <c r="B62" s="150" t="s">
        <v>156</v>
      </c>
      <c r="C62" s="151">
        <v>10860.48</v>
      </c>
      <c r="D62" s="152"/>
      <c r="E62" s="135">
        <f t="shared" si="22"/>
        <v>10860.48</v>
      </c>
      <c r="F62" s="135"/>
      <c r="G62" s="135"/>
      <c r="H62" s="130"/>
      <c r="I62" s="130"/>
      <c r="J62" s="130"/>
      <c r="K62" s="130"/>
      <c r="L62" s="130"/>
      <c r="M62" s="130"/>
      <c r="N62" s="130">
        <f t="shared" si="1"/>
        <v>10860.48</v>
      </c>
      <c r="O62" s="130">
        <f t="shared" si="2"/>
        <v>10860.48</v>
      </c>
      <c r="P62" s="130"/>
      <c r="Q62" s="130"/>
      <c r="R62" s="130"/>
      <c r="S62" s="130"/>
      <c r="T62" s="130"/>
      <c r="U62" s="130"/>
      <c r="V62" s="130">
        <f t="shared" si="3"/>
        <v>10860.48</v>
      </c>
      <c r="W62" s="130">
        <f t="shared" si="21"/>
        <v>10860.48</v>
      </c>
    </row>
    <row r="63" spans="1:23" s="131" customFormat="1" ht="15.75" x14ac:dyDescent="0.25">
      <c r="A63" s="138">
        <v>3141</v>
      </c>
      <c r="B63" s="150" t="s">
        <v>157</v>
      </c>
      <c r="C63" s="151">
        <f>149034.7664+18133</f>
        <v>167167.76639999999</v>
      </c>
      <c r="D63" s="152"/>
      <c r="E63" s="135">
        <f t="shared" si="22"/>
        <v>167167.76639999999</v>
      </c>
      <c r="F63" s="135"/>
      <c r="G63" s="135"/>
      <c r="H63" s="130">
        <v>11735.82</v>
      </c>
      <c r="I63" s="130">
        <v>11393.96</v>
      </c>
      <c r="J63" s="130"/>
      <c r="K63" s="130"/>
      <c r="L63" s="130"/>
      <c r="M63" s="130"/>
      <c r="N63" s="130">
        <f t="shared" si="1"/>
        <v>167167.76639999999</v>
      </c>
      <c r="O63" s="130">
        <f t="shared" si="2"/>
        <v>155773.8064</v>
      </c>
      <c r="P63" s="130">
        <v>11735.82</v>
      </c>
      <c r="Q63" s="130">
        <v>11393.96</v>
      </c>
      <c r="R63" s="130"/>
      <c r="S63" s="130"/>
      <c r="T63" s="130"/>
      <c r="U63" s="130"/>
      <c r="V63" s="130">
        <f t="shared" si="3"/>
        <v>167167.76639999999</v>
      </c>
      <c r="W63" s="130">
        <f t="shared" si="21"/>
        <v>155773.8064</v>
      </c>
    </row>
    <row r="64" spans="1:23" s="131" customFormat="1" ht="15" customHeight="1" x14ac:dyDescent="0.25">
      <c r="A64" s="138">
        <v>3171</v>
      </c>
      <c r="B64" s="150" t="s">
        <v>158</v>
      </c>
      <c r="C64" s="151">
        <v>6500</v>
      </c>
      <c r="D64" s="152"/>
      <c r="E64" s="135">
        <f t="shared" si="22"/>
        <v>6500</v>
      </c>
      <c r="F64" s="135"/>
      <c r="G64" s="135"/>
      <c r="H64" s="130"/>
      <c r="I64" s="130"/>
      <c r="J64" s="130"/>
      <c r="K64" s="130"/>
      <c r="L64" s="130"/>
      <c r="M64" s="130"/>
      <c r="N64" s="130">
        <f t="shared" si="1"/>
        <v>6500</v>
      </c>
      <c r="O64" s="130">
        <f t="shared" si="2"/>
        <v>6500</v>
      </c>
      <c r="P64" s="130"/>
      <c r="Q64" s="130"/>
      <c r="R64" s="130"/>
      <c r="S64" s="130"/>
      <c r="T64" s="130"/>
      <c r="U64" s="130"/>
      <c r="V64" s="130">
        <f t="shared" si="3"/>
        <v>6500</v>
      </c>
      <c r="W64" s="130">
        <f t="shared" si="21"/>
        <v>6500</v>
      </c>
    </row>
    <row r="65" spans="1:23" s="131" customFormat="1" ht="15.75" x14ac:dyDescent="0.25">
      <c r="A65" s="138">
        <v>3181</v>
      </c>
      <c r="B65" s="150" t="s">
        <v>159</v>
      </c>
      <c r="C65" s="151">
        <v>3112.2208000000001</v>
      </c>
      <c r="D65" s="152"/>
      <c r="E65" s="135">
        <f t="shared" si="22"/>
        <v>3112.2208000000001</v>
      </c>
      <c r="F65" s="135"/>
      <c r="G65" s="135"/>
      <c r="H65" s="130">
        <v>259</v>
      </c>
      <c r="I65" s="130">
        <v>346.43</v>
      </c>
      <c r="J65" s="130"/>
      <c r="K65" s="130"/>
      <c r="L65" s="130"/>
      <c r="M65" s="130"/>
      <c r="N65" s="130">
        <f t="shared" si="1"/>
        <v>3112.2208000000001</v>
      </c>
      <c r="O65" s="130">
        <f t="shared" si="2"/>
        <v>2765.7908000000002</v>
      </c>
      <c r="P65" s="130">
        <v>259</v>
      </c>
      <c r="Q65" s="130">
        <v>346.43</v>
      </c>
      <c r="R65" s="130"/>
      <c r="S65" s="130"/>
      <c r="T65" s="130"/>
      <c r="U65" s="130"/>
      <c r="V65" s="130">
        <f t="shared" si="3"/>
        <v>3112.2208000000001</v>
      </c>
      <c r="W65" s="130">
        <f t="shared" si="21"/>
        <v>2765.7908000000002</v>
      </c>
    </row>
    <row r="66" spans="1:23" s="131" customFormat="1" ht="15" customHeight="1" x14ac:dyDescent="0.25">
      <c r="A66" s="138">
        <v>3232</v>
      </c>
      <c r="B66" s="150" t="s">
        <v>160</v>
      </c>
      <c r="C66" s="151">
        <v>40000</v>
      </c>
      <c r="D66" s="152"/>
      <c r="E66" s="135">
        <f t="shared" si="22"/>
        <v>40000</v>
      </c>
      <c r="F66" s="135"/>
      <c r="G66" s="135"/>
      <c r="H66" s="130"/>
      <c r="I66" s="130"/>
      <c r="J66" s="130"/>
      <c r="K66" s="130"/>
      <c r="L66" s="130"/>
      <c r="M66" s="130"/>
      <c r="N66" s="130">
        <f t="shared" si="1"/>
        <v>40000</v>
      </c>
      <c r="O66" s="130">
        <f t="shared" si="2"/>
        <v>40000</v>
      </c>
      <c r="P66" s="130"/>
      <c r="Q66" s="130"/>
      <c r="R66" s="130"/>
      <c r="S66" s="130"/>
      <c r="T66" s="130"/>
      <c r="U66" s="130"/>
      <c r="V66" s="130">
        <f t="shared" si="3"/>
        <v>40000</v>
      </c>
      <c r="W66" s="130">
        <f t="shared" si="21"/>
        <v>40000</v>
      </c>
    </row>
    <row r="67" spans="1:23" s="131" customFormat="1" ht="15.75" x14ac:dyDescent="0.25">
      <c r="A67" s="138">
        <v>3261</v>
      </c>
      <c r="B67" s="150" t="s">
        <v>161</v>
      </c>
      <c r="C67" s="151">
        <v>30000</v>
      </c>
      <c r="D67" s="152"/>
      <c r="E67" s="135">
        <f t="shared" si="22"/>
        <v>30000</v>
      </c>
      <c r="F67" s="135"/>
      <c r="G67" s="135"/>
      <c r="H67" s="130"/>
      <c r="I67" s="130"/>
      <c r="J67" s="130"/>
      <c r="K67" s="130"/>
      <c r="L67" s="130"/>
      <c r="M67" s="130"/>
      <c r="N67" s="130">
        <f t="shared" si="1"/>
        <v>30000</v>
      </c>
      <c r="O67" s="130">
        <f t="shared" si="2"/>
        <v>30000</v>
      </c>
      <c r="P67" s="130"/>
      <c r="Q67" s="130"/>
      <c r="R67" s="130"/>
      <c r="S67" s="130"/>
      <c r="T67" s="130"/>
      <c r="U67" s="130"/>
      <c r="V67" s="130">
        <f t="shared" si="3"/>
        <v>30000</v>
      </c>
      <c r="W67" s="130">
        <f t="shared" si="21"/>
        <v>30000</v>
      </c>
    </row>
    <row r="68" spans="1:23" s="131" customFormat="1" ht="15" customHeight="1" x14ac:dyDescent="0.25">
      <c r="A68" s="138">
        <v>3311</v>
      </c>
      <c r="B68" s="150" t="s">
        <v>162</v>
      </c>
      <c r="C68" s="151">
        <f>45000+240000+237600+83520</f>
        <v>606120</v>
      </c>
      <c r="D68" s="153"/>
      <c r="E68" s="135">
        <f t="shared" si="22"/>
        <v>606120</v>
      </c>
      <c r="F68" s="135"/>
      <c r="G68" s="135"/>
      <c r="H68" s="130">
        <v>5829.8</v>
      </c>
      <c r="I68" s="130">
        <v>5660.38</v>
      </c>
      <c r="J68" s="130"/>
      <c r="K68" s="130"/>
      <c r="L68" s="130"/>
      <c r="M68" s="130"/>
      <c r="N68" s="130">
        <f t="shared" si="1"/>
        <v>606120</v>
      </c>
      <c r="O68" s="130">
        <f t="shared" si="2"/>
        <v>600459.62</v>
      </c>
      <c r="P68" s="130">
        <v>5829.8</v>
      </c>
      <c r="Q68" s="130">
        <v>5660.38</v>
      </c>
      <c r="R68" s="130"/>
      <c r="S68" s="130"/>
      <c r="T68" s="130"/>
      <c r="U68" s="130"/>
      <c r="V68" s="130">
        <f t="shared" si="3"/>
        <v>606120</v>
      </c>
      <c r="W68" s="130">
        <f t="shared" si="21"/>
        <v>600459.62</v>
      </c>
    </row>
    <row r="69" spans="1:23" s="131" customFormat="1" ht="15" customHeight="1" x14ac:dyDescent="0.25">
      <c r="A69" s="138">
        <v>3321</v>
      </c>
      <c r="B69" s="150" t="s">
        <v>269</v>
      </c>
      <c r="C69" s="151"/>
      <c r="D69" s="153"/>
      <c r="E69" s="135"/>
      <c r="F69" s="135"/>
      <c r="G69" s="135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>
        <f t="shared" si="3"/>
        <v>0</v>
      </c>
      <c r="W69" s="130"/>
    </row>
    <row r="70" spans="1:23" s="131" customFormat="1" ht="15.75" x14ac:dyDescent="0.25">
      <c r="A70" s="138">
        <v>3331</v>
      </c>
      <c r="B70" s="150" t="s">
        <v>163</v>
      </c>
      <c r="C70" s="151">
        <f>170000+30000</f>
        <v>200000</v>
      </c>
      <c r="D70" s="153"/>
      <c r="E70" s="135">
        <f t="shared" si="22"/>
        <v>200000</v>
      </c>
      <c r="F70" s="135"/>
      <c r="G70" s="135"/>
      <c r="H70" s="130"/>
      <c r="I70" s="130"/>
      <c r="J70" s="130"/>
      <c r="K70" s="130"/>
      <c r="L70" s="130"/>
      <c r="M70" s="130"/>
      <c r="N70" s="130">
        <f t="shared" si="1"/>
        <v>200000</v>
      </c>
      <c r="O70" s="130">
        <f t="shared" si="2"/>
        <v>200000</v>
      </c>
      <c r="P70" s="130"/>
      <c r="Q70" s="130"/>
      <c r="R70" s="130"/>
      <c r="S70" s="130"/>
      <c r="T70" s="130"/>
      <c r="U70" s="130"/>
      <c r="V70" s="130">
        <f t="shared" si="3"/>
        <v>200000</v>
      </c>
      <c r="W70" s="130">
        <f t="shared" si="21"/>
        <v>200000</v>
      </c>
    </row>
    <row r="71" spans="1:23" s="131" customFormat="1" ht="15" customHeight="1" x14ac:dyDescent="0.25">
      <c r="A71" s="138">
        <v>3341</v>
      </c>
      <c r="B71" s="150" t="s">
        <v>164</v>
      </c>
      <c r="C71" s="151">
        <v>50000</v>
      </c>
      <c r="D71" s="152"/>
      <c r="E71" s="135">
        <f t="shared" si="22"/>
        <v>50000</v>
      </c>
      <c r="F71" s="135"/>
      <c r="G71" s="135"/>
      <c r="H71" s="130">
        <v>27841.93</v>
      </c>
      <c r="I71" s="130">
        <v>27030.5</v>
      </c>
      <c r="J71" s="130"/>
      <c r="K71" s="130"/>
      <c r="L71" s="130"/>
      <c r="M71" s="130"/>
      <c r="N71" s="130">
        <f t="shared" si="1"/>
        <v>50000</v>
      </c>
      <c r="O71" s="130">
        <f t="shared" si="2"/>
        <v>22969.5</v>
      </c>
      <c r="P71" s="130">
        <v>27841.93</v>
      </c>
      <c r="Q71" s="130">
        <v>27030.5</v>
      </c>
      <c r="R71" s="130"/>
      <c r="S71" s="130"/>
      <c r="T71" s="130"/>
      <c r="U71" s="130"/>
      <c r="V71" s="130">
        <f t="shared" si="3"/>
        <v>50000</v>
      </c>
      <c r="W71" s="130">
        <f t="shared" si="21"/>
        <v>22969.5</v>
      </c>
    </row>
    <row r="72" spans="1:23" s="131" customFormat="1" ht="15.75" x14ac:dyDescent="0.25">
      <c r="A72" s="138">
        <v>3342</v>
      </c>
      <c r="B72" s="150" t="s">
        <v>165</v>
      </c>
      <c r="C72" s="151">
        <f>15000+240000</f>
        <v>255000</v>
      </c>
      <c r="D72" s="152"/>
      <c r="E72" s="135">
        <f t="shared" si="22"/>
        <v>255000</v>
      </c>
      <c r="F72" s="135"/>
      <c r="G72" s="135"/>
      <c r="H72" s="130">
        <v>2389.6</v>
      </c>
      <c r="I72" s="130">
        <v>2320</v>
      </c>
      <c r="J72" s="130"/>
      <c r="K72" s="130"/>
      <c r="L72" s="130"/>
      <c r="M72" s="130"/>
      <c r="N72" s="130">
        <f t="shared" si="1"/>
        <v>255000</v>
      </c>
      <c r="O72" s="130">
        <f t="shared" si="2"/>
        <v>252680</v>
      </c>
      <c r="P72" s="130">
        <v>2389.6</v>
      </c>
      <c r="Q72" s="130">
        <v>2320</v>
      </c>
      <c r="R72" s="130"/>
      <c r="S72" s="130"/>
      <c r="T72" s="130"/>
      <c r="U72" s="130"/>
      <c r="V72" s="130">
        <f t="shared" ref="V72:V126" si="23">+N72-R72+S72-T72+U72</f>
        <v>255000</v>
      </c>
      <c r="W72" s="130">
        <f t="shared" si="21"/>
        <v>252680</v>
      </c>
    </row>
    <row r="73" spans="1:23" s="131" customFormat="1" ht="15" customHeight="1" x14ac:dyDescent="0.25">
      <c r="A73" s="138">
        <v>3351</v>
      </c>
      <c r="B73" s="150" t="s">
        <v>166</v>
      </c>
      <c r="C73" s="151">
        <f>90000+124976</f>
        <v>214976</v>
      </c>
      <c r="D73" s="152"/>
      <c r="E73" s="135">
        <f t="shared" si="22"/>
        <v>214976</v>
      </c>
      <c r="F73" s="135"/>
      <c r="G73" s="135"/>
      <c r="H73" s="130"/>
      <c r="I73" s="130"/>
      <c r="J73" s="130"/>
      <c r="K73" s="130"/>
      <c r="L73" s="130"/>
      <c r="M73" s="130"/>
      <c r="N73" s="130">
        <f t="shared" si="1"/>
        <v>214976</v>
      </c>
      <c r="O73" s="130">
        <f t="shared" si="2"/>
        <v>214976</v>
      </c>
      <c r="P73" s="130"/>
      <c r="Q73" s="130"/>
      <c r="R73" s="130"/>
      <c r="S73" s="130"/>
      <c r="T73" s="130"/>
      <c r="U73" s="130"/>
      <c r="V73" s="130">
        <f t="shared" si="23"/>
        <v>214976</v>
      </c>
      <c r="W73" s="130">
        <f t="shared" si="21"/>
        <v>214976</v>
      </c>
    </row>
    <row r="74" spans="1:23" s="131" customFormat="1" ht="15.75" x14ac:dyDescent="0.25">
      <c r="A74" s="138">
        <v>3362</v>
      </c>
      <c r="B74" s="150" t="s">
        <v>167</v>
      </c>
      <c r="C74" s="151">
        <v>45668.001600000011</v>
      </c>
      <c r="D74" s="152"/>
      <c r="E74" s="135">
        <f t="shared" si="22"/>
        <v>45668.001600000011</v>
      </c>
      <c r="F74" s="135"/>
      <c r="G74" s="135"/>
      <c r="H74" s="130">
        <v>3225.96</v>
      </c>
      <c r="I74" s="130">
        <v>3132</v>
      </c>
      <c r="J74" s="130"/>
      <c r="K74" s="130"/>
      <c r="L74" s="130"/>
      <c r="M74" s="130"/>
      <c r="N74" s="130">
        <f t="shared" ref="N74:N126" si="24">+E74-J74+K74-L74+M74</f>
        <v>45668.001600000011</v>
      </c>
      <c r="O74" s="130">
        <f t="shared" ref="O74:O126" si="25">+N74-I74</f>
        <v>42536.001600000011</v>
      </c>
      <c r="P74" s="130">
        <v>3225.96</v>
      </c>
      <c r="Q74" s="130">
        <v>3132</v>
      </c>
      <c r="R74" s="130"/>
      <c r="S74" s="130"/>
      <c r="T74" s="130"/>
      <c r="U74" s="130"/>
      <c r="V74" s="130">
        <f t="shared" si="23"/>
        <v>45668.001600000011</v>
      </c>
      <c r="W74" s="130">
        <f t="shared" si="21"/>
        <v>42536.001600000011</v>
      </c>
    </row>
    <row r="75" spans="1:23" s="131" customFormat="1" ht="15" customHeight="1" x14ac:dyDescent="0.25">
      <c r="A75" s="138">
        <v>3363</v>
      </c>
      <c r="B75" s="150" t="s">
        <v>168</v>
      </c>
      <c r="C75" s="151">
        <v>50000</v>
      </c>
      <c r="D75" s="152"/>
      <c r="E75" s="135">
        <f t="shared" si="22"/>
        <v>50000</v>
      </c>
      <c r="F75" s="135"/>
      <c r="G75" s="135"/>
      <c r="H75" s="130"/>
      <c r="I75" s="130"/>
      <c r="J75" s="130"/>
      <c r="K75" s="130"/>
      <c r="L75" s="130"/>
      <c r="M75" s="130"/>
      <c r="N75" s="130">
        <f t="shared" si="24"/>
        <v>50000</v>
      </c>
      <c r="O75" s="130">
        <f t="shared" si="25"/>
        <v>50000</v>
      </c>
      <c r="P75" s="130"/>
      <c r="Q75" s="130"/>
      <c r="R75" s="130"/>
      <c r="S75" s="130"/>
      <c r="T75" s="130"/>
      <c r="U75" s="130"/>
      <c r="V75" s="130">
        <f t="shared" si="23"/>
        <v>50000</v>
      </c>
      <c r="W75" s="130">
        <f t="shared" si="21"/>
        <v>50000</v>
      </c>
    </row>
    <row r="76" spans="1:23" s="131" customFormat="1" ht="15.75" x14ac:dyDescent="0.25">
      <c r="A76" s="138">
        <v>3391</v>
      </c>
      <c r="B76" s="150" t="s">
        <v>169</v>
      </c>
      <c r="C76" s="135">
        <f>83520+120000+15000+170000</f>
        <v>388520</v>
      </c>
      <c r="D76" s="151">
        <v>638000</v>
      </c>
      <c r="E76" s="135">
        <f t="shared" si="22"/>
        <v>1026520</v>
      </c>
      <c r="F76" s="135"/>
      <c r="G76" s="135"/>
      <c r="H76" s="130">
        <v>24734.42</v>
      </c>
      <c r="I76" s="130">
        <f>16058.04+2296</f>
        <v>18354.04</v>
      </c>
      <c r="J76" s="130"/>
      <c r="K76" s="130"/>
      <c r="L76" s="130"/>
      <c r="M76" s="130"/>
      <c r="N76" s="130">
        <f t="shared" si="24"/>
        <v>1026520</v>
      </c>
      <c r="O76" s="130">
        <f t="shared" si="25"/>
        <v>1008165.96</v>
      </c>
      <c r="P76" s="130">
        <v>24734.42</v>
      </c>
      <c r="Q76" s="130">
        <f>16058.04+2296</f>
        <v>18354.04</v>
      </c>
      <c r="R76" s="130"/>
      <c r="S76" s="130"/>
      <c r="T76" s="130"/>
      <c r="U76" s="130"/>
      <c r="V76" s="130">
        <f t="shared" si="23"/>
        <v>1026520</v>
      </c>
      <c r="W76" s="130">
        <f t="shared" si="21"/>
        <v>1008165.96</v>
      </c>
    </row>
    <row r="77" spans="1:23" s="131" customFormat="1" ht="15" customHeight="1" x14ac:dyDescent="0.25">
      <c r="A77" s="138">
        <v>3411</v>
      </c>
      <c r="B77" s="150" t="s">
        <v>170</v>
      </c>
      <c r="C77" s="151">
        <v>3567.4495999999999</v>
      </c>
      <c r="D77" s="152"/>
      <c r="E77" s="135">
        <f t="shared" si="22"/>
        <v>3567.4495999999999</v>
      </c>
      <c r="F77" s="135"/>
      <c r="G77" s="135"/>
      <c r="H77" s="130">
        <v>25476.02</v>
      </c>
      <c r="I77" s="130">
        <v>264.88</v>
      </c>
      <c r="J77" s="130"/>
      <c r="K77" s="130"/>
      <c r="L77" s="130"/>
      <c r="M77" s="130"/>
      <c r="N77" s="130">
        <f t="shared" si="24"/>
        <v>3567.4495999999999</v>
      </c>
      <c r="O77" s="130">
        <f t="shared" si="25"/>
        <v>3302.5695999999998</v>
      </c>
      <c r="P77" s="130">
        <v>25476.02</v>
      </c>
      <c r="Q77" s="130">
        <v>264.88</v>
      </c>
      <c r="R77" s="130"/>
      <c r="S77" s="130"/>
      <c r="T77" s="130"/>
      <c r="U77" s="130"/>
      <c r="V77" s="130">
        <f t="shared" si="23"/>
        <v>3567.4495999999999</v>
      </c>
      <c r="W77" s="130">
        <f t="shared" si="21"/>
        <v>3302.5695999999998</v>
      </c>
    </row>
    <row r="78" spans="1:23" s="131" customFormat="1" ht="15.75" x14ac:dyDescent="0.25">
      <c r="A78" s="138">
        <v>3451</v>
      </c>
      <c r="B78" s="150" t="s">
        <v>171</v>
      </c>
      <c r="C78" s="151">
        <v>101437</v>
      </c>
      <c r="D78" s="152"/>
      <c r="E78" s="135">
        <f t="shared" si="22"/>
        <v>101437</v>
      </c>
      <c r="F78" s="135"/>
      <c r="G78" s="135"/>
      <c r="H78" s="130"/>
      <c r="I78" s="130"/>
      <c r="J78" s="130"/>
      <c r="K78" s="130"/>
      <c r="L78" s="130"/>
      <c r="M78" s="130"/>
      <c r="N78" s="130">
        <f t="shared" si="24"/>
        <v>101437</v>
      </c>
      <c r="O78" s="130">
        <f t="shared" si="25"/>
        <v>101437</v>
      </c>
      <c r="P78" s="130"/>
      <c r="Q78" s="130"/>
      <c r="R78" s="130"/>
      <c r="S78" s="130"/>
      <c r="T78" s="130"/>
      <c r="U78" s="130"/>
      <c r="V78" s="130">
        <f t="shared" si="23"/>
        <v>101437</v>
      </c>
      <c r="W78" s="130">
        <f t="shared" si="21"/>
        <v>101437</v>
      </c>
    </row>
    <row r="79" spans="1:23" s="131" customFormat="1" ht="15" customHeight="1" x14ac:dyDescent="0.25">
      <c r="A79" s="138">
        <v>3471</v>
      </c>
      <c r="B79" s="150" t="s">
        <v>172</v>
      </c>
      <c r="C79" s="151">
        <v>8686.08</v>
      </c>
      <c r="D79" s="152"/>
      <c r="E79" s="135">
        <f t="shared" si="22"/>
        <v>8686.08</v>
      </c>
      <c r="F79" s="135"/>
      <c r="G79" s="135"/>
      <c r="H79" s="130">
        <v>716.88</v>
      </c>
      <c r="I79" s="130">
        <v>696</v>
      </c>
      <c r="J79" s="130"/>
      <c r="K79" s="130"/>
      <c r="L79" s="130"/>
      <c r="M79" s="130"/>
      <c r="N79" s="130">
        <f t="shared" si="24"/>
        <v>8686.08</v>
      </c>
      <c r="O79" s="130">
        <f t="shared" si="25"/>
        <v>7990.08</v>
      </c>
      <c r="P79" s="130">
        <v>716.88</v>
      </c>
      <c r="Q79" s="130">
        <v>696</v>
      </c>
      <c r="R79" s="130"/>
      <c r="S79" s="130"/>
      <c r="T79" s="130"/>
      <c r="U79" s="130"/>
      <c r="V79" s="130">
        <f t="shared" si="23"/>
        <v>8686.08</v>
      </c>
      <c r="W79" s="130">
        <f t="shared" si="21"/>
        <v>7990.08</v>
      </c>
    </row>
    <row r="80" spans="1:23" s="131" customFormat="1" ht="15.75" x14ac:dyDescent="0.25">
      <c r="A80" s="138">
        <v>3481</v>
      </c>
      <c r="B80" s="150" t="s">
        <v>173</v>
      </c>
      <c r="C80" s="151">
        <v>0</v>
      </c>
      <c r="D80" s="152"/>
      <c r="E80" s="135">
        <f t="shared" si="22"/>
        <v>0</v>
      </c>
      <c r="F80" s="135"/>
      <c r="G80" s="135"/>
      <c r="H80" s="130"/>
      <c r="I80" s="130"/>
      <c r="J80" s="130"/>
      <c r="K80" s="130"/>
      <c r="L80" s="130"/>
      <c r="M80" s="130"/>
      <c r="N80" s="130">
        <f t="shared" si="24"/>
        <v>0</v>
      </c>
      <c r="O80" s="130">
        <f t="shared" si="25"/>
        <v>0</v>
      </c>
      <c r="P80" s="130"/>
      <c r="Q80" s="130"/>
      <c r="R80" s="130"/>
      <c r="S80" s="130"/>
      <c r="T80" s="130"/>
      <c r="U80" s="130"/>
      <c r="V80" s="130">
        <f t="shared" si="23"/>
        <v>0</v>
      </c>
      <c r="W80" s="130">
        <f t="shared" si="21"/>
        <v>0</v>
      </c>
    </row>
    <row r="81" spans="1:23" s="131" customFormat="1" ht="15" customHeight="1" x14ac:dyDescent="0.25">
      <c r="A81" s="138">
        <v>3512</v>
      </c>
      <c r="B81" s="150" t="s">
        <v>174</v>
      </c>
      <c r="C81" s="151">
        <f>500000+150000+300000</f>
        <v>950000</v>
      </c>
      <c r="D81" s="151">
        <f>5735172-3+100000</f>
        <v>5835169</v>
      </c>
      <c r="E81" s="135">
        <f t="shared" si="22"/>
        <v>6785169</v>
      </c>
      <c r="F81" s="135"/>
      <c r="G81" s="135"/>
      <c r="H81" s="130">
        <v>17220.57</v>
      </c>
      <c r="I81" s="130">
        <v>16719.18</v>
      </c>
      <c r="J81" s="130"/>
      <c r="K81" s="130"/>
      <c r="L81" s="130"/>
      <c r="M81" s="130"/>
      <c r="N81" s="130">
        <f t="shared" si="24"/>
        <v>6785169</v>
      </c>
      <c r="O81" s="130">
        <f t="shared" si="25"/>
        <v>6768449.8200000003</v>
      </c>
      <c r="P81" s="130">
        <v>17220.57</v>
      </c>
      <c r="Q81" s="130">
        <v>16719.18</v>
      </c>
      <c r="R81" s="130"/>
      <c r="S81" s="130"/>
      <c r="T81" s="130"/>
      <c r="U81" s="130"/>
      <c r="V81" s="130">
        <f t="shared" si="23"/>
        <v>6785169</v>
      </c>
      <c r="W81" s="130">
        <f t="shared" si="21"/>
        <v>6768449.8200000003</v>
      </c>
    </row>
    <row r="82" spans="1:23" s="131" customFormat="1" ht="15.75" x14ac:dyDescent="0.25">
      <c r="A82" s="138">
        <v>3521</v>
      </c>
      <c r="B82" s="150" t="s">
        <v>175</v>
      </c>
      <c r="C82" s="151">
        <v>250000</v>
      </c>
      <c r="D82" s="152"/>
      <c r="E82" s="135">
        <f t="shared" si="22"/>
        <v>250000</v>
      </c>
      <c r="F82" s="135"/>
      <c r="G82" s="135"/>
      <c r="H82" s="130"/>
      <c r="I82" s="130"/>
      <c r="J82" s="130"/>
      <c r="K82" s="130"/>
      <c r="L82" s="130"/>
      <c r="M82" s="130"/>
      <c r="N82" s="130">
        <f t="shared" si="24"/>
        <v>250000</v>
      </c>
      <c r="O82" s="130">
        <f t="shared" si="25"/>
        <v>250000</v>
      </c>
      <c r="P82" s="130"/>
      <c r="Q82" s="130"/>
      <c r="R82" s="130"/>
      <c r="S82" s="130"/>
      <c r="T82" s="130"/>
      <c r="U82" s="130"/>
      <c r="V82" s="130">
        <f t="shared" si="23"/>
        <v>250000</v>
      </c>
      <c r="W82" s="130">
        <f t="shared" si="21"/>
        <v>250000</v>
      </c>
    </row>
    <row r="83" spans="1:23" s="131" customFormat="1" ht="15" customHeight="1" x14ac:dyDescent="0.25">
      <c r="A83" s="138">
        <v>3531</v>
      </c>
      <c r="B83" s="150" t="s">
        <v>176</v>
      </c>
      <c r="C83" s="151">
        <v>1650000</v>
      </c>
      <c r="D83" s="152"/>
      <c r="E83" s="135">
        <f t="shared" si="22"/>
        <v>1650000</v>
      </c>
      <c r="F83" s="135"/>
      <c r="G83" s="135"/>
      <c r="H83" s="130">
        <v>5669.12</v>
      </c>
      <c r="I83" s="130">
        <v>5504</v>
      </c>
      <c r="J83" s="130"/>
      <c r="K83" s="130"/>
      <c r="L83" s="130"/>
      <c r="M83" s="130"/>
      <c r="N83" s="130">
        <f t="shared" si="24"/>
        <v>1650000</v>
      </c>
      <c r="O83" s="130">
        <f t="shared" si="25"/>
        <v>1644496</v>
      </c>
      <c r="P83" s="130">
        <v>5669.12</v>
      </c>
      <c r="Q83" s="130">
        <v>5504</v>
      </c>
      <c r="R83" s="130"/>
      <c r="S83" s="130"/>
      <c r="T83" s="130"/>
      <c r="U83" s="130"/>
      <c r="V83" s="130">
        <f t="shared" si="23"/>
        <v>1650000</v>
      </c>
      <c r="W83" s="130">
        <f t="shared" si="21"/>
        <v>1644496</v>
      </c>
    </row>
    <row r="84" spans="1:23" s="131" customFormat="1" ht="15.75" x14ac:dyDescent="0.25">
      <c r="A84" s="138">
        <v>3551</v>
      </c>
      <c r="B84" s="150" t="s">
        <v>177</v>
      </c>
      <c r="C84" s="151">
        <v>213722</v>
      </c>
      <c r="D84" s="152"/>
      <c r="E84" s="135">
        <f t="shared" si="22"/>
        <v>213722</v>
      </c>
      <c r="F84" s="135"/>
      <c r="G84" s="135"/>
      <c r="H84" s="130">
        <v>1252.48</v>
      </c>
      <c r="I84" s="130">
        <v>1216.04</v>
      </c>
      <c r="J84" s="130"/>
      <c r="K84" s="130"/>
      <c r="L84" s="130"/>
      <c r="M84" s="130"/>
      <c r="N84" s="130">
        <f t="shared" si="24"/>
        <v>213722</v>
      </c>
      <c r="O84" s="130">
        <f t="shared" si="25"/>
        <v>212505.96</v>
      </c>
      <c r="P84" s="130">
        <v>1252.48</v>
      </c>
      <c r="Q84" s="130">
        <v>1216.04</v>
      </c>
      <c r="R84" s="130"/>
      <c r="S84" s="130"/>
      <c r="T84" s="130"/>
      <c r="U84" s="130"/>
      <c r="V84" s="130">
        <f t="shared" si="23"/>
        <v>213722</v>
      </c>
      <c r="W84" s="130">
        <f t="shared" si="21"/>
        <v>212505.96</v>
      </c>
    </row>
    <row r="85" spans="1:23" s="131" customFormat="1" ht="15" customHeight="1" x14ac:dyDescent="0.25">
      <c r="A85" s="138">
        <v>3571</v>
      </c>
      <c r="B85" s="150" t="s">
        <v>178</v>
      </c>
      <c r="C85" s="151">
        <v>250000</v>
      </c>
      <c r="D85" s="152"/>
      <c r="E85" s="135">
        <f t="shared" si="22"/>
        <v>250000</v>
      </c>
      <c r="F85" s="135"/>
      <c r="G85" s="135"/>
      <c r="H85" s="130"/>
      <c r="I85" s="130"/>
      <c r="J85" s="130"/>
      <c r="K85" s="130"/>
      <c r="L85" s="130"/>
      <c r="M85" s="130"/>
      <c r="N85" s="130">
        <f t="shared" si="24"/>
        <v>250000</v>
      </c>
      <c r="O85" s="130">
        <f t="shared" si="25"/>
        <v>250000</v>
      </c>
      <c r="P85" s="130"/>
      <c r="Q85" s="130"/>
      <c r="R85" s="130"/>
      <c r="S85" s="130"/>
      <c r="T85" s="130"/>
      <c r="U85" s="130"/>
      <c r="V85" s="130">
        <f t="shared" si="23"/>
        <v>250000</v>
      </c>
      <c r="W85" s="130">
        <f t="shared" si="21"/>
        <v>250000</v>
      </c>
    </row>
    <row r="86" spans="1:23" s="131" customFormat="1" ht="15.75" x14ac:dyDescent="0.25">
      <c r="A86" s="138">
        <v>3572</v>
      </c>
      <c r="B86" s="150" t="s">
        <v>179</v>
      </c>
      <c r="C86" s="151">
        <v>50000</v>
      </c>
      <c r="D86" s="152"/>
      <c r="E86" s="135">
        <f t="shared" si="22"/>
        <v>50000</v>
      </c>
      <c r="F86" s="135"/>
      <c r="G86" s="135"/>
      <c r="H86" s="130"/>
      <c r="I86" s="130"/>
      <c r="J86" s="130"/>
      <c r="K86" s="130"/>
      <c r="L86" s="130"/>
      <c r="M86" s="130"/>
      <c r="N86" s="130">
        <f t="shared" si="24"/>
        <v>50000</v>
      </c>
      <c r="O86" s="130">
        <f t="shared" si="25"/>
        <v>50000</v>
      </c>
      <c r="P86" s="130"/>
      <c r="Q86" s="130"/>
      <c r="R86" s="130"/>
      <c r="S86" s="130"/>
      <c r="T86" s="130"/>
      <c r="U86" s="130"/>
      <c r="V86" s="130">
        <f t="shared" si="23"/>
        <v>50000</v>
      </c>
      <c r="W86" s="130">
        <f t="shared" si="21"/>
        <v>50000</v>
      </c>
    </row>
    <row r="87" spans="1:23" s="131" customFormat="1" ht="15" customHeight="1" x14ac:dyDescent="0.25">
      <c r="A87" s="138">
        <v>3581</v>
      </c>
      <c r="B87" s="150" t="s">
        <v>180</v>
      </c>
      <c r="C87" s="151">
        <v>150000</v>
      </c>
      <c r="D87" s="152"/>
      <c r="E87" s="135">
        <f t="shared" si="22"/>
        <v>150000</v>
      </c>
      <c r="F87" s="135"/>
      <c r="G87" s="135"/>
      <c r="H87" s="130">
        <v>12500</v>
      </c>
      <c r="I87" s="130">
        <v>15831.16</v>
      </c>
      <c r="J87" s="130"/>
      <c r="K87" s="130"/>
      <c r="L87" s="130"/>
      <c r="M87" s="130"/>
      <c r="N87" s="130">
        <f t="shared" si="24"/>
        <v>150000</v>
      </c>
      <c r="O87" s="130">
        <f t="shared" si="25"/>
        <v>134168.84</v>
      </c>
      <c r="P87" s="130">
        <v>12500</v>
      </c>
      <c r="Q87" s="130">
        <v>15831.16</v>
      </c>
      <c r="R87" s="130"/>
      <c r="S87" s="130"/>
      <c r="T87" s="130"/>
      <c r="U87" s="130"/>
      <c r="V87" s="130">
        <f t="shared" si="23"/>
        <v>150000</v>
      </c>
      <c r="W87" s="130">
        <f t="shared" si="21"/>
        <v>134168.84</v>
      </c>
    </row>
    <row r="88" spans="1:23" s="131" customFormat="1" ht="15.75" x14ac:dyDescent="0.25">
      <c r="A88" s="138">
        <v>3591</v>
      </c>
      <c r="B88" s="150" t="s">
        <v>181</v>
      </c>
      <c r="C88" s="151">
        <f>15000*12</f>
        <v>180000</v>
      </c>
      <c r="D88" s="152"/>
      <c r="E88" s="135">
        <f t="shared" si="22"/>
        <v>180000</v>
      </c>
      <c r="F88" s="135"/>
      <c r="G88" s="135"/>
      <c r="H88" s="130"/>
      <c r="I88" s="130"/>
      <c r="J88" s="130"/>
      <c r="K88" s="130"/>
      <c r="L88" s="130"/>
      <c r="M88" s="130"/>
      <c r="N88" s="130">
        <f t="shared" si="24"/>
        <v>180000</v>
      </c>
      <c r="O88" s="130">
        <f t="shared" si="25"/>
        <v>180000</v>
      </c>
      <c r="P88" s="130"/>
      <c r="Q88" s="130"/>
      <c r="R88" s="130"/>
      <c r="S88" s="130"/>
      <c r="T88" s="130"/>
      <c r="U88" s="130"/>
      <c r="V88" s="130">
        <f t="shared" si="23"/>
        <v>180000</v>
      </c>
      <c r="W88" s="130">
        <f t="shared" si="21"/>
        <v>180000</v>
      </c>
    </row>
    <row r="89" spans="1:23" s="131" customFormat="1" ht="15" customHeight="1" x14ac:dyDescent="0.25">
      <c r="A89" s="138">
        <v>3721</v>
      </c>
      <c r="B89" s="150" t="s">
        <v>182</v>
      </c>
      <c r="C89" s="151">
        <v>64623.748800000001</v>
      </c>
      <c r="D89" s="152"/>
      <c r="E89" s="135">
        <f t="shared" si="22"/>
        <v>64623.748800000001</v>
      </c>
      <c r="F89" s="135"/>
      <c r="G89" s="135"/>
      <c r="H89" s="130">
        <v>20598.97</v>
      </c>
      <c r="I89" s="130">
        <v>19998.759999999998</v>
      </c>
      <c r="J89" s="130"/>
      <c r="K89" s="130"/>
      <c r="L89" s="130"/>
      <c r="M89" s="130"/>
      <c r="N89" s="130">
        <f t="shared" si="24"/>
        <v>64623.748800000001</v>
      </c>
      <c r="O89" s="130">
        <f t="shared" si="25"/>
        <v>44624.988800000006</v>
      </c>
      <c r="P89" s="130">
        <v>20598.97</v>
      </c>
      <c r="Q89" s="130">
        <v>19998.759999999998</v>
      </c>
      <c r="R89" s="130"/>
      <c r="S89" s="130"/>
      <c r="T89" s="130"/>
      <c r="U89" s="130"/>
      <c r="V89" s="130">
        <f t="shared" si="23"/>
        <v>64623.748800000001</v>
      </c>
      <c r="W89" s="130">
        <f t="shared" si="21"/>
        <v>44624.988800000006</v>
      </c>
    </row>
    <row r="90" spans="1:23" s="131" customFormat="1" ht="15.75" x14ac:dyDescent="0.25">
      <c r="A90" s="138">
        <v>3751</v>
      </c>
      <c r="B90" s="150" t="s">
        <v>183</v>
      </c>
      <c r="C90" s="151">
        <f>8371.68+25000</f>
        <v>33371.68</v>
      </c>
      <c r="D90" s="152"/>
      <c r="E90" s="135">
        <f t="shared" si="22"/>
        <v>33371.68</v>
      </c>
      <c r="F90" s="135"/>
      <c r="G90" s="135"/>
      <c r="H90" s="130">
        <v>1827.22</v>
      </c>
      <c r="I90" s="130">
        <v>1774</v>
      </c>
      <c r="J90" s="130"/>
      <c r="K90" s="130"/>
      <c r="L90" s="130"/>
      <c r="M90" s="130"/>
      <c r="N90" s="130">
        <f t="shared" si="24"/>
        <v>33371.68</v>
      </c>
      <c r="O90" s="130">
        <f t="shared" si="25"/>
        <v>31597.68</v>
      </c>
      <c r="P90" s="130">
        <v>1827.22</v>
      </c>
      <c r="Q90" s="130">
        <v>1774</v>
      </c>
      <c r="R90" s="130"/>
      <c r="S90" s="130"/>
      <c r="T90" s="130"/>
      <c r="U90" s="130"/>
      <c r="V90" s="130">
        <f t="shared" si="23"/>
        <v>33371.68</v>
      </c>
      <c r="W90" s="130">
        <f t="shared" si="21"/>
        <v>31597.68</v>
      </c>
    </row>
    <row r="91" spans="1:23" s="131" customFormat="1" ht="15" customHeight="1" x14ac:dyDescent="0.25">
      <c r="A91" s="138">
        <v>3791</v>
      </c>
      <c r="B91" s="150" t="s">
        <v>184</v>
      </c>
      <c r="C91" s="151">
        <v>6000</v>
      </c>
      <c r="D91" s="152"/>
      <c r="E91" s="135">
        <f t="shared" si="22"/>
        <v>6000</v>
      </c>
      <c r="F91" s="135"/>
      <c r="G91" s="135"/>
      <c r="H91" s="130"/>
      <c r="I91" s="130"/>
      <c r="J91" s="130"/>
      <c r="K91" s="130"/>
      <c r="L91" s="130"/>
      <c r="M91" s="130"/>
      <c r="N91" s="130">
        <f t="shared" si="24"/>
        <v>6000</v>
      </c>
      <c r="O91" s="130">
        <f t="shared" si="25"/>
        <v>6000</v>
      </c>
      <c r="P91" s="130"/>
      <c r="Q91" s="130"/>
      <c r="R91" s="130"/>
      <c r="S91" s="130"/>
      <c r="T91" s="130"/>
      <c r="U91" s="130"/>
      <c r="V91" s="130">
        <f t="shared" si="23"/>
        <v>6000</v>
      </c>
      <c r="W91" s="130">
        <f t="shared" si="21"/>
        <v>6000</v>
      </c>
    </row>
    <row r="92" spans="1:23" s="131" customFormat="1" ht="15.75" x14ac:dyDescent="0.25">
      <c r="A92" s="138">
        <v>3821</v>
      </c>
      <c r="B92" s="150" t="s">
        <v>185</v>
      </c>
      <c r="C92" s="151">
        <v>14400</v>
      </c>
      <c r="D92" s="152"/>
      <c r="E92" s="135">
        <f t="shared" si="22"/>
        <v>14400</v>
      </c>
      <c r="F92" s="135"/>
      <c r="G92" s="135"/>
      <c r="H92" s="130"/>
      <c r="I92" s="130"/>
      <c r="J92" s="130"/>
      <c r="K92" s="130"/>
      <c r="L92" s="130"/>
      <c r="M92" s="130"/>
      <c r="N92" s="130">
        <f t="shared" si="24"/>
        <v>14400</v>
      </c>
      <c r="O92" s="130">
        <f t="shared" si="25"/>
        <v>14400</v>
      </c>
      <c r="P92" s="130"/>
      <c r="Q92" s="130"/>
      <c r="R92" s="130"/>
      <c r="S92" s="130"/>
      <c r="T92" s="130"/>
      <c r="U92" s="130"/>
      <c r="V92" s="130">
        <f t="shared" si="23"/>
        <v>14400</v>
      </c>
      <c r="W92" s="130">
        <f t="shared" si="21"/>
        <v>14400</v>
      </c>
    </row>
    <row r="93" spans="1:23" s="131" customFormat="1" ht="15" customHeight="1" x14ac:dyDescent="0.25">
      <c r="A93" s="138">
        <v>3822</v>
      </c>
      <c r="B93" s="150" t="s">
        <v>186</v>
      </c>
      <c r="C93" s="151">
        <v>15000</v>
      </c>
      <c r="D93" s="152"/>
      <c r="E93" s="135">
        <f t="shared" si="22"/>
        <v>15000</v>
      </c>
      <c r="F93" s="135"/>
      <c r="G93" s="135"/>
      <c r="H93" s="130">
        <v>15330.52</v>
      </c>
      <c r="I93" s="130">
        <v>14884</v>
      </c>
      <c r="J93" s="130"/>
      <c r="K93" s="130"/>
      <c r="L93" s="130"/>
      <c r="M93" s="130"/>
      <c r="N93" s="130">
        <f t="shared" si="24"/>
        <v>15000</v>
      </c>
      <c r="O93" s="130">
        <f t="shared" si="25"/>
        <v>116</v>
      </c>
      <c r="P93" s="130">
        <v>15330.52</v>
      </c>
      <c r="Q93" s="130">
        <v>14884</v>
      </c>
      <c r="R93" s="130"/>
      <c r="S93" s="130"/>
      <c r="T93" s="130"/>
      <c r="U93" s="130"/>
      <c r="V93" s="130">
        <f t="shared" si="23"/>
        <v>15000</v>
      </c>
      <c r="W93" s="130">
        <f t="shared" si="21"/>
        <v>116</v>
      </c>
    </row>
    <row r="94" spans="1:23" s="131" customFormat="1" ht="15.75" x14ac:dyDescent="0.25">
      <c r="A94" s="138">
        <v>3921</v>
      </c>
      <c r="B94" s="150" t="s">
        <v>187</v>
      </c>
      <c r="C94" s="151">
        <v>226398.22399999999</v>
      </c>
      <c r="D94" s="152"/>
      <c r="E94" s="135">
        <f t="shared" si="22"/>
        <v>226398.22399999999</v>
      </c>
      <c r="F94" s="135"/>
      <c r="G94" s="135"/>
      <c r="H94" s="130">
        <v>18863.419999999998</v>
      </c>
      <c r="I94" s="130">
        <v>18314.23</v>
      </c>
      <c r="J94" s="130"/>
      <c r="K94" s="130"/>
      <c r="L94" s="130"/>
      <c r="M94" s="130"/>
      <c r="N94" s="130">
        <f t="shared" si="24"/>
        <v>226398.22399999999</v>
      </c>
      <c r="O94" s="130">
        <f t="shared" si="25"/>
        <v>208083.99399999998</v>
      </c>
      <c r="P94" s="130">
        <v>18863.419999999998</v>
      </c>
      <c r="Q94" s="130">
        <v>18314.23</v>
      </c>
      <c r="R94" s="130"/>
      <c r="S94" s="130"/>
      <c r="T94" s="130"/>
      <c r="U94" s="130"/>
      <c r="V94" s="130">
        <f t="shared" si="23"/>
        <v>226398.22399999999</v>
      </c>
      <c r="W94" s="130">
        <f t="shared" si="21"/>
        <v>208083.99399999998</v>
      </c>
    </row>
    <row r="95" spans="1:23" s="131" customFormat="1" ht="15" customHeight="1" x14ac:dyDescent="0.25">
      <c r="A95" s="138">
        <v>3941</v>
      </c>
      <c r="B95" s="150" t="s">
        <v>188</v>
      </c>
      <c r="C95" s="151">
        <v>500000</v>
      </c>
      <c r="D95" s="152"/>
      <c r="E95" s="135">
        <f t="shared" si="22"/>
        <v>500000</v>
      </c>
      <c r="F95" s="135"/>
      <c r="G95" s="135"/>
      <c r="H95" s="130"/>
      <c r="I95" s="130"/>
      <c r="J95" s="130"/>
      <c r="K95" s="130"/>
      <c r="L95" s="130"/>
      <c r="M95" s="130"/>
      <c r="N95" s="130">
        <f t="shared" si="24"/>
        <v>500000</v>
      </c>
      <c r="O95" s="130">
        <f t="shared" si="25"/>
        <v>500000</v>
      </c>
      <c r="P95" s="130"/>
      <c r="Q95" s="130"/>
      <c r="R95" s="130"/>
      <c r="S95" s="130"/>
      <c r="T95" s="130"/>
      <c r="U95" s="130"/>
      <c r="V95" s="130">
        <f t="shared" si="23"/>
        <v>500000</v>
      </c>
      <c r="W95" s="130">
        <f t="shared" si="21"/>
        <v>500000</v>
      </c>
    </row>
    <row r="96" spans="1:23" s="131" customFormat="1" ht="15.75" x14ac:dyDescent="0.25">
      <c r="A96" s="138">
        <v>3944</v>
      </c>
      <c r="B96" s="150" t="s">
        <v>189</v>
      </c>
      <c r="C96" s="151">
        <v>50000</v>
      </c>
      <c r="D96" s="152"/>
      <c r="E96" s="135">
        <f t="shared" si="22"/>
        <v>50000</v>
      </c>
      <c r="F96" s="135"/>
      <c r="G96" s="135"/>
      <c r="H96" s="130"/>
      <c r="I96" s="130"/>
      <c r="J96" s="130"/>
      <c r="K96" s="130"/>
      <c r="L96" s="130"/>
      <c r="M96" s="130"/>
      <c r="N96" s="130">
        <f t="shared" si="24"/>
        <v>50000</v>
      </c>
      <c r="O96" s="130">
        <f t="shared" si="25"/>
        <v>50000</v>
      </c>
      <c r="P96" s="130"/>
      <c r="Q96" s="130"/>
      <c r="R96" s="130"/>
      <c r="S96" s="130"/>
      <c r="T96" s="130"/>
      <c r="U96" s="130"/>
      <c r="V96" s="130">
        <f t="shared" si="23"/>
        <v>50000</v>
      </c>
      <c r="W96" s="130">
        <f t="shared" si="21"/>
        <v>50000</v>
      </c>
    </row>
    <row r="97" spans="1:23" s="131" customFormat="1" ht="15" customHeight="1" x14ac:dyDescent="0.25">
      <c r="A97" s="138">
        <v>3981</v>
      </c>
      <c r="B97" s="150" t="s">
        <v>190</v>
      </c>
      <c r="C97" s="151">
        <v>750000</v>
      </c>
      <c r="D97" s="152"/>
      <c r="E97" s="135">
        <f t="shared" si="22"/>
        <v>750000</v>
      </c>
      <c r="F97" s="135"/>
      <c r="G97" s="135"/>
      <c r="H97" s="130"/>
      <c r="I97" s="130"/>
      <c r="J97" s="130"/>
      <c r="K97" s="130"/>
      <c r="L97" s="130"/>
      <c r="M97" s="130"/>
      <c r="N97" s="130">
        <f t="shared" si="24"/>
        <v>750000</v>
      </c>
      <c r="O97" s="130">
        <f t="shared" si="25"/>
        <v>750000</v>
      </c>
      <c r="P97" s="130"/>
      <c r="Q97" s="130"/>
      <c r="R97" s="130"/>
      <c r="S97" s="130"/>
      <c r="T97" s="130"/>
      <c r="U97" s="130"/>
      <c r="V97" s="130">
        <f t="shared" si="23"/>
        <v>750000</v>
      </c>
      <c r="W97" s="130">
        <f t="shared" si="21"/>
        <v>750000</v>
      </c>
    </row>
    <row r="98" spans="1:23" s="131" customFormat="1" ht="15.75" x14ac:dyDescent="0.25">
      <c r="A98" s="138">
        <v>3993</v>
      </c>
      <c r="B98" s="150" t="s">
        <v>191</v>
      </c>
      <c r="C98" s="151">
        <f>53859.3536-14400</f>
        <v>39459.353600000002</v>
      </c>
      <c r="D98" s="152"/>
      <c r="E98" s="135">
        <f t="shared" si="22"/>
        <v>39459.353600000002</v>
      </c>
      <c r="F98" s="135"/>
      <c r="G98" s="135"/>
      <c r="H98" s="130">
        <v>1325.61</v>
      </c>
      <c r="I98" s="130">
        <v>1286.6500000000001</v>
      </c>
      <c r="J98" s="130"/>
      <c r="K98" s="130"/>
      <c r="L98" s="130"/>
      <c r="M98" s="130"/>
      <c r="N98" s="130">
        <f t="shared" si="24"/>
        <v>39459.353600000002</v>
      </c>
      <c r="O98" s="130">
        <f t="shared" si="25"/>
        <v>38172.703600000001</v>
      </c>
      <c r="P98" s="130">
        <v>1325.61</v>
      </c>
      <c r="Q98" s="130">
        <v>1286.6500000000001</v>
      </c>
      <c r="R98" s="130"/>
      <c r="S98" s="130"/>
      <c r="T98" s="130"/>
      <c r="U98" s="130"/>
      <c r="V98" s="130">
        <f t="shared" si="23"/>
        <v>39459.353600000002</v>
      </c>
      <c r="W98" s="130">
        <f t="shared" si="21"/>
        <v>38172.703600000001</v>
      </c>
    </row>
    <row r="99" spans="1:23" s="157" customFormat="1" ht="15" customHeight="1" x14ac:dyDescent="0.25">
      <c r="A99" s="154"/>
      <c r="B99" s="154" t="s">
        <v>192</v>
      </c>
      <c r="C99" s="155">
        <f t="shared" ref="C99:N99" si="26">SUM(C60:C98)</f>
        <v>8195570.5328000002</v>
      </c>
      <c r="D99" s="155">
        <f t="shared" si="26"/>
        <v>6473169</v>
      </c>
      <c r="E99" s="155">
        <f t="shared" si="26"/>
        <v>14668739.532799998</v>
      </c>
      <c r="F99" s="155">
        <f t="shared" si="26"/>
        <v>0</v>
      </c>
      <c r="G99" s="155">
        <f t="shared" si="26"/>
        <v>0</v>
      </c>
      <c r="H99" s="155">
        <f t="shared" si="26"/>
        <v>248546.33999999997</v>
      </c>
      <c r="I99" s="155">
        <f t="shared" si="26"/>
        <v>225545.69000000003</v>
      </c>
      <c r="J99" s="155">
        <f t="shared" si="26"/>
        <v>0</v>
      </c>
      <c r="K99" s="155">
        <f t="shared" si="26"/>
        <v>0</v>
      </c>
      <c r="L99" s="155">
        <f t="shared" si="26"/>
        <v>0</v>
      </c>
      <c r="M99" s="155">
        <f t="shared" si="26"/>
        <v>0</v>
      </c>
      <c r="N99" s="155">
        <f t="shared" si="26"/>
        <v>14668739.532799998</v>
      </c>
      <c r="O99" s="144">
        <f>SUM(O66:O98)</f>
        <v>13707132.717600003</v>
      </c>
      <c r="P99" s="155">
        <f t="shared" ref="P99:V99" si="27">SUM(P60:P98)</f>
        <v>248546.33999999997</v>
      </c>
      <c r="Q99" s="155">
        <f t="shared" si="27"/>
        <v>225545.69000000003</v>
      </c>
      <c r="R99" s="155">
        <f t="shared" si="27"/>
        <v>0</v>
      </c>
      <c r="S99" s="155">
        <f t="shared" si="27"/>
        <v>0</v>
      </c>
      <c r="T99" s="155">
        <f t="shared" si="27"/>
        <v>0</v>
      </c>
      <c r="U99" s="155">
        <f t="shared" si="27"/>
        <v>0</v>
      </c>
      <c r="V99" s="155">
        <f t="shared" si="27"/>
        <v>14668739.532799998</v>
      </c>
      <c r="W99" s="144">
        <f>SUM(W66:W98)</f>
        <v>13707132.717600003</v>
      </c>
    </row>
    <row r="100" spans="1:23" s="131" customFormat="1" ht="30" x14ac:dyDescent="0.25">
      <c r="A100" s="158">
        <v>4412</v>
      </c>
      <c r="B100" s="159" t="s">
        <v>193</v>
      </c>
      <c r="C100" s="160">
        <v>100000</v>
      </c>
      <c r="D100" s="135">
        <v>0</v>
      </c>
      <c r="E100" s="148">
        <f t="shared" ref="E100:E127" si="28">C100+D100</f>
        <v>100000</v>
      </c>
      <c r="F100" s="148"/>
      <c r="G100" s="148"/>
      <c r="H100" s="130"/>
      <c r="I100" s="130"/>
      <c r="J100" s="130"/>
      <c r="K100" s="130"/>
      <c r="L100" s="130"/>
      <c r="M100" s="130"/>
      <c r="N100" s="130">
        <f t="shared" si="24"/>
        <v>100000</v>
      </c>
      <c r="O100" s="130">
        <f t="shared" si="25"/>
        <v>100000</v>
      </c>
      <c r="P100" s="130"/>
      <c r="Q100" s="130"/>
      <c r="R100" s="130"/>
      <c r="S100" s="130"/>
      <c r="T100" s="130"/>
      <c r="U100" s="130"/>
      <c r="V100" s="130">
        <f t="shared" si="23"/>
        <v>100000</v>
      </c>
      <c r="W100" s="130">
        <f t="shared" ref="W100:W103" si="29">+V100-Q100</f>
        <v>100000</v>
      </c>
    </row>
    <row r="101" spans="1:23" s="131" customFormat="1" ht="15.75" x14ac:dyDescent="0.25">
      <c r="A101" s="158">
        <v>4413</v>
      </c>
      <c r="B101" s="159" t="s">
        <v>194</v>
      </c>
      <c r="C101" s="160"/>
      <c r="D101" s="135">
        <v>2700000</v>
      </c>
      <c r="E101" s="148">
        <f t="shared" si="28"/>
        <v>2700000</v>
      </c>
      <c r="F101" s="148"/>
      <c r="G101" s="148"/>
      <c r="H101" s="130"/>
      <c r="I101" s="130"/>
      <c r="J101" s="130"/>
      <c r="K101" s="130"/>
      <c r="L101" s="130"/>
      <c r="M101" s="130"/>
      <c r="N101" s="130">
        <f t="shared" si="24"/>
        <v>2700000</v>
      </c>
      <c r="O101" s="130">
        <f t="shared" si="25"/>
        <v>2700000</v>
      </c>
      <c r="P101" s="130"/>
      <c r="Q101" s="130"/>
      <c r="R101" s="130"/>
      <c r="S101" s="130"/>
      <c r="T101" s="130"/>
      <c r="U101" s="130"/>
      <c r="V101" s="130">
        <f t="shared" si="23"/>
        <v>2700000</v>
      </c>
      <c r="W101" s="130">
        <f t="shared" si="29"/>
        <v>2700000</v>
      </c>
    </row>
    <row r="102" spans="1:23" s="131" customFormat="1" ht="15.75" x14ac:dyDescent="0.25">
      <c r="A102" s="158">
        <v>4421</v>
      </c>
      <c r="B102" s="159" t="s">
        <v>195</v>
      </c>
      <c r="C102" s="160">
        <f>150000+200000</f>
        <v>350000</v>
      </c>
      <c r="D102" s="135">
        <f>6897153-1000000</f>
        <v>5897153</v>
      </c>
      <c r="E102" s="148">
        <f t="shared" si="28"/>
        <v>6247153</v>
      </c>
      <c r="F102" s="148"/>
      <c r="G102" s="148"/>
      <c r="H102" s="130"/>
      <c r="I102" s="130"/>
      <c r="J102" s="130"/>
      <c r="K102" s="130"/>
      <c r="L102" s="130"/>
      <c r="M102" s="130"/>
      <c r="N102" s="130">
        <f t="shared" si="24"/>
        <v>6247153</v>
      </c>
      <c r="O102" s="130">
        <f t="shared" si="25"/>
        <v>6247153</v>
      </c>
      <c r="P102" s="130"/>
      <c r="Q102" s="130"/>
      <c r="R102" s="130"/>
      <c r="S102" s="130"/>
      <c r="T102" s="130"/>
      <c r="U102" s="130"/>
      <c r="V102" s="130">
        <f t="shared" si="23"/>
        <v>6247153</v>
      </c>
      <c r="W102" s="130">
        <f t="shared" si="29"/>
        <v>6247153</v>
      </c>
    </row>
    <row r="103" spans="1:23" s="166" customFormat="1" ht="15" customHeight="1" x14ac:dyDescent="0.25">
      <c r="A103" s="161"/>
      <c r="B103" s="162"/>
      <c r="C103" s="163"/>
      <c r="D103" s="135"/>
      <c r="E103" s="164">
        <f t="shared" si="28"/>
        <v>0</v>
      </c>
      <c r="F103" s="164"/>
      <c r="G103" s="164"/>
      <c r="H103" s="130">
        <f t="shared" ref="H103:H120" si="30">E103/12</f>
        <v>0</v>
      </c>
      <c r="I103" s="165"/>
      <c r="J103" s="130"/>
      <c r="K103" s="130"/>
      <c r="L103" s="130"/>
      <c r="M103" s="130"/>
      <c r="N103" s="130">
        <f t="shared" si="24"/>
        <v>0</v>
      </c>
      <c r="O103" s="130">
        <f t="shared" si="25"/>
        <v>0</v>
      </c>
      <c r="P103" s="130">
        <f t="shared" ref="P103" si="31">M103/12</f>
        <v>0</v>
      </c>
      <c r="Q103" s="165"/>
      <c r="R103" s="130"/>
      <c r="S103" s="130"/>
      <c r="T103" s="130"/>
      <c r="U103" s="130"/>
      <c r="V103" s="130">
        <f t="shared" si="23"/>
        <v>0</v>
      </c>
      <c r="W103" s="130">
        <f t="shared" si="29"/>
        <v>0</v>
      </c>
    </row>
    <row r="104" spans="1:23" s="166" customFormat="1" ht="15.75" x14ac:dyDescent="0.25">
      <c r="A104" s="167"/>
      <c r="B104" s="168" t="s">
        <v>196</v>
      </c>
      <c r="C104" s="169">
        <f>SUM(C100:C103)</f>
        <v>450000</v>
      </c>
      <c r="D104" s="169">
        <f>SUM(D100:D103)</f>
        <v>8597153</v>
      </c>
      <c r="E104" s="169">
        <f>SUM(E100:E103)</f>
        <v>9047153</v>
      </c>
      <c r="F104" s="169"/>
      <c r="G104" s="169"/>
      <c r="H104" s="169">
        <f t="shared" ref="H104" si="32">SUM(H100:H103)</f>
        <v>0</v>
      </c>
      <c r="I104" s="169">
        <f>SUM(I100:I103)</f>
        <v>0</v>
      </c>
      <c r="J104" s="169">
        <f t="shared" ref="J104:M104" si="33">SUM(J100:J103)</f>
        <v>0</v>
      </c>
      <c r="K104" s="169">
        <f t="shared" si="33"/>
        <v>0</v>
      </c>
      <c r="L104" s="169">
        <f t="shared" si="33"/>
        <v>0</v>
      </c>
      <c r="M104" s="169">
        <f t="shared" si="33"/>
        <v>0</v>
      </c>
      <c r="N104" s="169">
        <f>SUM(N100:N103)</f>
        <v>9047153</v>
      </c>
      <c r="O104" s="144">
        <f>SUM(O72:O103)</f>
        <v>35567989.315200008</v>
      </c>
      <c r="P104" s="169">
        <f t="shared" ref="P104" si="34">SUM(P100:P103)</f>
        <v>0</v>
      </c>
      <c r="Q104" s="169">
        <f>SUM(Q100:Q103)</f>
        <v>0</v>
      </c>
      <c r="R104" s="169">
        <f t="shared" ref="R104" si="35">SUM(R100:R103)</f>
        <v>0</v>
      </c>
      <c r="S104" s="169">
        <f t="shared" ref="S104" si="36">SUM(S100:S103)</f>
        <v>0</v>
      </c>
      <c r="T104" s="169">
        <f t="shared" ref="T104" si="37">SUM(T100:T103)</f>
        <v>0</v>
      </c>
      <c r="U104" s="169">
        <f t="shared" ref="U104" si="38">SUM(U100:U103)</f>
        <v>0</v>
      </c>
      <c r="V104" s="169">
        <f>SUM(V100:V103)</f>
        <v>9047153</v>
      </c>
      <c r="W104" s="144">
        <f>SUM(W72:W103)</f>
        <v>35567989.315200008</v>
      </c>
    </row>
    <row r="105" spans="1:23" s="131" customFormat="1" ht="15" customHeight="1" x14ac:dyDescent="0.25">
      <c r="A105" s="138">
        <v>5111</v>
      </c>
      <c r="B105" s="146" t="s">
        <v>84</v>
      </c>
      <c r="C105" s="135">
        <v>250000</v>
      </c>
      <c r="D105" s="135"/>
      <c r="E105" s="135">
        <f t="shared" si="28"/>
        <v>250000</v>
      </c>
      <c r="F105" s="135"/>
      <c r="G105" s="135"/>
      <c r="H105" s="130"/>
      <c r="I105" s="130"/>
      <c r="J105" s="130"/>
      <c r="K105" s="130"/>
      <c r="L105" s="130"/>
      <c r="M105" s="130"/>
      <c r="N105" s="130">
        <f t="shared" si="24"/>
        <v>250000</v>
      </c>
      <c r="O105" s="130">
        <f t="shared" si="25"/>
        <v>250000</v>
      </c>
      <c r="P105" s="130"/>
      <c r="Q105" s="130"/>
      <c r="R105" s="130"/>
      <c r="S105" s="130"/>
      <c r="T105" s="130"/>
      <c r="U105" s="130"/>
      <c r="V105" s="130">
        <f t="shared" si="23"/>
        <v>250000</v>
      </c>
      <c r="W105" s="130">
        <f t="shared" ref="W105:W117" si="39">+V105-Q105</f>
        <v>250000</v>
      </c>
    </row>
    <row r="106" spans="1:23" s="131" customFormat="1" ht="15.75" x14ac:dyDescent="0.25">
      <c r="A106" s="138">
        <v>5121</v>
      </c>
      <c r="B106" s="146" t="s">
        <v>85</v>
      </c>
      <c r="C106" s="135">
        <f>1000000+250000</f>
        <v>1250000</v>
      </c>
      <c r="D106" s="135">
        <f>350000-178139.77</f>
        <v>171860.23</v>
      </c>
      <c r="E106" s="135">
        <f t="shared" si="28"/>
        <v>1421860.23</v>
      </c>
      <c r="F106" s="135"/>
      <c r="G106" s="135"/>
      <c r="H106" s="130">
        <v>6318.02</v>
      </c>
      <c r="I106" s="130">
        <v>6134.08</v>
      </c>
      <c r="J106" s="130"/>
      <c r="K106" s="130"/>
      <c r="L106" s="130"/>
      <c r="M106" s="130"/>
      <c r="N106" s="130">
        <f t="shared" si="24"/>
        <v>1421860.23</v>
      </c>
      <c r="O106" s="130">
        <f t="shared" si="25"/>
        <v>1415726.15</v>
      </c>
      <c r="P106" s="130">
        <v>6318.02</v>
      </c>
      <c r="Q106" s="130">
        <v>6134.08</v>
      </c>
      <c r="R106" s="130"/>
      <c r="S106" s="130"/>
      <c r="T106" s="130"/>
      <c r="U106" s="130"/>
      <c r="V106" s="130">
        <f t="shared" si="23"/>
        <v>1421860.23</v>
      </c>
      <c r="W106" s="130">
        <f t="shared" si="39"/>
        <v>1415726.15</v>
      </c>
    </row>
    <row r="107" spans="1:23" s="131" customFormat="1" ht="15" customHeight="1" x14ac:dyDescent="0.25">
      <c r="A107" s="138">
        <v>5151</v>
      </c>
      <c r="B107" s="146" t="s">
        <v>86</v>
      </c>
      <c r="C107" s="135">
        <f>215800+825000-52192.3+250000</f>
        <v>1238607.7</v>
      </c>
      <c r="D107" s="135">
        <v>0</v>
      </c>
      <c r="E107" s="135">
        <f t="shared" si="28"/>
        <v>1238607.7</v>
      </c>
      <c r="F107" s="135"/>
      <c r="G107" s="135"/>
      <c r="H107" s="130"/>
      <c r="I107" s="130"/>
      <c r="J107" s="130"/>
      <c r="K107" s="130"/>
      <c r="L107" s="130"/>
      <c r="M107" s="130"/>
      <c r="N107" s="130">
        <f t="shared" si="24"/>
        <v>1238607.7</v>
      </c>
      <c r="O107" s="130">
        <f t="shared" si="25"/>
        <v>1238607.7</v>
      </c>
      <c r="P107" s="130"/>
      <c r="Q107" s="130"/>
      <c r="R107" s="130"/>
      <c r="S107" s="130"/>
      <c r="T107" s="130"/>
      <c r="U107" s="130"/>
      <c r="V107" s="130">
        <f t="shared" si="23"/>
        <v>1238607.7</v>
      </c>
      <c r="W107" s="130">
        <f t="shared" si="39"/>
        <v>1238607.7</v>
      </c>
    </row>
    <row r="108" spans="1:23" s="131" customFormat="1" ht="15.75" x14ac:dyDescent="0.25">
      <c r="A108" s="138">
        <v>5191</v>
      </c>
      <c r="B108" s="146" t="s">
        <v>87</v>
      </c>
      <c r="C108" s="135">
        <v>0</v>
      </c>
      <c r="D108" s="135">
        <v>15000</v>
      </c>
      <c r="E108" s="135">
        <f t="shared" si="28"/>
        <v>15000</v>
      </c>
      <c r="F108" s="135"/>
      <c r="G108" s="135"/>
      <c r="H108" s="130"/>
      <c r="I108" s="130"/>
      <c r="J108" s="130"/>
      <c r="K108" s="130"/>
      <c r="L108" s="130"/>
      <c r="M108" s="130"/>
      <c r="N108" s="130">
        <f t="shared" si="24"/>
        <v>15000</v>
      </c>
      <c r="O108" s="130">
        <f t="shared" si="25"/>
        <v>15000</v>
      </c>
      <c r="P108" s="130"/>
      <c r="Q108" s="130"/>
      <c r="R108" s="130"/>
      <c r="S108" s="130"/>
      <c r="T108" s="130"/>
      <c r="U108" s="130"/>
      <c r="V108" s="130">
        <f t="shared" si="23"/>
        <v>15000</v>
      </c>
      <c r="W108" s="130">
        <f t="shared" si="39"/>
        <v>15000</v>
      </c>
    </row>
    <row r="109" spans="1:23" s="131" customFormat="1" ht="15" customHeight="1" x14ac:dyDescent="0.25">
      <c r="A109" s="138">
        <v>5211</v>
      </c>
      <c r="B109" s="146" t="s">
        <v>88</v>
      </c>
      <c r="C109" s="152"/>
      <c r="D109" s="135">
        <v>0</v>
      </c>
      <c r="E109" s="135">
        <f t="shared" si="28"/>
        <v>0</v>
      </c>
      <c r="F109" s="135"/>
      <c r="G109" s="135"/>
      <c r="H109" s="130"/>
      <c r="I109" s="130"/>
      <c r="J109" s="130"/>
      <c r="K109" s="130"/>
      <c r="L109" s="130"/>
      <c r="M109" s="130"/>
      <c r="N109" s="130">
        <f t="shared" si="24"/>
        <v>0</v>
      </c>
      <c r="O109" s="130">
        <f t="shared" si="25"/>
        <v>0</v>
      </c>
      <c r="P109" s="130"/>
      <c r="Q109" s="130"/>
      <c r="R109" s="130"/>
      <c r="S109" s="130"/>
      <c r="T109" s="130"/>
      <c r="U109" s="130"/>
      <c r="V109" s="130">
        <f t="shared" si="23"/>
        <v>0</v>
      </c>
      <c r="W109" s="130">
        <f t="shared" si="39"/>
        <v>0</v>
      </c>
    </row>
    <row r="110" spans="1:23" s="131" customFormat="1" ht="15.75" x14ac:dyDescent="0.25">
      <c r="A110" s="138">
        <v>5291</v>
      </c>
      <c r="B110" s="170" t="s">
        <v>197</v>
      </c>
      <c r="C110" s="152"/>
      <c r="D110" s="135">
        <v>0</v>
      </c>
      <c r="E110" s="135">
        <f t="shared" si="28"/>
        <v>0</v>
      </c>
      <c r="F110" s="135"/>
      <c r="G110" s="135"/>
      <c r="H110" s="130"/>
      <c r="I110" s="130"/>
      <c r="J110" s="130"/>
      <c r="K110" s="130"/>
      <c r="L110" s="130"/>
      <c r="M110" s="130"/>
      <c r="N110" s="130">
        <f t="shared" si="24"/>
        <v>0</v>
      </c>
      <c r="O110" s="130">
        <f t="shared" si="25"/>
        <v>0</v>
      </c>
      <c r="P110" s="130"/>
      <c r="Q110" s="130"/>
      <c r="R110" s="130"/>
      <c r="S110" s="130"/>
      <c r="T110" s="130"/>
      <c r="U110" s="130"/>
      <c r="V110" s="130">
        <f t="shared" si="23"/>
        <v>0</v>
      </c>
      <c r="W110" s="130">
        <f t="shared" si="39"/>
        <v>0</v>
      </c>
    </row>
    <row r="111" spans="1:23" s="131" customFormat="1" ht="15" customHeight="1" x14ac:dyDescent="0.25">
      <c r="A111" s="138">
        <v>5311</v>
      </c>
      <c r="B111" s="170" t="s">
        <v>198</v>
      </c>
      <c r="C111" s="135">
        <v>300000</v>
      </c>
      <c r="D111" s="135">
        <f>4814972.24-15600-4099372</f>
        <v>700000.24000000022</v>
      </c>
      <c r="E111" s="135">
        <f t="shared" si="28"/>
        <v>1000000.2400000002</v>
      </c>
      <c r="F111" s="135"/>
      <c r="G111" s="135"/>
      <c r="H111" s="130"/>
      <c r="I111" s="130"/>
      <c r="J111" s="130"/>
      <c r="K111" s="130"/>
      <c r="L111" s="130"/>
      <c r="M111" s="130"/>
      <c r="N111" s="130">
        <f t="shared" si="24"/>
        <v>1000000.2400000002</v>
      </c>
      <c r="O111" s="130">
        <f t="shared" si="25"/>
        <v>1000000.2400000002</v>
      </c>
      <c r="P111" s="130"/>
      <c r="Q111" s="130"/>
      <c r="R111" s="130"/>
      <c r="S111" s="130"/>
      <c r="T111" s="130"/>
      <c r="U111" s="130"/>
      <c r="V111" s="130">
        <f t="shared" si="23"/>
        <v>1000000.2400000002</v>
      </c>
      <c r="W111" s="130">
        <f t="shared" si="39"/>
        <v>1000000.2400000002</v>
      </c>
    </row>
    <row r="112" spans="1:23" s="131" customFormat="1" ht="15.75" x14ac:dyDescent="0.25">
      <c r="A112" s="138">
        <v>5621</v>
      </c>
      <c r="B112" s="146" t="s">
        <v>89</v>
      </c>
      <c r="C112" s="135">
        <v>500000</v>
      </c>
      <c r="D112" s="135">
        <v>0</v>
      </c>
      <c r="E112" s="135">
        <f t="shared" si="28"/>
        <v>500000</v>
      </c>
      <c r="F112" s="135"/>
      <c r="G112" s="135"/>
      <c r="H112" s="130"/>
      <c r="I112" s="130"/>
      <c r="J112" s="130"/>
      <c r="K112" s="130"/>
      <c r="L112" s="130"/>
      <c r="M112" s="130"/>
      <c r="N112" s="130">
        <f t="shared" si="24"/>
        <v>500000</v>
      </c>
      <c r="O112" s="130">
        <f t="shared" si="25"/>
        <v>500000</v>
      </c>
      <c r="P112" s="130"/>
      <c r="Q112" s="130"/>
      <c r="R112" s="130"/>
      <c r="S112" s="130"/>
      <c r="T112" s="130"/>
      <c r="U112" s="130"/>
      <c r="V112" s="130">
        <f t="shared" si="23"/>
        <v>500000</v>
      </c>
      <c r="W112" s="130">
        <f t="shared" si="39"/>
        <v>500000</v>
      </c>
    </row>
    <row r="113" spans="1:23" s="131" customFormat="1" ht="15" customHeight="1" x14ac:dyDescent="0.25">
      <c r="A113" s="138">
        <v>5641</v>
      </c>
      <c r="B113" s="146" t="s">
        <v>199</v>
      </c>
      <c r="C113" s="135">
        <f>1500000-291261.22</f>
        <v>1208738.78</v>
      </c>
      <c r="D113" s="135">
        <v>425000</v>
      </c>
      <c r="E113" s="135">
        <f t="shared" si="28"/>
        <v>1633738.78</v>
      </c>
      <c r="F113" s="135"/>
      <c r="G113" s="135"/>
      <c r="H113" s="130"/>
      <c r="I113" s="130"/>
      <c r="J113" s="130"/>
      <c r="K113" s="130"/>
      <c r="L113" s="130"/>
      <c r="M113" s="130"/>
      <c r="N113" s="130">
        <f t="shared" si="24"/>
        <v>1633738.78</v>
      </c>
      <c r="O113" s="130">
        <f t="shared" si="25"/>
        <v>1633738.78</v>
      </c>
      <c r="P113" s="130"/>
      <c r="Q113" s="130"/>
      <c r="R113" s="130"/>
      <c r="S113" s="130"/>
      <c r="T113" s="130"/>
      <c r="U113" s="130"/>
      <c r="V113" s="130">
        <f t="shared" si="23"/>
        <v>1633738.78</v>
      </c>
      <c r="W113" s="130">
        <f t="shared" si="39"/>
        <v>1633738.78</v>
      </c>
    </row>
    <row r="114" spans="1:23" s="131" customFormat="1" ht="15.75" x14ac:dyDescent="0.25">
      <c r="A114" s="138">
        <v>5661</v>
      </c>
      <c r="B114" s="146" t="s">
        <v>200</v>
      </c>
      <c r="C114" s="135">
        <v>1200000</v>
      </c>
      <c r="D114" s="135"/>
      <c r="E114" s="135">
        <f t="shared" si="28"/>
        <v>1200000</v>
      </c>
      <c r="F114" s="135"/>
      <c r="G114" s="135"/>
      <c r="H114" s="130"/>
      <c r="I114" s="130"/>
      <c r="J114" s="130"/>
      <c r="K114" s="130"/>
      <c r="L114" s="130"/>
      <c r="M114" s="130"/>
      <c r="N114" s="130">
        <f t="shared" si="24"/>
        <v>1200000</v>
      </c>
      <c r="O114" s="130">
        <f t="shared" si="25"/>
        <v>1200000</v>
      </c>
      <c r="P114" s="130"/>
      <c r="Q114" s="130"/>
      <c r="R114" s="130"/>
      <c r="S114" s="130"/>
      <c r="T114" s="130"/>
      <c r="U114" s="130"/>
      <c r="V114" s="130">
        <f t="shared" si="23"/>
        <v>1200000</v>
      </c>
      <c r="W114" s="130">
        <f t="shared" si="39"/>
        <v>1200000</v>
      </c>
    </row>
    <row r="115" spans="1:23" s="131" customFormat="1" ht="15" customHeight="1" x14ac:dyDescent="0.25">
      <c r="A115" s="138">
        <v>5411</v>
      </c>
      <c r="B115" s="146" t="s">
        <v>201</v>
      </c>
      <c r="C115" s="135">
        <v>565000</v>
      </c>
      <c r="D115" s="135"/>
      <c r="E115" s="135">
        <f t="shared" si="28"/>
        <v>565000</v>
      </c>
      <c r="F115" s="135"/>
      <c r="G115" s="135"/>
      <c r="H115" s="130"/>
      <c r="I115" s="130"/>
      <c r="J115" s="130"/>
      <c r="K115" s="130"/>
      <c r="L115" s="130"/>
      <c r="M115" s="130"/>
      <c r="N115" s="130">
        <f t="shared" si="24"/>
        <v>565000</v>
      </c>
      <c r="O115" s="130">
        <f t="shared" si="25"/>
        <v>565000</v>
      </c>
      <c r="P115" s="130"/>
      <c r="Q115" s="130"/>
      <c r="R115" s="130"/>
      <c r="S115" s="130"/>
      <c r="T115" s="130"/>
      <c r="U115" s="130"/>
      <c r="V115" s="130">
        <f t="shared" si="23"/>
        <v>565000</v>
      </c>
      <c r="W115" s="130">
        <f t="shared" si="39"/>
        <v>565000</v>
      </c>
    </row>
    <row r="116" spans="1:23" s="131" customFormat="1" ht="15.75" x14ac:dyDescent="0.25">
      <c r="A116" s="138">
        <v>5911</v>
      </c>
      <c r="B116" s="146" t="s">
        <v>92</v>
      </c>
      <c r="C116" s="135">
        <f>25000+25000</f>
        <v>50000</v>
      </c>
      <c r="D116" s="135">
        <v>0</v>
      </c>
      <c r="E116" s="135">
        <f t="shared" si="28"/>
        <v>50000</v>
      </c>
      <c r="F116" s="135"/>
      <c r="G116" s="135"/>
      <c r="H116" s="130"/>
      <c r="I116" s="130"/>
      <c r="J116" s="130"/>
      <c r="K116" s="130"/>
      <c r="L116" s="130"/>
      <c r="M116" s="130"/>
      <c r="N116" s="130">
        <f t="shared" si="24"/>
        <v>50000</v>
      </c>
      <c r="O116" s="130">
        <f t="shared" si="25"/>
        <v>50000</v>
      </c>
      <c r="P116" s="130"/>
      <c r="Q116" s="130"/>
      <c r="R116" s="130"/>
      <c r="S116" s="130"/>
      <c r="T116" s="130"/>
      <c r="U116" s="130"/>
      <c r="V116" s="130">
        <f t="shared" si="23"/>
        <v>50000</v>
      </c>
      <c r="W116" s="130">
        <f t="shared" si="39"/>
        <v>50000</v>
      </c>
    </row>
    <row r="117" spans="1:23" s="131" customFormat="1" ht="15.75" x14ac:dyDescent="0.25">
      <c r="A117" s="138">
        <v>5971</v>
      </c>
      <c r="B117" s="146" t="s">
        <v>93</v>
      </c>
      <c r="C117" s="135">
        <v>350000</v>
      </c>
      <c r="D117" s="135">
        <v>0</v>
      </c>
      <c r="E117" s="135">
        <f t="shared" si="28"/>
        <v>350000</v>
      </c>
      <c r="F117" s="135"/>
      <c r="G117" s="135"/>
      <c r="H117" s="130"/>
      <c r="I117" s="130"/>
      <c r="J117" s="130"/>
      <c r="K117" s="130"/>
      <c r="L117" s="130"/>
      <c r="M117" s="130"/>
      <c r="N117" s="130">
        <f t="shared" si="24"/>
        <v>350000</v>
      </c>
      <c r="O117" s="130">
        <f t="shared" si="25"/>
        <v>350000</v>
      </c>
      <c r="P117" s="130"/>
      <c r="Q117" s="130"/>
      <c r="R117" s="130"/>
      <c r="S117" s="130"/>
      <c r="T117" s="130"/>
      <c r="U117" s="130"/>
      <c r="V117" s="130">
        <f t="shared" si="23"/>
        <v>350000</v>
      </c>
      <c r="W117" s="130">
        <f t="shared" si="39"/>
        <v>350000</v>
      </c>
    </row>
    <row r="118" spans="1:23" s="166" customFormat="1" ht="15.75" x14ac:dyDescent="0.25">
      <c r="A118" s="167"/>
      <c r="B118" s="168" t="s">
        <v>202</v>
      </c>
      <c r="C118" s="156">
        <f>SUM(C105:C117)</f>
        <v>6912346.4800000004</v>
      </c>
      <c r="D118" s="156">
        <f>SUM(D105:D117)</f>
        <v>1311860.4700000002</v>
      </c>
      <c r="E118" s="156">
        <f>C118+D118</f>
        <v>8224206.9500000011</v>
      </c>
      <c r="F118" s="156">
        <f t="shared" ref="F118:G118" si="40">SUM(F105:F117)</f>
        <v>0</v>
      </c>
      <c r="G118" s="156">
        <f t="shared" si="40"/>
        <v>0</v>
      </c>
      <c r="H118" s="156">
        <f>SUM(H105:H117)</f>
        <v>6318.02</v>
      </c>
      <c r="I118" s="156">
        <f t="shared" ref="I118:M118" si="41">SUM(I105:I117)</f>
        <v>6134.08</v>
      </c>
      <c r="J118" s="156">
        <f t="shared" si="41"/>
        <v>0</v>
      </c>
      <c r="K118" s="156">
        <f t="shared" si="41"/>
        <v>0</v>
      </c>
      <c r="L118" s="156">
        <f t="shared" si="41"/>
        <v>0</v>
      </c>
      <c r="M118" s="156">
        <f t="shared" si="41"/>
        <v>0</v>
      </c>
      <c r="N118" s="156">
        <f>SUM(N105:N117)</f>
        <v>8224206.9500000002</v>
      </c>
      <c r="O118" s="144">
        <f>SUM(O86:O117)</f>
        <v>68547512.109200016</v>
      </c>
      <c r="P118" s="156">
        <f>SUM(P105:P117)</f>
        <v>6318.02</v>
      </c>
      <c r="Q118" s="156">
        <f t="shared" ref="Q118" si="42">SUM(Q105:Q117)</f>
        <v>6134.08</v>
      </c>
      <c r="R118" s="156">
        <f t="shared" ref="R118" si="43">SUM(R105:R117)</f>
        <v>0</v>
      </c>
      <c r="S118" s="156">
        <f t="shared" ref="S118" si="44">SUM(S105:S117)</f>
        <v>0</v>
      </c>
      <c r="T118" s="156">
        <f t="shared" ref="T118" si="45">SUM(T105:T117)</f>
        <v>0</v>
      </c>
      <c r="U118" s="156">
        <f t="shared" ref="U118" si="46">SUM(U105:U117)</f>
        <v>0</v>
      </c>
      <c r="V118" s="156">
        <f>SUM(V105:V117)</f>
        <v>8224206.9500000002</v>
      </c>
      <c r="W118" s="144">
        <f>SUM(W86:W117)</f>
        <v>68547512.109200016</v>
      </c>
    </row>
    <row r="119" spans="1:23" s="166" customFormat="1" ht="15.75" x14ac:dyDescent="0.25">
      <c r="A119" s="171">
        <v>6171</v>
      </c>
      <c r="B119" s="159" t="s">
        <v>203</v>
      </c>
      <c r="C119" s="160"/>
      <c r="D119" s="172"/>
      <c r="E119" s="164">
        <f t="shared" si="28"/>
        <v>0</v>
      </c>
      <c r="F119" s="164"/>
      <c r="G119" s="164"/>
      <c r="H119" s="130">
        <f t="shared" si="30"/>
        <v>0</v>
      </c>
      <c r="I119" s="165"/>
      <c r="J119" s="130"/>
      <c r="K119" s="130"/>
      <c r="L119" s="130"/>
      <c r="M119" s="130"/>
      <c r="N119" s="130">
        <f t="shared" si="24"/>
        <v>0</v>
      </c>
      <c r="O119" s="130">
        <f t="shared" si="25"/>
        <v>0</v>
      </c>
      <c r="P119" s="130">
        <f t="shared" ref="P119:P120" si="47">M119/12</f>
        <v>0</v>
      </c>
      <c r="Q119" s="165"/>
      <c r="R119" s="130"/>
      <c r="S119" s="130"/>
      <c r="T119" s="130"/>
      <c r="U119" s="130"/>
      <c r="V119" s="130">
        <f t="shared" si="23"/>
        <v>0</v>
      </c>
      <c r="W119" s="130">
        <f t="shared" ref="W119:W123" si="48">+V119-Q119</f>
        <v>0</v>
      </c>
    </row>
    <row r="120" spans="1:23" s="166" customFormat="1" ht="15.75" x14ac:dyDescent="0.25">
      <c r="A120" s="171">
        <v>6211</v>
      </c>
      <c r="B120" s="159" t="s">
        <v>204</v>
      </c>
      <c r="C120" s="160"/>
      <c r="D120" s="135"/>
      <c r="E120" s="164">
        <f t="shared" si="28"/>
        <v>0</v>
      </c>
      <c r="F120" s="164"/>
      <c r="G120" s="164"/>
      <c r="H120" s="130">
        <f t="shared" si="30"/>
        <v>0</v>
      </c>
      <c r="I120" s="165"/>
      <c r="J120" s="130"/>
      <c r="K120" s="130"/>
      <c r="L120" s="130"/>
      <c r="M120" s="130"/>
      <c r="N120" s="130">
        <f t="shared" si="24"/>
        <v>0</v>
      </c>
      <c r="O120" s="130">
        <f t="shared" si="25"/>
        <v>0</v>
      </c>
      <c r="P120" s="130">
        <f t="shared" si="47"/>
        <v>0</v>
      </c>
      <c r="Q120" s="165"/>
      <c r="R120" s="130"/>
      <c r="S120" s="130"/>
      <c r="T120" s="130"/>
      <c r="U120" s="130"/>
      <c r="V120" s="130">
        <f t="shared" si="23"/>
        <v>0</v>
      </c>
      <c r="W120" s="130">
        <f t="shared" si="48"/>
        <v>0</v>
      </c>
    </row>
    <row r="121" spans="1:23" s="166" customFormat="1" ht="15.75" x14ac:dyDescent="0.25">
      <c r="A121" s="167"/>
      <c r="B121" s="168" t="s">
        <v>205</v>
      </c>
      <c r="C121" s="173"/>
      <c r="D121" s="173">
        <f>SUM(D119:D120)</f>
        <v>0</v>
      </c>
      <c r="E121" s="173">
        <f t="shared" si="28"/>
        <v>0</v>
      </c>
      <c r="F121" s="173"/>
      <c r="G121" s="173"/>
      <c r="H121" s="156">
        <f>SUM(H119:H120)</f>
        <v>0</v>
      </c>
      <c r="I121" s="156">
        <f t="shared" ref="I121:M121" si="49">SUM(I119:I120)</f>
        <v>0</v>
      </c>
      <c r="J121" s="156">
        <f t="shared" si="49"/>
        <v>0</v>
      </c>
      <c r="K121" s="156">
        <f t="shared" si="49"/>
        <v>0</v>
      </c>
      <c r="L121" s="156">
        <f t="shared" si="49"/>
        <v>0</v>
      </c>
      <c r="M121" s="156">
        <f t="shared" si="49"/>
        <v>0</v>
      </c>
      <c r="N121" s="156">
        <f>SUM(N119:N120)</f>
        <v>0</v>
      </c>
      <c r="O121" s="130">
        <f t="shared" si="25"/>
        <v>0</v>
      </c>
      <c r="P121" s="156">
        <f>SUM(P119:P120)</f>
        <v>0</v>
      </c>
      <c r="Q121" s="156">
        <f t="shared" ref="Q121" si="50">SUM(Q119:Q120)</f>
        <v>0</v>
      </c>
      <c r="R121" s="156">
        <f t="shared" ref="R121" si="51">SUM(R119:R120)</f>
        <v>0</v>
      </c>
      <c r="S121" s="156">
        <f t="shared" ref="S121" si="52">SUM(S119:S120)</f>
        <v>0</v>
      </c>
      <c r="T121" s="156">
        <f t="shared" ref="T121" si="53">SUM(T119:T120)</f>
        <v>0</v>
      </c>
      <c r="U121" s="156">
        <f t="shared" ref="U121" si="54">SUM(U119:U120)</f>
        <v>0</v>
      </c>
      <c r="V121" s="156">
        <f>SUM(V119:V120)</f>
        <v>0</v>
      </c>
      <c r="W121" s="130">
        <f t="shared" si="48"/>
        <v>0</v>
      </c>
    </row>
    <row r="122" spans="1:23" s="166" customFormat="1" ht="15.75" x14ac:dyDescent="0.25">
      <c r="A122" s="161"/>
      <c r="B122" s="162"/>
      <c r="C122" s="163"/>
      <c r="D122" s="135"/>
      <c r="E122" s="164">
        <f t="shared" si="28"/>
        <v>0</v>
      </c>
      <c r="F122" s="164"/>
      <c r="G122" s="164"/>
      <c r="H122" s="165"/>
      <c r="I122" s="165"/>
      <c r="J122" s="165"/>
      <c r="K122" s="165"/>
      <c r="L122" s="165"/>
      <c r="M122" s="165"/>
      <c r="N122" s="130">
        <f t="shared" si="24"/>
        <v>0</v>
      </c>
      <c r="O122" s="130">
        <f t="shared" si="25"/>
        <v>0</v>
      </c>
      <c r="P122" s="165"/>
      <c r="Q122" s="165"/>
      <c r="R122" s="165"/>
      <c r="S122" s="165"/>
      <c r="T122" s="165"/>
      <c r="U122" s="165"/>
      <c r="V122" s="130">
        <f t="shared" si="23"/>
        <v>0</v>
      </c>
      <c r="W122" s="130">
        <f t="shared" si="48"/>
        <v>0</v>
      </c>
    </row>
    <row r="123" spans="1:23" s="166" customFormat="1" ht="15.75" x14ac:dyDescent="0.25">
      <c r="A123" s="161"/>
      <c r="B123" s="162"/>
      <c r="C123" s="163"/>
      <c r="D123" s="135"/>
      <c r="E123" s="164">
        <f t="shared" si="28"/>
        <v>0</v>
      </c>
      <c r="F123" s="164"/>
      <c r="G123" s="164"/>
      <c r="H123" s="165"/>
      <c r="I123" s="165"/>
      <c r="J123" s="165"/>
      <c r="K123" s="165"/>
      <c r="L123" s="165"/>
      <c r="M123" s="165"/>
      <c r="N123" s="130">
        <f t="shared" si="24"/>
        <v>0</v>
      </c>
      <c r="O123" s="130">
        <f t="shared" si="25"/>
        <v>0</v>
      </c>
      <c r="P123" s="165"/>
      <c r="Q123" s="165"/>
      <c r="R123" s="165"/>
      <c r="S123" s="165"/>
      <c r="T123" s="165"/>
      <c r="U123" s="165"/>
      <c r="V123" s="130">
        <f t="shared" si="23"/>
        <v>0</v>
      </c>
      <c r="W123" s="130">
        <f t="shared" si="48"/>
        <v>0</v>
      </c>
    </row>
    <row r="124" spans="1:23" s="166" customFormat="1" ht="15.75" x14ac:dyDescent="0.25">
      <c r="A124" s="167"/>
      <c r="B124" s="168"/>
      <c r="C124" s="173"/>
      <c r="D124" s="173">
        <f>SUM(D122:D123)</f>
        <v>0</v>
      </c>
      <c r="E124" s="173">
        <f t="shared" si="28"/>
        <v>0</v>
      </c>
      <c r="F124" s="173"/>
      <c r="G124" s="173"/>
      <c r="H124" s="156">
        <f>SUM(H122:H123)</f>
        <v>0</v>
      </c>
      <c r="I124" s="156">
        <f t="shared" ref="I124:M124" si="55">SUM(I122:I123)</f>
        <v>0</v>
      </c>
      <c r="J124" s="156">
        <f t="shared" si="55"/>
        <v>0</v>
      </c>
      <c r="K124" s="156">
        <f t="shared" si="55"/>
        <v>0</v>
      </c>
      <c r="L124" s="156">
        <f t="shared" si="55"/>
        <v>0</v>
      </c>
      <c r="M124" s="156">
        <f t="shared" si="55"/>
        <v>0</v>
      </c>
      <c r="N124" s="156">
        <f>SUM(N122:N123)</f>
        <v>0</v>
      </c>
      <c r="O124" s="144">
        <f>SUM(O119:O123)</f>
        <v>0</v>
      </c>
      <c r="P124" s="156">
        <f>SUM(P122:P123)</f>
        <v>0</v>
      </c>
      <c r="Q124" s="156">
        <f t="shared" ref="Q124" si="56">SUM(Q122:Q123)</f>
        <v>0</v>
      </c>
      <c r="R124" s="156">
        <f t="shared" ref="R124" si="57">SUM(R122:R123)</f>
        <v>0</v>
      </c>
      <c r="S124" s="156">
        <f t="shared" ref="S124" si="58">SUM(S122:S123)</f>
        <v>0</v>
      </c>
      <c r="T124" s="156">
        <f t="shared" ref="T124" si="59">SUM(T122:T123)</f>
        <v>0</v>
      </c>
      <c r="U124" s="156">
        <f t="shared" ref="U124" si="60">SUM(U122:U123)</f>
        <v>0</v>
      </c>
      <c r="V124" s="156">
        <f>SUM(V122:V123)</f>
        <v>0</v>
      </c>
      <c r="W124" s="144">
        <f>SUM(W119:W123)</f>
        <v>0</v>
      </c>
    </row>
    <row r="125" spans="1:23" s="166" customFormat="1" ht="30.75" x14ac:dyDescent="0.25">
      <c r="A125" s="161">
        <v>7991</v>
      </c>
      <c r="B125" s="174" t="s">
        <v>207</v>
      </c>
      <c r="C125" s="135"/>
      <c r="D125" s="135">
        <v>1000000</v>
      </c>
      <c r="E125" s="164">
        <f t="shared" si="28"/>
        <v>1000000</v>
      </c>
      <c r="F125" s="164"/>
      <c r="G125" s="164"/>
      <c r="H125" s="165"/>
      <c r="I125" s="165"/>
      <c r="J125" s="165"/>
      <c r="K125" s="165"/>
      <c r="L125" s="165"/>
      <c r="M125" s="165"/>
      <c r="N125" s="130">
        <f t="shared" si="24"/>
        <v>1000000</v>
      </c>
      <c r="O125" s="130">
        <f t="shared" si="25"/>
        <v>1000000</v>
      </c>
      <c r="P125" s="165"/>
      <c r="Q125" s="165"/>
      <c r="R125" s="165"/>
      <c r="S125" s="165"/>
      <c r="T125" s="165"/>
      <c r="U125" s="165"/>
      <c r="V125" s="130">
        <f t="shared" si="23"/>
        <v>1000000</v>
      </c>
      <c r="W125" s="130">
        <f t="shared" ref="W125:W126" si="61">+V125-Q125</f>
        <v>1000000</v>
      </c>
    </row>
    <row r="126" spans="1:23" s="166" customFormat="1" ht="15.75" x14ac:dyDescent="0.25">
      <c r="A126" s="161"/>
      <c r="B126" s="162"/>
      <c r="C126" s="163"/>
      <c r="D126" s="135"/>
      <c r="E126" s="164">
        <f t="shared" si="28"/>
        <v>0</v>
      </c>
      <c r="F126" s="164"/>
      <c r="G126" s="164"/>
      <c r="H126" s="165"/>
      <c r="I126" s="165"/>
      <c r="J126" s="165"/>
      <c r="K126" s="165"/>
      <c r="L126" s="165"/>
      <c r="M126" s="165"/>
      <c r="N126" s="130">
        <f t="shared" si="24"/>
        <v>0</v>
      </c>
      <c r="O126" s="130">
        <f t="shared" si="25"/>
        <v>0</v>
      </c>
      <c r="P126" s="165"/>
      <c r="Q126" s="165"/>
      <c r="R126" s="165"/>
      <c r="S126" s="165"/>
      <c r="T126" s="165"/>
      <c r="U126" s="165"/>
      <c r="V126" s="130">
        <f t="shared" si="23"/>
        <v>0</v>
      </c>
      <c r="W126" s="130">
        <f t="shared" si="61"/>
        <v>0</v>
      </c>
    </row>
    <row r="127" spans="1:23" s="166" customFormat="1" ht="15.75" x14ac:dyDescent="0.25">
      <c r="A127" s="167"/>
      <c r="B127" s="168" t="s">
        <v>206</v>
      </c>
      <c r="C127" s="169">
        <f>SUM(C125:C126)</f>
        <v>0</v>
      </c>
      <c r="D127" s="169">
        <f>SUM(D125:D126)</f>
        <v>1000000</v>
      </c>
      <c r="E127" s="169">
        <f t="shared" si="28"/>
        <v>1000000</v>
      </c>
      <c r="F127" s="169">
        <f t="shared" ref="F127:G127" si="62">SUM(F125:F126)</f>
        <v>0</v>
      </c>
      <c r="G127" s="169">
        <f t="shared" si="62"/>
        <v>0</v>
      </c>
      <c r="H127" s="156">
        <f>SUM(H125:H126)</f>
        <v>0</v>
      </c>
      <c r="I127" s="156">
        <f>SUM(I125:I126)</f>
        <v>0</v>
      </c>
      <c r="J127" s="156">
        <f t="shared" ref="J127:M127" si="63">SUM(J125:J126)</f>
        <v>0</v>
      </c>
      <c r="K127" s="156">
        <f t="shared" si="63"/>
        <v>0</v>
      </c>
      <c r="L127" s="156">
        <f t="shared" si="63"/>
        <v>0</v>
      </c>
      <c r="M127" s="156">
        <f t="shared" si="63"/>
        <v>0</v>
      </c>
      <c r="N127" s="156">
        <f>SUM(N125:N126)</f>
        <v>1000000</v>
      </c>
      <c r="O127" s="156">
        <f>SUM(O125:O126)</f>
        <v>1000000</v>
      </c>
      <c r="P127" s="156">
        <f>SUM(P125:P126)</f>
        <v>0</v>
      </c>
      <c r="Q127" s="156">
        <f>SUM(Q125:Q126)</f>
        <v>0</v>
      </c>
      <c r="R127" s="156">
        <f t="shared" ref="R127" si="64">SUM(R125:R126)</f>
        <v>0</v>
      </c>
      <c r="S127" s="156">
        <f t="shared" ref="S127" si="65">SUM(S125:S126)</f>
        <v>0</v>
      </c>
      <c r="T127" s="156">
        <f t="shared" ref="T127" si="66">SUM(T125:T126)</f>
        <v>0</v>
      </c>
      <c r="U127" s="156">
        <f t="shared" ref="U127" si="67">SUM(U125:U126)</f>
        <v>0</v>
      </c>
      <c r="V127" s="156">
        <f>SUM(V125:V126)</f>
        <v>1000000</v>
      </c>
      <c r="W127" s="156">
        <f>SUM(W125:W126)</f>
        <v>1000000</v>
      </c>
    </row>
    <row r="128" spans="1:23" s="166" customFormat="1" ht="15.75" x14ac:dyDescent="0.25">
      <c r="A128" s="175"/>
      <c r="B128" s="176"/>
      <c r="C128" s="163"/>
      <c r="D128" s="135"/>
      <c r="E128" s="164"/>
      <c r="F128" s="164"/>
      <c r="G128" s="164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165"/>
      <c r="S128" s="165"/>
      <c r="T128" s="165"/>
      <c r="U128" s="165"/>
      <c r="V128" s="165"/>
      <c r="W128" s="165"/>
    </row>
    <row r="129" spans="1:23" s="166" customFormat="1" ht="15.75" x14ac:dyDescent="0.25">
      <c r="A129" s="177"/>
      <c r="B129" s="177" t="s">
        <v>226</v>
      </c>
      <c r="C129" s="178"/>
      <c r="D129" s="178"/>
      <c r="E129" s="178"/>
      <c r="F129" s="178"/>
      <c r="G129" s="178"/>
      <c r="H129" s="178"/>
      <c r="I129" s="178"/>
      <c r="J129" s="178"/>
      <c r="K129" s="178"/>
      <c r="L129" s="178"/>
      <c r="M129" s="178"/>
      <c r="N129" s="178"/>
      <c r="O129" s="178"/>
      <c r="P129" s="178"/>
      <c r="Q129" s="178"/>
      <c r="R129" s="178"/>
      <c r="S129" s="178"/>
      <c r="T129" s="178"/>
      <c r="U129" s="178"/>
      <c r="V129" s="178"/>
      <c r="W129" s="178"/>
    </row>
    <row r="130" spans="1:23" s="166" customFormat="1" ht="15.75" x14ac:dyDescent="0.25">
      <c r="A130" s="177"/>
      <c r="B130" s="177" t="s">
        <v>209</v>
      </c>
      <c r="C130" s="179">
        <f t="shared" ref="C130:W130" si="68">C25+C59+C99+C104+C118+C121+C124+C127</f>
        <v>87061207.268828481</v>
      </c>
      <c r="D130" s="179">
        <f t="shared" si="68"/>
        <v>20076554.469999999</v>
      </c>
      <c r="E130" s="178">
        <f t="shared" si="68"/>
        <v>107137761.73882848</v>
      </c>
      <c r="F130" s="178">
        <f t="shared" si="68"/>
        <v>0</v>
      </c>
      <c r="G130" s="178">
        <f t="shared" si="68"/>
        <v>0</v>
      </c>
      <c r="H130" s="178">
        <f t="shared" si="68"/>
        <v>5762243.8099999996</v>
      </c>
      <c r="I130" s="179">
        <f t="shared" si="68"/>
        <v>4481615.7299999995</v>
      </c>
      <c r="J130" s="179">
        <f t="shared" si="68"/>
        <v>0</v>
      </c>
      <c r="K130" s="179">
        <f t="shared" si="68"/>
        <v>0</v>
      </c>
      <c r="L130" s="179">
        <f t="shared" si="68"/>
        <v>0</v>
      </c>
      <c r="M130" s="179">
        <f t="shared" si="68"/>
        <v>0</v>
      </c>
      <c r="N130" s="179">
        <f t="shared" si="68"/>
        <v>107137761.73882848</v>
      </c>
      <c r="O130" s="179">
        <f t="shared" si="68"/>
        <v>188770360.43802851</v>
      </c>
      <c r="P130" s="178">
        <f t="shared" si="68"/>
        <v>5337851.74988</v>
      </c>
      <c r="Q130" s="179">
        <f t="shared" si="68"/>
        <v>4277726.17</v>
      </c>
      <c r="R130" s="179">
        <f t="shared" si="68"/>
        <v>0</v>
      </c>
      <c r="S130" s="179">
        <f t="shared" si="68"/>
        <v>0</v>
      </c>
      <c r="T130" s="179">
        <f t="shared" si="68"/>
        <v>0</v>
      </c>
      <c r="U130" s="179">
        <f t="shared" si="68"/>
        <v>0</v>
      </c>
      <c r="V130" s="179">
        <f t="shared" si="68"/>
        <v>107137761.73882848</v>
      </c>
      <c r="W130" s="179">
        <f t="shared" si="68"/>
        <v>188974249.99802846</v>
      </c>
    </row>
    <row r="131" spans="1:23" x14ac:dyDescent="0.25">
      <c r="A131" s="81"/>
      <c r="B131" s="82"/>
      <c r="C131" s="91"/>
      <c r="D131" s="92"/>
      <c r="E131" s="93"/>
      <c r="F131" s="93"/>
      <c r="G131" s="93"/>
    </row>
    <row r="132" spans="1:23" x14ac:dyDescent="0.25">
      <c r="D132" s="94"/>
    </row>
  </sheetData>
  <mergeCells count="6">
    <mergeCell ref="R5:S5"/>
    <mergeCell ref="A5:A6"/>
    <mergeCell ref="B5:B6"/>
    <mergeCell ref="C5:C6"/>
    <mergeCell ref="F5:G5"/>
    <mergeCell ref="J5:K5"/>
  </mergeCells>
  <pageMargins left="0.70866141732283472" right="0.70866141732283472" top="0.74803149606299213" bottom="0.74803149606299213" header="0.31496062992125984" footer="0.31496062992125984"/>
  <pageSetup paperSize="9" scale="34" fitToHeight="2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2"/>
  <sheetViews>
    <sheetView workbookViewId="0">
      <selection activeCell="C18" sqref="C18"/>
    </sheetView>
  </sheetViews>
  <sheetFormatPr baseColWidth="10" defaultRowHeight="15" x14ac:dyDescent="0.25"/>
  <cols>
    <col min="1" max="1" width="1.140625" customWidth="1"/>
    <col min="2" max="2" width="16.85546875" customWidth="1"/>
    <col min="3" max="3" width="102.42578125" customWidth="1"/>
    <col min="4" max="4" width="11.140625" style="33" bestFit="1" customWidth="1"/>
    <col min="257" max="257" width="1.140625" customWidth="1"/>
    <col min="258" max="258" width="16.85546875" customWidth="1"/>
    <col min="259" max="259" width="65.140625" customWidth="1"/>
    <col min="260" max="260" width="16.28515625" customWidth="1"/>
    <col min="513" max="513" width="1.140625" customWidth="1"/>
    <col min="514" max="514" width="16.85546875" customWidth="1"/>
    <col min="515" max="515" width="65.140625" customWidth="1"/>
    <col min="516" max="516" width="16.28515625" customWidth="1"/>
    <col min="769" max="769" width="1.140625" customWidth="1"/>
    <col min="770" max="770" width="16.85546875" customWidth="1"/>
    <col min="771" max="771" width="65.140625" customWidth="1"/>
    <col min="772" max="772" width="16.28515625" customWidth="1"/>
    <col min="1025" max="1025" width="1.140625" customWidth="1"/>
    <col min="1026" max="1026" width="16.85546875" customWidth="1"/>
    <col min="1027" max="1027" width="65.140625" customWidth="1"/>
    <col min="1028" max="1028" width="16.28515625" customWidth="1"/>
    <col min="1281" max="1281" width="1.140625" customWidth="1"/>
    <col min="1282" max="1282" width="16.85546875" customWidth="1"/>
    <col min="1283" max="1283" width="65.140625" customWidth="1"/>
    <col min="1284" max="1284" width="16.28515625" customWidth="1"/>
    <col min="1537" max="1537" width="1.140625" customWidth="1"/>
    <col min="1538" max="1538" width="16.85546875" customWidth="1"/>
    <col min="1539" max="1539" width="65.140625" customWidth="1"/>
    <col min="1540" max="1540" width="16.28515625" customWidth="1"/>
    <col min="1793" max="1793" width="1.140625" customWidth="1"/>
    <col min="1794" max="1794" width="16.85546875" customWidth="1"/>
    <col min="1795" max="1795" width="65.140625" customWidth="1"/>
    <col min="1796" max="1796" width="16.28515625" customWidth="1"/>
    <col min="2049" max="2049" width="1.140625" customWidth="1"/>
    <col min="2050" max="2050" width="16.85546875" customWidth="1"/>
    <col min="2051" max="2051" width="65.140625" customWidth="1"/>
    <col min="2052" max="2052" width="16.28515625" customWidth="1"/>
    <col min="2305" max="2305" width="1.140625" customWidth="1"/>
    <col min="2306" max="2306" width="16.85546875" customWidth="1"/>
    <col min="2307" max="2307" width="65.140625" customWidth="1"/>
    <col min="2308" max="2308" width="16.28515625" customWidth="1"/>
    <col min="2561" max="2561" width="1.140625" customWidth="1"/>
    <col min="2562" max="2562" width="16.85546875" customWidth="1"/>
    <col min="2563" max="2563" width="65.140625" customWidth="1"/>
    <col min="2564" max="2564" width="16.28515625" customWidth="1"/>
    <col min="2817" max="2817" width="1.140625" customWidth="1"/>
    <col min="2818" max="2818" width="16.85546875" customWidth="1"/>
    <col min="2819" max="2819" width="65.140625" customWidth="1"/>
    <col min="2820" max="2820" width="16.28515625" customWidth="1"/>
    <col min="3073" max="3073" width="1.140625" customWidth="1"/>
    <col min="3074" max="3074" width="16.85546875" customWidth="1"/>
    <col min="3075" max="3075" width="65.140625" customWidth="1"/>
    <col min="3076" max="3076" width="16.28515625" customWidth="1"/>
    <col min="3329" max="3329" width="1.140625" customWidth="1"/>
    <col min="3330" max="3330" width="16.85546875" customWidth="1"/>
    <col min="3331" max="3331" width="65.140625" customWidth="1"/>
    <col min="3332" max="3332" width="16.28515625" customWidth="1"/>
    <col min="3585" max="3585" width="1.140625" customWidth="1"/>
    <col min="3586" max="3586" width="16.85546875" customWidth="1"/>
    <col min="3587" max="3587" width="65.140625" customWidth="1"/>
    <col min="3588" max="3588" width="16.28515625" customWidth="1"/>
    <col min="3841" max="3841" width="1.140625" customWidth="1"/>
    <col min="3842" max="3842" width="16.85546875" customWidth="1"/>
    <col min="3843" max="3843" width="65.140625" customWidth="1"/>
    <col min="3844" max="3844" width="16.28515625" customWidth="1"/>
    <col min="4097" max="4097" width="1.140625" customWidth="1"/>
    <col min="4098" max="4098" width="16.85546875" customWidth="1"/>
    <col min="4099" max="4099" width="65.140625" customWidth="1"/>
    <col min="4100" max="4100" width="16.28515625" customWidth="1"/>
    <col min="4353" max="4353" width="1.140625" customWidth="1"/>
    <col min="4354" max="4354" width="16.85546875" customWidth="1"/>
    <col min="4355" max="4355" width="65.140625" customWidth="1"/>
    <col min="4356" max="4356" width="16.28515625" customWidth="1"/>
    <col min="4609" max="4609" width="1.140625" customWidth="1"/>
    <col min="4610" max="4610" width="16.85546875" customWidth="1"/>
    <col min="4611" max="4611" width="65.140625" customWidth="1"/>
    <col min="4612" max="4612" width="16.28515625" customWidth="1"/>
    <col min="4865" max="4865" width="1.140625" customWidth="1"/>
    <col min="4866" max="4866" width="16.85546875" customWidth="1"/>
    <col min="4867" max="4867" width="65.140625" customWidth="1"/>
    <col min="4868" max="4868" width="16.28515625" customWidth="1"/>
    <col min="5121" max="5121" width="1.140625" customWidth="1"/>
    <col min="5122" max="5122" width="16.85546875" customWidth="1"/>
    <col min="5123" max="5123" width="65.140625" customWidth="1"/>
    <col min="5124" max="5124" width="16.28515625" customWidth="1"/>
    <col min="5377" max="5377" width="1.140625" customWidth="1"/>
    <col min="5378" max="5378" width="16.85546875" customWidth="1"/>
    <col min="5379" max="5379" width="65.140625" customWidth="1"/>
    <col min="5380" max="5380" width="16.28515625" customWidth="1"/>
    <col min="5633" max="5633" width="1.140625" customWidth="1"/>
    <col min="5634" max="5634" width="16.85546875" customWidth="1"/>
    <col min="5635" max="5635" width="65.140625" customWidth="1"/>
    <col min="5636" max="5636" width="16.28515625" customWidth="1"/>
    <col min="5889" max="5889" width="1.140625" customWidth="1"/>
    <col min="5890" max="5890" width="16.85546875" customWidth="1"/>
    <col min="5891" max="5891" width="65.140625" customWidth="1"/>
    <col min="5892" max="5892" width="16.28515625" customWidth="1"/>
    <col min="6145" max="6145" width="1.140625" customWidth="1"/>
    <col min="6146" max="6146" width="16.85546875" customWidth="1"/>
    <col min="6147" max="6147" width="65.140625" customWidth="1"/>
    <col min="6148" max="6148" width="16.28515625" customWidth="1"/>
    <col min="6401" max="6401" width="1.140625" customWidth="1"/>
    <col min="6402" max="6402" width="16.85546875" customWidth="1"/>
    <col min="6403" max="6403" width="65.140625" customWidth="1"/>
    <col min="6404" max="6404" width="16.28515625" customWidth="1"/>
    <col min="6657" max="6657" width="1.140625" customWidth="1"/>
    <col min="6658" max="6658" width="16.85546875" customWidth="1"/>
    <col min="6659" max="6659" width="65.140625" customWidth="1"/>
    <col min="6660" max="6660" width="16.28515625" customWidth="1"/>
    <col min="6913" max="6913" width="1.140625" customWidth="1"/>
    <col min="6914" max="6914" width="16.85546875" customWidth="1"/>
    <col min="6915" max="6915" width="65.140625" customWidth="1"/>
    <col min="6916" max="6916" width="16.28515625" customWidth="1"/>
    <col min="7169" max="7169" width="1.140625" customWidth="1"/>
    <col min="7170" max="7170" width="16.85546875" customWidth="1"/>
    <col min="7171" max="7171" width="65.140625" customWidth="1"/>
    <col min="7172" max="7172" width="16.28515625" customWidth="1"/>
    <col min="7425" max="7425" width="1.140625" customWidth="1"/>
    <col min="7426" max="7426" width="16.85546875" customWidth="1"/>
    <col min="7427" max="7427" width="65.140625" customWidth="1"/>
    <col min="7428" max="7428" width="16.28515625" customWidth="1"/>
    <col min="7681" max="7681" width="1.140625" customWidth="1"/>
    <col min="7682" max="7682" width="16.85546875" customWidth="1"/>
    <col min="7683" max="7683" width="65.140625" customWidth="1"/>
    <col min="7684" max="7684" width="16.28515625" customWidth="1"/>
    <col min="7937" max="7937" width="1.140625" customWidth="1"/>
    <col min="7938" max="7938" width="16.85546875" customWidth="1"/>
    <col min="7939" max="7939" width="65.140625" customWidth="1"/>
    <col min="7940" max="7940" width="16.28515625" customWidth="1"/>
    <col min="8193" max="8193" width="1.140625" customWidth="1"/>
    <col min="8194" max="8194" width="16.85546875" customWidth="1"/>
    <col min="8195" max="8195" width="65.140625" customWidth="1"/>
    <col min="8196" max="8196" width="16.28515625" customWidth="1"/>
    <col min="8449" max="8449" width="1.140625" customWidth="1"/>
    <col min="8450" max="8450" width="16.85546875" customWidth="1"/>
    <col min="8451" max="8451" width="65.140625" customWidth="1"/>
    <col min="8452" max="8452" width="16.28515625" customWidth="1"/>
    <col min="8705" max="8705" width="1.140625" customWidth="1"/>
    <col min="8706" max="8706" width="16.85546875" customWidth="1"/>
    <col min="8707" max="8707" width="65.140625" customWidth="1"/>
    <col min="8708" max="8708" width="16.28515625" customWidth="1"/>
    <col min="8961" max="8961" width="1.140625" customWidth="1"/>
    <col min="8962" max="8962" width="16.85546875" customWidth="1"/>
    <col min="8963" max="8963" width="65.140625" customWidth="1"/>
    <col min="8964" max="8964" width="16.28515625" customWidth="1"/>
    <col min="9217" max="9217" width="1.140625" customWidth="1"/>
    <col min="9218" max="9218" width="16.85546875" customWidth="1"/>
    <col min="9219" max="9219" width="65.140625" customWidth="1"/>
    <col min="9220" max="9220" width="16.28515625" customWidth="1"/>
    <col min="9473" max="9473" width="1.140625" customWidth="1"/>
    <col min="9474" max="9474" width="16.85546875" customWidth="1"/>
    <col min="9475" max="9475" width="65.140625" customWidth="1"/>
    <col min="9476" max="9476" width="16.28515625" customWidth="1"/>
    <col min="9729" max="9729" width="1.140625" customWidth="1"/>
    <col min="9730" max="9730" width="16.85546875" customWidth="1"/>
    <col min="9731" max="9731" width="65.140625" customWidth="1"/>
    <col min="9732" max="9732" width="16.28515625" customWidth="1"/>
    <col min="9985" max="9985" width="1.140625" customWidth="1"/>
    <col min="9986" max="9986" width="16.85546875" customWidth="1"/>
    <col min="9987" max="9987" width="65.140625" customWidth="1"/>
    <col min="9988" max="9988" width="16.28515625" customWidth="1"/>
    <col min="10241" max="10241" width="1.140625" customWidth="1"/>
    <col min="10242" max="10242" width="16.85546875" customWidth="1"/>
    <col min="10243" max="10243" width="65.140625" customWidth="1"/>
    <col min="10244" max="10244" width="16.28515625" customWidth="1"/>
    <col min="10497" max="10497" width="1.140625" customWidth="1"/>
    <col min="10498" max="10498" width="16.85546875" customWidth="1"/>
    <col min="10499" max="10499" width="65.140625" customWidth="1"/>
    <col min="10500" max="10500" width="16.28515625" customWidth="1"/>
    <col min="10753" max="10753" width="1.140625" customWidth="1"/>
    <col min="10754" max="10754" width="16.85546875" customWidth="1"/>
    <col min="10755" max="10755" width="65.140625" customWidth="1"/>
    <col min="10756" max="10756" width="16.28515625" customWidth="1"/>
    <col min="11009" max="11009" width="1.140625" customWidth="1"/>
    <col min="11010" max="11010" width="16.85546875" customWidth="1"/>
    <col min="11011" max="11011" width="65.140625" customWidth="1"/>
    <col min="11012" max="11012" width="16.28515625" customWidth="1"/>
    <col min="11265" max="11265" width="1.140625" customWidth="1"/>
    <col min="11266" max="11266" width="16.85546875" customWidth="1"/>
    <col min="11267" max="11267" width="65.140625" customWidth="1"/>
    <col min="11268" max="11268" width="16.28515625" customWidth="1"/>
    <col min="11521" max="11521" width="1.140625" customWidth="1"/>
    <col min="11522" max="11522" width="16.85546875" customWidth="1"/>
    <col min="11523" max="11523" width="65.140625" customWidth="1"/>
    <col min="11524" max="11524" width="16.28515625" customWidth="1"/>
    <col min="11777" max="11777" width="1.140625" customWidth="1"/>
    <col min="11778" max="11778" width="16.85546875" customWidth="1"/>
    <col min="11779" max="11779" width="65.140625" customWidth="1"/>
    <col min="11780" max="11780" width="16.28515625" customWidth="1"/>
    <col min="12033" max="12033" width="1.140625" customWidth="1"/>
    <col min="12034" max="12034" width="16.85546875" customWidth="1"/>
    <col min="12035" max="12035" width="65.140625" customWidth="1"/>
    <col min="12036" max="12036" width="16.28515625" customWidth="1"/>
    <col min="12289" max="12289" width="1.140625" customWidth="1"/>
    <col min="12290" max="12290" width="16.85546875" customWidth="1"/>
    <col min="12291" max="12291" width="65.140625" customWidth="1"/>
    <col min="12292" max="12292" width="16.28515625" customWidth="1"/>
    <col min="12545" max="12545" width="1.140625" customWidth="1"/>
    <col min="12546" max="12546" width="16.85546875" customWidth="1"/>
    <col min="12547" max="12547" width="65.140625" customWidth="1"/>
    <col min="12548" max="12548" width="16.28515625" customWidth="1"/>
    <col min="12801" max="12801" width="1.140625" customWidth="1"/>
    <col min="12802" max="12802" width="16.85546875" customWidth="1"/>
    <col min="12803" max="12803" width="65.140625" customWidth="1"/>
    <col min="12804" max="12804" width="16.28515625" customWidth="1"/>
    <col min="13057" max="13057" width="1.140625" customWidth="1"/>
    <col min="13058" max="13058" width="16.85546875" customWidth="1"/>
    <col min="13059" max="13059" width="65.140625" customWidth="1"/>
    <col min="13060" max="13060" width="16.28515625" customWidth="1"/>
    <col min="13313" max="13313" width="1.140625" customWidth="1"/>
    <col min="13314" max="13314" width="16.85546875" customWidth="1"/>
    <col min="13315" max="13315" width="65.140625" customWidth="1"/>
    <col min="13316" max="13316" width="16.28515625" customWidth="1"/>
    <col min="13569" max="13569" width="1.140625" customWidth="1"/>
    <col min="13570" max="13570" width="16.85546875" customWidth="1"/>
    <col min="13571" max="13571" width="65.140625" customWidth="1"/>
    <col min="13572" max="13572" width="16.28515625" customWidth="1"/>
    <col min="13825" max="13825" width="1.140625" customWidth="1"/>
    <col min="13826" max="13826" width="16.85546875" customWidth="1"/>
    <col min="13827" max="13827" width="65.140625" customWidth="1"/>
    <col min="13828" max="13828" width="16.28515625" customWidth="1"/>
    <col min="14081" max="14081" width="1.140625" customWidth="1"/>
    <col min="14082" max="14082" width="16.85546875" customWidth="1"/>
    <col min="14083" max="14083" width="65.140625" customWidth="1"/>
    <col min="14084" max="14084" width="16.28515625" customWidth="1"/>
    <col min="14337" max="14337" width="1.140625" customWidth="1"/>
    <col min="14338" max="14338" width="16.85546875" customWidth="1"/>
    <col min="14339" max="14339" width="65.140625" customWidth="1"/>
    <col min="14340" max="14340" width="16.28515625" customWidth="1"/>
    <col min="14593" max="14593" width="1.140625" customWidth="1"/>
    <col min="14594" max="14594" width="16.85546875" customWidth="1"/>
    <col min="14595" max="14595" width="65.140625" customWidth="1"/>
    <col min="14596" max="14596" width="16.28515625" customWidth="1"/>
    <col min="14849" max="14849" width="1.140625" customWidth="1"/>
    <col min="14850" max="14850" width="16.85546875" customWidth="1"/>
    <col min="14851" max="14851" width="65.140625" customWidth="1"/>
    <col min="14852" max="14852" width="16.28515625" customWidth="1"/>
    <col min="15105" max="15105" width="1.140625" customWidth="1"/>
    <col min="15106" max="15106" width="16.85546875" customWidth="1"/>
    <col min="15107" max="15107" width="65.140625" customWidth="1"/>
    <col min="15108" max="15108" width="16.28515625" customWidth="1"/>
    <col min="15361" max="15361" width="1.140625" customWidth="1"/>
    <col min="15362" max="15362" width="16.85546875" customWidth="1"/>
    <col min="15363" max="15363" width="65.140625" customWidth="1"/>
    <col min="15364" max="15364" width="16.28515625" customWidth="1"/>
    <col min="15617" max="15617" width="1.140625" customWidth="1"/>
    <col min="15618" max="15618" width="16.85546875" customWidth="1"/>
    <col min="15619" max="15619" width="65.140625" customWidth="1"/>
    <col min="15620" max="15620" width="16.28515625" customWidth="1"/>
    <col min="15873" max="15873" width="1.140625" customWidth="1"/>
    <col min="15874" max="15874" width="16.85546875" customWidth="1"/>
    <col min="15875" max="15875" width="65.140625" customWidth="1"/>
    <col min="15876" max="15876" width="16.28515625" customWidth="1"/>
    <col min="16129" max="16129" width="1.140625" customWidth="1"/>
    <col min="16130" max="16130" width="16.85546875" customWidth="1"/>
    <col min="16131" max="16131" width="65.140625" customWidth="1"/>
    <col min="16132" max="16132" width="16.28515625" customWidth="1"/>
  </cols>
  <sheetData>
    <row r="2" spans="2:7" x14ac:dyDescent="0.25">
      <c r="B2" s="310" t="s">
        <v>63</v>
      </c>
      <c r="C2" s="310"/>
      <c r="D2" s="310"/>
    </row>
    <row r="3" spans="2:7" x14ac:dyDescent="0.25">
      <c r="B3" s="31" t="s">
        <v>64</v>
      </c>
      <c r="C3" s="31"/>
      <c r="D3" s="32"/>
    </row>
    <row r="4" spans="2:7" x14ac:dyDescent="0.25">
      <c r="B4" s="310" t="s">
        <v>74</v>
      </c>
      <c r="C4" s="310"/>
      <c r="D4" s="310"/>
    </row>
    <row r="6" spans="2:7" x14ac:dyDescent="0.25">
      <c r="B6" s="34" t="s">
        <v>65</v>
      </c>
      <c r="C6" s="35" t="s">
        <v>66</v>
      </c>
      <c r="D6" s="36" t="s">
        <v>67</v>
      </c>
    </row>
    <row r="7" spans="2:7" ht="45.75" x14ac:dyDescent="0.25">
      <c r="B7" s="138">
        <v>2212</v>
      </c>
      <c r="C7" s="147" t="s">
        <v>125</v>
      </c>
      <c r="D7" s="182">
        <v>17257</v>
      </c>
    </row>
    <row r="8" spans="2:7" ht="15.75" x14ac:dyDescent="0.25">
      <c r="B8" s="138">
        <v>3411</v>
      </c>
      <c r="C8" s="150" t="s">
        <v>170</v>
      </c>
      <c r="D8" s="182">
        <v>931</v>
      </c>
    </row>
    <row r="9" spans="2:7" x14ac:dyDescent="0.25">
      <c r="B9" s="180"/>
      <c r="C9" s="181"/>
      <c r="D9" s="182"/>
    </row>
    <row r="10" spans="2:7" x14ac:dyDescent="0.25">
      <c r="B10" s="39"/>
      <c r="C10" s="34" t="s">
        <v>68</v>
      </c>
      <c r="D10" s="40">
        <f>SUM(D7:D9)</f>
        <v>18188</v>
      </c>
      <c r="G10" s="41"/>
    </row>
    <row r="12" spans="2:7" x14ac:dyDescent="0.25">
      <c r="B12" s="34" t="s">
        <v>69</v>
      </c>
      <c r="C12" s="35" t="s">
        <v>66</v>
      </c>
      <c r="D12" s="36" t="s">
        <v>67</v>
      </c>
    </row>
    <row r="13" spans="2:7" ht="15.75" x14ac:dyDescent="0.25">
      <c r="B13" s="138">
        <v>2111</v>
      </c>
      <c r="C13" s="146" t="s">
        <v>121</v>
      </c>
      <c r="D13" s="182">
        <v>1564</v>
      </c>
    </row>
    <row r="14" spans="2:7" ht="15.75" x14ac:dyDescent="0.25">
      <c r="B14" s="138">
        <v>2171</v>
      </c>
      <c r="C14" s="146" t="s">
        <v>124</v>
      </c>
      <c r="D14" s="182">
        <v>4136</v>
      </c>
    </row>
    <row r="15" spans="2:7" ht="15.75" x14ac:dyDescent="0.25">
      <c r="B15" s="138">
        <v>3111</v>
      </c>
      <c r="C15" s="150" t="s">
        <v>154</v>
      </c>
      <c r="D15" s="182">
        <v>8364</v>
      </c>
    </row>
    <row r="16" spans="2:7" ht="15.75" x14ac:dyDescent="0.25">
      <c r="B16" s="138">
        <v>3121</v>
      </c>
      <c r="C16" s="150" t="s">
        <v>155</v>
      </c>
      <c r="D16" s="182">
        <v>706</v>
      </c>
    </row>
    <row r="17" spans="2:6" ht="15.75" x14ac:dyDescent="0.25">
      <c r="B17" s="138">
        <v>3181</v>
      </c>
      <c r="C17" s="150" t="s">
        <v>159</v>
      </c>
      <c r="D17" s="182">
        <v>87</v>
      </c>
    </row>
    <row r="18" spans="2:6" ht="15.75" x14ac:dyDescent="0.25">
      <c r="B18" s="138">
        <v>3581</v>
      </c>
      <c r="C18" s="150" t="s">
        <v>180</v>
      </c>
      <c r="D18" s="182">
        <v>3331</v>
      </c>
    </row>
    <row r="19" spans="2:6" x14ac:dyDescent="0.25">
      <c r="B19" s="38"/>
      <c r="C19" s="42"/>
      <c r="D19" s="37"/>
    </row>
    <row r="20" spans="2:6" x14ac:dyDescent="0.25">
      <c r="B20" s="43"/>
      <c r="C20" s="44" t="s">
        <v>70</v>
      </c>
      <c r="D20" s="45">
        <f>SUM(D13:D19)</f>
        <v>18188</v>
      </c>
      <c r="F20" s="46"/>
    </row>
    <row r="23" spans="2:6" hidden="1" x14ac:dyDescent="0.25">
      <c r="B23" s="34" t="s">
        <v>71</v>
      </c>
      <c r="C23" s="35" t="s">
        <v>72</v>
      </c>
      <c r="D23" s="36" t="s">
        <v>67</v>
      </c>
    </row>
    <row r="24" spans="2:6" ht="15.75" hidden="1" x14ac:dyDescent="0.25">
      <c r="B24" s="138">
        <v>2111</v>
      </c>
      <c r="C24" s="146" t="s">
        <v>121</v>
      </c>
      <c r="D24" s="182">
        <v>1564</v>
      </c>
    </row>
    <row r="25" spans="2:6" ht="15.75" hidden="1" x14ac:dyDescent="0.25">
      <c r="B25" s="138">
        <v>2171</v>
      </c>
      <c r="C25" s="146" t="s">
        <v>124</v>
      </c>
      <c r="D25" s="182">
        <v>4136</v>
      </c>
    </row>
    <row r="26" spans="2:6" ht="15.75" hidden="1" x14ac:dyDescent="0.25">
      <c r="B26" s="138">
        <v>3111</v>
      </c>
      <c r="C26" s="150" t="s">
        <v>154</v>
      </c>
      <c r="D26" s="182">
        <v>2967</v>
      </c>
    </row>
    <row r="27" spans="2:6" ht="15.75" hidden="1" x14ac:dyDescent="0.25">
      <c r="B27" s="138">
        <v>3121</v>
      </c>
      <c r="C27" s="150" t="s">
        <v>155</v>
      </c>
      <c r="D27" s="182">
        <v>706</v>
      </c>
    </row>
    <row r="28" spans="2:6" ht="15.75" hidden="1" x14ac:dyDescent="0.25">
      <c r="B28" s="138">
        <v>3181</v>
      </c>
      <c r="C28" s="150" t="s">
        <v>159</v>
      </c>
      <c r="D28" s="182">
        <v>87</v>
      </c>
    </row>
    <row r="29" spans="2:6" ht="15.75" hidden="1" x14ac:dyDescent="0.25">
      <c r="B29" s="138">
        <v>3581</v>
      </c>
      <c r="C29" s="150" t="s">
        <v>180</v>
      </c>
      <c r="D29" s="182">
        <v>3331</v>
      </c>
    </row>
    <row r="30" spans="2:6" hidden="1" x14ac:dyDescent="0.25">
      <c r="B30" s="62"/>
      <c r="C30" s="65"/>
      <c r="D30" s="47"/>
    </row>
    <row r="31" spans="2:6" hidden="1" x14ac:dyDescent="0.25">
      <c r="B31" s="39"/>
      <c r="C31" s="35" t="s">
        <v>73</v>
      </c>
      <c r="D31" s="48">
        <f>SUM(D24:D30)</f>
        <v>12791</v>
      </c>
    </row>
    <row r="32" spans="2:6" x14ac:dyDescent="0.25">
      <c r="B32" s="49"/>
      <c r="C32" s="50"/>
      <c r="D32" s="51"/>
    </row>
  </sheetData>
  <mergeCells count="2">
    <mergeCell ref="B2:D2"/>
    <mergeCell ref="B4:D4"/>
  </mergeCells>
  <pageMargins left="0.70866141732283472" right="0.70866141732283472" top="0.74803149606299213" bottom="0.74803149606299213" header="0.31496062992125984" footer="0.31496062992125984"/>
  <pageSetup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6</vt:i4>
      </vt:variant>
    </vt:vector>
  </HeadingPairs>
  <TitlesOfParts>
    <vt:vector size="28" baseType="lpstr">
      <vt:lpstr>Prpto. Ingresos </vt:lpstr>
      <vt:lpstr>INGRESOS ENERO</vt:lpstr>
      <vt:lpstr>INGRESOS FEBRERO</vt:lpstr>
      <vt:lpstr>INGRESOS MARZO</vt:lpstr>
      <vt:lpstr>Prepto. Egresos</vt:lpstr>
      <vt:lpstr>ENERO</vt:lpstr>
      <vt:lpstr>ENERO CORRECTO</vt:lpstr>
      <vt:lpstr>FEBRERO CON AJUSTES</vt:lpstr>
      <vt:lpstr>AUM.DIS.ENERO</vt:lpstr>
      <vt:lpstr>CONCILIACION ENE</vt:lpstr>
      <vt:lpstr>FEB</vt:lpstr>
      <vt:lpstr>AUM.DIS.FEBRER</vt:lpstr>
      <vt:lpstr>CONCIALIACION FEB</vt:lpstr>
      <vt:lpstr>FEB CORRECTO</vt:lpstr>
      <vt:lpstr>FEBRERO NUEVO CORRECTO </vt:lpstr>
      <vt:lpstr>MARZO</vt:lpstr>
      <vt:lpstr>M</vt:lpstr>
      <vt:lpstr>AUM.DIS.MARZO</vt:lpstr>
      <vt:lpstr>CONCILIACION MARZ</vt:lpstr>
      <vt:lpstr>ABRIL</vt:lpstr>
      <vt:lpstr>AUM.DIS.ABRIL</vt:lpstr>
      <vt:lpstr>CONCILIACION ABR</vt:lpstr>
      <vt:lpstr>AUM.DIS.MARZO!Área_de_impresión</vt:lpstr>
      <vt:lpstr>ENERO!Área_de_impresión</vt:lpstr>
      <vt:lpstr>FEB!Área_de_impresión</vt:lpstr>
      <vt:lpstr>'INGRESOS ENERO'!Área_de_impresión</vt:lpstr>
      <vt:lpstr>M!Área_de_impresión</vt:lpstr>
      <vt:lpstr>'Prpto. Ingresos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Cesar</cp:lastModifiedBy>
  <cp:lastPrinted>2017-04-20T18:40:09Z</cp:lastPrinted>
  <dcterms:created xsi:type="dcterms:W3CDTF">2017-02-16T15:28:21Z</dcterms:created>
  <dcterms:modified xsi:type="dcterms:W3CDTF">2017-04-26T17:59:58Z</dcterms:modified>
</cp:coreProperties>
</file>