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TRANSPARENCIA HACIENDA PUBLICA MUNICIPAL\2021\INFORMACION MENSUAL\1 ENERO\4 INCISO G NOMINAS DEL SUJETO OBLIGADO DICIEMBRE 2020\"/>
    </mc:Choice>
  </mc:AlternateContent>
  <bookViews>
    <workbookView xWindow="0" yWindow="0" windowWidth="28800" windowHeight="12435" tabRatio="775" firstSheet="1" activeTab="1"/>
  </bookViews>
  <sheets>
    <sheet name="Concentrado General" sheetId="129" state="hidden" r:id="rId1"/>
    <sheet name="REGIDORES" sheetId="126" r:id="rId2"/>
    <sheet name="PERMANENTES" sheetId="120" r:id="rId3"/>
    <sheet name="SUPERNUMERARIO" sheetId="123" r:id="rId4"/>
    <sheet name="SEG.PUB.MPAL Y PROTECCION CIVIL" sheetId="124" r:id="rId5"/>
    <sheet name="JUBILADOS" sheetId="125" r:id="rId6"/>
    <sheet name="Determinacion ISR 2021" sheetId="130" state="hidden" r:id="rId7"/>
  </sheets>
  <externalReferences>
    <externalReference r:id="rId8"/>
  </externalReferences>
  <definedNames>
    <definedName name="_45">#REF!</definedName>
    <definedName name="_xlnm.Print_Area" localSheetId="5">JUBILADOS!$C$3:$K$28</definedName>
    <definedName name="_xlnm.Print_Area" localSheetId="2">PERMANENTES!$D$82:$O$114</definedName>
    <definedName name="_xlnm.Print_Area" localSheetId="1">REGIDORES!$A$3:$N$36</definedName>
    <definedName name="_xlnm.Print_Area" localSheetId="4">'SEG.PUB.MPAL Y PROTECCION CIVIL'!$D$50:$O$76</definedName>
    <definedName name="_xlnm.Print_Area" localSheetId="3">SUPERNUMERARIO!$B$131:$O$164</definedName>
    <definedName name="CREDITO">#REF!</definedName>
    <definedName name="Credito1">#REF!</definedName>
    <definedName name="isr">#REF!</definedName>
    <definedName name="SUBSIDIO">'Determinacion ISR 2021'!$P$17:$Q$27</definedName>
    <definedName name="Subsidio1">#REF!</definedName>
    <definedName name="Subsidio10">#REF!</definedName>
    <definedName name="Subsidio11">#REF!</definedName>
    <definedName name="Subsidio12">#REF!</definedName>
    <definedName name="Subsidio2">#REF!</definedName>
    <definedName name="Subsidio3">#REF!</definedName>
    <definedName name="Subsidio4">#REF!</definedName>
    <definedName name="Subsidio5">#REF!</definedName>
    <definedName name="Subsidio6">#REF!</definedName>
    <definedName name="Subsidio7">#REF!</definedName>
    <definedName name="Subsidio8">#REF!</definedName>
    <definedName name="Subsidio9">#REF!</definedName>
    <definedName name="TABLA">#REF!</definedName>
    <definedName name="TABLA_REPECO6">'[1]Pequeños Contrib.'!#REF!</definedName>
    <definedName name="TARIFA">'Determinacion ISR 2021'!$H$17:$J$27</definedName>
    <definedName name="Tarifa1">#REF!</definedName>
    <definedName name="Tarifa10">#REF!</definedName>
    <definedName name="Tarifa11">#REF!</definedName>
    <definedName name="Tarifa12">#REF!</definedName>
    <definedName name="Tarifa2">#REF!</definedName>
    <definedName name="Tarifa3">#REF!</definedName>
    <definedName name="Tarifa4">#REF!</definedName>
    <definedName name="Tarifa5">#REF!</definedName>
    <definedName name="Tarifa6">#REF!</definedName>
    <definedName name="Tarifa7">#REF!</definedName>
    <definedName name="Tarifa8">#REF!</definedName>
    <definedName name="Tarifa9">#REF!</definedName>
  </definedNames>
  <calcPr calcId="152511"/>
</workbook>
</file>

<file path=xl/calcChain.xml><?xml version="1.0" encoding="utf-8"?>
<calcChain xmlns="http://schemas.openxmlformats.org/spreadsheetml/2006/main">
  <c r="I38" i="124" l="1"/>
  <c r="J38" i="124"/>
  <c r="M12" i="124" l="1"/>
  <c r="M13" i="124"/>
  <c r="M14" i="124"/>
  <c r="M15" i="124"/>
  <c r="M16" i="124"/>
  <c r="M17" i="124"/>
  <c r="M18" i="124"/>
  <c r="M21" i="124"/>
  <c r="M23" i="124"/>
  <c r="M24" i="124"/>
  <c r="M25" i="124"/>
  <c r="M27" i="124"/>
  <c r="M28" i="124"/>
  <c r="M29" i="124"/>
  <c r="M30" i="124"/>
  <c r="M31" i="124"/>
  <c r="M32" i="124"/>
  <c r="M33" i="124"/>
  <c r="M34" i="124"/>
  <c r="M35" i="124"/>
  <c r="M11" i="124"/>
  <c r="N60" i="123"/>
  <c r="N61" i="123"/>
  <c r="N62" i="123"/>
  <c r="N63" i="123"/>
  <c r="N64" i="123"/>
  <c r="N65" i="123"/>
  <c r="N66" i="123"/>
  <c r="N68" i="123"/>
  <c r="N69" i="123"/>
  <c r="N70" i="123"/>
  <c r="N71" i="123"/>
  <c r="N72" i="123"/>
  <c r="N73" i="123"/>
  <c r="N74" i="123"/>
  <c r="N54" i="123"/>
  <c r="N55" i="123"/>
  <c r="N56" i="123"/>
  <c r="N57" i="123"/>
  <c r="N58" i="123"/>
  <c r="N59" i="123"/>
  <c r="N53" i="123"/>
  <c r="N41" i="123"/>
  <c r="N38" i="123"/>
  <c r="N37" i="123"/>
  <c r="N35" i="123"/>
  <c r="N34" i="123"/>
  <c r="N32" i="123"/>
  <c r="N31" i="123"/>
  <c r="N25" i="123"/>
  <c r="N24" i="123"/>
  <c r="N20" i="123"/>
  <c r="N154" i="123"/>
  <c r="N152" i="123"/>
  <c r="N151" i="123"/>
  <c r="N149" i="123"/>
  <c r="N145" i="123"/>
  <c r="N144" i="123"/>
  <c r="N142" i="123"/>
  <c r="N97" i="123"/>
  <c r="N98" i="123"/>
  <c r="N99" i="123"/>
  <c r="N100" i="123"/>
  <c r="N101" i="123"/>
  <c r="N102" i="123"/>
  <c r="N103" i="123"/>
  <c r="N104" i="123"/>
  <c r="N105" i="123"/>
  <c r="N106" i="123"/>
  <c r="N107" i="123"/>
  <c r="N108" i="123"/>
  <c r="N109" i="123"/>
  <c r="N96" i="123"/>
  <c r="N91" i="123"/>
  <c r="N89" i="123"/>
  <c r="L129" i="123"/>
  <c r="K129" i="123"/>
  <c r="L112" i="123"/>
  <c r="K112" i="123"/>
  <c r="N112" i="123" s="1"/>
  <c r="K97" i="123"/>
  <c r="L97" i="123"/>
  <c r="K98" i="123"/>
  <c r="L98" i="123"/>
  <c r="K99" i="123"/>
  <c r="L99" i="123"/>
  <c r="K100" i="123"/>
  <c r="L100" i="123"/>
  <c r="K101" i="123"/>
  <c r="L101" i="123"/>
  <c r="K102" i="123"/>
  <c r="L102" i="123"/>
  <c r="K103" i="123"/>
  <c r="L103" i="123"/>
  <c r="K104" i="123"/>
  <c r="L104" i="123"/>
  <c r="K105" i="123"/>
  <c r="L105" i="123"/>
  <c r="K106" i="123"/>
  <c r="L106" i="123"/>
  <c r="K107" i="123"/>
  <c r="L107" i="123"/>
  <c r="K108" i="123"/>
  <c r="L108" i="123"/>
  <c r="K109" i="123"/>
  <c r="L109" i="123"/>
  <c r="L96" i="123"/>
  <c r="K96" i="123"/>
  <c r="L94" i="123"/>
  <c r="K94" i="123"/>
  <c r="N94" i="123" s="1"/>
  <c r="L91" i="123"/>
  <c r="K91" i="123"/>
  <c r="K57" i="123"/>
  <c r="L57" i="123"/>
  <c r="K58" i="123"/>
  <c r="L58" i="123"/>
  <c r="K59" i="123"/>
  <c r="L59" i="123"/>
  <c r="K60" i="123"/>
  <c r="L60" i="123"/>
  <c r="K61" i="123"/>
  <c r="L61" i="123"/>
  <c r="K62" i="123"/>
  <c r="L62" i="123"/>
  <c r="K63" i="123"/>
  <c r="L63" i="123"/>
  <c r="K64" i="123"/>
  <c r="L64" i="123"/>
  <c r="K65" i="123"/>
  <c r="L65" i="123"/>
  <c r="K66" i="123"/>
  <c r="L66" i="123"/>
  <c r="K67" i="123"/>
  <c r="L67" i="123"/>
  <c r="K68" i="123"/>
  <c r="L68" i="123"/>
  <c r="K69" i="123"/>
  <c r="L69" i="123"/>
  <c r="K70" i="123"/>
  <c r="L70" i="123"/>
  <c r="K71" i="123"/>
  <c r="L71" i="123"/>
  <c r="K72" i="123"/>
  <c r="L72" i="123"/>
  <c r="K73" i="123"/>
  <c r="L73" i="123"/>
  <c r="K74" i="123"/>
  <c r="L74" i="123"/>
  <c r="K54" i="123"/>
  <c r="L54" i="123"/>
  <c r="K55" i="123"/>
  <c r="L55" i="123"/>
  <c r="K56" i="123"/>
  <c r="L56" i="123"/>
  <c r="L53" i="123"/>
  <c r="K53" i="123"/>
  <c r="L41" i="123"/>
  <c r="K41" i="123"/>
  <c r="L38" i="123"/>
  <c r="K38" i="123"/>
  <c r="L37" i="123"/>
  <c r="K37" i="123"/>
  <c r="K35" i="123"/>
  <c r="L35" i="123"/>
  <c r="L34" i="123"/>
  <c r="K34" i="123"/>
  <c r="L32" i="123"/>
  <c r="K32" i="123"/>
  <c r="L31" i="123"/>
  <c r="K31" i="123"/>
  <c r="L30" i="123"/>
  <c r="K30" i="123"/>
  <c r="L27" i="123"/>
  <c r="K27" i="123"/>
  <c r="L25" i="123"/>
  <c r="K25" i="123"/>
  <c r="L24" i="123"/>
  <c r="K24" i="123"/>
  <c r="L20" i="123"/>
  <c r="K20" i="123"/>
  <c r="L19" i="123"/>
  <c r="K19" i="123"/>
  <c r="L16" i="123"/>
  <c r="K16" i="123"/>
  <c r="K13" i="123"/>
  <c r="L13" i="123"/>
  <c r="K14" i="123"/>
  <c r="L14" i="123"/>
  <c r="L154" i="123"/>
  <c r="K154" i="123"/>
  <c r="L152" i="123"/>
  <c r="K152" i="123"/>
  <c r="L151" i="123"/>
  <c r="K151" i="123"/>
  <c r="L149" i="123"/>
  <c r="K149" i="123"/>
  <c r="L145" i="123"/>
  <c r="K145" i="123"/>
  <c r="L144" i="123"/>
  <c r="K144" i="123"/>
  <c r="L142" i="123"/>
  <c r="K142" i="123"/>
  <c r="K132" i="123"/>
  <c r="L132" i="123"/>
  <c r="K133" i="123"/>
  <c r="L133" i="123"/>
  <c r="K134" i="123"/>
  <c r="L134" i="123"/>
  <c r="K135" i="123"/>
  <c r="L135" i="123"/>
  <c r="K136" i="123"/>
  <c r="L136" i="123"/>
  <c r="K137" i="123"/>
  <c r="L137" i="123"/>
  <c r="K138" i="123"/>
  <c r="L138" i="123"/>
  <c r="K139" i="123"/>
  <c r="L139" i="123"/>
  <c r="K140" i="123"/>
  <c r="L140" i="123"/>
  <c r="L131" i="123"/>
  <c r="K131" i="123"/>
  <c r="K89" i="123"/>
  <c r="L78" i="123"/>
  <c r="K12" i="123"/>
  <c r="L100" i="120"/>
  <c r="L99" i="120"/>
  <c r="L92" i="120"/>
  <c r="L93" i="120"/>
  <c r="L94" i="120"/>
  <c r="L95" i="120"/>
  <c r="L96" i="120"/>
  <c r="L97" i="120"/>
  <c r="J81" i="120"/>
  <c r="I81" i="120"/>
  <c r="L80" i="120"/>
  <c r="L75" i="120"/>
  <c r="L73" i="120"/>
  <c r="L72" i="120"/>
  <c r="L71" i="120"/>
  <c r="L70" i="120"/>
  <c r="L69" i="120"/>
  <c r="L68" i="120"/>
  <c r="L57" i="120"/>
  <c r="L56" i="120"/>
  <c r="L55" i="120"/>
  <c r="L53" i="120"/>
  <c r="L51" i="120"/>
  <c r="L50" i="120"/>
  <c r="L49" i="120"/>
  <c r="L48" i="120"/>
  <c r="L46" i="120"/>
  <c r="L33" i="120"/>
  <c r="L31" i="120"/>
  <c r="L29" i="120"/>
  <c r="L26" i="120"/>
  <c r="L27" i="120"/>
  <c r="L25" i="120"/>
  <c r="L23" i="120"/>
  <c r="L21" i="120"/>
  <c r="L19" i="120"/>
  <c r="L17" i="120"/>
  <c r="L16" i="120"/>
  <c r="L14" i="120"/>
  <c r="L13" i="120"/>
  <c r="L12" i="120"/>
  <c r="K95" i="120"/>
  <c r="K96" i="120"/>
  <c r="K97" i="120"/>
  <c r="K94" i="120"/>
  <c r="K92" i="120"/>
  <c r="K91" i="120"/>
  <c r="K80" i="120"/>
  <c r="K70" i="120"/>
  <c r="K71" i="120"/>
  <c r="K72" i="120"/>
  <c r="K73" i="120"/>
  <c r="K26" i="120"/>
  <c r="K27" i="120"/>
  <c r="L13" i="126"/>
  <c r="L14" i="126"/>
  <c r="L15" i="126"/>
  <c r="L16" i="126"/>
  <c r="L17" i="126"/>
  <c r="L18" i="126"/>
  <c r="L19" i="126"/>
  <c r="L20" i="126"/>
  <c r="L21" i="126"/>
  <c r="L22" i="126"/>
  <c r="L12" i="126"/>
  <c r="N67" i="123" l="1"/>
  <c r="L103" i="120"/>
  <c r="L12" i="124"/>
  <c r="L11" i="124"/>
  <c r="J17" i="125" l="1"/>
  <c r="J16" i="125"/>
  <c r="J15" i="125"/>
  <c r="J14" i="125"/>
  <c r="L13" i="124"/>
  <c r="K13" i="124"/>
  <c r="L34" i="124" l="1"/>
  <c r="L35" i="124"/>
  <c r="K34" i="124"/>
  <c r="K35" i="124"/>
  <c r="H22" i="126"/>
  <c r="J22" i="126" l="1"/>
  <c r="M22" i="126"/>
  <c r="L33" i="124" l="1"/>
  <c r="K33" i="124"/>
  <c r="L32" i="124"/>
  <c r="K32" i="124"/>
  <c r="L31" i="124"/>
  <c r="K31" i="124"/>
  <c r="L30" i="124"/>
  <c r="K30" i="124"/>
  <c r="L29" i="124"/>
  <c r="K29" i="124"/>
  <c r="L28" i="124"/>
  <c r="K28" i="124"/>
  <c r="L27" i="124"/>
  <c r="K27" i="124"/>
  <c r="L26" i="124"/>
  <c r="K26" i="124"/>
  <c r="M26" i="124" s="1"/>
  <c r="L25" i="124"/>
  <c r="K25" i="124"/>
  <c r="L24" i="124"/>
  <c r="K24" i="124"/>
  <c r="L23" i="124"/>
  <c r="K23" i="124"/>
  <c r="L22" i="124"/>
  <c r="K22" i="124"/>
  <c r="M22" i="124" l="1"/>
  <c r="D51" i="124"/>
  <c r="L63" i="124" l="1"/>
  <c r="M63" i="124" s="1"/>
  <c r="L60" i="124" l="1"/>
  <c r="K60" i="124"/>
  <c r="L59" i="124"/>
  <c r="K59" i="124"/>
  <c r="K17" i="124"/>
  <c r="L17" i="124"/>
  <c r="K18" i="124"/>
  <c r="L18" i="124"/>
  <c r="K19" i="124"/>
  <c r="L19" i="124"/>
  <c r="K20" i="124"/>
  <c r="L20" i="124"/>
  <c r="K21" i="124"/>
  <c r="L21" i="124"/>
  <c r="K15" i="124"/>
  <c r="L15" i="124"/>
  <c r="K16" i="124"/>
  <c r="L16" i="124"/>
  <c r="K12" i="124"/>
  <c r="L89" i="123"/>
  <c r="M20" i="124" l="1"/>
  <c r="L38" i="124"/>
  <c r="K38" i="124"/>
  <c r="M19" i="124"/>
  <c r="K99" i="120"/>
  <c r="K93" i="120"/>
  <c r="L91" i="120"/>
  <c r="K75" i="120"/>
  <c r="K69" i="120"/>
  <c r="K68" i="120"/>
  <c r="K57" i="120"/>
  <c r="K55" i="120"/>
  <c r="K53" i="120"/>
  <c r="K51" i="120"/>
  <c r="K50" i="120"/>
  <c r="K49" i="120"/>
  <c r="K48" i="120"/>
  <c r="K46" i="120"/>
  <c r="K33" i="120"/>
  <c r="K31" i="120"/>
  <c r="K29" i="120"/>
  <c r="K25" i="120"/>
  <c r="K23" i="120"/>
  <c r="K21" i="120"/>
  <c r="K19" i="120"/>
  <c r="K17" i="120"/>
  <c r="K16" i="120"/>
  <c r="K14" i="120"/>
  <c r="K13" i="120"/>
  <c r="K12" i="120"/>
  <c r="K100" i="120"/>
  <c r="K56" i="120"/>
  <c r="I34" i="120"/>
  <c r="C12" i="130"/>
  <c r="K103" i="120" l="1"/>
  <c r="M38" i="124"/>
  <c r="C15" i="130"/>
  <c r="C22" i="130" l="1"/>
  <c r="C16" i="130"/>
  <c r="C18" i="130" s="1"/>
  <c r="C26" i="130"/>
  <c r="C19" i="130"/>
  <c r="C21" i="130" l="1"/>
  <c r="C24" i="130" s="1"/>
  <c r="C30" i="130" s="1"/>
  <c r="C32" i="130" s="1"/>
  <c r="C28" i="130" l="1"/>
  <c r="C31" i="130" s="1"/>
  <c r="J139" i="123" l="1"/>
  <c r="J140" i="123"/>
  <c r="J131" i="123"/>
  <c r="J132" i="123"/>
  <c r="J133" i="123"/>
  <c r="J134" i="123"/>
  <c r="J135" i="123"/>
  <c r="J136" i="123"/>
  <c r="J137" i="123"/>
  <c r="J11" i="124"/>
  <c r="J34" i="120"/>
  <c r="J58" i="120"/>
  <c r="I58" i="120"/>
  <c r="J104" i="120"/>
  <c r="I104" i="120"/>
  <c r="Q25" i="124"/>
  <c r="Q26" i="124" s="1"/>
  <c r="Q22" i="124"/>
  <c r="Q23" i="124" s="1"/>
  <c r="I79" i="123"/>
  <c r="J78" i="123"/>
  <c r="J12" i="125"/>
  <c r="J20" i="125" s="1"/>
  <c r="J13" i="125"/>
  <c r="H20" i="125"/>
  <c r="I20" i="125"/>
  <c r="R11" i="124"/>
  <c r="J14" i="124"/>
  <c r="R14" i="124"/>
  <c r="R16" i="124"/>
  <c r="R17" i="124"/>
  <c r="R18" i="124"/>
  <c r="R19" i="124"/>
  <c r="R20" i="124"/>
  <c r="R58" i="124"/>
  <c r="M59" i="124"/>
  <c r="M60" i="124"/>
  <c r="R60" i="124"/>
  <c r="J61" i="124"/>
  <c r="R61" i="124"/>
  <c r="J62" i="124"/>
  <c r="R62" i="124"/>
  <c r="I65" i="124"/>
  <c r="J12" i="123"/>
  <c r="N13" i="123"/>
  <c r="N14" i="123"/>
  <c r="N16" i="123"/>
  <c r="N19" i="123"/>
  <c r="N23" i="123"/>
  <c r="I43" i="123"/>
  <c r="M43" i="123"/>
  <c r="J61" i="123"/>
  <c r="J71" i="123"/>
  <c r="J73" i="123"/>
  <c r="J74" i="123"/>
  <c r="I115" i="123"/>
  <c r="J138" i="123"/>
  <c r="M155" i="123"/>
  <c r="I157" i="123"/>
  <c r="N12" i="120"/>
  <c r="N13" i="120"/>
  <c r="N14" i="120"/>
  <c r="N16" i="120"/>
  <c r="N17" i="120"/>
  <c r="N19" i="120"/>
  <c r="N21" i="120"/>
  <c r="N23" i="120"/>
  <c r="N25" i="120"/>
  <c r="N26" i="120"/>
  <c r="N27" i="120"/>
  <c r="N29" i="120"/>
  <c r="N31" i="120"/>
  <c r="N33" i="120"/>
  <c r="D37" i="120"/>
  <c r="N46" i="120"/>
  <c r="N48" i="120"/>
  <c r="N49" i="120"/>
  <c r="N50" i="120"/>
  <c r="N51" i="120"/>
  <c r="N53" i="120"/>
  <c r="N55" i="120"/>
  <c r="N56" i="120"/>
  <c r="N57" i="120"/>
  <c r="N68" i="120"/>
  <c r="N69" i="120"/>
  <c r="N70" i="120"/>
  <c r="N71" i="120"/>
  <c r="N72" i="120"/>
  <c r="N73" i="120"/>
  <c r="N75" i="120"/>
  <c r="N77" i="120"/>
  <c r="N80" i="120"/>
  <c r="N91" i="120"/>
  <c r="N92" i="120"/>
  <c r="N93" i="120"/>
  <c r="N94" i="120"/>
  <c r="N95" i="120"/>
  <c r="N96" i="120"/>
  <c r="N97" i="120"/>
  <c r="N99" i="120"/>
  <c r="N100" i="120"/>
  <c r="M103" i="120"/>
  <c r="H12" i="126"/>
  <c r="H13" i="126"/>
  <c r="H14" i="126"/>
  <c r="H15" i="126"/>
  <c r="H16" i="126"/>
  <c r="H17" i="126"/>
  <c r="H18" i="126"/>
  <c r="H19" i="126"/>
  <c r="H20" i="126"/>
  <c r="H21" i="126"/>
  <c r="G24" i="126"/>
  <c r="I24" i="126"/>
  <c r="K24" i="126"/>
  <c r="N103" i="120" l="1"/>
  <c r="M20" i="126"/>
  <c r="J20" i="126"/>
  <c r="J16" i="126"/>
  <c r="M16" i="126"/>
  <c r="J19" i="126"/>
  <c r="M19" i="126"/>
  <c r="M17" i="126"/>
  <c r="J17" i="126"/>
  <c r="J18" i="126"/>
  <c r="M18" i="126"/>
  <c r="J14" i="126"/>
  <c r="M14" i="126"/>
  <c r="H24" i="126"/>
  <c r="J15" i="126"/>
  <c r="M15" i="126"/>
  <c r="M13" i="126"/>
  <c r="J13" i="126"/>
  <c r="J12" i="126"/>
  <c r="M12" i="126" s="1"/>
  <c r="Q27" i="124"/>
  <c r="J65" i="124"/>
  <c r="R38" i="124"/>
  <c r="D5" i="123"/>
  <c r="D82" i="123" s="1"/>
  <c r="J103" i="120"/>
  <c r="I103" i="120"/>
  <c r="S11" i="124"/>
  <c r="K11" i="124"/>
  <c r="L62" i="124"/>
  <c r="M62" i="124" s="1"/>
  <c r="K62" i="124"/>
  <c r="L61" i="124"/>
  <c r="K61" i="124"/>
  <c r="K14" i="124"/>
  <c r="L14" i="124"/>
  <c r="K78" i="123"/>
  <c r="L12" i="123"/>
  <c r="K115" i="123"/>
  <c r="L115" i="123"/>
  <c r="I158" i="123"/>
  <c r="J115" i="123"/>
  <c r="I155" i="123"/>
  <c r="J157" i="123"/>
  <c r="J43" i="123"/>
  <c r="J79" i="123"/>
  <c r="D61" i="120"/>
  <c r="D84" i="120" s="1"/>
  <c r="N138" i="123" l="1"/>
  <c r="J24" i="126"/>
  <c r="L24" i="126"/>
  <c r="K65" i="124"/>
  <c r="M21" i="126"/>
  <c r="M24" i="126" s="1"/>
  <c r="D46" i="123"/>
  <c r="D122" i="123"/>
  <c r="N136" i="123"/>
  <c r="N115" i="123"/>
  <c r="N131" i="123"/>
  <c r="K79" i="123"/>
  <c r="N134" i="123"/>
  <c r="N139" i="123"/>
  <c r="N133" i="123"/>
  <c r="N137" i="123"/>
  <c r="N27" i="123"/>
  <c r="N30" i="123"/>
  <c r="N78" i="123"/>
  <c r="L65" i="124"/>
  <c r="M61" i="124"/>
  <c r="M65" i="124" s="1"/>
  <c r="N132" i="123"/>
  <c r="K43" i="123"/>
  <c r="N12" i="123"/>
  <c r="K157" i="123"/>
  <c r="L79" i="123"/>
  <c r="N140" i="123"/>
  <c r="L43" i="123"/>
  <c r="L157" i="123"/>
  <c r="N135" i="123"/>
  <c r="N129" i="123"/>
  <c r="J155" i="123"/>
  <c r="J158" i="123"/>
  <c r="N43" i="123" l="1"/>
  <c r="N79" i="123"/>
  <c r="N167" i="123"/>
  <c r="N157" i="123"/>
  <c r="L155" i="123"/>
  <c r="L158" i="123"/>
  <c r="L159" i="123"/>
  <c r="K159" i="123"/>
  <c r="K158" i="123"/>
  <c r="K155" i="123"/>
  <c r="L170" i="123" l="1"/>
  <c r="N155" i="123"/>
</calcChain>
</file>

<file path=xl/sharedStrings.xml><?xml version="1.0" encoding="utf-8"?>
<sst xmlns="http://schemas.openxmlformats.org/spreadsheetml/2006/main" count="1036" uniqueCount="512">
  <si>
    <t>P E R C E P C I O N E S</t>
  </si>
  <si>
    <t>Sueldo</t>
  </si>
  <si>
    <t>Total</t>
  </si>
  <si>
    <t>Num.</t>
  </si>
  <si>
    <t>Dias</t>
  </si>
  <si>
    <t>Trab.</t>
  </si>
  <si>
    <t>T O T A L E S</t>
  </si>
  <si>
    <t>Quincenal</t>
  </si>
  <si>
    <t>SUELDOS  DEL 01 AL 15 DE ENERO DE 2012</t>
  </si>
  <si>
    <t>LA PLAZA</t>
  </si>
  <si>
    <t xml:space="preserve">NOMBRE DE </t>
  </si>
  <si>
    <t xml:space="preserve">       PRESIDENTE MUNICIPAL</t>
  </si>
  <si>
    <t>MUNICIPIO DE : SAN JUANITO DE ESCOBEDO JALISCO</t>
  </si>
  <si>
    <t>PRESIDENTE</t>
  </si>
  <si>
    <t>PERMANENTES</t>
  </si>
  <si>
    <t>RUIZ MEZA JUDITH</t>
  </si>
  <si>
    <t>SECRETARIA</t>
  </si>
  <si>
    <t>CARRILLO MONTES MAURA</t>
  </si>
  <si>
    <t>INTENDENTE</t>
  </si>
  <si>
    <t>SECRETARIO GENERAL</t>
  </si>
  <si>
    <t>PRESIDENCIA MUNICIPAL</t>
  </si>
  <si>
    <t>DIRECCION DE REGISTRO CIVIL</t>
  </si>
  <si>
    <t>RUIZ ACEVES BERENICE</t>
  </si>
  <si>
    <t>ENC.DE VEHICULOS</t>
  </si>
  <si>
    <t>DEPTO.DE PARTICIPACION CIUDADANA</t>
  </si>
  <si>
    <t>ADMINISTRACION DE HDA.PUB.MPAL.</t>
  </si>
  <si>
    <t>ENC. DE HACIENDA PUB.MPAL</t>
  </si>
  <si>
    <t>MONTES MORAN ARCELIA</t>
  </si>
  <si>
    <t>MONTES GONZALEZ GLORIA MERCEDES</t>
  </si>
  <si>
    <t>DIRECCION DE OBRAS PUBLICAS</t>
  </si>
  <si>
    <t>DIR. DE OBRAS PUBLICAS</t>
  </si>
  <si>
    <t>ADMON.DE LOS SERV.PUB.MPALES.</t>
  </si>
  <si>
    <t>DIR DE SERVICIOS MPALES.</t>
  </si>
  <si>
    <t>AUX. DE SERVICIOS</t>
  </si>
  <si>
    <t>GONZALEZ TRIGUEROS ALVARO</t>
  </si>
  <si>
    <t>CARRILLO RUIZ J. DOLORES</t>
  </si>
  <si>
    <t>INZUNSA SANDOVAL JORGE OSWALDO</t>
  </si>
  <si>
    <t>ASEADOR</t>
  </si>
  <si>
    <t>PONCE MONTES MIGUEL</t>
  </si>
  <si>
    <t>CHOFER</t>
  </si>
  <si>
    <t>DEPTO. DE MERCADOS</t>
  </si>
  <si>
    <t>VELADOR</t>
  </si>
  <si>
    <t>JARDINERO</t>
  </si>
  <si>
    <t>FAJARDO CELAYA BLAS</t>
  </si>
  <si>
    <t>ENC. DE BOMBA</t>
  </si>
  <si>
    <t>RUIZ MEZA FAUSTO</t>
  </si>
  <si>
    <t>AUXILIAR TECNICO</t>
  </si>
  <si>
    <t>DELEGACIONES</t>
  </si>
  <si>
    <t>LOPEZ CABRALES J. ASCENCION</t>
  </si>
  <si>
    <t>AGENCIAS</t>
  </si>
  <si>
    <t>RASTRO MUNICIPAL</t>
  </si>
  <si>
    <t>GUARDARASTRO</t>
  </si>
  <si>
    <t>HERNANDEZ MONTES ARTURO</t>
  </si>
  <si>
    <t>VETERINARIO</t>
  </si>
  <si>
    <t>AVILA MONTES JORGE</t>
  </si>
  <si>
    <t>ENC.INSP.GANADERO Y A.</t>
  </si>
  <si>
    <t>RODRIGUEZ GARCIA MA. GUADALUPE</t>
  </si>
  <si>
    <t>MEZA NUÑEZ MARIELA</t>
  </si>
  <si>
    <t>AUX.DE SERVICIOS</t>
  </si>
  <si>
    <t>RIVERA LOPEZ ERASMO</t>
  </si>
  <si>
    <t>RODRIGUEZ PEREZ ROBERTO</t>
  </si>
  <si>
    <t>DEPTO. DE PARQUE Y JARDINES</t>
  </si>
  <si>
    <t>AUX DE INTENDENCIA</t>
  </si>
  <si>
    <t>SEGURIDAD PUBLICA</t>
  </si>
  <si>
    <t>DIRECTOR</t>
  </si>
  <si>
    <t>POLICIA DE LINEA</t>
  </si>
  <si>
    <t>RUIZ MONTES PEDRO</t>
  </si>
  <si>
    <t>GARCIA MONTES SARA</t>
  </si>
  <si>
    <t>DIR. AGUA POTABLE</t>
  </si>
  <si>
    <t>TOTALES</t>
  </si>
  <si>
    <t>ASISTENTE</t>
  </si>
  <si>
    <t>DIR. DE CULTURA</t>
  </si>
  <si>
    <t>AUX. DE OBRAS PUBLICAS</t>
  </si>
  <si>
    <t>PERSONAL JUBILADO</t>
  </si>
  <si>
    <t>JOSE DE JESUS RUIZ MONTES</t>
  </si>
  <si>
    <t>REGIDOR</t>
  </si>
  <si>
    <t xml:space="preserve">SINDICO </t>
  </si>
  <si>
    <t>PERSONAL SUPERNUMERIARIO</t>
  </si>
  <si>
    <t>DEPTO.DE MANTO.DE VEHICULOS</t>
  </si>
  <si>
    <t>AUX. DE PART. CIUDADANA</t>
  </si>
  <si>
    <t>MONTES GAMBOA CECILIO</t>
  </si>
  <si>
    <t>VALLE BARRIENTOS HERIBERTO</t>
  </si>
  <si>
    <t>MORALES QUINTANAR JOSE LUIS</t>
  </si>
  <si>
    <t>RECEPCIONISTA</t>
  </si>
  <si>
    <t>CONSERJE</t>
  </si>
  <si>
    <t>HERNANDEZ GARCIA AGUSTIN</t>
  </si>
  <si>
    <t>RAMIREZ FLORES EVA</t>
  </si>
  <si>
    <t>ENC. UNIDAD DEPORTIVA</t>
  </si>
  <si>
    <t>ENC. DE BOMBA SN PEDRO</t>
  </si>
  <si>
    <t>AGENTE MUNCIPAL ESTANCITA</t>
  </si>
  <si>
    <t>VELADOR PLANTA</t>
  </si>
  <si>
    <t>DEPARTAMENTO DE CATASTRO</t>
  </si>
  <si>
    <t>AGENTE MUNCIPAL SANTIAGUITO</t>
  </si>
  <si>
    <t>AGENTE MUNCIPAL SAN PEDRO</t>
  </si>
  <si>
    <t>DIRECCION DE CULTURA Y EDUCACION</t>
  </si>
  <si>
    <t>MONTES SANDOVAL JORGE</t>
  </si>
  <si>
    <t>DEPTO. DE CULTURA Y EDUCACION</t>
  </si>
  <si>
    <t>MERCADO OLVERA JOSE ANTONIO</t>
  </si>
  <si>
    <t>SALA DE REGIDORES</t>
  </si>
  <si>
    <t>MENDEZ GARCIA BEATRIZ</t>
  </si>
  <si>
    <t>VELADOR GARCIA MARIA ERICA</t>
  </si>
  <si>
    <t>DEPARTAMENTO JURIDICO Y JUZGADO</t>
  </si>
  <si>
    <t>UNIDAD DE TRANSPARENCIA</t>
  </si>
  <si>
    <t>TITULAR</t>
  </si>
  <si>
    <t>MEZA RUBIO JORGE HUMBERTO</t>
  </si>
  <si>
    <t>GOMEZ MEZA ANA NALLELI</t>
  </si>
  <si>
    <t>GARCIA CABRERA JOSE FABIAN</t>
  </si>
  <si>
    <t>RAMOS VELADOR LAZARO</t>
  </si>
  <si>
    <t>RAMIREZ MARTINEZ JOSE CARMEN</t>
  </si>
  <si>
    <t>OPERADOR DE MAQUINA</t>
  </si>
  <si>
    <t>COVARRUBIAS RIVERA ROMAN</t>
  </si>
  <si>
    <t>RAMIREZ ARELLANO J JESUS</t>
  </si>
  <si>
    <t>MERCADO PEREZ LUIS HUMBERTO</t>
  </si>
  <si>
    <t>GUERRERO GARICA RAFAEL</t>
  </si>
  <si>
    <t>ENC BOMBA</t>
  </si>
  <si>
    <t>ZUÑIGA DOMINGUEZ OSCAR</t>
  </si>
  <si>
    <t>Departamento:</t>
  </si>
  <si>
    <t>Regidores</t>
  </si>
  <si>
    <t>AGENTE MUNCIPAL  PROVIDENCIA</t>
  </si>
  <si>
    <t>AGENTE MUNCIPAL TRAPICHE</t>
  </si>
  <si>
    <t>AGENTE MUNCIPAL EL AZAFRAN</t>
  </si>
  <si>
    <t>AGENTE MUNCIPAL ESTANCIA DE AYLLONES</t>
  </si>
  <si>
    <t>________________________________________</t>
  </si>
  <si>
    <t>_____________________________________</t>
  </si>
  <si>
    <t>___________________________________</t>
  </si>
  <si>
    <t>DEPARTAMENTO DE OBRAS PUBLICAS</t>
  </si>
  <si>
    <t>ARMANDO MEZA AVILA</t>
  </si>
  <si>
    <t>OSCAR MARTIN ZUÑIGA GARCIA</t>
  </si>
  <si>
    <t>ENC DE PROTECCION CIVIL</t>
  </si>
  <si>
    <t>ARTURO JONATHAN RAMIREZ DE LA ROSA</t>
  </si>
  <si>
    <t>PARAMEDICO P C</t>
  </si>
  <si>
    <t>HERNANDEZ BERNAL JUDITH TONANZI</t>
  </si>
  <si>
    <t>AUXILIAR DE OFICIALIA MAYOR ADMVO.</t>
  </si>
  <si>
    <t xml:space="preserve">ENC. DE PANTEON </t>
  </si>
  <si>
    <t>CERVANTES MEZA MANUEL</t>
  </si>
  <si>
    <t>CARBAJAL MONTES OLIVIA</t>
  </si>
  <si>
    <t>HERNANDEZ FLORES REYNA ELIZABETH</t>
  </si>
  <si>
    <t>ENC. DE BIBLIOTECA</t>
  </si>
  <si>
    <t>GONZALEZ RODRIGUEZ BLANCA ESTELA</t>
  </si>
  <si>
    <t>JUZGADO MUNICIPAL</t>
  </si>
  <si>
    <t>JUEZ</t>
  </si>
  <si>
    <t>MONTES GARCIA MARIA DE LOS ANGELES</t>
  </si>
  <si>
    <t>AUXILIAR ADMINISTRATIVO</t>
  </si>
  <si>
    <t>RAMOS PEREZ HIPOLITO MARTIN</t>
  </si>
  <si>
    <t>MATA MONTES ESTELA</t>
  </si>
  <si>
    <t>RUVALCABA GARCIA HUMBERTO</t>
  </si>
  <si>
    <t xml:space="preserve">SECRETARIA GENERAL </t>
  </si>
  <si>
    <t>CONTRALOR</t>
  </si>
  <si>
    <t>MONTES PEREZ JULIA VERONICA</t>
  </si>
  <si>
    <t>SUBDIRECTOR ADMINISTRATIVO</t>
  </si>
  <si>
    <t>Aguinaldo</t>
  </si>
  <si>
    <t>Prima</t>
  </si>
  <si>
    <t>Vacacional</t>
  </si>
  <si>
    <t>Percepción</t>
  </si>
  <si>
    <t>2 0 1 7</t>
  </si>
  <si>
    <t xml:space="preserve">PERSONAL PERMANANTE </t>
  </si>
  <si>
    <t>SEGURIDAD  PUBLICA</t>
  </si>
  <si>
    <t>TOTAL</t>
  </si>
  <si>
    <t>SUPERNUMERARIOS</t>
  </si>
  <si>
    <t>QUINCENAL</t>
  </si>
  <si>
    <t>PERCEPCION</t>
  </si>
  <si>
    <t>SUBSIDIO</t>
  </si>
  <si>
    <t>EMPLEO</t>
  </si>
  <si>
    <t>I S P T</t>
  </si>
  <si>
    <t>F I R M A</t>
  </si>
  <si>
    <t>F  I  R  M  A</t>
  </si>
  <si>
    <t>NETA</t>
  </si>
  <si>
    <t xml:space="preserve">PERCEPCION </t>
  </si>
  <si>
    <t>ENC. DE LA HACIENDA MUNICIPAL</t>
  </si>
  <si>
    <t>F   I   R   M   A</t>
  </si>
  <si>
    <t xml:space="preserve">       ENC. DE LA HACIENDA MUNICIPAL</t>
  </si>
  <si>
    <t>MSJ 850101 UQ6</t>
  </si>
  <si>
    <t>DIAS</t>
  </si>
  <si>
    <t>NOMBRE</t>
  </si>
  <si>
    <t>CARGO</t>
  </si>
  <si>
    <t>LEPE LOPEZ JAIRO ALEJANDRO</t>
  </si>
  <si>
    <t>DESCUENTOS</t>
  </si>
  <si>
    <t xml:space="preserve">DESCUENTOS </t>
  </si>
  <si>
    <t>DE TERCEROS</t>
  </si>
  <si>
    <t>AGUA POTABLE Y ALCANTARILLADO</t>
  </si>
  <si>
    <t>MONTES VALLADOLID HOREI AMNERIS</t>
  </si>
  <si>
    <t>ISAAC RAMIREZ PEREZ</t>
  </si>
  <si>
    <t>MEZA MEZA MARCO ANTONIO</t>
  </si>
  <si>
    <t>OFICIAL DE REGISTRO CIVIL</t>
  </si>
  <si>
    <t>ENCARGADA DE HACIENDA PUBLICA MUNICIPAL</t>
  </si>
  <si>
    <t>COMUNICACIÓN SOCIAL</t>
  </si>
  <si>
    <t>ENC. DE COMUNICACIÓN SOCIAL</t>
  </si>
  <si>
    <t>SERGIO ALCARAZ PRECIADO</t>
  </si>
  <si>
    <t>ODULIA AVILA CARRILLO</t>
  </si>
  <si>
    <t>MARICELA GARCIA SANDOVAL</t>
  </si>
  <si>
    <t>GUILLERMINA BERNAL GOMEZ</t>
  </si>
  <si>
    <t>OSCAR EDUARDO SALDATE RUIZ</t>
  </si>
  <si>
    <t>JUANITA ARACELI RUIZ RODRIGUEZ</t>
  </si>
  <si>
    <t>ANA JAZMIN VELADOR PEREZ</t>
  </si>
  <si>
    <t>ANA LAURA GARCIA SIGALA</t>
  </si>
  <si>
    <t>CATARINO VAZQUEZ JIMENEZ</t>
  </si>
  <si>
    <t>L.C.P. MARIA GUADALUPE DURAN NUÑO</t>
  </si>
  <si>
    <t>L.A.E. MELISSA ISABEL MOLINA SANDOVAL</t>
  </si>
  <si>
    <t>COMANDANTE OPERATIVO</t>
  </si>
  <si>
    <t>L.C.P MARIA GUADALUPE DURAN NUÑO</t>
  </si>
  <si>
    <t>DURAN NUÑO MARIA GUADALUPE</t>
  </si>
  <si>
    <t>GARCIA RUIZ FRANCISCO FELIX</t>
  </si>
  <si>
    <t>SECRETARIO PARTICULAR</t>
  </si>
  <si>
    <t>GARCIA RODRIGUEZ LOURDES VIANEY</t>
  </si>
  <si>
    <t>EMMA LILIA MORALES RAMOS</t>
  </si>
  <si>
    <t>HERNANDEZ VELADOR LINA ZORAIDA</t>
  </si>
  <si>
    <t>AUXILIAR DE JUEZ MUNICIPAL</t>
  </si>
  <si>
    <t>DEPARTAMENTO DE CULTURA Y TURISMO</t>
  </si>
  <si>
    <t>DIRECTORA DE TURISMO</t>
  </si>
  <si>
    <t>HERNANDEZ MORENO CLAUDIA CECILIA</t>
  </si>
  <si>
    <t>HERNANDEZ RAMIREZ HORTENCIA</t>
  </si>
  <si>
    <t>CARDONA GONZALEZ JABAL JAFET</t>
  </si>
  <si>
    <t>FLORES DURAN MARIA JUDITH</t>
  </si>
  <si>
    <t>DOMINGUEZ DOMINGUEZ OZIEL ALEJANDRO</t>
  </si>
  <si>
    <t>MADRID CARRILLO LOURDES</t>
  </si>
  <si>
    <t>GOMEZ IÑIGUEZ VANESSA</t>
  </si>
  <si>
    <t>JEFA DE GABINETE</t>
  </si>
  <si>
    <t>MOLINA SANDOVAL MELISSA ISABEL</t>
  </si>
  <si>
    <t>ENC. DE CATASTRO E IMPUESTO PREDIAL</t>
  </si>
  <si>
    <t>ARANA MONTES ARMANDO</t>
  </si>
  <si>
    <t>DESARROLLO RURAL Y ECONOMICO</t>
  </si>
  <si>
    <t>RODRIGUEZ GARCIA JOSE ADRIAN</t>
  </si>
  <si>
    <t>MORENO RUIZ JOSE IGNACIO</t>
  </si>
  <si>
    <t>DIR. DE DESARROLLO RURAL Y ECONOMICO</t>
  </si>
  <si>
    <t>AUX. DESARROLLO RURAL Y ECONOMICO</t>
  </si>
  <si>
    <t>AUX. EN TRANSPARENCIA</t>
  </si>
  <si>
    <t>OFICIALIA MAYOR ADMINISTRATIVA</t>
  </si>
  <si>
    <t>CARRILLO DOMINGUEZ HECTOR ISAIAS</t>
  </si>
  <si>
    <t>IBARRA CARO EDITH YULIANA</t>
  </si>
  <si>
    <t>VENTURA RODRIGUEZ AURELIO</t>
  </si>
  <si>
    <t>DEPARTAMENTO DE SERVICIOS PUBLICOS</t>
  </si>
  <si>
    <t>GONZALEZ TRIGUEROS JOSE DE JESUS</t>
  </si>
  <si>
    <t>MONTES  CARRILLO CARLOS ADRIAN</t>
  </si>
  <si>
    <t>DIR. JURIDICO</t>
  </si>
  <si>
    <t>CONTRALORIA</t>
  </si>
  <si>
    <t xml:space="preserve">L.A.E. MELISSA ISABEL MOLINA SANDOVAL </t>
  </si>
  <si>
    <t>MOYEDA CARRILLO ARELY</t>
  </si>
  <si>
    <t>MARTINEZ ORENDAIN ARACELI</t>
  </si>
  <si>
    <t>AUX DE OBRAS PUBLICAS</t>
  </si>
  <si>
    <t>ANA BERTHA RODRIGUEZ GONZALEZ</t>
  </si>
  <si>
    <t>DIAS TRAB</t>
  </si>
  <si>
    <t>PRIETO SAAVEDRA RAMONA</t>
  </si>
  <si>
    <t>TAMAYO CONTRERAS ANTONIO</t>
  </si>
  <si>
    <t>PEREZ FREGOSO JOSE LUIS</t>
  </si>
  <si>
    <t>MEZA RAMIREZ FELIPE DE JESUS</t>
  </si>
  <si>
    <t>MEJIA NAVARRO MARIA MAGDALENA</t>
  </si>
  <si>
    <t>LOPEZ ULLOA GERARDO</t>
  </si>
  <si>
    <t>RUBIO MALDONADO GILBERTO</t>
  </si>
  <si>
    <t>AUX. DE REGISTRO CIVIL</t>
  </si>
  <si>
    <t>CASTAÑEDA ARANDAS EFREN</t>
  </si>
  <si>
    <t>SANDOVAL GONZALEZ VERONICA</t>
  </si>
  <si>
    <t>VARGAS GARCIA ANTONIO</t>
  </si>
  <si>
    <t>MERCADO DAVALOS JUAN CARLOS</t>
  </si>
  <si>
    <t>FLORES LIERA ALFREDO</t>
  </si>
  <si>
    <t>GUTIERREZ SAHAVEDRA J. SANTOS</t>
  </si>
  <si>
    <t>GARCIA RUIZ CRISTIAN GABRIEL</t>
  </si>
  <si>
    <t>ARCHIVO MUNICIPAL</t>
  </si>
  <si>
    <t>RIVERA FLORES SARA ISABEL</t>
  </si>
  <si>
    <t>ENC. DE ARCHIVO MPAL</t>
  </si>
  <si>
    <t>DEPARTAMENTO DE DEPORTE</t>
  </si>
  <si>
    <t>PROMOTOR DEL DEPORTE</t>
  </si>
  <si>
    <t>BAUTISTA ROMAN KARINA AMPELIA</t>
  </si>
  <si>
    <t>UNIDAD BASICA DE REHABILITACION</t>
  </si>
  <si>
    <t>ENC. DE UBR</t>
  </si>
  <si>
    <t>SERVICIOS PUBLICOS MUNICIPALES</t>
  </si>
  <si>
    <t>COVARRUBIAS RANGEL JOSE MARIA</t>
  </si>
  <si>
    <t>RUIZ SIGALA JUAN ANTONIO</t>
  </si>
  <si>
    <t>PRECIADO CONTRERAS SOFIA</t>
  </si>
  <si>
    <t>MARTINEZ AVALOS ITZEL GUADALUPE</t>
  </si>
  <si>
    <t>AUX. EN CONTRALORIA MPAL</t>
  </si>
  <si>
    <t>DONATO ORNELAS NARCISA ELIZABETH</t>
  </si>
  <si>
    <t>PROTECCION CIVIL</t>
  </si>
  <si>
    <t>OFICIALIA MAYOR DE PADRON Y LICENCIAS</t>
  </si>
  <si>
    <t>OFICIAL MAYOR DE PADRON Y LICENCIAS</t>
  </si>
  <si>
    <t>MENDEZ GARCIA J. REYES</t>
  </si>
  <si>
    <t>ENC. BOMBA</t>
  </si>
  <si>
    <t>ARRIERO GUTIERREZ ELVIA</t>
  </si>
  <si>
    <t>AUX. EN COMEDOR ASISTENCIAL</t>
  </si>
  <si>
    <t>MEZA GONZALEZ JOSEFINA MAHELET</t>
  </si>
  <si>
    <t>GARCIA GAMBOA MARIA DE JESUS</t>
  </si>
  <si>
    <t>MONTES DOMINGUEZ FILIBERTO</t>
  </si>
  <si>
    <t>MUNICIPIO  DE : SAN JUANITO DE ESCOBEDO JALISCO</t>
  </si>
  <si>
    <t>NAVARRO MONTES JAIRO ILDEFONSO</t>
  </si>
  <si>
    <t xml:space="preserve">LOPEZ GOMEZ JOSE RAMON </t>
  </si>
  <si>
    <t>COVARRUBIAS MARTINEZ BENITO</t>
  </si>
  <si>
    <t>MORENO LORETO JOSE DOROTEO</t>
  </si>
  <si>
    <t>BERNAL RUIZ ENRIQUE</t>
  </si>
  <si>
    <t>COVARRUBIAS RANGEL JAVIER ROMAN</t>
  </si>
  <si>
    <t>MONTES GONZALEZ FERNANDA LIVIER</t>
  </si>
  <si>
    <t>ESPARZA MIRAMONTES DIEGO</t>
  </si>
  <si>
    <t>VELADOR DE PARADERO</t>
  </si>
  <si>
    <t>RAMIREZ NAJAR ABUNDIO</t>
  </si>
  <si>
    <t>LOPEZ SOLORZANO LUZ ELBA</t>
  </si>
  <si>
    <t>TAPIA VALLEJO ADRIAN</t>
  </si>
  <si>
    <t>CARRILLO RUIZ CATARINO</t>
  </si>
  <si>
    <t>Nombre del Trabajador</t>
  </si>
  <si>
    <t>I   S   R</t>
  </si>
  <si>
    <t>Sueldo Quincenal</t>
  </si>
  <si>
    <t>Publicadas en el D. O. F. el dia 29 de Diciembre  2017</t>
  </si>
  <si>
    <t xml:space="preserve">    INGRESOS  ACUMULABLES  MENSUALES</t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</si>
  <si>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INGRESOS  EXENTOS</t>
    </r>
  </si>
  <si>
    <t>T   A   R   I   F   A</t>
  </si>
  <si>
    <t/>
  </si>
  <si>
    <t>AL EMPLEO</t>
  </si>
  <si>
    <t xml:space="preserve">    BASE  GRAVABLE</t>
  </si>
  <si>
    <t>L. I.</t>
  </si>
  <si>
    <t>C. F.</t>
  </si>
  <si>
    <t>%</t>
  </si>
  <si>
    <t>DE....A</t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</si>
  <si>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 LIMITE  INFERIOR</t>
    </r>
  </si>
  <si>
    <t xml:space="preserve">    EXCEDENTE  DEL  LIMITE  INFERIOR</t>
  </si>
  <si>
    <r>
      <t xml:space="preserve">   </t>
    </r>
    <r>
      <rPr>
        <b/>
        <sz val="11"/>
        <rFont val="Arial"/>
        <family val="2"/>
      </rPr>
      <t xml:space="preserve"> (x)</t>
    </r>
    <r>
      <rPr>
        <sz val="11"/>
        <rFont val="Arial"/>
        <family val="2"/>
      </rPr>
      <t xml:space="preserve">  T A S A</t>
    </r>
  </si>
  <si>
    <t xml:space="preserve">    IMPUESTO  MARGINAL</t>
  </si>
  <si>
    <r>
      <t xml:space="preserve">   </t>
    </r>
    <r>
      <rPr>
        <b/>
        <sz val="11"/>
        <rFont val="Arial"/>
        <family val="2"/>
      </rPr>
      <t xml:space="preserve"> (+)</t>
    </r>
    <r>
      <rPr>
        <sz val="11"/>
        <rFont val="Arial"/>
        <family val="2"/>
      </rPr>
      <t xml:space="preserve"> CUOTA  FIJA</t>
    </r>
  </si>
  <si>
    <t>I.S.R. BRUTO</t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</si>
  <si>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 SUBSIDIO AL EMPLEO</t>
    </r>
  </si>
  <si>
    <t xml:space="preserve">    I S R   A   CARGO </t>
  </si>
  <si>
    <t xml:space="preserve">   SUBIDIO AL EMPLEO POR ENTREGAR</t>
  </si>
  <si>
    <t>DATOS QUINCENALES   I S R</t>
  </si>
  <si>
    <t>SUBSIDIO A ENTREGAR</t>
  </si>
  <si>
    <r>
      <t xml:space="preserve">   </t>
    </r>
    <r>
      <rPr>
        <b/>
        <i/>
        <sz val="11"/>
        <rFont val="Arial"/>
        <family val="2"/>
      </rPr>
      <t xml:space="preserve">FUNDAMENTO  LEGAL : </t>
    </r>
    <r>
      <rPr>
        <b/>
        <i/>
        <sz val="11"/>
        <rFont val="Times New Roman"/>
        <family val="1"/>
      </rPr>
      <t xml:space="preserve"> </t>
    </r>
    <r>
      <rPr>
        <i/>
        <sz val="11"/>
        <rFont val="Times New Roman"/>
        <family val="1"/>
      </rPr>
      <t>ART  96 DE LA LEY DEL IMPUESTO SOBRE LA RENTA</t>
    </r>
  </si>
  <si>
    <t>NOTA :  ESTE  CALCULO  ESTARA  VIGENTE</t>
  </si>
  <si>
    <t>MUNICIPIO DE SAN JUANITO DE ESCOBEDO JALISCO</t>
  </si>
  <si>
    <t>CALCULO MENSUAL DE I.S.R. x Salarios</t>
  </si>
  <si>
    <t>Forma</t>
  </si>
  <si>
    <t>Pago</t>
  </si>
  <si>
    <t>0200</t>
  </si>
  <si>
    <t>0201</t>
  </si>
  <si>
    <t>0202</t>
  </si>
  <si>
    <t>0203</t>
  </si>
  <si>
    <t>0204</t>
  </si>
  <si>
    <t>0205</t>
  </si>
  <si>
    <t>0206</t>
  </si>
  <si>
    <t>0113</t>
  </si>
  <si>
    <t>0207</t>
  </si>
  <si>
    <t>0208</t>
  </si>
  <si>
    <t>03</t>
  </si>
  <si>
    <t>0142</t>
  </si>
  <si>
    <t>0209</t>
  </si>
  <si>
    <t>0210</t>
  </si>
  <si>
    <t>0211</t>
  </si>
  <si>
    <t>0051</t>
  </si>
  <si>
    <t>9033</t>
  </si>
  <si>
    <t>0068</t>
  </si>
  <si>
    <t>9013</t>
  </si>
  <si>
    <t>01</t>
  </si>
  <si>
    <t>0157</t>
  </si>
  <si>
    <t>0065</t>
  </si>
  <si>
    <t>0070</t>
  </si>
  <si>
    <t>9011</t>
  </si>
  <si>
    <t>0025</t>
  </si>
  <si>
    <t>0043</t>
  </si>
  <si>
    <t>0058</t>
  </si>
  <si>
    <t>9049</t>
  </si>
  <si>
    <t>0047</t>
  </si>
  <si>
    <t>9026</t>
  </si>
  <si>
    <t>0048</t>
  </si>
  <si>
    <t>9025</t>
  </si>
  <si>
    <t>9004</t>
  </si>
  <si>
    <t>0020</t>
  </si>
  <si>
    <t>0088</t>
  </si>
  <si>
    <t>0050</t>
  </si>
  <si>
    <t>0055</t>
  </si>
  <si>
    <t>0059</t>
  </si>
  <si>
    <t>0056</t>
  </si>
  <si>
    <t>0066</t>
  </si>
  <si>
    <t>0052</t>
  </si>
  <si>
    <t>0049</t>
  </si>
  <si>
    <t>0078</t>
  </si>
  <si>
    <t>0220</t>
  </si>
  <si>
    <t>0221</t>
  </si>
  <si>
    <t>0222</t>
  </si>
  <si>
    <t>0223</t>
  </si>
  <si>
    <t>0224</t>
  </si>
  <si>
    <t>0225</t>
  </si>
  <si>
    <t>0226</t>
  </si>
  <si>
    <t>0026</t>
  </si>
  <si>
    <t>0054</t>
  </si>
  <si>
    <t>ID</t>
  </si>
  <si>
    <t>0116</t>
  </si>
  <si>
    <t>9096</t>
  </si>
  <si>
    <t>9075</t>
  </si>
  <si>
    <t>9076</t>
  </si>
  <si>
    <t>9097</t>
  </si>
  <si>
    <t>9077</t>
  </si>
  <si>
    <t>9095</t>
  </si>
  <si>
    <t>9098</t>
  </si>
  <si>
    <t>0170</t>
  </si>
  <si>
    <t>9079</t>
  </si>
  <si>
    <t>9080</t>
  </si>
  <si>
    <t>0115</t>
  </si>
  <si>
    <t>9081</t>
  </si>
  <si>
    <t>9082</t>
  </si>
  <si>
    <t>9134</t>
  </si>
  <si>
    <t>9123</t>
  </si>
  <si>
    <t>9124</t>
  </si>
  <si>
    <t>9099</t>
  </si>
  <si>
    <t>9100</t>
  </si>
  <si>
    <t>9015</t>
  </si>
  <si>
    <t>9101</t>
  </si>
  <si>
    <t>9085</t>
  </si>
  <si>
    <t>9086</t>
  </si>
  <si>
    <t>9016</t>
  </si>
  <si>
    <t>0087</t>
  </si>
  <si>
    <t>9050</t>
  </si>
  <si>
    <t>9061</t>
  </si>
  <si>
    <t>0166</t>
  </si>
  <si>
    <t>9009</t>
  </si>
  <si>
    <t>9010</t>
  </si>
  <si>
    <t>9014</t>
  </si>
  <si>
    <t>9005</t>
  </si>
  <si>
    <t>9031</t>
  </si>
  <si>
    <t>9018</t>
  </si>
  <si>
    <t>9071</t>
  </si>
  <si>
    <t>9022</t>
  </si>
  <si>
    <t>9052</t>
  </si>
  <si>
    <t>9087</t>
  </si>
  <si>
    <t>9130</t>
  </si>
  <si>
    <t>9089</t>
  </si>
  <si>
    <t>9102</t>
  </si>
  <si>
    <t>9103</t>
  </si>
  <si>
    <t>9120</t>
  </si>
  <si>
    <t>9131</t>
  </si>
  <si>
    <t>9132</t>
  </si>
  <si>
    <t>9133</t>
  </si>
  <si>
    <t>9105</t>
  </si>
  <si>
    <t>9107</t>
  </si>
  <si>
    <t>9118</t>
  </si>
  <si>
    <t>9126</t>
  </si>
  <si>
    <t>9127</t>
  </si>
  <si>
    <t>9128</t>
  </si>
  <si>
    <t>9129</t>
  </si>
  <si>
    <t>9112</t>
  </si>
  <si>
    <t>9017</t>
  </si>
  <si>
    <t>9090</t>
  </si>
  <si>
    <t>9137</t>
  </si>
  <si>
    <t>9115</t>
  </si>
  <si>
    <t>9046</t>
  </si>
  <si>
    <t>9136</t>
  </si>
  <si>
    <t>9092</t>
  </si>
  <si>
    <t>9116</t>
  </si>
  <si>
    <t>9093</t>
  </si>
  <si>
    <t>9117</t>
  </si>
  <si>
    <t>9135</t>
  </si>
  <si>
    <t>9108</t>
  </si>
  <si>
    <t>0123</t>
  </si>
  <si>
    <t>9109</t>
  </si>
  <si>
    <t>0212</t>
  </si>
  <si>
    <t>9119</t>
  </si>
  <si>
    <t>9067</t>
  </si>
  <si>
    <t>9094</t>
  </si>
  <si>
    <t>0021</t>
  </si>
  <si>
    <t>0178</t>
  </si>
  <si>
    <t>0162</t>
  </si>
  <si>
    <t>0029</t>
  </si>
  <si>
    <t>0194</t>
  </si>
  <si>
    <t>0175</t>
  </si>
  <si>
    <t>0235</t>
  </si>
  <si>
    <t>0183</t>
  </si>
  <si>
    <t>0237</t>
  </si>
  <si>
    <t>0198</t>
  </si>
  <si>
    <t>0158</t>
  </si>
  <si>
    <t>0232</t>
  </si>
  <si>
    <t>0238</t>
  </si>
  <si>
    <t>0239</t>
  </si>
  <si>
    <t>0240</t>
  </si>
  <si>
    <t>0241</t>
  </si>
  <si>
    <t>0234</t>
  </si>
  <si>
    <t>0242</t>
  </si>
  <si>
    <t>0227</t>
  </si>
  <si>
    <t>0243</t>
  </si>
  <si>
    <t>0245</t>
  </si>
  <si>
    <t>0089</t>
  </si>
  <si>
    <t>0090</t>
  </si>
  <si>
    <t>0140</t>
  </si>
  <si>
    <t>9008</t>
  </si>
  <si>
    <t>8002</t>
  </si>
  <si>
    <t>8004</t>
  </si>
  <si>
    <t>0045</t>
  </si>
  <si>
    <t>0060</t>
  </si>
  <si>
    <t>0057</t>
  </si>
  <si>
    <t>9035</t>
  </si>
  <si>
    <t>LOPEZ MEDINA JOSE CARLOS</t>
  </si>
  <si>
    <t>OPERADOR DE MOTOCONFORMADORA</t>
  </si>
  <si>
    <t>OPERADOR DE RETROEXAVADORA</t>
  </si>
  <si>
    <t>0134</t>
  </si>
  <si>
    <t>TEJEDA DE LA PAZ CLAUDIA</t>
  </si>
  <si>
    <t>FLORES CORONA ROBERTO CARLOS</t>
  </si>
  <si>
    <t>LOPEZ GARCIA IVAN</t>
  </si>
  <si>
    <t>ENC. DE ECA</t>
  </si>
  <si>
    <t>ECA</t>
  </si>
  <si>
    <t>FLOR RAMONA NUÑEZ GARCIA</t>
  </si>
  <si>
    <t>0</t>
  </si>
  <si>
    <t>BECJ990411HJCNRN04</t>
  </si>
  <si>
    <t>ROUA020501HJCSLNA6</t>
  </si>
  <si>
    <t>AUJG951017HJCNMB06</t>
  </si>
  <si>
    <t>Publicadas en el D. O. F. el dia 11 de Enero de 2021</t>
  </si>
  <si>
    <t xml:space="preserve">               EJERCICIO 2021</t>
  </si>
  <si>
    <t>T ARIFA MENSUAL</t>
  </si>
  <si>
    <t>0248</t>
  </si>
  <si>
    <t>0249</t>
  </si>
  <si>
    <t>0250</t>
  </si>
  <si>
    <t>9036</t>
  </si>
  <si>
    <t>9139</t>
  </si>
  <si>
    <r>
      <t>( SUELDOS QUINCENALES)</t>
    </r>
    <r>
      <rPr>
        <b/>
        <i/>
        <sz val="12"/>
        <rFont val="Arial"/>
        <family val="2"/>
      </rPr>
      <t xml:space="preserve"> </t>
    </r>
    <r>
      <rPr>
        <b/>
        <sz val="12"/>
        <rFont val="Arial"/>
        <family val="2"/>
      </rPr>
      <t xml:space="preserve">  </t>
    </r>
  </si>
  <si>
    <t>NOMINA DE DIETAS 2DA QUINCENA DE ENERO DE 2021</t>
  </si>
  <si>
    <t>NOMINA 2DA QUINCENA DE ENERO DE 2021</t>
  </si>
  <si>
    <t>NOMINA 2DA QUINCENA DE ENERO DE  2021</t>
  </si>
  <si>
    <t>SUELDOS 2DA QUINCENA DE ENERO DE 2021</t>
  </si>
  <si>
    <t>DEPTO.DE PARTICIPACION SOCIAL</t>
  </si>
  <si>
    <t>DIR.PARTICIPACION SOCIAL</t>
  </si>
  <si>
    <t>AUX PARTICIPACION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</si>
</sst>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-[$€]* #,##0.00_-;\-[$€]* #,##0.00_-;_-[$€]* &quot;-&quot;??_-;_-@_-"/>
    <numFmt numFmtId="167" formatCode="General_)"/>
    <numFmt numFmtId="168" formatCode="#,##0.00_ ;[Red]\-#,##0.00\ "/>
  </numFmts>
  <fonts count="4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4"/>
      <color indexed="17"/>
      <name val="Verdana"/>
      <family val="2"/>
    </font>
    <font>
      <sz val="10"/>
      <color indexed="1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5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1"/>
      <color theme="0"/>
      <name val="Arial"/>
      <family val="2"/>
    </font>
    <font>
      <b/>
      <sz val="8"/>
      <color theme="0"/>
      <name val="Arial"/>
      <family val="2"/>
    </font>
    <font>
      <sz val="10"/>
      <color theme="9" tint="-0.249977111117893"/>
      <name val="Arial"/>
      <family val="2"/>
    </font>
    <font>
      <b/>
      <sz val="13"/>
      <color theme="2" tint="-0.89999084444715716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2"/>
      <color theme="9" tint="-0.249977111117893"/>
      <name val="Verdana"/>
      <family val="2"/>
    </font>
    <font>
      <b/>
      <sz val="14"/>
      <color theme="9" tint="-0.249977111117893"/>
      <name val="Arial Black"/>
      <family val="2"/>
    </font>
    <font>
      <b/>
      <sz val="12"/>
      <color theme="9" tint="-0.249977111117893"/>
      <name val="Arial Black"/>
      <family val="2"/>
    </font>
    <font>
      <b/>
      <sz val="16"/>
      <color theme="9" tint="-0.249977111117893"/>
      <name val="Verdana"/>
      <family val="2"/>
    </font>
    <font>
      <b/>
      <sz val="17"/>
      <color theme="9" tint="-0.249977111117893"/>
      <name val="Verdana"/>
      <family val="2"/>
    </font>
    <font>
      <b/>
      <sz val="16"/>
      <color theme="9" tint="-0.249977111117893"/>
      <name val="Arial Black"/>
      <family val="2"/>
    </font>
    <font>
      <sz val="10"/>
      <name val="Courier"/>
      <family val="3"/>
    </font>
    <font>
      <b/>
      <i/>
      <sz val="12"/>
      <name val="Times New Roman"/>
      <family val="1"/>
    </font>
    <font>
      <b/>
      <i/>
      <sz val="12"/>
      <name val="Arial"/>
      <family val="2"/>
    </font>
    <font>
      <b/>
      <sz val="11"/>
      <color indexed="12"/>
      <name val="Arial"/>
      <family val="2"/>
    </font>
    <font>
      <b/>
      <sz val="10"/>
      <name val="Courier"/>
      <family val="3"/>
    </font>
    <font>
      <i/>
      <sz val="11"/>
      <name val="Arial"/>
      <family val="2"/>
    </font>
    <font>
      <b/>
      <i/>
      <sz val="11"/>
      <name val="Arial"/>
      <family val="2"/>
    </font>
    <font>
      <b/>
      <i/>
      <sz val="11"/>
      <name val="Times New Roman"/>
      <family val="1"/>
    </font>
    <font>
      <i/>
      <sz val="11"/>
      <name val="Times New Roman"/>
      <family val="1"/>
    </font>
    <font>
      <sz val="9"/>
      <color indexed="17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47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35" fillId="0" borderId="0"/>
    <xf numFmtId="164" fontId="1" fillId="0" borderId="0" applyFont="0" applyFill="0" applyBorder="0" applyAlignment="0" applyProtection="0"/>
  </cellStyleXfs>
  <cellXfs count="552">
    <xf numFmtId="0" fontId="0" fillId="0" borderId="0" xfId="0"/>
    <xf numFmtId="0" fontId="0" fillId="0" borderId="0" xfId="0" applyProtection="1"/>
    <xf numFmtId="0" fontId="1" fillId="0" borderId="0" xfId="0" applyFont="1" applyProtection="1"/>
    <xf numFmtId="168" fontId="6" fillId="0" borderId="1" xfId="2" applyNumberFormat="1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center"/>
      <protection locked="0"/>
    </xf>
    <xf numFmtId="168" fontId="1" fillId="0" borderId="2" xfId="2" applyNumberFormat="1" applyFont="1" applyBorder="1" applyAlignment="1" applyProtection="1">
      <alignment horizontal="right"/>
    </xf>
    <xf numFmtId="0" fontId="2" fillId="0" borderId="0" xfId="0" applyFont="1" applyProtection="1"/>
    <xf numFmtId="0" fontId="2" fillId="0" borderId="2" xfId="0" applyFont="1" applyBorder="1" applyAlignment="1" applyProtection="1">
      <alignment horizontal="left"/>
      <protection locked="0"/>
    </xf>
    <xf numFmtId="0" fontId="0" fillId="0" borderId="0" xfId="0" applyFill="1" applyProtection="1"/>
    <xf numFmtId="0" fontId="6" fillId="0" borderId="3" xfId="0" applyFont="1" applyFill="1" applyBorder="1" applyAlignment="1" applyProtection="1">
      <alignment horizontal="center"/>
    </xf>
    <xf numFmtId="168" fontId="0" fillId="0" borderId="0" xfId="0" applyNumberFormat="1" applyProtection="1"/>
    <xf numFmtId="0" fontId="10" fillId="2" borderId="0" xfId="0" applyFont="1" applyFill="1" applyProtection="1"/>
    <xf numFmtId="0" fontId="10" fillId="0" borderId="0" xfId="0" applyFont="1"/>
    <xf numFmtId="0" fontId="1" fillId="4" borderId="2" xfId="0" applyFont="1" applyFill="1" applyBorder="1" applyAlignment="1" applyProtection="1">
      <alignment horizontal="left"/>
      <protection locked="0"/>
    </xf>
    <xf numFmtId="0" fontId="0" fillId="0" borderId="0" xfId="0" applyProtection="1">
      <protection hidden="1"/>
    </xf>
    <xf numFmtId="0" fontId="3" fillId="0" borderId="3" xfId="0" applyFont="1" applyFill="1" applyBorder="1" applyAlignment="1" applyProtection="1">
      <alignment horizontal="center"/>
      <protection hidden="1"/>
    </xf>
    <xf numFmtId="0" fontId="6" fillId="0" borderId="3" xfId="0" applyFont="1" applyFill="1" applyBorder="1" applyAlignment="1" applyProtection="1">
      <alignment horizontal="center"/>
      <protection hidden="1"/>
    </xf>
    <xf numFmtId="0" fontId="0" fillId="0" borderId="0" xfId="0" applyFill="1" applyProtection="1">
      <protection hidden="1"/>
    </xf>
    <xf numFmtId="168" fontId="1" fillId="0" borderId="2" xfId="2" applyNumberFormat="1" applyFont="1" applyFill="1" applyBorder="1" applyAlignment="1" applyProtection="1">
      <alignment horizontal="right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1" fillId="0" borderId="0" xfId="0" applyFont="1" applyBorder="1" applyProtection="1"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4" fillId="0" borderId="6" xfId="0" applyFont="1" applyBorder="1" applyAlignment="1" applyProtection="1">
      <alignment horizontal="center"/>
      <protection hidden="1"/>
    </xf>
    <xf numFmtId="1" fontId="2" fillId="0" borderId="6" xfId="2" applyNumberFormat="1" applyFont="1" applyBorder="1" applyAlignment="1" applyProtection="1">
      <alignment horizontal="right"/>
      <protection hidden="1"/>
    </xf>
    <xf numFmtId="1" fontId="2" fillId="0" borderId="6" xfId="2" applyNumberFormat="1" applyFont="1" applyFill="1" applyBorder="1" applyAlignment="1" applyProtection="1">
      <alignment horizontal="right"/>
      <protection hidden="1"/>
    </xf>
    <xf numFmtId="1" fontId="2" fillId="0" borderId="0" xfId="2" applyNumberFormat="1" applyFont="1" applyFill="1" applyBorder="1" applyAlignment="1" applyProtection="1">
      <alignment horizontal="right"/>
      <protection hidden="1"/>
    </xf>
    <xf numFmtId="168" fontId="6" fillId="0" borderId="1" xfId="2" applyNumberFormat="1" applyFont="1" applyBorder="1" applyAlignment="1" applyProtection="1">
      <alignment horizontal="right"/>
      <protection hidden="1"/>
    </xf>
    <xf numFmtId="168" fontId="6" fillId="3" borderId="1" xfId="2" applyNumberFormat="1" applyFont="1" applyFill="1" applyBorder="1" applyAlignment="1" applyProtection="1">
      <alignment horizontal="right"/>
      <protection hidden="1"/>
    </xf>
    <xf numFmtId="0" fontId="1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left"/>
      <protection hidden="1"/>
    </xf>
    <xf numFmtId="0" fontId="2" fillId="0" borderId="0" xfId="0" applyFont="1" applyAlignment="1" applyProtection="1">
      <alignment horizontal="left"/>
      <protection hidden="1"/>
    </xf>
    <xf numFmtId="0" fontId="10" fillId="0" borderId="0" xfId="0" applyFont="1" applyProtection="1">
      <protection hidden="1"/>
    </xf>
    <xf numFmtId="0" fontId="1" fillId="0" borderId="0" xfId="0" applyFont="1"/>
    <xf numFmtId="0" fontId="0" fillId="0" borderId="0" xfId="0" applyBorder="1" applyProtection="1">
      <protection hidden="1"/>
    </xf>
    <xf numFmtId="0" fontId="2" fillId="0" borderId="0" xfId="0" applyFont="1" applyBorder="1" applyProtection="1">
      <protection hidden="1"/>
    </xf>
    <xf numFmtId="0" fontId="5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0" fillId="0" borderId="0" xfId="0" applyFill="1" applyBorder="1" applyProtection="1"/>
    <xf numFmtId="0" fontId="1" fillId="4" borderId="8" xfId="0" applyFont="1" applyFill="1" applyBorder="1" applyAlignment="1" applyProtection="1">
      <alignment horizontal="left"/>
      <protection locked="0"/>
    </xf>
    <xf numFmtId="0" fontId="1" fillId="4" borderId="9" xfId="0" applyFont="1" applyFill="1" applyBorder="1" applyAlignment="1" applyProtection="1">
      <alignment horizontal="left"/>
      <protection locked="0"/>
    </xf>
    <xf numFmtId="0" fontId="3" fillId="0" borderId="10" xfId="0" applyFont="1" applyFill="1" applyBorder="1" applyAlignment="1" applyProtection="1">
      <alignment horizontal="center"/>
    </xf>
    <xf numFmtId="168" fontId="2" fillId="0" borderId="1" xfId="2" applyNumberFormat="1" applyFont="1" applyBorder="1" applyAlignment="1" applyProtection="1">
      <alignment horizontal="right"/>
      <protection hidden="1"/>
    </xf>
    <xf numFmtId="0" fontId="0" fillId="0" borderId="6" xfId="0" applyBorder="1" applyProtection="1">
      <protection hidden="1"/>
    </xf>
    <xf numFmtId="0" fontId="0" fillId="0" borderId="12" xfId="0" applyBorder="1" applyProtection="1">
      <protection hidden="1"/>
    </xf>
    <xf numFmtId="0" fontId="10" fillId="0" borderId="6" xfId="0" applyFont="1" applyBorder="1" applyProtection="1">
      <protection hidden="1"/>
    </xf>
    <xf numFmtId="0" fontId="10" fillId="0" borderId="12" xfId="0" applyFont="1" applyBorder="1" applyProtection="1">
      <protection hidden="1"/>
    </xf>
    <xf numFmtId="168" fontId="3" fillId="0" borderId="13" xfId="0" applyNumberFormat="1" applyFont="1" applyBorder="1" applyProtection="1"/>
    <xf numFmtId="43" fontId="0" fillId="0" borderId="0" xfId="2" applyFont="1" applyProtection="1">
      <protection hidden="1"/>
    </xf>
    <xf numFmtId="43" fontId="0" fillId="0" borderId="0" xfId="0" applyNumberFormat="1" applyProtection="1">
      <protection hidden="1"/>
    </xf>
    <xf numFmtId="0" fontId="0" fillId="0" borderId="13" xfId="0" applyBorder="1" applyProtection="1">
      <protection hidden="1"/>
    </xf>
    <xf numFmtId="43" fontId="0" fillId="0" borderId="0" xfId="2" applyFont="1" applyProtection="1"/>
    <xf numFmtId="43" fontId="0" fillId="0" borderId="0" xfId="2" applyFont="1" applyFill="1" applyBorder="1" applyProtection="1"/>
    <xf numFmtId="43" fontId="0" fillId="0" borderId="0" xfId="0" applyNumberFormat="1" applyProtection="1"/>
    <xf numFmtId="0" fontId="1" fillId="4" borderId="0" xfId="0" applyFont="1" applyFill="1" applyBorder="1" applyAlignment="1" applyProtection="1">
      <alignment horizontal="left"/>
      <protection locked="0"/>
    </xf>
    <xf numFmtId="43" fontId="1" fillId="4" borderId="0" xfId="2" applyFont="1" applyFill="1" applyBorder="1" applyAlignment="1" applyProtection="1">
      <alignment horizontal="left"/>
      <protection locked="0"/>
    </xf>
    <xf numFmtId="0" fontId="1" fillId="4" borderId="14" xfId="0" applyFont="1" applyFill="1" applyBorder="1" applyAlignment="1" applyProtection="1">
      <alignment horizontal="left"/>
      <protection locked="0"/>
    </xf>
    <xf numFmtId="0" fontId="0" fillId="0" borderId="15" xfId="0" applyBorder="1" applyProtection="1">
      <protection hidden="1"/>
    </xf>
    <xf numFmtId="0" fontId="0" fillId="0" borderId="15" xfId="0" applyBorder="1" applyProtection="1"/>
    <xf numFmtId="0" fontId="2" fillId="0" borderId="15" xfId="0" applyFont="1" applyBorder="1" applyProtection="1">
      <protection hidden="1"/>
    </xf>
    <xf numFmtId="168" fontId="1" fillId="0" borderId="16" xfId="2" applyNumberFormat="1" applyFont="1" applyFill="1" applyBorder="1" applyAlignment="1" applyProtection="1">
      <alignment horizontal="right"/>
      <protection hidden="1"/>
    </xf>
    <xf numFmtId="0" fontId="5" fillId="0" borderId="0" xfId="0" applyFont="1" applyBorder="1" applyAlignment="1" applyProtection="1">
      <alignment horizontal="left"/>
      <protection locked="0"/>
    </xf>
    <xf numFmtId="0" fontId="0" fillId="0" borderId="0" xfId="0" applyBorder="1" applyProtection="1"/>
    <xf numFmtId="0" fontId="5" fillId="0" borderId="0" xfId="0" applyFont="1" applyProtection="1"/>
    <xf numFmtId="0" fontId="6" fillId="0" borderId="13" xfId="0" applyFont="1" applyFill="1" applyBorder="1" applyAlignment="1" applyProtection="1">
      <alignment horizontal="left"/>
      <protection locked="0"/>
    </xf>
    <xf numFmtId="0" fontId="6" fillId="0" borderId="13" xfId="0" applyFont="1" applyBorder="1" applyProtection="1"/>
    <xf numFmtId="168" fontId="6" fillId="0" borderId="13" xfId="0" applyNumberFormat="1" applyFont="1" applyBorder="1" applyProtection="1"/>
    <xf numFmtId="168" fontId="0" fillId="0" borderId="0" xfId="0" applyNumberFormat="1" applyProtection="1">
      <protection hidden="1"/>
    </xf>
    <xf numFmtId="0" fontId="1" fillId="0" borderId="6" xfId="0" applyFont="1" applyBorder="1" applyAlignment="1" applyProtection="1">
      <alignment horizontal="center"/>
      <protection hidden="1"/>
    </xf>
    <xf numFmtId="0" fontId="1" fillId="0" borderId="18" xfId="0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center"/>
      <protection locked="0"/>
    </xf>
    <xf numFmtId="43" fontId="1" fillId="0" borderId="19" xfId="2" applyFont="1" applyFill="1" applyBorder="1" applyAlignment="1" applyProtection="1">
      <alignment horizontal="right"/>
    </xf>
    <xf numFmtId="168" fontId="1" fillId="0" borderId="19" xfId="2" applyNumberFormat="1" applyFont="1" applyFill="1" applyBorder="1" applyAlignment="1" applyProtection="1">
      <alignment horizontal="right"/>
      <protection hidden="1"/>
    </xf>
    <xf numFmtId="168" fontId="1" fillId="0" borderId="20" xfId="2" applyNumberFormat="1" applyFont="1" applyFill="1" applyBorder="1" applyAlignment="1" applyProtection="1">
      <alignment horizontal="right"/>
      <protection hidden="1"/>
    </xf>
    <xf numFmtId="0" fontId="1" fillId="0" borderId="21" xfId="0" applyFont="1" applyBorder="1" applyAlignment="1" applyProtection="1">
      <alignment horizontal="center"/>
      <protection locked="0"/>
    </xf>
    <xf numFmtId="168" fontId="1" fillId="0" borderId="21" xfId="2" applyNumberFormat="1" applyFont="1" applyFill="1" applyBorder="1" applyAlignment="1" applyProtection="1">
      <alignment horizontal="right"/>
      <protection hidden="1"/>
    </xf>
    <xf numFmtId="168" fontId="1" fillId="0" borderId="22" xfId="2" applyNumberFormat="1" applyFont="1" applyFill="1" applyBorder="1" applyAlignment="1" applyProtection="1">
      <alignment horizontal="right"/>
      <protection hidden="1"/>
    </xf>
    <xf numFmtId="0" fontId="0" fillId="0" borderId="23" xfId="0" applyBorder="1" applyProtection="1"/>
    <xf numFmtId="0" fontId="1" fillId="0" borderId="24" xfId="0" applyFont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left"/>
      <protection locked="0"/>
    </xf>
    <xf numFmtId="168" fontId="1" fillId="0" borderId="0" xfId="2" applyNumberFormat="1" applyFont="1" applyFill="1" applyBorder="1" applyAlignment="1" applyProtection="1">
      <alignment horizontal="right"/>
      <protection hidden="1"/>
    </xf>
    <xf numFmtId="168" fontId="1" fillId="0" borderId="24" xfId="2" applyNumberFormat="1" applyFont="1" applyFill="1" applyBorder="1" applyAlignment="1" applyProtection="1">
      <alignment horizontal="right"/>
      <protection hidden="1"/>
    </xf>
    <xf numFmtId="0" fontId="1" fillId="0" borderId="21" xfId="0" applyFont="1" applyBorder="1" applyAlignment="1" applyProtection="1">
      <alignment horizontal="left"/>
      <protection locked="0"/>
    </xf>
    <xf numFmtId="168" fontId="1" fillId="0" borderId="21" xfId="2" applyNumberFormat="1" applyFont="1" applyFill="1" applyBorder="1" applyAlignment="1" applyProtection="1">
      <alignment horizontal="right"/>
    </xf>
    <xf numFmtId="0" fontId="0" fillId="0" borderId="17" xfId="0" applyBorder="1" applyProtection="1">
      <protection hidden="1"/>
    </xf>
    <xf numFmtId="0" fontId="0" fillId="0" borderId="26" xfId="0" applyBorder="1" applyProtection="1">
      <protection hidden="1"/>
    </xf>
    <xf numFmtId="0" fontId="7" fillId="5" borderId="3" xfId="0" applyFont="1" applyFill="1" applyBorder="1" applyProtection="1">
      <protection hidden="1"/>
    </xf>
    <xf numFmtId="0" fontId="3" fillId="5" borderId="3" xfId="0" applyFont="1" applyFill="1" applyBorder="1" applyAlignment="1" applyProtection="1">
      <alignment horizontal="center"/>
      <protection hidden="1"/>
    </xf>
    <xf numFmtId="0" fontId="3" fillId="5" borderId="5" xfId="0" applyFont="1" applyFill="1" applyBorder="1" applyAlignment="1" applyProtection="1">
      <alignment horizontal="center"/>
      <protection hidden="1"/>
    </xf>
    <xf numFmtId="0" fontId="0" fillId="5" borderId="0" xfId="0" applyFill="1" applyProtection="1">
      <protection hidden="1"/>
    </xf>
    <xf numFmtId="43" fontId="3" fillId="5" borderId="3" xfId="2" applyFont="1" applyFill="1" applyBorder="1" applyAlignment="1" applyProtection="1">
      <alignment horizontal="center"/>
      <protection hidden="1"/>
    </xf>
    <xf numFmtId="0" fontId="3" fillId="5" borderId="4" xfId="0" applyFont="1" applyFill="1" applyBorder="1" applyAlignment="1" applyProtection="1">
      <alignment horizontal="center"/>
      <protection hidden="1"/>
    </xf>
    <xf numFmtId="0" fontId="3" fillId="5" borderId="13" xfId="0" applyFont="1" applyFill="1" applyBorder="1" applyAlignment="1" applyProtection="1">
      <alignment horizontal="center"/>
      <protection hidden="1"/>
    </xf>
    <xf numFmtId="0" fontId="6" fillId="5" borderId="4" xfId="0" applyFont="1" applyFill="1" applyBorder="1" applyAlignment="1" applyProtection="1">
      <alignment horizontal="center"/>
      <protection hidden="1"/>
    </xf>
    <xf numFmtId="0" fontId="6" fillId="5" borderId="13" xfId="0" applyFont="1" applyFill="1" applyBorder="1" applyAlignment="1" applyProtection="1">
      <alignment horizontal="center"/>
      <protection hidden="1"/>
    </xf>
    <xf numFmtId="10" fontId="1" fillId="0" borderId="13" xfId="4" applyNumberFormat="1" applyFont="1" applyFill="1" applyBorder="1" applyAlignment="1" applyProtection="1">
      <alignment horizontal="right"/>
      <protection hidden="1"/>
    </xf>
    <xf numFmtId="0" fontId="2" fillId="5" borderId="4" xfId="0" applyFont="1" applyFill="1" applyBorder="1" applyAlignment="1" applyProtection="1">
      <alignment horizontal="center"/>
      <protection hidden="1"/>
    </xf>
    <xf numFmtId="0" fontId="2" fillId="5" borderId="13" xfId="0" applyFont="1" applyFill="1" applyBorder="1" applyAlignment="1" applyProtection="1">
      <alignment horizontal="center"/>
      <protection hidden="1"/>
    </xf>
    <xf numFmtId="0" fontId="7" fillId="5" borderId="4" xfId="0" applyFont="1" applyFill="1" applyBorder="1" applyProtection="1">
      <protection hidden="1"/>
    </xf>
    <xf numFmtId="0" fontId="3" fillId="5" borderId="27" xfId="0" applyFont="1" applyFill="1" applyBorder="1" applyAlignment="1" applyProtection="1">
      <alignment horizontal="center"/>
      <protection hidden="1"/>
    </xf>
    <xf numFmtId="0" fontId="6" fillId="5" borderId="3" xfId="0" applyFont="1" applyFill="1" applyBorder="1" applyAlignment="1" applyProtection="1">
      <alignment horizontal="center"/>
      <protection hidden="1"/>
    </xf>
    <xf numFmtId="168" fontId="6" fillId="5" borderId="1" xfId="2" applyNumberFormat="1" applyFont="1" applyFill="1" applyBorder="1" applyAlignment="1" applyProtection="1">
      <alignment horizontal="right"/>
      <protection hidden="1"/>
    </xf>
    <xf numFmtId="0" fontId="7" fillId="5" borderId="4" xfId="0" applyFont="1" applyFill="1" applyBorder="1" applyProtection="1"/>
    <xf numFmtId="0" fontId="7" fillId="5" borderId="3" xfId="0" applyFont="1" applyFill="1" applyBorder="1" applyProtection="1"/>
    <xf numFmtId="0" fontId="3" fillId="5" borderId="3" xfId="0" applyFont="1" applyFill="1" applyBorder="1" applyAlignment="1" applyProtection="1">
      <alignment horizontal="center"/>
    </xf>
    <xf numFmtId="0" fontId="3" fillId="5" borderId="0" xfId="0" applyFont="1" applyFill="1" applyBorder="1" applyAlignment="1" applyProtection="1">
      <alignment horizontal="center"/>
    </xf>
    <xf numFmtId="0" fontId="3" fillId="5" borderId="5" xfId="0" applyFont="1" applyFill="1" applyBorder="1" applyAlignment="1" applyProtection="1">
      <alignment horizontal="center"/>
    </xf>
    <xf numFmtId="43" fontId="3" fillId="5" borderId="3" xfId="2" applyFont="1" applyFill="1" applyBorder="1" applyAlignment="1" applyProtection="1">
      <alignment horizontal="center"/>
    </xf>
    <xf numFmtId="0" fontId="3" fillId="5" borderId="4" xfId="0" applyFont="1" applyFill="1" applyBorder="1" applyAlignment="1" applyProtection="1">
      <alignment horizontal="center"/>
    </xf>
    <xf numFmtId="0" fontId="3" fillId="5" borderId="13" xfId="0" applyFont="1" applyFill="1" applyBorder="1" applyAlignment="1" applyProtection="1">
      <alignment horizontal="center"/>
    </xf>
    <xf numFmtId="0" fontId="6" fillId="5" borderId="4" xfId="0" applyFont="1" applyFill="1" applyBorder="1" applyAlignment="1" applyProtection="1">
      <alignment horizontal="center"/>
    </xf>
    <xf numFmtId="0" fontId="6" fillId="5" borderId="13" xfId="0" applyFont="1" applyFill="1" applyBorder="1" applyAlignment="1" applyProtection="1">
      <alignment horizontal="center"/>
    </xf>
    <xf numFmtId="0" fontId="3" fillId="5" borderId="6" xfId="0" applyFont="1" applyFill="1" applyBorder="1" applyAlignment="1" applyProtection="1">
      <alignment horizontal="center"/>
    </xf>
    <xf numFmtId="0" fontId="3" fillId="5" borderId="14" xfId="0" applyFont="1" applyFill="1" applyBorder="1" applyAlignment="1" applyProtection="1">
      <alignment horizontal="center"/>
    </xf>
    <xf numFmtId="0" fontId="11" fillId="5" borderId="4" xfId="0" applyFont="1" applyFill="1" applyBorder="1" applyProtection="1">
      <protection hidden="1"/>
    </xf>
    <xf numFmtId="0" fontId="12" fillId="5" borderId="26" xfId="0" applyFont="1" applyFill="1" applyBorder="1" applyAlignment="1" applyProtection="1">
      <alignment horizontal="center"/>
      <protection hidden="1"/>
    </xf>
    <xf numFmtId="0" fontId="12" fillId="5" borderId="3" xfId="0" applyFont="1" applyFill="1" applyBorder="1" applyAlignment="1" applyProtection="1">
      <alignment horizontal="center"/>
      <protection hidden="1"/>
    </xf>
    <xf numFmtId="0" fontId="12" fillId="5" borderId="4" xfId="0" applyFont="1" applyFill="1" applyBorder="1" applyAlignment="1" applyProtection="1">
      <alignment horizontal="center"/>
      <protection hidden="1"/>
    </xf>
    <xf numFmtId="0" fontId="12" fillId="5" borderId="13" xfId="0" applyFont="1" applyFill="1" applyBorder="1" applyAlignment="1" applyProtection="1">
      <alignment horizontal="center"/>
      <protection hidden="1"/>
    </xf>
    <xf numFmtId="0" fontId="23" fillId="5" borderId="13" xfId="0" applyFont="1" applyFill="1" applyBorder="1" applyAlignment="1" applyProtection="1">
      <alignment horizontal="center"/>
    </xf>
    <xf numFmtId="0" fontId="24" fillId="5" borderId="13" xfId="0" applyFont="1" applyFill="1" applyBorder="1" applyAlignment="1" applyProtection="1">
      <alignment horizontal="center"/>
    </xf>
    <xf numFmtId="0" fontId="24" fillId="5" borderId="26" xfId="0" applyFont="1" applyFill="1" applyBorder="1" applyAlignment="1" applyProtection="1">
      <alignment horizontal="center"/>
    </xf>
    <xf numFmtId="0" fontId="25" fillId="0" borderId="28" xfId="0" applyFont="1" applyBorder="1" applyProtection="1">
      <protection hidden="1"/>
    </xf>
    <xf numFmtId="0" fontId="2" fillId="0" borderId="0" xfId="0" applyFont="1" applyBorder="1" applyAlignment="1" applyProtection="1">
      <alignment horizontal="center"/>
      <protection hidden="1"/>
    </xf>
    <xf numFmtId="168" fontId="6" fillId="0" borderId="0" xfId="2" applyNumberFormat="1" applyFont="1" applyBorder="1" applyAlignment="1" applyProtection="1">
      <alignment horizontal="right"/>
      <protection hidden="1"/>
    </xf>
    <xf numFmtId="168" fontId="6" fillId="0" borderId="0" xfId="2" applyNumberFormat="1" applyFont="1" applyFill="1" applyBorder="1" applyAlignment="1" applyProtection="1">
      <alignment horizontal="right"/>
      <protection hidden="1"/>
    </xf>
    <xf numFmtId="0" fontId="3" fillId="0" borderId="29" xfId="0" applyFont="1" applyFill="1" applyBorder="1" applyAlignment="1" applyProtection="1">
      <alignment horizontal="center"/>
      <protection hidden="1"/>
    </xf>
    <xf numFmtId="0" fontId="3" fillId="0" borderId="16" xfId="0" applyFont="1" applyFill="1" applyBorder="1" applyAlignment="1" applyProtection="1">
      <alignment horizontal="center"/>
      <protection hidden="1"/>
    </xf>
    <xf numFmtId="168" fontId="1" fillId="0" borderId="30" xfId="2" applyNumberFormat="1" applyFont="1" applyFill="1" applyBorder="1" applyAlignment="1" applyProtection="1">
      <alignment horizontal="right"/>
      <protection hidden="1"/>
    </xf>
    <xf numFmtId="0" fontId="6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Border="1" applyProtection="1"/>
    <xf numFmtId="168" fontId="6" fillId="0" borderId="0" xfId="0" applyNumberFormat="1" applyFont="1" applyBorder="1" applyProtection="1"/>
    <xf numFmtId="168" fontId="3" fillId="0" borderId="0" xfId="0" applyNumberFormat="1" applyFont="1" applyBorder="1" applyProtection="1"/>
    <xf numFmtId="0" fontId="11" fillId="5" borderId="6" xfId="0" applyFont="1" applyFill="1" applyBorder="1" applyProtection="1">
      <protection hidden="1"/>
    </xf>
    <xf numFmtId="0" fontId="12" fillId="5" borderId="3" xfId="0" applyFont="1" applyFill="1" applyBorder="1" applyAlignment="1" applyProtection="1">
      <alignment horizontal="center" wrapText="1"/>
      <protection hidden="1"/>
    </xf>
    <xf numFmtId="0" fontId="13" fillId="0" borderId="3" xfId="0" applyFont="1" applyFill="1" applyBorder="1" applyAlignment="1" applyProtection="1">
      <alignment horizontal="center"/>
      <protection hidden="1"/>
    </xf>
    <xf numFmtId="0" fontId="13" fillId="0" borderId="2" xfId="0" applyFont="1" applyBorder="1" applyAlignment="1" applyProtection="1">
      <alignment horizontal="left"/>
      <protection locked="0"/>
    </xf>
    <xf numFmtId="0" fontId="14" fillId="0" borderId="2" xfId="0" applyFont="1" applyBorder="1" applyAlignment="1" applyProtection="1">
      <alignment horizontal="center"/>
      <protection locked="0"/>
    </xf>
    <xf numFmtId="0" fontId="14" fillId="4" borderId="2" xfId="0" applyFont="1" applyFill="1" applyBorder="1" applyAlignment="1" applyProtection="1">
      <alignment horizontal="left"/>
      <protection locked="0"/>
    </xf>
    <xf numFmtId="168" fontId="14" fillId="0" borderId="2" xfId="2" applyNumberFormat="1" applyFont="1" applyFill="1" applyBorder="1" applyAlignment="1" applyProtection="1">
      <alignment horizontal="right"/>
    </xf>
    <xf numFmtId="168" fontId="14" fillId="0" borderId="2" xfId="2" applyNumberFormat="1" applyFont="1" applyFill="1" applyBorder="1" applyAlignment="1" applyProtection="1">
      <alignment horizontal="right"/>
      <protection hidden="1"/>
    </xf>
    <xf numFmtId="168" fontId="14" fillId="0" borderId="16" xfId="2" applyNumberFormat="1" applyFont="1" applyFill="1" applyBorder="1" applyAlignment="1" applyProtection="1">
      <alignment horizontal="right"/>
      <protection hidden="1"/>
    </xf>
    <xf numFmtId="0" fontId="14" fillId="0" borderId="2" xfId="0" applyFont="1" applyBorder="1" applyAlignment="1" applyProtection="1">
      <alignment horizontal="left"/>
      <protection locked="0"/>
    </xf>
    <xf numFmtId="0" fontId="14" fillId="0" borderId="2" xfId="0" applyFont="1" applyBorder="1" applyAlignment="1" applyProtection="1">
      <alignment horizontal="left" wrapText="1"/>
      <protection locked="0"/>
    </xf>
    <xf numFmtId="0" fontId="14" fillId="0" borderId="31" xfId="0" applyFont="1" applyBorder="1" applyAlignment="1" applyProtection="1">
      <alignment horizontal="center"/>
      <protection locked="0"/>
    </xf>
    <xf numFmtId="168" fontId="14" fillId="0" borderId="25" xfId="2" applyNumberFormat="1" applyFont="1" applyFill="1" applyBorder="1" applyAlignment="1" applyProtection="1">
      <alignment horizontal="right"/>
      <protection hidden="1"/>
    </xf>
    <xf numFmtId="168" fontId="14" fillId="0" borderId="32" xfId="2" applyNumberFormat="1" applyFont="1" applyFill="1" applyBorder="1" applyAlignment="1" applyProtection="1">
      <alignment horizontal="right"/>
      <protection hidden="1"/>
    </xf>
    <xf numFmtId="168" fontId="14" fillId="0" borderId="2" xfId="2" applyNumberFormat="1" applyFont="1" applyFill="1" applyBorder="1" applyAlignment="1" applyProtection="1">
      <alignment horizontal="right"/>
      <protection locked="0"/>
    </xf>
    <xf numFmtId="168" fontId="14" fillId="0" borderId="33" xfId="2" applyNumberFormat="1" applyFont="1" applyBorder="1" applyAlignment="1" applyProtection="1">
      <alignment horizontal="right"/>
      <protection locked="0"/>
    </xf>
    <xf numFmtId="1" fontId="14" fillId="0" borderId="25" xfId="2" applyNumberFormat="1" applyFont="1" applyFill="1" applyBorder="1" applyAlignment="1" applyProtection="1">
      <alignment horizontal="right"/>
      <protection hidden="1"/>
    </xf>
    <xf numFmtId="1" fontId="14" fillId="0" borderId="21" xfId="2" applyNumberFormat="1" applyFont="1" applyFill="1" applyBorder="1" applyAlignment="1" applyProtection="1">
      <alignment horizontal="right"/>
      <protection hidden="1"/>
    </xf>
    <xf numFmtId="0" fontId="14" fillId="0" borderId="2" xfId="0" applyFont="1" applyFill="1" applyBorder="1" applyAlignment="1" applyProtection="1">
      <alignment horizontal="center"/>
      <protection locked="0"/>
    </xf>
    <xf numFmtId="0" fontId="14" fillId="0" borderId="2" xfId="0" applyFont="1" applyFill="1" applyBorder="1" applyAlignment="1" applyProtection="1">
      <alignment horizontal="left"/>
      <protection locked="0"/>
    </xf>
    <xf numFmtId="0" fontId="14" fillId="0" borderId="3" xfId="0" applyFont="1" applyFill="1" applyBorder="1" applyAlignment="1" applyProtection="1">
      <alignment horizontal="left"/>
      <protection locked="0"/>
    </xf>
    <xf numFmtId="0" fontId="13" fillId="0" borderId="2" xfId="0" applyFont="1" applyFill="1" applyBorder="1" applyAlignment="1" applyProtection="1">
      <alignment horizontal="left"/>
      <protection locked="0"/>
    </xf>
    <xf numFmtId="43" fontId="14" fillId="0" borderId="2" xfId="2" applyFont="1" applyFill="1" applyBorder="1" applyAlignment="1" applyProtection="1">
      <alignment horizontal="right"/>
    </xf>
    <xf numFmtId="0" fontId="13" fillId="0" borderId="10" xfId="0" applyFont="1" applyFill="1" applyBorder="1" applyAlignment="1" applyProtection="1">
      <alignment horizontal="left"/>
      <protection locked="0"/>
    </xf>
    <xf numFmtId="0" fontId="13" fillId="0" borderId="10" xfId="0" applyFont="1" applyFill="1" applyBorder="1" applyAlignment="1" applyProtection="1">
      <alignment horizontal="center"/>
      <protection locked="0"/>
    </xf>
    <xf numFmtId="0" fontId="13" fillId="0" borderId="10" xfId="0" applyFont="1" applyBorder="1" applyAlignment="1" applyProtection="1">
      <alignment horizontal="center"/>
      <protection locked="0"/>
    </xf>
    <xf numFmtId="0" fontId="13" fillId="0" borderId="10" xfId="0" applyFont="1" applyBorder="1" applyAlignment="1" applyProtection="1">
      <alignment horizontal="center"/>
      <protection hidden="1"/>
    </xf>
    <xf numFmtId="168" fontId="13" fillId="5" borderId="1" xfId="2" applyNumberFormat="1" applyFont="1" applyFill="1" applyBorder="1" applyAlignment="1" applyProtection="1">
      <alignment horizontal="right"/>
      <protection hidden="1"/>
    </xf>
    <xf numFmtId="0" fontId="14" fillId="0" borderId="35" xfId="0" applyFont="1" applyBorder="1" applyAlignment="1" applyProtection="1">
      <alignment horizontal="left"/>
      <protection locked="0"/>
    </xf>
    <xf numFmtId="0" fontId="14" fillId="0" borderId="9" xfId="0" applyFont="1" applyBorder="1" applyAlignment="1" applyProtection="1">
      <alignment horizontal="center"/>
      <protection locked="0"/>
    </xf>
    <xf numFmtId="0" fontId="14" fillId="0" borderId="21" xfId="0" applyFont="1" applyFill="1" applyBorder="1" applyAlignment="1" applyProtection="1">
      <alignment horizontal="left"/>
      <protection locked="0"/>
    </xf>
    <xf numFmtId="0" fontId="15" fillId="0" borderId="2" xfId="0" applyFont="1" applyFill="1" applyBorder="1" applyAlignment="1" applyProtection="1">
      <alignment horizontal="left"/>
      <protection locked="0"/>
    </xf>
    <xf numFmtId="0" fontId="15" fillId="0" borderId="7" xfId="0" applyFont="1" applyBorder="1" applyProtection="1"/>
    <xf numFmtId="0" fontId="15" fillId="5" borderId="37" xfId="0" applyFont="1" applyFill="1" applyBorder="1" applyProtection="1"/>
    <xf numFmtId="0" fontId="16" fillId="5" borderId="27" xfId="0" applyFont="1" applyFill="1" applyBorder="1" applyAlignment="1" applyProtection="1">
      <alignment horizontal="center"/>
    </xf>
    <xf numFmtId="168" fontId="16" fillId="5" borderId="1" xfId="2" applyNumberFormat="1" applyFont="1" applyFill="1" applyBorder="1" applyAlignment="1" applyProtection="1">
      <alignment horizontal="right"/>
    </xf>
    <xf numFmtId="0" fontId="17" fillId="0" borderId="16" xfId="0" applyFont="1" applyBorder="1" applyProtection="1">
      <protection locked="0"/>
    </xf>
    <xf numFmtId="0" fontId="17" fillId="0" borderId="2" xfId="0" applyFont="1" applyBorder="1" applyAlignment="1" applyProtection="1">
      <alignment horizontal="left"/>
      <protection locked="0"/>
    </xf>
    <xf numFmtId="168" fontId="17" fillId="0" borderId="2" xfId="2" applyNumberFormat="1" applyFont="1" applyBorder="1" applyAlignment="1" applyProtection="1">
      <alignment horizontal="right"/>
      <protection hidden="1"/>
    </xf>
    <xf numFmtId="168" fontId="17" fillId="0" borderId="2" xfId="2" applyNumberFormat="1" applyFont="1" applyFill="1" applyBorder="1" applyAlignment="1" applyProtection="1">
      <alignment horizontal="right"/>
      <protection hidden="1"/>
    </xf>
    <xf numFmtId="0" fontId="17" fillId="0" borderId="2" xfId="0" applyFont="1" applyFill="1" applyBorder="1" applyAlignment="1" applyProtection="1">
      <alignment horizontal="left"/>
      <protection locked="0"/>
    </xf>
    <xf numFmtId="0" fontId="17" fillId="0" borderId="16" xfId="0" applyFont="1" applyFill="1" applyBorder="1" applyProtection="1">
      <protection locked="0"/>
    </xf>
    <xf numFmtId="0" fontId="17" fillId="0" borderId="16" xfId="0" applyFont="1" applyFill="1" applyBorder="1" applyAlignment="1" applyProtection="1">
      <alignment horizontal="left"/>
      <protection locked="0"/>
    </xf>
    <xf numFmtId="0" fontId="17" fillId="0" borderId="16" xfId="0" applyFont="1" applyBorder="1" applyAlignment="1" applyProtection="1">
      <alignment horizontal="left"/>
      <protection locked="0"/>
    </xf>
    <xf numFmtId="168" fontId="17" fillId="0" borderId="38" xfId="2" applyNumberFormat="1" applyFont="1" applyFill="1" applyBorder="1" applyAlignment="1" applyProtection="1">
      <alignment horizontal="right"/>
      <protection hidden="1"/>
    </xf>
    <xf numFmtId="168" fontId="17" fillId="0" borderId="24" xfId="2" applyNumberFormat="1" applyFont="1" applyFill="1" applyBorder="1" applyAlignment="1" applyProtection="1">
      <alignment horizontal="right"/>
      <protection hidden="1"/>
    </xf>
    <xf numFmtId="0" fontId="17" fillId="0" borderId="16" xfId="0" applyFont="1" applyFill="1" applyBorder="1" applyAlignment="1" applyProtection="1">
      <alignment horizontal="left" wrapText="1"/>
      <protection locked="0"/>
    </xf>
    <xf numFmtId="0" fontId="17" fillId="0" borderId="29" xfId="0" applyFont="1" applyBorder="1" applyAlignment="1" applyProtection="1">
      <alignment horizontal="left"/>
      <protection locked="0"/>
    </xf>
    <xf numFmtId="0" fontId="17" fillId="0" borderId="0" xfId="0" applyFont="1" applyBorder="1" applyAlignment="1" applyProtection="1">
      <alignment horizontal="left"/>
      <protection locked="0"/>
    </xf>
    <xf numFmtId="0" fontId="18" fillId="0" borderId="6" xfId="0" applyFont="1" applyBorder="1" applyAlignment="1" applyProtection="1">
      <alignment horizontal="center"/>
      <protection hidden="1"/>
    </xf>
    <xf numFmtId="168" fontId="18" fillId="5" borderId="1" xfId="2" applyNumberFormat="1" applyFont="1" applyFill="1" applyBorder="1" applyAlignment="1" applyProtection="1">
      <alignment horizontal="right"/>
      <protection hidden="1"/>
    </xf>
    <xf numFmtId="168" fontId="26" fillId="5" borderId="1" xfId="2" applyNumberFormat="1" applyFont="1" applyFill="1" applyBorder="1" applyAlignment="1" applyProtection="1">
      <alignment horizontal="right"/>
      <protection hidden="1"/>
    </xf>
    <xf numFmtId="0" fontId="14" fillId="0" borderId="0" xfId="0" applyFont="1" applyFill="1" applyBorder="1" applyAlignment="1" applyProtection="1">
      <alignment horizontal="left"/>
      <protection locked="0"/>
    </xf>
    <xf numFmtId="0" fontId="14" fillId="0" borderId="0" xfId="0" applyFont="1" applyBorder="1" applyAlignment="1" applyProtection="1">
      <alignment horizontal="left"/>
      <protection locked="0"/>
    </xf>
    <xf numFmtId="0" fontId="14" fillId="0" borderId="0" xfId="0" applyFont="1" applyBorder="1" applyAlignment="1" applyProtection="1">
      <alignment horizontal="center"/>
      <protection locked="0"/>
    </xf>
    <xf numFmtId="168" fontId="14" fillId="0" borderId="0" xfId="2" applyNumberFormat="1" applyFont="1" applyFill="1" applyBorder="1" applyAlignment="1" applyProtection="1">
      <alignment horizontal="right"/>
      <protection hidden="1"/>
    </xf>
    <xf numFmtId="0" fontId="21" fillId="0" borderId="39" xfId="0" applyFont="1" applyFill="1" applyBorder="1" applyAlignment="1" applyProtection="1">
      <alignment horizontal="center"/>
    </xf>
    <xf numFmtId="0" fontId="21" fillId="0" borderId="24" xfId="0" applyFont="1" applyFill="1" applyBorder="1" applyAlignment="1" applyProtection="1">
      <alignment horizontal="center"/>
    </xf>
    <xf numFmtId="0" fontId="21" fillId="0" borderId="40" xfId="0" applyFont="1" applyFill="1" applyBorder="1" applyAlignment="1" applyProtection="1">
      <alignment horizontal="center"/>
    </xf>
    <xf numFmtId="0" fontId="21" fillId="0" borderId="10" xfId="0" applyFont="1" applyFill="1" applyBorder="1" applyAlignment="1" applyProtection="1">
      <alignment horizontal="center"/>
    </xf>
    <xf numFmtId="0" fontId="21" fillId="0" borderId="41" xfId="0" applyFont="1" applyFill="1" applyBorder="1" applyAlignment="1" applyProtection="1">
      <alignment horizontal="center"/>
    </xf>
    <xf numFmtId="0" fontId="22" fillId="0" borderId="8" xfId="0" applyFont="1" applyBorder="1" applyAlignment="1" applyProtection="1">
      <alignment horizontal="left"/>
      <protection locked="0"/>
    </xf>
    <xf numFmtId="0" fontId="22" fillId="0" borderId="35" xfId="0" applyFont="1" applyBorder="1" applyAlignment="1" applyProtection="1">
      <alignment horizontal="left"/>
      <protection locked="0"/>
    </xf>
    <xf numFmtId="0" fontId="22" fillId="0" borderId="9" xfId="0" applyFont="1" applyBorder="1" applyAlignment="1" applyProtection="1">
      <alignment horizontal="center"/>
      <protection locked="0"/>
    </xf>
    <xf numFmtId="43" fontId="22" fillId="0" borderId="2" xfId="2" applyFont="1" applyFill="1" applyBorder="1" applyAlignment="1" applyProtection="1">
      <alignment horizontal="right"/>
      <protection hidden="1"/>
    </xf>
    <xf numFmtId="168" fontId="22" fillId="0" borderId="2" xfId="2" applyNumberFormat="1" applyFont="1" applyFill="1" applyBorder="1" applyAlignment="1" applyProtection="1">
      <alignment horizontal="right"/>
      <protection hidden="1"/>
    </xf>
    <xf numFmtId="0" fontId="22" fillId="0" borderId="8" xfId="0" applyFont="1" applyFill="1" applyBorder="1" applyAlignment="1" applyProtection="1">
      <alignment horizontal="left"/>
      <protection locked="0"/>
    </xf>
    <xf numFmtId="0" fontId="22" fillId="0" borderId="35" xfId="0" applyFont="1" applyFill="1" applyBorder="1" applyAlignment="1" applyProtection="1">
      <alignment horizontal="left"/>
      <protection locked="0"/>
    </xf>
    <xf numFmtId="0" fontId="22" fillId="0" borderId="9" xfId="0" applyFont="1" applyFill="1" applyBorder="1" applyAlignment="1" applyProtection="1">
      <alignment horizontal="center"/>
      <protection locked="0"/>
    </xf>
    <xf numFmtId="0" fontId="21" fillId="0" borderId="8" xfId="0" applyFont="1" applyBorder="1" applyAlignment="1" applyProtection="1">
      <alignment horizontal="left"/>
      <protection locked="0"/>
    </xf>
    <xf numFmtId="43" fontId="22" fillId="0" borderId="2" xfId="2" applyFont="1" applyFill="1" applyBorder="1" applyAlignment="1" applyProtection="1">
      <alignment horizontal="right"/>
    </xf>
    <xf numFmtId="0" fontId="21" fillId="0" borderId="21" xfId="0" applyFont="1" applyBorder="1" applyAlignment="1" applyProtection="1">
      <alignment horizontal="left"/>
      <protection locked="0"/>
    </xf>
    <xf numFmtId="0" fontId="22" fillId="0" borderId="21" xfId="0" applyFont="1" applyBorder="1" applyAlignment="1" applyProtection="1">
      <alignment horizontal="left"/>
      <protection locked="0"/>
    </xf>
    <xf numFmtId="0" fontId="22" fillId="0" borderId="25" xfId="0" applyFont="1" applyBorder="1" applyAlignment="1" applyProtection="1">
      <alignment horizontal="left"/>
      <protection locked="0"/>
    </xf>
    <xf numFmtId="0" fontId="21" fillId="0" borderId="42" xfId="0" applyFont="1" applyBorder="1" applyAlignment="1" applyProtection="1">
      <alignment horizontal="left"/>
      <protection locked="0"/>
    </xf>
    <xf numFmtId="0" fontId="22" fillId="0" borderId="30" xfId="0" applyFont="1" applyBorder="1" applyAlignment="1" applyProtection="1">
      <alignment horizontal="center"/>
      <protection locked="0"/>
    </xf>
    <xf numFmtId="168" fontId="22" fillId="0" borderId="16" xfId="2" applyNumberFormat="1" applyFont="1" applyFill="1" applyBorder="1" applyAlignment="1" applyProtection="1">
      <alignment horizontal="right"/>
      <protection hidden="1"/>
    </xf>
    <xf numFmtId="0" fontId="21" fillId="0" borderId="32" xfId="0" applyFont="1" applyFill="1" applyBorder="1" applyAlignment="1" applyProtection="1">
      <alignment horizontal="left"/>
      <protection locked="0"/>
    </xf>
    <xf numFmtId="0" fontId="22" fillId="0" borderId="21" xfId="0" applyFont="1" applyFill="1" applyBorder="1" applyAlignment="1" applyProtection="1">
      <alignment horizontal="left"/>
      <protection locked="0"/>
    </xf>
    <xf numFmtId="0" fontId="21" fillId="0" borderId="16" xfId="0" applyFont="1" applyBorder="1" applyAlignment="1" applyProtection="1">
      <alignment horizontal="left"/>
      <protection locked="0"/>
    </xf>
    <xf numFmtId="0" fontId="22" fillId="0" borderId="16" xfId="0" applyFont="1" applyBorder="1" applyAlignment="1" applyProtection="1">
      <alignment horizontal="left"/>
      <protection locked="0"/>
    </xf>
    <xf numFmtId="0" fontId="22" fillId="0" borderId="16" xfId="0" applyFont="1" applyBorder="1" applyAlignment="1" applyProtection="1">
      <alignment horizontal="center"/>
      <protection locked="0"/>
    </xf>
    <xf numFmtId="43" fontId="22" fillId="0" borderId="16" xfId="2" applyFont="1" applyFill="1" applyBorder="1" applyAlignment="1" applyProtection="1">
      <alignment horizontal="right"/>
    </xf>
    <xf numFmtId="168" fontId="22" fillId="0" borderId="16" xfId="2" applyNumberFormat="1" applyFont="1" applyBorder="1" applyAlignment="1" applyProtection="1">
      <alignment horizontal="right"/>
      <protection hidden="1"/>
    </xf>
    <xf numFmtId="0" fontId="22" fillId="0" borderId="2" xfId="0" applyFont="1" applyFill="1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left" wrapText="1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25" xfId="0" applyFont="1" applyFill="1" applyBorder="1" applyAlignment="1" applyProtection="1">
      <alignment horizontal="left"/>
      <protection locked="0"/>
    </xf>
    <xf numFmtId="0" fontId="22" fillId="0" borderId="9" xfId="0" applyFont="1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left"/>
      <protection locked="0"/>
    </xf>
    <xf numFmtId="43" fontId="22" fillId="0" borderId="22" xfId="2" applyFont="1" applyFill="1" applyBorder="1" applyAlignment="1" applyProtection="1">
      <alignment horizontal="right"/>
    </xf>
    <xf numFmtId="0" fontId="21" fillId="0" borderId="21" xfId="0" applyFont="1" applyFill="1" applyBorder="1" applyAlignment="1" applyProtection="1">
      <alignment horizontal="left"/>
      <protection locked="0"/>
    </xf>
    <xf numFmtId="0" fontId="22" fillId="0" borderId="42" xfId="0" applyFont="1" applyBorder="1" applyAlignment="1" applyProtection="1">
      <alignment horizontal="center"/>
      <protection locked="0"/>
    </xf>
    <xf numFmtId="43" fontId="22" fillId="0" borderId="42" xfId="2" applyFont="1" applyFill="1" applyBorder="1" applyAlignment="1" applyProtection="1">
      <alignment horizontal="right"/>
    </xf>
    <xf numFmtId="168" fontId="22" fillId="0" borderId="21" xfId="2" applyNumberFormat="1" applyFont="1" applyFill="1" applyBorder="1" applyAlignment="1" applyProtection="1">
      <alignment horizontal="right"/>
      <protection hidden="1"/>
    </xf>
    <xf numFmtId="0" fontId="22" fillId="0" borderId="32" xfId="0" applyFont="1" applyBorder="1" applyAlignment="1" applyProtection="1">
      <alignment horizontal="left"/>
      <protection locked="0"/>
    </xf>
    <xf numFmtId="0" fontId="21" fillId="0" borderId="25" xfId="0" applyFont="1" applyFill="1" applyBorder="1" applyAlignment="1" applyProtection="1">
      <alignment horizontal="left"/>
      <protection locked="0"/>
    </xf>
    <xf numFmtId="0" fontId="22" fillId="0" borderId="9" xfId="0" applyFont="1" applyBorder="1" applyAlignment="1" applyProtection="1">
      <alignment horizontal="left" wrapText="1"/>
      <protection locked="0"/>
    </xf>
    <xf numFmtId="0" fontId="21" fillId="0" borderId="2" xfId="0" applyFont="1" applyFill="1" applyBorder="1" applyAlignment="1" applyProtection="1">
      <alignment horizontal="left"/>
      <protection locked="0"/>
    </xf>
    <xf numFmtId="168" fontId="2" fillId="0" borderId="0" xfId="0" applyNumberFormat="1" applyFont="1" applyProtection="1">
      <protection hidden="1"/>
    </xf>
    <xf numFmtId="168" fontId="27" fillId="0" borderId="0" xfId="0" applyNumberFormat="1" applyFont="1" applyProtection="1"/>
    <xf numFmtId="0" fontId="27" fillId="0" borderId="0" xfId="0" applyFont="1" applyProtection="1"/>
    <xf numFmtId="0" fontId="14" fillId="4" borderId="16" xfId="0" applyFont="1" applyFill="1" applyBorder="1" applyAlignment="1" applyProtection="1">
      <alignment horizontal="left" wrapText="1"/>
      <protection locked="0"/>
    </xf>
    <xf numFmtId="0" fontId="14" fillId="0" borderId="16" xfId="0" applyFont="1" applyBorder="1" applyAlignment="1" applyProtection="1">
      <alignment horizontal="center"/>
      <protection locked="0"/>
    </xf>
    <xf numFmtId="0" fontId="14" fillId="0" borderId="2" xfId="0" applyFont="1" applyFill="1" applyBorder="1" applyAlignment="1" applyProtection="1">
      <alignment horizontal="left"/>
      <protection hidden="1"/>
    </xf>
    <xf numFmtId="0" fontId="14" fillId="0" borderId="3" xfId="0" applyFont="1" applyFill="1" applyBorder="1" applyAlignment="1" applyProtection="1">
      <alignment horizontal="left" wrapText="1"/>
      <protection hidden="1"/>
    </xf>
    <xf numFmtId="0" fontId="14" fillId="0" borderId="16" xfId="0" applyFont="1" applyFill="1" applyBorder="1" applyAlignment="1" applyProtection="1">
      <alignment horizontal="center"/>
      <protection locked="0"/>
    </xf>
    <xf numFmtId="0" fontId="20" fillId="0" borderId="35" xfId="0" applyFont="1" applyBorder="1" applyAlignment="1" applyProtection="1">
      <alignment horizontal="left" wrapText="1"/>
      <protection locked="0"/>
    </xf>
    <xf numFmtId="0" fontId="20" fillId="0" borderId="35" xfId="0" applyFont="1" applyFill="1" applyBorder="1" applyAlignment="1" applyProtection="1">
      <alignment horizontal="left" wrapText="1"/>
      <protection locked="0"/>
    </xf>
    <xf numFmtId="0" fontId="14" fillId="6" borderId="2" xfId="0" applyFont="1" applyFill="1" applyBorder="1" applyAlignment="1" applyProtection="1">
      <alignment horizontal="left"/>
      <protection locked="0"/>
    </xf>
    <xf numFmtId="168" fontId="1" fillId="0" borderId="0" xfId="2" applyNumberFormat="1" applyFont="1" applyBorder="1" applyAlignment="1" applyProtection="1">
      <alignment horizontal="right"/>
    </xf>
    <xf numFmtId="0" fontId="0" fillId="0" borderId="17" xfId="0" applyBorder="1"/>
    <xf numFmtId="168" fontId="1" fillId="0" borderId="0" xfId="0" applyNumberFormat="1" applyFont="1" applyProtection="1"/>
    <xf numFmtId="0" fontId="2" fillId="0" borderId="0" xfId="0" applyFont="1" applyFill="1" applyProtection="1">
      <protection hidden="1"/>
    </xf>
    <xf numFmtId="0" fontId="22" fillId="0" borderId="32" xfId="0" applyFont="1" applyFill="1" applyBorder="1" applyAlignment="1" applyProtection="1">
      <alignment horizontal="left"/>
      <protection locked="0"/>
    </xf>
    <xf numFmtId="0" fontId="0" fillId="0" borderId="0" xfId="0" applyBorder="1"/>
    <xf numFmtId="0" fontId="3" fillId="0" borderId="46" xfId="0" applyFont="1" applyFill="1" applyBorder="1" applyAlignment="1" applyProtection="1">
      <alignment horizontal="center"/>
    </xf>
    <xf numFmtId="0" fontId="6" fillId="0" borderId="14" xfId="0" applyFont="1" applyFill="1" applyBorder="1" applyAlignment="1" applyProtection="1">
      <alignment horizontal="center"/>
    </xf>
    <xf numFmtId="0" fontId="3" fillId="0" borderId="47" xfId="0" applyFont="1" applyFill="1" applyBorder="1" applyAlignment="1" applyProtection="1">
      <alignment horizontal="center"/>
    </xf>
    <xf numFmtId="43" fontId="28" fillId="0" borderId="0" xfId="0" applyNumberFormat="1" applyFont="1" applyFill="1" applyProtection="1"/>
    <xf numFmtId="168" fontId="28" fillId="0" borderId="0" xfId="0" applyNumberFormat="1" applyFont="1" applyFill="1" applyProtection="1"/>
    <xf numFmtId="0" fontId="28" fillId="0" borderId="0" xfId="0" applyFont="1" applyFill="1" applyProtection="1"/>
    <xf numFmtId="0" fontId="28" fillId="0" borderId="0" xfId="0" applyFont="1" applyProtection="1"/>
    <xf numFmtId="0" fontId="28" fillId="0" borderId="17" xfId="0" applyFont="1" applyFill="1" applyBorder="1" applyProtection="1"/>
    <xf numFmtId="168" fontId="17" fillId="0" borderId="3" xfId="2" applyNumberFormat="1" applyFont="1" applyFill="1" applyBorder="1" applyAlignment="1" applyProtection="1">
      <alignment horizontal="right"/>
      <protection hidden="1"/>
    </xf>
    <xf numFmtId="0" fontId="17" fillId="0" borderId="45" xfId="0" applyFont="1" applyBorder="1" applyAlignment="1" applyProtection="1">
      <alignment horizontal="left"/>
      <protection locked="0"/>
    </xf>
    <xf numFmtId="0" fontId="17" fillId="0" borderId="22" xfId="0" applyFont="1" applyBorder="1" applyAlignment="1" applyProtection="1">
      <alignment horizontal="left"/>
      <protection locked="0"/>
    </xf>
    <xf numFmtId="168" fontId="17" fillId="0" borderId="36" xfId="2" applyNumberFormat="1" applyFont="1" applyBorder="1" applyAlignment="1" applyProtection="1">
      <alignment horizontal="right"/>
      <protection hidden="1"/>
    </xf>
    <xf numFmtId="168" fontId="17" fillId="0" borderId="31" xfId="2" applyNumberFormat="1" applyFont="1" applyFill="1" applyBorder="1" applyAlignment="1" applyProtection="1">
      <alignment horizontal="right"/>
      <protection hidden="1"/>
    </xf>
    <xf numFmtId="0" fontId="17" fillId="0" borderId="48" xfId="0" applyFont="1" applyBorder="1" applyAlignment="1" applyProtection="1">
      <alignment horizontal="left"/>
      <protection locked="0"/>
    </xf>
    <xf numFmtId="0" fontId="17" fillId="0" borderId="25" xfId="0" applyFont="1" applyBorder="1" applyAlignment="1" applyProtection="1">
      <alignment horizontal="left"/>
      <protection locked="0"/>
    </xf>
    <xf numFmtId="0" fontId="17" fillId="0" borderId="49" xfId="0" applyFont="1" applyBorder="1" applyProtection="1">
      <protection hidden="1"/>
    </xf>
    <xf numFmtId="0" fontId="17" fillId="0" borderId="48" xfId="0" applyFont="1" applyBorder="1" applyProtection="1">
      <protection hidden="1"/>
    </xf>
    <xf numFmtId="168" fontId="1" fillId="0" borderId="0" xfId="0" applyNumberFormat="1" applyFont="1" applyProtection="1">
      <protection hidden="1"/>
    </xf>
    <xf numFmtId="168" fontId="27" fillId="0" borderId="0" xfId="0" applyNumberFormat="1" applyFont="1" applyProtection="1">
      <protection hidden="1"/>
    </xf>
    <xf numFmtId="167" fontId="35" fillId="0" borderId="0" xfId="5" applyProtection="1"/>
    <xf numFmtId="4" fontId="1" fillId="0" borderId="0" xfId="5" applyNumberFormat="1" applyFont="1" applyProtection="1"/>
    <xf numFmtId="4" fontId="21" fillId="7" borderId="0" xfId="5" applyNumberFormat="1" applyFont="1" applyFill="1" applyAlignment="1" applyProtection="1">
      <alignment horizontal="centerContinuous"/>
    </xf>
    <xf numFmtId="4" fontId="1" fillId="7" borderId="0" xfId="5" applyNumberFormat="1" applyFont="1" applyFill="1" applyAlignment="1" applyProtection="1">
      <alignment horizontal="centerContinuous"/>
    </xf>
    <xf numFmtId="4" fontId="19" fillId="7" borderId="0" xfId="5" applyNumberFormat="1" applyFont="1" applyFill="1" applyAlignment="1" applyProtection="1">
      <alignment horizontal="centerContinuous"/>
    </xf>
    <xf numFmtId="4" fontId="13" fillId="7" borderId="0" xfId="5" applyNumberFormat="1" applyFont="1" applyFill="1" applyAlignment="1" applyProtection="1">
      <alignment horizontal="centerContinuous"/>
    </xf>
    <xf numFmtId="167" fontId="35" fillId="7" borderId="0" xfId="5" applyFill="1" applyAlignment="1" applyProtection="1">
      <alignment horizontal="centerContinuous"/>
    </xf>
    <xf numFmtId="49" fontId="36" fillId="7" borderId="0" xfId="5" applyNumberFormat="1" applyFont="1" applyFill="1" applyAlignment="1" applyProtection="1">
      <alignment horizontal="centerContinuous"/>
    </xf>
    <xf numFmtId="167" fontId="35" fillId="0" borderId="0" xfId="5" applyBorder="1" applyProtection="1"/>
    <xf numFmtId="4" fontId="19" fillId="0" borderId="0" xfId="5" applyNumberFormat="1" applyFont="1" applyBorder="1" applyAlignment="1" applyProtection="1">
      <alignment horizontal="centerContinuous"/>
    </xf>
    <xf numFmtId="4" fontId="20" fillId="0" borderId="0" xfId="5" applyNumberFormat="1" applyFont="1" applyBorder="1" applyProtection="1"/>
    <xf numFmtId="4" fontId="20" fillId="0" borderId="0" xfId="5" applyNumberFormat="1" applyFont="1" applyBorder="1" applyAlignment="1" applyProtection="1">
      <alignment horizontal="centerContinuous"/>
    </xf>
    <xf numFmtId="4" fontId="14" fillId="0" borderId="0" xfId="5" applyNumberFormat="1" applyFont="1" applyBorder="1" applyProtection="1"/>
    <xf numFmtId="4" fontId="13" fillId="6" borderId="0" xfId="5" applyNumberFormat="1" applyFont="1" applyFill="1" applyBorder="1" applyProtection="1">
      <protection locked="0"/>
    </xf>
    <xf numFmtId="0" fontId="13" fillId="0" borderId="0" xfId="0" applyFont="1" applyAlignment="1" applyProtection="1">
      <alignment horizontal="centerContinuous"/>
    </xf>
    <xf numFmtId="0" fontId="0" fillId="0" borderId="0" xfId="0" applyAlignment="1" applyProtection="1">
      <alignment horizontal="centerContinuous"/>
    </xf>
    <xf numFmtId="4" fontId="6" fillId="0" borderId="0" xfId="5" applyNumberFormat="1" applyFont="1" applyBorder="1" applyAlignment="1" applyProtection="1">
      <alignment horizontal="left"/>
    </xf>
    <xf numFmtId="168" fontId="5" fillId="0" borderId="0" xfId="5" applyNumberFormat="1" applyFont="1" applyBorder="1" applyProtection="1"/>
    <xf numFmtId="4" fontId="5" fillId="0" borderId="0" xfId="5" applyNumberFormat="1" applyFont="1" applyBorder="1" applyProtection="1"/>
    <xf numFmtId="0" fontId="2" fillId="0" borderId="0" xfId="0" applyFont="1" applyAlignment="1" applyProtection="1">
      <alignment horizontal="centerContinuous"/>
    </xf>
    <xf numFmtId="167" fontId="39" fillId="0" borderId="0" xfId="5" applyFont="1" applyAlignment="1" applyProtection="1">
      <alignment horizontal="centerContinuous"/>
    </xf>
    <xf numFmtId="4" fontId="5" fillId="0" borderId="0" xfId="5" applyNumberFormat="1" applyFont="1" applyBorder="1" applyAlignment="1" applyProtection="1">
      <alignment horizontal="left"/>
    </xf>
    <xf numFmtId="167" fontId="13" fillId="0" borderId="0" xfId="5" applyFont="1" applyAlignment="1" applyProtection="1">
      <alignment horizontal="centerContinuous"/>
    </xf>
    <xf numFmtId="167" fontId="35" fillId="0" borderId="0" xfId="5" applyAlignment="1" applyProtection="1">
      <alignment horizontal="centerContinuous"/>
    </xf>
    <xf numFmtId="168" fontId="5" fillId="0" borderId="0" xfId="5" quotePrefix="1" applyNumberFormat="1" applyFont="1" applyBorder="1" applyAlignment="1" applyProtection="1">
      <alignment horizontal="fill"/>
    </xf>
    <xf numFmtId="167" fontId="13" fillId="0" borderId="0" xfId="5" applyFont="1" applyProtection="1"/>
    <xf numFmtId="167" fontId="2" fillId="0" borderId="0" xfId="5" applyFont="1" applyAlignment="1" applyProtection="1">
      <alignment horizontal="centerContinuous"/>
    </xf>
    <xf numFmtId="167" fontId="1" fillId="0" borderId="0" xfId="5" applyFont="1" applyProtection="1"/>
    <xf numFmtId="167" fontId="1" fillId="0" borderId="0" xfId="5" applyFont="1" applyAlignment="1" applyProtection="1">
      <alignment horizontal="centerContinuous"/>
    </xf>
    <xf numFmtId="3" fontId="5" fillId="0" borderId="0" xfId="5" applyNumberFormat="1" applyFont="1" applyBorder="1" applyProtection="1"/>
    <xf numFmtId="167" fontId="6" fillId="0" borderId="0" xfId="5" applyFont="1" applyAlignment="1" applyProtection="1">
      <alignment horizontal="center"/>
    </xf>
    <xf numFmtId="167" fontId="6" fillId="0" borderId="0" xfId="5" applyFont="1" applyProtection="1"/>
    <xf numFmtId="167" fontId="5" fillId="0" borderId="0" xfId="5" applyFont="1" applyProtection="1"/>
    <xf numFmtId="3" fontId="5" fillId="0" borderId="0" xfId="5" quotePrefix="1" applyNumberFormat="1" applyFont="1" applyBorder="1" applyAlignment="1" applyProtection="1">
      <alignment horizontal="fill"/>
    </xf>
    <xf numFmtId="4" fontId="5" fillId="0" borderId="0" xfId="5" applyNumberFormat="1" applyFont="1" applyProtection="1"/>
    <xf numFmtId="10" fontId="5" fillId="0" borderId="0" xfId="5" applyNumberFormat="1" applyFont="1" applyProtection="1"/>
    <xf numFmtId="10" fontId="5" fillId="0" borderId="0" xfId="4" applyNumberFormat="1" applyFont="1" applyBorder="1" applyProtection="1"/>
    <xf numFmtId="165" fontId="5" fillId="0" borderId="0" xfId="4" applyNumberFormat="1" applyFont="1" applyBorder="1" applyProtection="1"/>
    <xf numFmtId="4" fontId="5" fillId="0" borderId="0" xfId="5" applyNumberFormat="1" applyFont="1" applyBorder="1" applyAlignment="1" applyProtection="1">
      <alignment horizontal="left" vertical="top"/>
    </xf>
    <xf numFmtId="168" fontId="5" fillId="0" borderId="0" xfId="5" applyNumberFormat="1" applyFont="1" applyBorder="1" applyAlignment="1" applyProtection="1">
      <alignment vertical="top"/>
    </xf>
    <xf numFmtId="3" fontId="5" fillId="0" borderId="0" xfId="5" applyNumberFormat="1" applyFont="1" applyBorder="1" applyAlignment="1" applyProtection="1">
      <alignment vertical="top"/>
    </xf>
    <xf numFmtId="9" fontId="5" fillId="0" borderId="0" xfId="4" applyFont="1" applyBorder="1" applyProtection="1"/>
    <xf numFmtId="168" fontId="5" fillId="0" borderId="0" xfId="0" applyNumberFormat="1" applyFont="1" applyProtection="1"/>
    <xf numFmtId="4" fontId="5" fillId="0" borderId="0" xfId="5" applyNumberFormat="1" applyFont="1" applyBorder="1" applyAlignment="1" applyProtection="1">
      <alignment vertical="top"/>
    </xf>
    <xf numFmtId="168" fontId="35" fillId="0" borderId="0" xfId="5" applyNumberFormat="1" applyProtection="1"/>
    <xf numFmtId="4" fontId="5" fillId="0" borderId="0" xfId="5" quotePrefix="1" applyNumberFormat="1" applyFont="1" applyBorder="1" applyAlignment="1" applyProtection="1">
      <alignment horizontal="center"/>
    </xf>
    <xf numFmtId="9" fontId="5" fillId="0" borderId="0" xfId="5" applyNumberFormat="1" applyFont="1" applyProtection="1"/>
    <xf numFmtId="9" fontId="5" fillId="0" borderId="0" xfId="4" applyFont="1" applyProtection="1"/>
    <xf numFmtId="0" fontId="5" fillId="0" borderId="0" xfId="0" applyFont="1" applyBorder="1" applyProtection="1"/>
    <xf numFmtId="168" fontId="6" fillId="0" borderId="52" xfId="6" applyNumberFormat="1" applyFont="1" applyBorder="1" applyProtection="1"/>
    <xf numFmtId="168" fontId="6" fillId="0" borderId="53" xfId="6" applyNumberFormat="1" applyFont="1" applyBorder="1" applyProtection="1"/>
    <xf numFmtId="167" fontId="39" fillId="8" borderId="54" xfId="5" applyFont="1" applyFill="1" applyBorder="1" applyProtection="1"/>
    <xf numFmtId="43" fontId="39" fillId="8" borderId="55" xfId="2" applyFont="1" applyFill="1" applyBorder="1" applyProtection="1"/>
    <xf numFmtId="0" fontId="40" fillId="0" borderId="0" xfId="0" applyFont="1" applyProtection="1"/>
    <xf numFmtId="4" fontId="13" fillId="9" borderId="0" xfId="5" applyNumberFormat="1" applyFont="1" applyFill="1" applyProtection="1"/>
    <xf numFmtId="4" fontId="1" fillId="9" borderId="0" xfId="5" applyNumberFormat="1" applyFont="1" applyFill="1" applyProtection="1"/>
    <xf numFmtId="167" fontId="3" fillId="0" borderId="0" xfId="5" applyFont="1" applyAlignment="1" applyProtection="1">
      <alignment horizontal="right"/>
    </xf>
    <xf numFmtId="168" fontId="11" fillId="0" borderId="2" xfId="2" applyNumberFormat="1" applyFont="1" applyFill="1" applyBorder="1" applyAlignment="1" applyProtection="1">
      <alignment horizontal="right"/>
      <protection hidden="1"/>
    </xf>
    <xf numFmtId="49" fontId="0" fillId="0" borderId="0" xfId="0" applyNumberFormat="1" applyProtection="1">
      <protection hidden="1"/>
    </xf>
    <xf numFmtId="49" fontId="0" fillId="0" borderId="11" xfId="0" applyNumberFormat="1" applyBorder="1" applyProtection="1">
      <protection hidden="1"/>
    </xf>
    <xf numFmtId="49" fontId="0" fillId="0" borderId="6" xfId="0" applyNumberFormat="1" applyBorder="1" applyProtection="1">
      <protection hidden="1"/>
    </xf>
    <xf numFmtId="49" fontId="7" fillId="5" borderId="3" xfId="0" applyNumberFormat="1" applyFont="1" applyFill="1" applyBorder="1" applyProtection="1">
      <protection hidden="1"/>
    </xf>
    <xf numFmtId="49" fontId="3" fillId="5" borderId="3" xfId="0" applyNumberFormat="1" applyFont="1" applyFill="1" applyBorder="1" applyAlignment="1" applyProtection="1">
      <alignment horizontal="center"/>
      <protection hidden="1"/>
    </xf>
    <xf numFmtId="49" fontId="3" fillId="5" borderId="5" xfId="0" applyNumberFormat="1" applyFont="1" applyFill="1" applyBorder="1" applyAlignment="1" applyProtection="1">
      <alignment horizontal="center"/>
      <protection hidden="1"/>
    </xf>
    <xf numFmtId="49" fontId="3" fillId="0" borderId="3" xfId="0" applyNumberFormat="1" applyFont="1" applyBorder="1" applyAlignment="1" applyProtection="1">
      <alignment horizontal="center"/>
      <protection hidden="1"/>
    </xf>
    <xf numFmtId="49" fontId="1" fillId="0" borderId="2" xfId="0" applyNumberFormat="1" applyFont="1" applyBorder="1" applyAlignment="1" applyProtection="1">
      <alignment horizontal="center"/>
      <protection locked="0"/>
    </xf>
    <xf numFmtId="49" fontId="4" fillId="0" borderId="0" xfId="0" applyNumberFormat="1" applyFont="1" applyBorder="1" applyAlignment="1" applyProtection="1">
      <alignment horizontal="center"/>
      <protection hidden="1"/>
    </xf>
    <xf numFmtId="49" fontId="2" fillId="0" borderId="0" xfId="0" applyNumberFormat="1" applyFont="1" applyBorder="1" applyAlignment="1" applyProtection="1">
      <alignment horizontal="center"/>
      <protection hidden="1"/>
    </xf>
    <xf numFmtId="49" fontId="2" fillId="0" borderId="0" xfId="0" applyNumberFormat="1" applyFont="1" applyProtection="1">
      <protection hidden="1"/>
    </xf>
    <xf numFmtId="49" fontId="11" fillId="0" borderId="11" xfId="0" applyNumberFormat="1" applyFont="1" applyBorder="1" applyProtection="1">
      <protection hidden="1"/>
    </xf>
    <xf numFmtId="49" fontId="11" fillId="5" borderId="4" xfId="0" applyNumberFormat="1" applyFont="1" applyFill="1" applyBorder="1" applyProtection="1">
      <protection hidden="1"/>
    </xf>
    <xf numFmtId="49" fontId="12" fillId="5" borderId="3" xfId="0" applyNumberFormat="1" applyFont="1" applyFill="1" applyBorder="1" applyAlignment="1" applyProtection="1">
      <alignment horizontal="center"/>
      <protection hidden="1"/>
    </xf>
    <xf numFmtId="49" fontId="12" fillId="5" borderId="5" xfId="0" applyNumberFormat="1" applyFont="1" applyFill="1" applyBorder="1" applyAlignment="1" applyProtection="1">
      <alignment horizontal="center"/>
      <protection hidden="1"/>
    </xf>
    <xf numFmtId="49" fontId="12" fillId="5" borderId="13" xfId="0" applyNumberFormat="1" applyFont="1" applyFill="1" applyBorder="1" applyAlignment="1" applyProtection="1">
      <alignment horizontal="center"/>
      <protection hidden="1"/>
    </xf>
    <xf numFmtId="49" fontId="12" fillId="0" borderId="3" xfId="0" applyNumberFormat="1" applyFont="1" applyFill="1" applyBorder="1" applyAlignment="1" applyProtection="1">
      <alignment horizontal="center"/>
      <protection hidden="1"/>
    </xf>
    <xf numFmtId="49" fontId="11" fillId="0" borderId="2" xfId="0" applyNumberFormat="1" applyFont="1" applyBorder="1" applyAlignment="1" applyProtection="1">
      <alignment horizontal="center"/>
      <protection locked="0"/>
    </xf>
    <xf numFmtId="49" fontId="11" fillId="0" borderId="24" xfId="0" applyNumberFormat="1" applyFont="1" applyBorder="1" applyAlignment="1" applyProtection="1">
      <alignment horizontal="center"/>
      <protection locked="0"/>
    </xf>
    <xf numFmtId="49" fontId="12" fillId="0" borderId="3" xfId="0" applyNumberFormat="1" applyFont="1" applyBorder="1" applyAlignment="1" applyProtection="1">
      <alignment horizontal="center"/>
      <protection hidden="1"/>
    </xf>
    <xf numFmtId="49" fontId="11" fillId="0" borderId="3" xfId="0" applyNumberFormat="1" applyFont="1" applyBorder="1" applyAlignment="1" applyProtection="1">
      <alignment horizontal="center"/>
      <protection hidden="1"/>
    </xf>
    <xf numFmtId="49" fontId="11" fillId="0" borderId="3" xfId="0" applyNumberFormat="1" applyFont="1" applyBorder="1" applyAlignment="1" applyProtection="1">
      <alignment horizontal="center"/>
      <protection locked="0"/>
    </xf>
    <xf numFmtId="49" fontId="11" fillId="0" borderId="2" xfId="0" applyNumberFormat="1" applyFont="1" applyFill="1" applyBorder="1" applyAlignment="1" applyProtection="1">
      <alignment horizontal="center"/>
      <protection locked="0"/>
    </xf>
    <xf numFmtId="49" fontId="11" fillId="0" borderId="25" xfId="0" applyNumberFormat="1" applyFont="1" applyBorder="1" applyAlignment="1" applyProtection="1">
      <alignment horizontal="center"/>
      <protection locked="0"/>
    </xf>
    <xf numFmtId="49" fontId="12" fillId="0" borderId="4" xfId="0" applyNumberFormat="1" applyFont="1" applyBorder="1" applyAlignment="1" applyProtection="1">
      <alignment horizontal="center"/>
      <protection locked="0"/>
    </xf>
    <xf numFmtId="49" fontId="11" fillId="0" borderId="10" xfId="0" applyNumberFormat="1" applyFont="1" applyBorder="1" applyAlignment="1" applyProtection="1">
      <alignment horizontal="center"/>
      <protection locked="0"/>
    </xf>
    <xf numFmtId="49" fontId="11" fillId="0" borderId="0" xfId="0" applyNumberFormat="1" applyFont="1" applyBorder="1" applyAlignment="1" applyProtection="1">
      <alignment horizontal="center"/>
      <protection hidden="1"/>
    </xf>
    <xf numFmtId="49" fontId="11" fillId="0" borderId="0" xfId="0" applyNumberFormat="1" applyFont="1" applyProtection="1">
      <protection hidden="1"/>
    </xf>
    <xf numFmtId="49" fontId="11" fillId="0" borderId="6" xfId="0" applyNumberFormat="1" applyFont="1" applyBorder="1" applyProtection="1">
      <protection hidden="1"/>
    </xf>
    <xf numFmtId="49" fontId="11" fillId="0" borderId="19" xfId="0" applyNumberFormat="1" applyFont="1" applyBorder="1" applyAlignment="1" applyProtection="1">
      <alignment horizontal="center"/>
      <protection locked="0"/>
    </xf>
    <xf numFmtId="49" fontId="11" fillId="0" borderId="21" xfId="0" applyNumberFormat="1" applyFont="1" applyBorder="1" applyAlignment="1" applyProtection="1">
      <alignment horizontal="center"/>
      <protection locked="0"/>
    </xf>
    <xf numFmtId="49" fontId="12" fillId="0" borderId="3" xfId="0" applyNumberFormat="1" applyFont="1" applyBorder="1" applyAlignment="1" applyProtection="1">
      <alignment horizontal="center"/>
      <protection locked="0"/>
    </xf>
    <xf numFmtId="43" fontId="0" fillId="0" borderId="6" xfId="2" applyFont="1" applyBorder="1" applyProtection="1">
      <protection hidden="1"/>
    </xf>
    <xf numFmtId="43" fontId="3" fillId="5" borderId="4" xfId="2" applyFont="1" applyFill="1" applyBorder="1" applyAlignment="1" applyProtection="1">
      <alignment horizontal="center" wrapText="1"/>
      <protection hidden="1"/>
    </xf>
    <xf numFmtId="43" fontId="3" fillId="5" borderId="3" xfId="2" applyFont="1" applyFill="1" applyBorder="1" applyAlignment="1" applyProtection="1">
      <alignment horizontal="center" wrapText="1"/>
      <protection hidden="1"/>
    </xf>
    <xf numFmtId="43" fontId="3" fillId="5" borderId="13" xfId="2" applyFont="1" applyFill="1" applyBorder="1" applyAlignment="1" applyProtection="1">
      <alignment horizontal="center"/>
      <protection hidden="1"/>
    </xf>
    <xf numFmtId="43" fontId="13" fillId="0" borderId="3" xfId="2" applyFont="1" applyFill="1" applyBorder="1" applyAlignment="1" applyProtection="1">
      <alignment horizontal="center"/>
      <protection hidden="1"/>
    </xf>
    <xf numFmtId="43" fontId="14" fillId="0" borderId="2" xfId="2" applyFont="1" applyFill="1" applyBorder="1" applyAlignment="1" applyProtection="1">
      <alignment horizontal="right"/>
      <protection hidden="1"/>
    </xf>
    <xf numFmtId="43" fontId="14" fillId="0" borderId="16" xfId="2" applyFont="1" applyFill="1" applyBorder="1" applyAlignment="1" applyProtection="1">
      <alignment horizontal="right"/>
      <protection hidden="1"/>
    </xf>
    <xf numFmtId="43" fontId="1" fillId="0" borderId="19" xfId="2" applyFont="1" applyFill="1" applyBorder="1" applyAlignment="1" applyProtection="1">
      <alignment horizontal="right"/>
      <protection hidden="1"/>
    </xf>
    <xf numFmtId="43" fontId="1" fillId="0" borderId="2" xfId="2" applyFont="1" applyFill="1" applyBorder="1" applyAlignment="1" applyProtection="1">
      <alignment horizontal="right"/>
      <protection hidden="1"/>
    </xf>
    <xf numFmtId="43" fontId="1" fillId="0" borderId="21" xfId="2" applyFont="1" applyBorder="1" applyAlignment="1" applyProtection="1">
      <alignment horizontal="right"/>
    </xf>
    <xf numFmtId="43" fontId="13" fillId="0" borderId="10" xfId="2" applyFont="1" applyFill="1" applyBorder="1" applyAlignment="1" applyProtection="1">
      <alignment horizontal="center"/>
      <protection hidden="1"/>
    </xf>
    <xf numFmtId="43" fontId="2" fillId="0" borderId="0" xfId="2" applyFont="1" applyFill="1" applyBorder="1" applyAlignment="1" applyProtection="1">
      <alignment horizontal="right"/>
      <protection hidden="1"/>
    </xf>
    <xf numFmtId="43" fontId="13" fillId="5" borderId="1" xfId="2" applyFont="1" applyFill="1" applyBorder="1" applyAlignment="1" applyProtection="1">
      <alignment horizontal="right"/>
      <protection hidden="1"/>
    </xf>
    <xf numFmtId="43" fontId="1" fillId="0" borderId="0" xfId="2" applyFont="1" applyProtection="1">
      <protection hidden="1"/>
    </xf>
    <xf numFmtId="43" fontId="2" fillId="0" borderId="0" xfId="2" applyFont="1" applyProtection="1">
      <protection hidden="1"/>
    </xf>
    <xf numFmtId="49" fontId="7" fillId="5" borderId="3" xfId="0" applyNumberFormat="1" applyFont="1" applyFill="1" applyBorder="1" applyProtection="1"/>
    <xf numFmtId="49" fontId="3" fillId="5" borderId="3" xfId="0" applyNumberFormat="1" applyFont="1" applyFill="1" applyBorder="1" applyAlignment="1" applyProtection="1">
      <alignment horizontal="center"/>
    </xf>
    <xf numFmtId="49" fontId="3" fillId="5" borderId="5" xfId="0" applyNumberFormat="1" applyFont="1" applyFill="1" applyBorder="1" applyAlignment="1" applyProtection="1">
      <alignment horizontal="center"/>
    </xf>
    <xf numFmtId="49" fontId="0" fillId="0" borderId="0" xfId="0" applyNumberFormat="1" applyProtection="1"/>
    <xf numFmtId="49" fontId="44" fillId="2" borderId="0" xfId="0" applyNumberFormat="1" applyFont="1" applyFill="1" applyProtection="1"/>
    <xf numFmtId="49" fontId="12" fillId="0" borderId="10" xfId="0" applyNumberFormat="1" applyFont="1" applyFill="1" applyBorder="1" applyAlignment="1" applyProtection="1">
      <alignment horizontal="center"/>
    </xf>
    <xf numFmtId="49" fontId="11" fillId="0" borderId="2" xfId="0" applyNumberFormat="1" applyFont="1" applyBorder="1" applyAlignment="1" applyProtection="1">
      <alignment horizontal="center"/>
    </xf>
    <xf numFmtId="49" fontId="11" fillId="0" borderId="2" xfId="0" applyNumberFormat="1" applyFont="1" applyFill="1" applyBorder="1" applyAlignment="1" applyProtection="1">
      <alignment horizontal="center"/>
    </xf>
    <xf numFmtId="49" fontId="11" fillId="0" borderId="8" xfId="0" applyNumberFormat="1" applyFont="1" applyBorder="1" applyAlignment="1" applyProtection="1">
      <alignment horizontal="center"/>
    </xf>
    <xf numFmtId="49" fontId="11" fillId="0" borderId="8" xfId="0" applyNumberFormat="1" applyFont="1" applyBorder="1" applyAlignment="1" applyProtection="1">
      <alignment horizontal="center"/>
      <protection locked="0"/>
    </xf>
    <xf numFmtId="49" fontId="11" fillId="0" borderId="17" xfId="0" applyNumberFormat="1" applyFont="1" applyBorder="1" applyAlignment="1" applyProtection="1">
      <alignment horizontal="center"/>
    </xf>
    <xf numFmtId="49" fontId="11" fillId="0" borderId="22" xfId="0" applyNumberFormat="1" applyFont="1" applyBorder="1" applyAlignment="1" applyProtection="1">
      <alignment horizontal="center"/>
    </xf>
    <xf numFmtId="49" fontId="11" fillId="0" borderId="34" xfId="0" applyNumberFormat="1" applyFont="1" applyBorder="1" applyAlignment="1" applyProtection="1">
      <alignment horizontal="center"/>
    </xf>
    <xf numFmtId="49" fontId="11" fillId="0" borderId="43" xfId="0" applyNumberFormat="1" applyFont="1" applyBorder="1" applyAlignment="1" applyProtection="1">
      <alignment horizontal="center"/>
    </xf>
    <xf numFmtId="49" fontId="11" fillId="0" borderId="0" xfId="0" applyNumberFormat="1" applyFont="1" applyBorder="1" applyAlignment="1" applyProtection="1">
      <alignment horizontal="center"/>
    </xf>
    <xf numFmtId="49" fontId="11" fillId="0" borderId="3" xfId="0" applyNumberFormat="1" applyFont="1" applyBorder="1" applyAlignment="1" applyProtection="1">
      <alignment horizontal="center"/>
    </xf>
    <xf numFmtId="49" fontId="11" fillId="0" borderId="3" xfId="0" applyNumberFormat="1" applyFont="1" applyFill="1" applyBorder="1" applyAlignment="1" applyProtection="1">
      <alignment horizontal="center"/>
      <protection locked="0"/>
    </xf>
    <xf numFmtId="49" fontId="11" fillId="0" borderId="29" xfId="0" applyNumberFormat="1" applyFont="1" applyFill="1" applyBorder="1" applyAlignment="1" applyProtection="1">
      <alignment horizontal="center"/>
      <protection locked="0"/>
    </xf>
    <xf numFmtId="49" fontId="11" fillId="0" borderId="36" xfId="0" applyNumberFormat="1" applyFont="1" applyBorder="1" applyAlignment="1" applyProtection="1">
      <alignment horizontal="center"/>
    </xf>
    <xf numFmtId="49" fontId="11" fillId="0" borderId="0" xfId="0" applyNumberFormat="1" applyFont="1" applyProtection="1"/>
    <xf numFmtId="49" fontId="12" fillId="5" borderId="4" xfId="0" applyNumberFormat="1" applyFont="1" applyFill="1" applyBorder="1" applyAlignment="1" applyProtection="1">
      <alignment vertical="top" wrapText="1"/>
    </xf>
    <xf numFmtId="49" fontId="12" fillId="5" borderId="3" xfId="0" applyNumberFormat="1" applyFont="1" applyFill="1" applyBorder="1" applyAlignment="1" applyProtection="1">
      <alignment vertical="top" wrapText="1"/>
    </xf>
    <xf numFmtId="49" fontId="12" fillId="5" borderId="2" xfId="0" applyNumberFormat="1" applyFont="1" applyFill="1" applyBorder="1" applyAlignment="1" applyProtection="1">
      <alignment vertical="top" wrapText="1"/>
    </xf>
    <xf numFmtId="49" fontId="12" fillId="0" borderId="39" xfId="0" applyNumberFormat="1" applyFont="1" applyFill="1" applyBorder="1" applyAlignment="1" applyProtection="1">
      <alignment horizontal="center"/>
    </xf>
    <xf numFmtId="49" fontId="11" fillId="0" borderId="8" xfId="0" applyNumberFormat="1" applyFont="1" applyFill="1" applyBorder="1" applyAlignment="1" applyProtection="1">
      <alignment horizontal="center"/>
    </xf>
    <xf numFmtId="49" fontId="11" fillId="0" borderId="32" xfId="0" applyNumberFormat="1" applyFont="1" applyBorder="1" applyAlignment="1" applyProtection="1">
      <alignment horizontal="center"/>
    </xf>
    <xf numFmtId="49" fontId="11" fillId="0" borderId="32" xfId="0" applyNumberFormat="1" applyFont="1" applyBorder="1" applyAlignment="1" applyProtection="1">
      <alignment horizontal="center"/>
      <protection locked="0"/>
    </xf>
    <xf numFmtId="49" fontId="11" fillId="0" borderId="30" xfId="0" applyNumberFormat="1" applyFont="1" applyBorder="1" applyAlignment="1" applyProtection="1">
      <alignment horizontal="center"/>
    </xf>
    <xf numFmtId="49" fontId="11" fillId="0" borderId="9" xfId="0" applyNumberFormat="1" applyFont="1" applyBorder="1" applyAlignment="1" applyProtection="1">
      <alignment horizontal="center"/>
    </xf>
    <xf numFmtId="49" fontId="11" fillId="0" borderId="7" xfId="0" applyNumberFormat="1" applyFont="1" applyBorder="1" applyAlignment="1" applyProtection="1">
      <alignment horizontal="center"/>
    </xf>
    <xf numFmtId="49" fontId="12" fillId="5" borderId="4" xfId="0" applyNumberFormat="1" applyFont="1" applyFill="1" applyBorder="1" applyAlignment="1" applyProtection="1">
      <alignment vertical="top"/>
    </xf>
    <xf numFmtId="49" fontId="12" fillId="5" borderId="3" xfId="0" applyNumberFormat="1" applyFont="1" applyFill="1" applyBorder="1" applyAlignment="1" applyProtection="1">
      <alignment vertical="top"/>
    </xf>
    <xf numFmtId="43" fontId="10" fillId="2" borderId="0" xfId="2" applyFont="1" applyFill="1" applyProtection="1"/>
    <xf numFmtId="43" fontId="3" fillId="5" borderId="0" xfId="2" applyFont="1" applyFill="1" applyBorder="1" applyAlignment="1" applyProtection="1">
      <alignment horizontal="center"/>
    </xf>
    <xf numFmtId="43" fontId="3" fillId="5" borderId="4" xfId="2" applyFont="1" applyFill="1" applyBorder="1" applyAlignment="1" applyProtection="1">
      <alignment horizontal="center"/>
    </xf>
    <xf numFmtId="43" fontId="3" fillId="5" borderId="6" xfId="2" applyFont="1" applyFill="1" applyBorder="1" applyAlignment="1" applyProtection="1">
      <alignment horizontal="center"/>
    </xf>
    <xf numFmtId="43" fontId="21" fillId="0" borderId="10" xfId="2" applyFont="1" applyFill="1" applyBorder="1" applyAlignment="1" applyProtection="1">
      <alignment horizontal="center"/>
    </xf>
    <xf numFmtId="43" fontId="21" fillId="0" borderId="41" xfId="2" applyFont="1" applyFill="1" applyBorder="1" applyAlignment="1" applyProtection="1">
      <alignment horizontal="center"/>
    </xf>
    <xf numFmtId="43" fontId="22" fillId="0" borderId="16" xfId="2" applyFont="1" applyFill="1" applyBorder="1" applyAlignment="1" applyProtection="1">
      <alignment horizontal="right"/>
      <protection hidden="1"/>
    </xf>
    <xf numFmtId="43" fontId="22" fillId="0" borderId="16" xfId="2" applyFont="1" applyBorder="1" applyAlignment="1" applyProtection="1">
      <alignment horizontal="right"/>
      <protection hidden="1"/>
    </xf>
    <xf numFmtId="43" fontId="22" fillId="0" borderId="44" xfId="2" applyFont="1" applyFill="1" applyBorder="1" applyAlignment="1" applyProtection="1">
      <alignment horizontal="right"/>
      <protection hidden="1"/>
    </xf>
    <xf numFmtId="43" fontId="22" fillId="0" borderId="31" xfId="2" applyFont="1" applyFill="1" applyBorder="1" applyAlignment="1" applyProtection="1">
      <alignment horizontal="right"/>
      <protection hidden="1"/>
    </xf>
    <xf numFmtId="43" fontId="14" fillId="0" borderId="0" xfId="2" applyFont="1" applyFill="1" applyBorder="1" applyAlignment="1" applyProtection="1">
      <alignment horizontal="right"/>
      <protection hidden="1"/>
    </xf>
    <xf numFmtId="43" fontId="16" fillId="5" borderId="1" xfId="2" applyFont="1" applyFill="1" applyBorder="1" applyAlignment="1" applyProtection="1">
      <alignment horizontal="right"/>
    </xf>
    <xf numFmtId="43" fontId="28" fillId="0" borderId="0" xfId="2" applyFont="1" applyProtection="1"/>
    <xf numFmtId="43" fontId="28" fillId="0" borderId="0" xfId="2" applyFont="1" applyFill="1" applyProtection="1"/>
    <xf numFmtId="43" fontId="2" fillId="0" borderId="0" xfId="2" applyFont="1" applyFill="1" applyProtection="1">
      <protection hidden="1"/>
    </xf>
    <xf numFmtId="43" fontId="2" fillId="0" borderId="0" xfId="2" applyFont="1" applyProtection="1"/>
    <xf numFmtId="43" fontId="1" fillId="0" borderId="0" xfId="2" applyFont="1" applyProtection="1"/>
    <xf numFmtId="49" fontId="44" fillId="0" borderId="0" xfId="0" applyNumberFormat="1" applyFont="1" applyProtection="1">
      <protection hidden="1"/>
    </xf>
    <xf numFmtId="49" fontId="44" fillId="0" borderId="11" xfId="0" applyNumberFormat="1" applyFont="1" applyBorder="1" applyProtection="1">
      <protection hidden="1"/>
    </xf>
    <xf numFmtId="49" fontId="44" fillId="0" borderId="6" xfId="0" applyNumberFormat="1" applyFont="1" applyBorder="1" applyProtection="1">
      <protection hidden="1"/>
    </xf>
    <xf numFmtId="49" fontId="11" fillId="0" borderId="29" xfId="0" applyNumberFormat="1" applyFont="1" applyBorder="1" applyAlignment="1" applyProtection="1">
      <alignment horizontal="center"/>
      <protection locked="0"/>
    </xf>
    <xf numFmtId="49" fontId="11" fillId="0" borderId="7" xfId="0" applyNumberFormat="1" applyFont="1" applyBorder="1" applyAlignment="1" applyProtection="1">
      <alignment horizontal="center"/>
      <protection hidden="1"/>
    </xf>
    <xf numFmtId="49" fontId="11" fillId="0" borderId="22" xfId="0" applyNumberFormat="1" applyFont="1" applyBorder="1" applyAlignment="1" applyProtection="1">
      <alignment horizontal="center"/>
      <protection locked="0"/>
    </xf>
    <xf numFmtId="49" fontId="11" fillId="0" borderId="9" xfId="0" applyNumberFormat="1" applyFont="1" applyBorder="1" applyAlignment="1" applyProtection="1">
      <alignment horizontal="center"/>
      <protection locked="0"/>
    </xf>
    <xf numFmtId="49" fontId="11" fillId="0" borderId="16" xfId="0" applyNumberFormat="1" applyFont="1" applyBorder="1" applyAlignment="1" applyProtection="1">
      <alignment horizontal="center"/>
      <protection locked="0"/>
    </xf>
    <xf numFmtId="49" fontId="11" fillId="0" borderId="20" xfId="0" applyNumberFormat="1" applyFont="1" applyBorder="1" applyAlignment="1" applyProtection="1">
      <alignment horizontal="center"/>
      <protection locked="0"/>
    </xf>
    <xf numFmtId="49" fontId="11" fillId="0" borderId="23" xfId="0" applyNumberFormat="1" applyFont="1" applyBorder="1" applyAlignment="1" applyProtection="1">
      <alignment horizontal="center"/>
      <protection locked="0"/>
    </xf>
    <xf numFmtId="49" fontId="11" fillId="0" borderId="35" xfId="0" applyNumberFormat="1" applyFont="1" applyBorder="1" applyAlignment="1" applyProtection="1">
      <alignment horizontal="center"/>
      <protection locked="0"/>
    </xf>
    <xf numFmtId="49" fontId="11" fillId="0" borderId="7" xfId="0" applyNumberFormat="1" applyFont="1" applyBorder="1" applyProtection="1">
      <protection hidden="1"/>
    </xf>
    <xf numFmtId="49" fontId="12" fillId="5" borderId="4" xfId="0" applyNumberFormat="1" applyFont="1" applyFill="1" applyBorder="1" applyProtection="1">
      <protection hidden="1"/>
    </xf>
    <xf numFmtId="43" fontId="17" fillId="0" borderId="2" xfId="2" applyFont="1" applyFill="1" applyBorder="1" applyAlignment="1" applyProtection="1">
      <alignment horizontal="right"/>
      <protection hidden="1"/>
    </xf>
    <xf numFmtId="49" fontId="10" fillId="0" borderId="0" xfId="0" applyNumberFormat="1" applyFont="1"/>
    <xf numFmtId="49" fontId="3" fillId="5" borderId="3" xfId="0" applyNumberFormat="1" applyFont="1" applyFill="1" applyBorder="1" applyProtection="1"/>
    <xf numFmtId="49" fontId="3" fillId="0" borderId="3" xfId="0" applyNumberFormat="1" applyFont="1" applyFill="1" applyBorder="1" applyAlignment="1" applyProtection="1">
      <alignment horizontal="center"/>
    </xf>
    <xf numFmtId="49" fontId="5" fillId="0" borderId="0" xfId="0" applyNumberFormat="1" applyFont="1" applyProtection="1"/>
    <xf numFmtId="49" fontId="0" fillId="0" borderId="0" xfId="0" applyNumberFormat="1"/>
    <xf numFmtId="0" fontId="2" fillId="0" borderId="51" xfId="0" applyFont="1" applyBorder="1" applyAlignment="1" applyProtection="1">
      <alignment horizontal="center"/>
      <protection hidden="1"/>
    </xf>
    <xf numFmtId="168" fontId="26" fillId="5" borderId="4" xfId="2" applyNumberFormat="1" applyFont="1" applyFill="1" applyBorder="1" applyAlignment="1" applyProtection="1">
      <alignment horizontal="right"/>
      <protection hidden="1"/>
    </xf>
    <xf numFmtId="168" fontId="17" fillId="0" borderId="18" xfId="2" applyNumberFormat="1" applyFont="1" applyFill="1" applyBorder="1" applyAlignment="1" applyProtection="1">
      <alignment horizontal="right"/>
      <protection hidden="1"/>
    </xf>
    <xf numFmtId="49" fontId="22" fillId="0" borderId="34" xfId="0" applyNumberFormat="1" applyFont="1" applyBorder="1" applyAlignment="1" applyProtection="1">
      <alignment horizontal="center"/>
    </xf>
    <xf numFmtId="49" fontId="22" fillId="0" borderId="9" xfId="0" applyNumberFormat="1" applyFont="1" applyBorder="1" applyAlignment="1" applyProtection="1">
      <alignment horizontal="center"/>
    </xf>
    <xf numFmtId="0" fontId="21" fillId="0" borderId="2" xfId="0" applyFont="1" applyBorder="1" applyAlignment="1" applyProtection="1">
      <alignment horizontal="left"/>
      <protection locked="0"/>
    </xf>
    <xf numFmtId="168" fontId="22" fillId="0" borderId="2" xfId="2" applyNumberFormat="1" applyFont="1" applyBorder="1" applyAlignment="1" applyProtection="1">
      <alignment horizontal="right"/>
      <protection hidden="1"/>
    </xf>
    <xf numFmtId="43" fontId="22" fillId="0" borderId="2" xfId="2" applyFont="1" applyBorder="1" applyAlignment="1" applyProtection="1">
      <alignment horizontal="right"/>
      <protection hidden="1"/>
    </xf>
    <xf numFmtId="0" fontId="22" fillId="0" borderId="3" xfId="0" applyFont="1" applyFill="1" applyBorder="1" applyAlignment="1" applyProtection="1">
      <alignment horizontal="left"/>
      <protection locked="0"/>
    </xf>
    <xf numFmtId="0" fontId="22" fillId="0" borderId="3" xfId="0" applyFont="1" applyBorder="1" applyAlignment="1" applyProtection="1">
      <alignment horizontal="left" wrapText="1"/>
      <protection locked="0"/>
    </xf>
    <xf numFmtId="0" fontId="22" fillId="0" borderId="3" xfId="0" applyFont="1" applyBorder="1" applyAlignment="1" applyProtection="1">
      <alignment horizontal="center"/>
      <protection locked="0"/>
    </xf>
    <xf numFmtId="43" fontId="22" fillId="0" borderId="3" xfId="2" applyFont="1" applyFill="1" applyBorder="1" applyAlignment="1" applyProtection="1">
      <alignment horizontal="right"/>
    </xf>
    <xf numFmtId="0" fontId="22" fillId="0" borderId="2" xfId="0" applyFont="1" applyFill="1" applyBorder="1" applyAlignment="1" applyProtection="1">
      <alignment horizontal="center"/>
      <protection locked="0"/>
    </xf>
    <xf numFmtId="0" fontId="22" fillId="0" borderId="2" xfId="0" applyFont="1" applyFill="1" applyBorder="1" applyAlignment="1" applyProtection="1">
      <alignment horizontal="center" wrapText="1"/>
      <protection locked="0"/>
    </xf>
    <xf numFmtId="0" fontId="22" fillId="0" borderId="3" xfId="0" applyFont="1" applyFill="1" applyBorder="1" applyAlignment="1" applyProtection="1">
      <alignment horizontal="center" wrapText="1"/>
      <protection locked="0"/>
    </xf>
    <xf numFmtId="0" fontId="22" fillId="0" borderId="3" xfId="0" applyFont="1" applyFill="1" applyBorder="1" applyAlignment="1" applyProtection="1">
      <alignment horizontal="center"/>
      <protection locked="0"/>
    </xf>
    <xf numFmtId="0" fontId="21" fillId="0" borderId="3" xfId="0" applyFont="1" applyFill="1" applyBorder="1" applyAlignment="1" applyProtection="1">
      <alignment horizontal="left"/>
      <protection hidden="1"/>
    </xf>
    <xf numFmtId="0" fontId="21" fillId="0" borderId="3" xfId="0" applyFont="1" applyFill="1" applyBorder="1" applyAlignment="1" applyProtection="1">
      <alignment horizontal="center"/>
      <protection hidden="1"/>
    </xf>
    <xf numFmtId="0" fontId="21" fillId="0" borderId="16" xfId="0" applyFont="1" applyFill="1" applyBorder="1" applyAlignment="1" applyProtection="1">
      <alignment horizontal="center"/>
      <protection hidden="1"/>
    </xf>
    <xf numFmtId="43" fontId="21" fillId="0" borderId="3" xfId="2" applyFont="1" applyFill="1" applyBorder="1" applyAlignment="1" applyProtection="1">
      <alignment horizontal="center"/>
      <protection hidden="1"/>
    </xf>
    <xf numFmtId="0" fontId="22" fillId="0" borderId="16" xfId="0" applyFont="1" applyFill="1" applyBorder="1" applyAlignment="1" applyProtection="1">
      <alignment horizontal="left"/>
      <protection locked="0"/>
    </xf>
    <xf numFmtId="0" fontId="22" fillId="0" borderId="16" xfId="0" applyFont="1" applyFill="1" applyBorder="1" applyAlignment="1" applyProtection="1">
      <alignment horizontal="left" wrapText="1"/>
      <protection locked="0"/>
    </xf>
    <xf numFmtId="0" fontId="22" fillId="0" borderId="16" xfId="0" applyFont="1" applyFill="1" applyBorder="1" applyAlignment="1" applyProtection="1">
      <alignment horizontal="center"/>
      <protection locked="0"/>
    </xf>
    <xf numFmtId="0" fontId="22" fillId="0" borderId="2" xfId="0" applyFont="1" applyFill="1" applyBorder="1" applyAlignment="1" applyProtection="1">
      <alignment horizontal="left" wrapText="1"/>
      <protection locked="0"/>
    </xf>
    <xf numFmtId="43" fontId="17" fillId="0" borderId="0" xfId="2" applyFont="1" applyFill="1" applyBorder="1" applyAlignment="1" applyProtection="1">
      <alignment horizontal="right"/>
      <protection hidden="1"/>
    </xf>
    <xf numFmtId="0" fontId="0" fillId="0" borderId="23" xfId="0" applyBorder="1"/>
    <xf numFmtId="49" fontId="5" fillId="0" borderId="13" xfId="0" applyNumberFormat="1" applyFont="1" applyBorder="1" applyAlignment="1" applyProtection="1">
      <alignment horizontal="center"/>
    </xf>
    <xf numFmtId="0" fontId="5" fillId="0" borderId="13" xfId="0" applyFont="1" applyBorder="1" applyAlignment="1" applyProtection="1">
      <alignment horizontal="left"/>
      <protection locked="0"/>
    </xf>
    <xf numFmtId="1" fontId="5" fillId="0" borderId="13" xfId="0" applyNumberFormat="1" applyFont="1" applyBorder="1" applyAlignment="1" applyProtection="1">
      <alignment horizontal="center"/>
      <protection locked="0"/>
    </xf>
    <xf numFmtId="168" fontId="5" fillId="0" borderId="13" xfId="2" applyNumberFormat="1" applyFont="1" applyFill="1" applyBorder="1" applyAlignment="1" applyProtection="1">
      <alignment horizontal="right"/>
    </xf>
    <xf numFmtId="168" fontId="5" fillId="0" borderId="13" xfId="2" applyNumberFormat="1" applyFont="1" applyBorder="1" applyAlignment="1" applyProtection="1">
      <alignment horizontal="right"/>
    </xf>
    <xf numFmtId="43" fontId="5" fillId="0" borderId="13" xfId="2" applyFont="1" applyBorder="1" applyAlignment="1" applyProtection="1">
      <alignment horizontal="right"/>
    </xf>
    <xf numFmtId="168" fontId="1" fillId="0" borderId="13" xfId="2" applyNumberFormat="1" applyFont="1" applyBorder="1" applyAlignment="1" applyProtection="1">
      <alignment horizontal="right"/>
    </xf>
    <xf numFmtId="0" fontId="5" fillId="0" borderId="13" xfId="0" applyFont="1" applyFill="1" applyBorder="1" applyAlignment="1" applyProtection="1">
      <alignment horizontal="left"/>
      <protection locked="0"/>
    </xf>
    <xf numFmtId="0" fontId="5" fillId="0" borderId="13" xfId="0" applyFont="1" applyBorder="1" applyAlignment="1" applyProtection="1">
      <alignment horizontal="center"/>
      <protection locked="0"/>
    </xf>
    <xf numFmtId="0" fontId="5" fillId="0" borderId="15" xfId="0" applyFont="1" applyBorder="1" applyProtection="1"/>
    <xf numFmtId="49" fontId="1" fillId="0" borderId="3" xfId="0" applyNumberFormat="1" applyFont="1" applyBorder="1" applyAlignment="1" applyProtection="1">
      <alignment horizontal="center"/>
      <protection locked="0"/>
    </xf>
    <xf numFmtId="49" fontId="11" fillId="0" borderId="13" xfId="0" applyNumberFormat="1" applyFont="1" applyBorder="1" applyAlignment="1" applyProtection="1">
      <alignment horizontal="center"/>
    </xf>
    <xf numFmtId="167" fontId="19" fillId="0" borderId="0" xfId="5" applyFont="1" applyAlignment="1" applyProtection="1">
      <alignment horizontal="centerContinuous"/>
    </xf>
    <xf numFmtId="0" fontId="14" fillId="0" borderId="2" xfId="0" applyFont="1" applyFill="1" applyBorder="1" applyAlignment="1" applyProtection="1">
      <alignment horizontal="left" wrapText="1"/>
      <protection locked="0"/>
    </xf>
    <xf numFmtId="0" fontId="2" fillId="0" borderId="27" xfId="0" applyFont="1" applyBorder="1" applyAlignment="1" applyProtection="1">
      <alignment horizontal="center"/>
      <protection hidden="1"/>
    </xf>
    <xf numFmtId="0" fontId="2" fillId="0" borderId="26" xfId="0" applyFont="1" applyBorder="1" applyAlignment="1" applyProtection="1">
      <alignment horizontal="center"/>
      <protection hidden="1"/>
    </xf>
    <xf numFmtId="0" fontId="29" fillId="0" borderId="50" xfId="0" applyFont="1" applyBorder="1" applyAlignment="1" applyProtection="1">
      <alignment horizontal="center"/>
      <protection hidden="1"/>
    </xf>
    <xf numFmtId="0" fontId="29" fillId="0" borderId="15" xfId="0" applyFont="1" applyBorder="1" applyAlignment="1" applyProtection="1">
      <alignment horizontal="center"/>
      <protection hidden="1"/>
    </xf>
    <xf numFmtId="0" fontId="29" fillId="0" borderId="28" xfId="0" applyFont="1" applyBorder="1" applyAlignment="1" applyProtection="1">
      <alignment horizontal="center"/>
      <protection hidden="1"/>
    </xf>
    <xf numFmtId="0" fontId="3" fillId="5" borderId="50" xfId="0" applyFont="1" applyFill="1" applyBorder="1" applyAlignment="1" applyProtection="1">
      <alignment horizontal="center"/>
      <protection hidden="1"/>
    </xf>
    <xf numFmtId="0" fontId="3" fillId="5" borderId="15" xfId="0" applyFont="1" applyFill="1" applyBorder="1" applyAlignment="1" applyProtection="1">
      <alignment horizontal="center"/>
      <protection hidden="1"/>
    </xf>
    <xf numFmtId="0" fontId="30" fillId="0" borderId="11" xfId="0" applyFont="1" applyBorder="1" applyAlignment="1" applyProtection="1">
      <alignment horizontal="center"/>
      <protection hidden="1"/>
    </xf>
    <xf numFmtId="0" fontId="30" fillId="0" borderId="6" xfId="0" applyFont="1" applyBorder="1" applyAlignment="1" applyProtection="1">
      <alignment horizontal="center"/>
      <protection hidden="1"/>
    </xf>
    <xf numFmtId="0" fontId="30" fillId="0" borderId="12" xfId="0" applyFont="1" applyBorder="1" applyAlignment="1" applyProtection="1">
      <alignment horizontal="center"/>
      <protection hidden="1"/>
    </xf>
    <xf numFmtId="0" fontId="31" fillId="0" borderId="14" xfId="0" applyFont="1" applyBorder="1" applyAlignment="1" applyProtection="1">
      <alignment horizontal="center"/>
      <protection hidden="1"/>
    </xf>
    <xf numFmtId="0" fontId="31" fillId="0" borderId="0" xfId="0" applyFont="1" applyBorder="1" applyAlignment="1" applyProtection="1">
      <alignment horizontal="center"/>
      <protection hidden="1"/>
    </xf>
    <xf numFmtId="0" fontId="31" fillId="0" borderId="23" xfId="0" applyFont="1" applyBorder="1" applyAlignment="1" applyProtection="1">
      <alignment horizontal="center"/>
      <protection hidden="1"/>
    </xf>
    <xf numFmtId="0" fontId="30" fillId="0" borderId="14" xfId="0" applyFont="1" applyBorder="1" applyAlignment="1" applyProtection="1">
      <alignment horizontal="center"/>
      <protection hidden="1"/>
    </xf>
    <xf numFmtId="0" fontId="30" fillId="0" borderId="0" xfId="0" applyFont="1" applyBorder="1" applyAlignment="1" applyProtection="1">
      <alignment horizontal="center"/>
      <protection hidden="1"/>
    </xf>
    <xf numFmtId="0" fontId="30" fillId="0" borderId="23" xfId="0" applyFont="1" applyBorder="1" applyAlignment="1" applyProtection="1">
      <alignment horizontal="center"/>
      <protection hidden="1"/>
    </xf>
    <xf numFmtId="0" fontId="1" fillId="0" borderId="6" xfId="0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32" fillId="0" borderId="0" xfId="0" applyFont="1" applyBorder="1" applyAlignment="1" applyProtection="1">
      <alignment horizontal="center"/>
      <protection hidden="1"/>
    </xf>
    <xf numFmtId="0" fontId="3" fillId="5" borderId="27" xfId="0" applyFont="1" applyFill="1" applyBorder="1" applyAlignment="1" applyProtection="1">
      <alignment horizontal="center"/>
      <protection hidden="1"/>
    </xf>
    <xf numFmtId="0" fontId="3" fillId="5" borderId="51" xfId="0" applyFont="1" applyFill="1" applyBorder="1" applyAlignment="1" applyProtection="1">
      <alignment horizontal="center"/>
      <protection hidden="1"/>
    </xf>
    <xf numFmtId="0" fontId="3" fillId="5" borderId="26" xfId="0" applyFont="1" applyFill="1" applyBorder="1" applyAlignment="1" applyProtection="1">
      <alignment horizontal="center"/>
      <protection hidden="1"/>
    </xf>
    <xf numFmtId="0" fontId="33" fillId="0" borderId="0" xfId="0" applyFont="1" applyBorder="1" applyAlignment="1" applyProtection="1">
      <alignment horizontal="center"/>
      <protection hidden="1"/>
    </xf>
    <xf numFmtId="0" fontId="32" fillId="0" borderId="14" xfId="0" applyFont="1" applyBorder="1" applyAlignment="1" applyProtection="1">
      <alignment horizontal="center"/>
      <protection hidden="1"/>
    </xf>
    <xf numFmtId="0" fontId="32" fillId="0" borderId="23" xfId="0" applyFont="1" applyBorder="1" applyAlignment="1" applyProtection="1">
      <alignment horizontal="center"/>
      <protection hidden="1"/>
    </xf>
    <xf numFmtId="0" fontId="33" fillId="2" borderId="0" xfId="0" applyFont="1" applyFill="1" applyBorder="1" applyAlignment="1" applyProtection="1">
      <alignment horizontal="center"/>
    </xf>
    <xf numFmtId="0" fontId="33" fillId="2" borderId="0" xfId="0" applyFont="1" applyFill="1" applyBorder="1" applyAlignment="1" applyProtection="1">
      <alignment horizontal="center"/>
      <protection locked="0"/>
    </xf>
    <xf numFmtId="0" fontId="33" fillId="2" borderId="11" xfId="0" applyFont="1" applyFill="1" applyBorder="1" applyAlignment="1" applyProtection="1">
      <alignment horizontal="center"/>
    </xf>
    <xf numFmtId="0" fontId="33" fillId="2" borderId="6" xfId="0" applyFont="1" applyFill="1" applyBorder="1" applyAlignment="1" applyProtection="1">
      <alignment horizontal="center"/>
    </xf>
    <xf numFmtId="0" fontId="33" fillId="2" borderId="12" xfId="0" applyFont="1" applyFill="1" applyBorder="1" applyAlignment="1" applyProtection="1">
      <alignment horizontal="center"/>
    </xf>
    <xf numFmtId="0" fontId="33" fillId="2" borderId="14" xfId="0" applyFont="1" applyFill="1" applyBorder="1" applyAlignment="1" applyProtection="1">
      <alignment horizontal="center"/>
      <protection locked="0"/>
    </xf>
    <xf numFmtId="0" fontId="33" fillId="2" borderId="23" xfId="0" applyFont="1" applyFill="1" applyBorder="1" applyAlignment="1" applyProtection="1">
      <alignment horizontal="center"/>
      <protection locked="0"/>
    </xf>
    <xf numFmtId="0" fontId="3" fillId="5" borderId="50" xfId="0" applyFont="1" applyFill="1" applyBorder="1" applyAlignment="1" applyProtection="1">
      <alignment horizontal="center"/>
    </xf>
    <xf numFmtId="0" fontId="3" fillId="5" borderId="15" xfId="0" applyFont="1" applyFill="1" applyBorder="1" applyAlignment="1" applyProtection="1">
      <alignment horizontal="center"/>
    </xf>
    <xf numFmtId="0" fontId="3" fillId="5" borderId="28" xfId="0" applyFont="1" applyFill="1" applyBorder="1" applyAlignment="1" applyProtection="1">
      <alignment horizontal="center"/>
    </xf>
    <xf numFmtId="0" fontId="33" fillId="2" borderId="50" xfId="0" applyFont="1" applyFill="1" applyBorder="1" applyAlignment="1" applyProtection="1">
      <alignment horizontal="center"/>
      <protection locked="0"/>
    </xf>
    <xf numFmtId="0" fontId="33" fillId="2" borderId="15" xfId="0" applyFont="1" applyFill="1" applyBorder="1" applyAlignment="1" applyProtection="1">
      <alignment horizontal="center"/>
      <protection locked="0"/>
    </xf>
    <xf numFmtId="0" fontId="33" fillId="2" borderId="28" xfId="0" applyFont="1" applyFill="1" applyBorder="1" applyAlignment="1" applyProtection="1">
      <alignment horizontal="center"/>
      <protection locked="0"/>
    </xf>
    <xf numFmtId="49" fontId="12" fillId="5" borderId="4" xfId="0" applyNumberFormat="1" applyFont="1" applyFill="1" applyBorder="1" applyAlignment="1" applyProtection="1">
      <alignment horizontal="center" vertical="center"/>
    </xf>
    <xf numFmtId="49" fontId="12" fillId="5" borderId="3" xfId="0" applyNumberFormat="1" applyFont="1" applyFill="1" applyBorder="1" applyAlignment="1" applyProtection="1">
      <alignment horizontal="center" vertical="center"/>
    </xf>
    <xf numFmtId="49" fontId="12" fillId="5" borderId="2" xfId="0" applyNumberFormat="1" applyFont="1" applyFill="1" applyBorder="1" applyAlignment="1" applyProtection="1">
      <alignment horizontal="center" vertical="center"/>
    </xf>
    <xf numFmtId="0" fontId="33" fillId="2" borderId="14" xfId="0" applyFont="1" applyFill="1" applyBorder="1" applyAlignment="1" applyProtection="1">
      <alignment horizontal="center"/>
    </xf>
    <xf numFmtId="0" fontId="33" fillId="2" borderId="23" xfId="0" applyFont="1" applyFill="1" applyBorder="1" applyAlignment="1" applyProtection="1">
      <alignment horizontal="center"/>
    </xf>
    <xf numFmtId="0" fontId="6" fillId="0" borderId="0" xfId="0" applyFont="1" applyAlignment="1" applyProtection="1">
      <alignment horizontal="center"/>
      <protection hidden="1"/>
    </xf>
    <xf numFmtId="0" fontId="5" fillId="0" borderId="6" xfId="0" applyFont="1" applyBorder="1" applyAlignment="1" applyProtection="1">
      <alignment horizontal="center"/>
      <protection hidden="1"/>
    </xf>
    <xf numFmtId="0" fontId="34" fillId="0" borderId="14" xfId="0" applyFont="1" applyBorder="1" applyAlignment="1" applyProtection="1">
      <alignment horizontal="center"/>
      <protection hidden="1"/>
    </xf>
    <xf numFmtId="0" fontId="34" fillId="0" borderId="0" xfId="0" applyFont="1" applyBorder="1" applyAlignment="1" applyProtection="1">
      <alignment horizontal="center"/>
      <protection hidden="1"/>
    </xf>
    <xf numFmtId="0" fontId="34" fillId="0" borderId="23" xfId="0" applyFont="1" applyBorder="1" applyAlignment="1" applyProtection="1">
      <alignment horizontal="center"/>
      <protection hidden="1"/>
    </xf>
    <xf numFmtId="0" fontId="12" fillId="5" borderId="11" xfId="0" applyFont="1" applyFill="1" applyBorder="1" applyAlignment="1" applyProtection="1">
      <alignment horizontal="center"/>
      <protection hidden="1"/>
    </xf>
    <xf numFmtId="0" fontId="12" fillId="5" borderId="6" xfId="0" applyFont="1" applyFill="1" applyBorder="1" applyAlignment="1" applyProtection="1">
      <alignment horizontal="center"/>
      <protection hidden="1"/>
    </xf>
    <xf numFmtId="0" fontId="12" fillId="5" borderId="12" xfId="0" applyFont="1" applyFill="1" applyBorder="1" applyAlignment="1" applyProtection="1">
      <alignment horizontal="center"/>
      <protection hidden="1"/>
    </xf>
    <xf numFmtId="0" fontId="34" fillId="0" borderId="11" xfId="0" applyFont="1" applyBorder="1" applyAlignment="1" applyProtection="1">
      <alignment horizontal="center"/>
      <protection hidden="1"/>
    </xf>
    <xf numFmtId="0" fontId="34" fillId="0" borderId="6" xfId="0" applyFont="1" applyBorder="1" applyAlignment="1" applyProtection="1">
      <alignment horizontal="center"/>
      <protection hidden="1"/>
    </xf>
    <xf numFmtId="0" fontId="34" fillId="0" borderId="12" xfId="0" applyFont="1" applyBorder="1" applyAlignment="1" applyProtection="1">
      <alignment horizontal="center"/>
      <protection hidden="1"/>
    </xf>
    <xf numFmtId="0" fontId="18" fillId="0" borderId="27" xfId="0" applyFont="1" applyBorder="1" applyAlignment="1" applyProtection="1">
      <alignment horizontal="center"/>
      <protection hidden="1"/>
    </xf>
    <xf numFmtId="0" fontId="18" fillId="0" borderId="26" xfId="0" applyFont="1" applyBorder="1" applyAlignment="1" applyProtection="1">
      <alignment horizontal="center"/>
      <protection hidden="1"/>
    </xf>
    <xf numFmtId="0" fontId="34" fillId="0" borderId="50" xfId="0" applyFont="1" applyBorder="1" applyAlignment="1" applyProtection="1">
      <alignment horizontal="center"/>
      <protection hidden="1"/>
    </xf>
    <xf numFmtId="0" fontId="34" fillId="0" borderId="15" xfId="0" applyFont="1" applyBorder="1" applyAlignment="1" applyProtection="1">
      <alignment horizontal="center"/>
      <protection hidden="1"/>
    </xf>
    <xf numFmtId="0" fontId="34" fillId="0" borderId="28" xfId="0" applyFont="1" applyBorder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32" fillId="0" borderId="11" xfId="0" applyFont="1" applyBorder="1" applyAlignment="1" applyProtection="1">
      <alignment horizontal="center"/>
    </xf>
    <xf numFmtId="0" fontId="32" fillId="0" borderId="6" xfId="0" applyFont="1" applyBorder="1" applyAlignment="1" applyProtection="1">
      <alignment horizontal="center"/>
    </xf>
    <xf numFmtId="0" fontId="32" fillId="0" borderId="12" xfId="0" applyFont="1" applyBorder="1" applyAlignment="1" applyProtection="1">
      <alignment horizontal="center"/>
    </xf>
    <xf numFmtId="0" fontId="32" fillId="0" borderId="14" xfId="0" applyFont="1" applyBorder="1" applyAlignment="1" applyProtection="1">
      <alignment horizontal="center"/>
      <protection locked="0"/>
    </xf>
    <xf numFmtId="0" fontId="32" fillId="0" borderId="0" xfId="0" applyFont="1" applyBorder="1" applyAlignment="1" applyProtection="1">
      <alignment horizontal="center"/>
      <protection locked="0"/>
    </xf>
    <xf numFmtId="0" fontId="32" fillId="0" borderId="23" xfId="0" applyFont="1" applyBorder="1" applyAlignment="1" applyProtection="1">
      <alignment horizontal="center"/>
      <protection locked="0"/>
    </xf>
    <xf numFmtId="0" fontId="38" fillId="0" borderId="0" xfId="0" applyFont="1" applyAlignment="1" applyProtection="1">
      <alignment horizontal="center"/>
    </xf>
  </cellXfs>
  <cellStyles count="7">
    <cellStyle name="Euro" xfId="1"/>
    <cellStyle name="Millares" xfId="2" builtinId="3"/>
    <cellStyle name="Millares_Calculo Sueldo 2002 " xfId="6"/>
    <cellStyle name="Normal" xfId="0" builtinId="0"/>
    <cellStyle name="Normal 2" xfId="3"/>
    <cellStyle name="Normal_PPHON" xfId="5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MINA%20BASE%202018\NOMINA%202017%20OK\Users\PC%20LUIS\Desktop\NOMINA\Pgo%20Prov.%20Gonzalo%20Gtz.%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CON  sub  Y  cred   "/>
      <sheetName val="Pequeños Contrib."/>
      <sheetName val="formato en Blanco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4"/>
  <sheetViews>
    <sheetView workbookViewId="0">
      <selection activeCell="A5" sqref="A5"/>
    </sheetView>
  </sheetViews>
  <sheetFormatPr baseColWidth="10" defaultRowHeight="12.75" x14ac:dyDescent="0.2"/>
  <cols>
    <col min="1" max="1" width="15.7109375" customWidth="1"/>
  </cols>
  <sheetData>
    <row r="3" spans="1:1" x14ac:dyDescent="0.2">
      <c r="A3" s="36" t="s">
        <v>116</v>
      </c>
    </row>
    <row r="4" spans="1:1" x14ac:dyDescent="0.2">
      <c r="A4" s="36" t="s">
        <v>117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P42"/>
  <sheetViews>
    <sheetView tabSelected="1" workbookViewId="0">
      <selection activeCell="D14" sqref="D14"/>
    </sheetView>
  </sheetViews>
  <sheetFormatPr baseColWidth="10" defaultRowHeight="12.75" x14ac:dyDescent="0.2"/>
  <cols>
    <col min="1" max="1" width="5.85546875" style="15" customWidth="1"/>
    <col min="2" max="2" width="5.28515625" style="329" customWidth="1"/>
    <col min="3" max="3" width="4.42578125" style="329" customWidth="1"/>
    <col min="4" max="4" width="36.5703125" style="15" customWidth="1"/>
    <col min="5" max="5" width="12.28515625" style="15" customWidth="1"/>
    <col min="6" max="6" width="5.5703125" style="15" customWidth="1"/>
    <col min="7" max="7" width="13.140625" style="15" customWidth="1"/>
    <col min="8" max="8" width="13.5703125" style="15" bestFit="1" customWidth="1"/>
    <col min="9" max="9" width="11.85546875" style="15" hidden="1" customWidth="1"/>
    <col min="10" max="10" width="11.85546875" style="15" bestFit="1" customWidth="1"/>
    <col min="11" max="11" width="10.85546875" style="15" hidden="1" customWidth="1"/>
    <col min="12" max="12" width="11" style="15" customWidth="1"/>
    <col min="13" max="13" width="13.5703125" style="15" bestFit="1" customWidth="1"/>
    <col min="14" max="14" width="65.85546875" style="15" customWidth="1"/>
    <col min="15" max="16384" width="11.42578125" style="15"/>
  </cols>
  <sheetData>
    <row r="1" spans="2:16" ht="5.25" customHeight="1" x14ac:dyDescent="0.2"/>
    <row r="2" spans="2:16" ht="5.25" customHeight="1" x14ac:dyDescent="0.2">
      <c r="B2" s="330"/>
      <c r="C2" s="331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2:16" ht="22.5" x14ac:dyDescent="0.45">
      <c r="B3" s="491" t="s">
        <v>12</v>
      </c>
      <c r="C3" s="492"/>
      <c r="D3" s="492"/>
      <c r="E3" s="492"/>
      <c r="F3" s="492"/>
      <c r="G3" s="492"/>
      <c r="H3" s="492"/>
      <c r="I3" s="492"/>
      <c r="J3" s="492"/>
      <c r="K3" s="492"/>
      <c r="L3" s="492"/>
      <c r="M3" s="492"/>
      <c r="N3" s="493"/>
    </row>
    <row r="4" spans="2:16" ht="22.5" x14ac:dyDescent="0.45">
      <c r="B4" s="497" t="s">
        <v>171</v>
      </c>
      <c r="C4" s="498"/>
      <c r="D4" s="498"/>
      <c r="E4" s="498"/>
      <c r="F4" s="498"/>
      <c r="G4" s="498"/>
      <c r="H4" s="498"/>
      <c r="I4" s="498"/>
      <c r="J4" s="498"/>
      <c r="K4" s="498"/>
      <c r="L4" s="498"/>
      <c r="M4" s="498"/>
      <c r="N4" s="499"/>
    </row>
    <row r="5" spans="2:16" ht="19.5" x14ac:dyDescent="0.4">
      <c r="B5" s="494" t="s">
        <v>505</v>
      </c>
      <c r="C5" s="495"/>
      <c r="D5" s="495"/>
      <c r="E5" s="495"/>
      <c r="F5" s="495"/>
      <c r="G5" s="495"/>
      <c r="H5" s="495"/>
      <c r="I5" s="495"/>
      <c r="J5" s="495"/>
      <c r="K5" s="495"/>
      <c r="L5" s="495"/>
      <c r="M5" s="495"/>
      <c r="N5" s="496"/>
    </row>
    <row r="6" spans="2:16" ht="15" x14ac:dyDescent="0.2">
      <c r="B6" s="486"/>
      <c r="C6" s="487"/>
      <c r="D6" s="487"/>
      <c r="E6" s="487"/>
      <c r="F6" s="487"/>
      <c r="G6" s="487"/>
      <c r="H6" s="487"/>
      <c r="I6" s="487"/>
      <c r="J6" s="487"/>
      <c r="K6" s="487"/>
      <c r="L6" s="487"/>
      <c r="M6" s="488"/>
      <c r="N6" s="125"/>
    </row>
    <row r="7" spans="2:16" x14ac:dyDescent="0.2">
      <c r="B7" s="332"/>
      <c r="C7" s="332" t="s">
        <v>324</v>
      </c>
      <c r="D7" s="89"/>
      <c r="E7" s="89"/>
      <c r="F7" s="90" t="s">
        <v>4</v>
      </c>
      <c r="G7" s="90"/>
      <c r="H7" s="91"/>
      <c r="I7" s="489"/>
      <c r="J7" s="490"/>
      <c r="K7" s="490"/>
      <c r="L7" s="490"/>
      <c r="M7" s="490"/>
      <c r="N7" s="92"/>
    </row>
    <row r="8" spans="2:16" ht="12.75" customHeight="1" x14ac:dyDescent="0.2">
      <c r="B8" s="333" t="s">
        <v>3</v>
      </c>
      <c r="C8" s="333"/>
      <c r="D8" s="90"/>
      <c r="E8" s="90"/>
      <c r="F8" s="93" t="s">
        <v>5</v>
      </c>
      <c r="G8" s="94" t="s">
        <v>1</v>
      </c>
      <c r="H8" s="95" t="s">
        <v>157</v>
      </c>
      <c r="I8" s="95"/>
      <c r="J8" s="95" t="s">
        <v>161</v>
      </c>
      <c r="K8" s="95" t="s">
        <v>151</v>
      </c>
      <c r="L8" s="95"/>
      <c r="M8" s="95" t="s">
        <v>2</v>
      </c>
      <c r="N8" s="95"/>
    </row>
    <row r="9" spans="2:16" ht="15" x14ac:dyDescent="0.25">
      <c r="B9" s="334"/>
      <c r="C9" s="333" t="s">
        <v>325</v>
      </c>
      <c r="D9" s="96"/>
      <c r="E9" s="99" t="s">
        <v>10</v>
      </c>
      <c r="F9" s="90"/>
      <c r="G9" s="90" t="s">
        <v>159</v>
      </c>
      <c r="H9" s="94" t="s">
        <v>160</v>
      </c>
      <c r="I9" s="95" t="s">
        <v>150</v>
      </c>
      <c r="J9" s="94" t="s">
        <v>162</v>
      </c>
      <c r="K9" s="94" t="s">
        <v>152</v>
      </c>
      <c r="L9" s="94" t="s">
        <v>163</v>
      </c>
      <c r="M9" s="94" t="s">
        <v>153</v>
      </c>
      <c r="N9" s="95" t="s">
        <v>164</v>
      </c>
    </row>
    <row r="10" spans="2:16" ht="15" x14ac:dyDescent="0.25">
      <c r="B10" s="333"/>
      <c r="C10" s="333"/>
      <c r="D10" s="97" t="s">
        <v>98</v>
      </c>
      <c r="E10" s="100" t="s">
        <v>9</v>
      </c>
      <c r="F10" s="95"/>
      <c r="G10" s="95"/>
      <c r="H10" s="95"/>
      <c r="I10" s="95"/>
      <c r="J10" s="95"/>
      <c r="K10" s="95"/>
      <c r="L10" s="95"/>
      <c r="M10" s="95"/>
      <c r="N10" s="95"/>
    </row>
    <row r="11" spans="2:16" ht="15" x14ac:dyDescent="0.25">
      <c r="B11" s="335"/>
      <c r="C11" s="335"/>
      <c r="D11" s="17"/>
      <c r="E11" s="17"/>
      <c r="F11" s="16"/>
      <c r="G11" s="16"/>
      <c r="H11" s="16"/>
      <c r="I11" s="16"/>
      <c r="J11" s="16"/>
      <c r="K11" s="16"/>
      <c r="L11" s="16"/>
      <c r="M11" s="16"/>
      <c r="N11" s="53"/>
    </row>
    <row r="12" spans="2:16" ht="35.1" customHeight="1" x14ac:dyDescent="0.2">
      <c r="B12" s="336" t="s">
        <v>326</v>
      </c>
      <c r="C12" s="336" t="s">
        <v>336</v>
      </c>
      <c r="D12" s="4" t="s">
        <v>187</v>
      </c>
      <c r="E12" s="4" t="s">
        <v>75</v>
      </c>
      <c r="F12" s="5">
        <v>15</v>
      </c>
      <c r="G12" s="19">
        <v>10584</v>
      </c>
      <c r="H12" s="19">
        <f>G12</f>
        <v>10584</v>
      </c>
      <c r="I12" s="19"/>
      <c r="J12" s="19">
        <f t="shared" ref="J12:J20" si="0">IF(ROUND((((H12/F12*30.4)-VLOOKUP((H12/F12*30.4),TARIFA,1))*VLOOKUP((H12/F12*30.4),TARIFA,3)+VLOOKUP((H12/F12*30.4),TARIFA,2)-VLOOKUP((H12/F12*30.4),SUBSIDIO,2))/30.4*F12,2)&lt;0,ROUND(-(((H12/F12*30.4)-VLOOKUP((H12/F12*30.4),TARIFA,1))*VLOOKUP((H12/F12*30.4),TARIFA,3)+VLOOKUP((H12/F12*30.4),TARIFA,2)-VLOOKUP((H12/F12*30.4),SUBSIDIO,2))/30.4*F12,2),0)</f>
        <v>0</v>
      </c>
      <c r="K12" s="328"/>
      <c r="L12" s="19">
        <f t="shared" ref="L12:L22" si="1">IFERROR(IF(ROUND((((H12/F12*30.4)-VLOOKUP((H12/F12*30.4),TARIFA,1))*VLOOKUP((H12/F12*30.4),TARIFA,3)+VLOOKUP((H12/F12*30.4),TARIFA,2)-VLOOKUP((H12/F12*30.4),SUBSIDIO,2))/30.4*F12,2)&gt;0,ROUND((((H12/F12*30.4)-VLOOKUP((H12/F12*30.4),TARIFA,1))*VLOOKUP((H12/F12*30.4),TARIFA,3)+VLOOKUP((H12/F12*30.4),TARIFA,2)-VLOOKUP((H12/F12*30.4),SUBSIDIO,2))/30.4*F12,2),0),0)</f>
        <v>1549.64</v>
      </c>
      <c r="M12" s="19">
        <f>H12-L12</f>
        <v>9034.36</v>
      </c>
      <c r="N12" s="53"/>
      <c r="O12" s="51"/>
      <c r="P12" s="52"/>
    </row>
    <row r="13" spans="2:16" ht="35.1" customHeight="1" x14ac:dyDescent="0.2">
      <c r="B13" s="336" t="s">
        <v>327</v>
      </c>
      <c r="C13" s="336" t="s">
        <v>336</v>
      </c>
      <c r="D13" s="4" t="s">
        <v>188</v>
      </c>
      <c r="E13" s="4" t="s">
        <v>75</v>
      </c>
      <c r="F13" s="5">
        <v>15</v>
      </c>
      <c r="G13" s="19">
        <v>10584</v>
      </c>
      <c r="H13" s="19">
        <f t="shared" ref="H13:H21" si="2">G13</f>
        <v>10584</v>
      </c>
      <c r="I13" s="19"/>
      <c r="J13" s="19">
        <f t="shared" si="0"/>
        <v>0</v>
      </c>
      <c r="K13" s="328"/>
      <c r="L13" s="19">
        <f t="shared" si="1"/>
        <v>1549.64</v>
      </c>
      <c r="M13" s="19">
        <f t="shared" ref="M13:M21" si="3">H13-L13</f>
        <v>9034.36</v>
      </c>
      <c r="N13" s="53"/>
      <c r="O13" s="51"/>
      <c r="P13" s="52"/>
    </row>
    <row r="14" spans="2:16" ht="35.1" customHeight="1" x14ac:dyDescent="0.2">
      <c r="B14" s="336" t="s">
        <v>328</v>
      </c>
      <c r="C14" s="336" t="s">
        <v>336</v>
      </c>
      <c r="D14" s="4" t="s">
        <v>189</v>
      </c>
      <c r="E14" s="4" t="s">
        <v>75</v>
      </c>
      <c r="F14" s="5">
        <v>15</v>
      </c>
      <c r="G14" s="19">
        <v>10584</v>
      </c>
      <c r="H14" s="19">
        <f t="shared" si="2"/>
        <v>10584</v>
      </c>
      <c r="I14" s="19"/>
      <c r="J14" s="19">
        <f t="shared" si="0"/>
        <v>0</v>
      </c>
      <c r="K14" s="328"/>
      <c r="L14" s="19">
        <f t="shared" si="1"/>
        <v>1549.64</v>
      </c>
      <c r="M14" s="19">
        <f t="shared" si="3"/>
        <v>9034.36</v>
      </c>
      <c r="N14" s="53"/>
      <c r="O14" s="51"/>
      <c r="P14" s="52"/>
    </row>
    <row r="15" spans="2:16" ht="35.1" customHeight="1" x14ac:dyDescent="0.2">
      <c r="B15" s="336" t="s">
        <v>329</v>
      </c>
      <c r="C15" s="336" t="s">
        <v>336</v>
      </c>
      <c r="D15" s="4" t="s">
        <v>190</v>
      </c>
      <c r="E15" s="4" t="s">
        <v>75</v>
      </c>
      <c r="F15" s="5">
        <v>15</v>
      </c>
      <c r="G15" s="19">
        <v>10584</v>
      </c>
      <c r="H15" s="19">
        <f t="shared" si="2"/>
        <v>10584</v>
      </c>
      <c r="I15" s="19"/>
      <c r="J15" s="19">
        <f t="shared" si="0"/>
        <v>0</v>
      </c>
      <c r="K15" s="328"/>
      <c r="L15" s="19">
        <f t="shared" si="1"/>
        <v>1549.64</v>
      </c>
      <c r="M15" s="19">
        <f t="shared" si="3"/>
        <v>9034.36</v>
      </c>
      <c r="N15" s="53"/>
      <c r="O15" s="51"/>
      <c r="P15" s="52"/>
    </row>
    <row r="16" spans="2:16" ht="35.1" customHeight="1" x14ac:dyDescent="0.2">
      <c r="B16" s="336" t="s">
        <v>330</v>
      </c>
      <c r="C16" s="336" t="s">
        <v>336</v>
      </c>
      <c r="D16" s="4" t="s">
        <v>191</v>
      </c>
      <c r="E16" s="4" t="s">
        <v>75</v>
      </c>
      <c r="F16" s="5">
        <v>15</v>
      </c>
      <c r="G16" s="19">
        <v>10584</v>
      </c>
      <c r="H16" s="19">
        <f t="shared" si="2"/>
        <v>10584</v>
      </c>
      <c r="I16" s="19"/>
      <c r="J16" s="19">
        <f t="shared" si="0"/>
        <v>0</v>
      </c>
      <c r="K16" s="328"/>
      <c r="L16" s="19">
        <f t="shared" si="1"/>
        <v>1549.64</v>
      </c>
      <c r="M16" s="19">
        <f t="shared" si="3"/>
        <v>9034.36</v>
      </c>
      <c r="N16" s="53"/>
      <c r="O16" s="51"/>
      <c r="P16" s="52"/>
    </row>
    <row r="17" spans="2:16" ht="35.1" customHeight="1" x14ac:dyDescent="0.2">
      <c r="B17" s="336" t="s">
        <v>331</v>
      </c>
      <c r="C17" s="336" t="s">
        <v>336</v>
      </c>
      <c r="D17" s="4" t="s">
        <v>192</v>
      </c>
      <c r="E17" s="4" t="s">
        <v>75</v>
      </c>
      <c r="F17" s="5">
        <v>15</v>
      </c>
      <c r="G17" s="19">
        <v>10584</v>
      </c>
      <c r="H17" s="19">
        <f t="shared" si="2"/>
        <v>10584</v>
      </c>
      <c r="I17" s="19"/>
      <c r="J17" s="19">
        <f t="shared" si="0"/>
        <v>0</v>
      </c>
      <c r="K17" s="328"/>
      <c r="L17" s="19">
        <f t="shared" si="1"/>
        <v>1549.64</v>
      </c>
      <c r="M17" s="19">
        <f t="shared" si="3"/>
        <v>9034.36</v>
      </c>
      <c r="N17" s="53"/>
      <c r="O17" s="51"/>
      <c r="P17" s="52"/>
    </row>
    <row r="18" spans="2:16" ht="35.1" customHeight="1" x14ac:dyDescent="0.2">
      <c r="B18" s="336" t="s">
        <v>332</v>
      </c>
      <c r="C18" s="336" t="s">
        <v>336</v>
      </c>
      <c r="D18" s="4" t="s">
        <v>193</v>
      </c>
      <c r="E18" s="4" t="s">
        <v>75</v>
      </c>
      <c r="F18" s="5">
        <v>15</v>
      </c>
      <c r="G18" s="19">
        <v>10584</v>
      </c>
      <c r="H18" s="19">
        <f t="shared" si="2"/>
        <v>10584</v>
      </c>
      <c r="I18" s="19"/>
      <c r="J18" s="19">
        <f t="shared" si="0"/>
        <v>0</v>
      </c>
      <c r="K18" s="328"/>
      <c r="L18" s="19">
        <f t="shared" si="1"/>
        <v>1549.64</v>
      </c>
      <c r="M18" s="19">
        <f t="shared" si="3"/>
        <v>9034.36</v>
      </c>
      <c r="N18" s="53"/>
      <c r="O18" s="51"/>
      <c r="P18" s="52"/>
    </row>
    <row r="19" spans="2:16" ht="35.1" customHeight="1" x14ac:dyDescent="0.2">
      <c r="B19" s="336" t="s">
        <v>333</v>
      </c>
      <c r="C19" s="336" t="s">
        <v>336</v>
      </c>
      <c r="D19" s="4" t="s">
        <v>126</v>
      </c>
      <c r="E19" s="4" t="s">
        <v>75</v>
      </c>
      <c r="F19" s="5">
        <v>15</v>
      </c>
      <c r="G19" s="19">
        <v>10584</v>
      </c>
      <c r="H19" s="19">
        <f t="shared" si="2"/>
        <v>10584</v>
      </c>
      <c r="I19" s="19"/>
      <c r="J19" s="19">
        <f t="shared" si="0"/>
        <v>0</v>
      </c>
      <c r="K19" s="328"/>
      <c r="L19" s="19">
        <f t="shared" si="1"/>
        <v>1549.64</v>
      </c>
      <c r="M19" s="19">
        <f t="shared" si="3"/>
        <v>9034.36</v>
      </c>
      <c r="N19" s="53"/>
      <c r="O19" s="51"/>
      <c r="P19" s="52"/>
    </row>
    <row r="20" spans="2:16" ht="35.1" customHeight="1" x14ac:dyDescent="0.2">
      <c r="B20" s="336" t="s">
        <v>334</v>
      </c>
      <c r="C20" s="336" t="s">
        <v>336</v>
      </c>
      <c r="D20" s="4" t="s">
        <v>194</v>
      </c>
      <c r="E20" s="4" t="s">
        <v>75</v>
      </c>
      <c r="F20" s="5">
        <v>15</v>
      </c>
      <c r="G20" s="19">
        <v>10584</v>
      </c>
      <c r="H20" s="19">
        <f t="shared" si="2"/>
        <v>10584</v>
      </c>
      <c r="I20" s="19"/>
      <c r="J20" s="19">
        <f t="shared" si="0"/>
        <v>0</v>
      </c>
      <c r="K20" s="328"/>
      <c r="L20" s="19">
        <f t="shared" si="1"/>
        <v>1549.64</v>
      </c>
      <c r="M20" s="19">
        <f t="shared" si="3"/>
        <v>9034.36</v>
      </c>
      <c r="N20" s="53"/>
      <c r="O20" s="51"/>
      <c r="P20" s="52"/>
    </row>
    <row r="21" spans="2:16" ht="35.1" customHeight="1" x14ac:dyDescent="0.2">
      <c r="B21" s="480" t="s">
        <v>335</v>
      </c>
      <c r="C21" s="480" t="s">
        <v>336</v>
      </c>
      <c r="D21" s="4" t="s">
        <v>195</v>
      </c>
      <c r="E21" s="4"/>
      <c r="F21" s="5">
        <v>0</v>
      </c>
      <c r="G21" s="19">
        <v>0</v>
      </c>
      <c r="H21" s="19">
        <f t="shared" si="2"/>
        <v>0</v>
      </c>
      <c r="I21" s="19"/>
      <c r="J21" s="19">
        <v>0</v>
      </c>
      <c r="K21" s="328"/>
      <c r="L21" s="19">
        <f t="shared" si="1"/>
        <v>0</v>
      </c>
      <c r="M21" s="19">
        <f t="shared" si="3"/>
        <v>0</v>
      </c>
      <c r="N21" s="53"/>
      <c r="O21" s="51"/>
      <c r="P21" s="52"/>
    </row>
    <row r="22" spans="2:16" ht="35.1" customHeight="1" x14ac:dyDescent="0.2">
      <c r="B22" s="481" t="s">
        <v>391</v>
      </c>
      <c r="C22" s="481" t="s">
        <v>336</v>
      </c>
      <c r="D22" s="4" t="s">
        <v>221</v>
      </c>
      <c r="E22" s="4" t="s">
        <v>76</v>
      </c>
      <c r="F22" s="5">
        <v>15</v>
      </c>
      <c r="G22" s="19">
        <v>17366.96</v>
      </c>
      <c r="H22" s="19">
        <f t="shared" ref="H22" si="4">G22</f>
        <v>17366.96</v>
      </c>
      <c r="I22" s="19"/>
      <c r="J22" s="19">
        <f t="shared" ref="J22" si="5">IF(ROUND((((H22/F22*30.4)-VLOOKUP((H22/F22*30.4),TARIFA,1))*VLOOKUP((H22/F22*30.4),TARIFA,3)+VLOOKUP((H22/F22*30.4),TARIFA,2)-VLOOKUP((H22/F22*30.4),SUBSIDIO,2))/30.4*F22,2)&lt;0,ROUND(-(((H22/F22*30.4)-VLOOKUP((H22/F22*30.4),TARIFA,1))*VLOOKUP((H22/F22*30.4),TARIFA,3)+VLOOKUP((H22/F22*30.4),TARIFA,2)-VLOOKUP((H22/F22*30.4),SUBSIDIO,2))/30.4*F22,2),0)</f>
        <v>0</v>
      </c>
      <c r="K22" s="328"/>
      <c r="L22" s="19">
        <f t="shared" si="1"/>
        <v>3085.97</v>
      </c>
      <c r="M22" s="19">
        <f t="shared" ref="M22" si="6">H22-L22</f>
        <v>14280.99</v>
      </c>
      <c r="N22" s="98"/>
    </row>
    <row r="23" spans="2:16" x14ac:dyDescent="0.2">
      <c r="B23" s="337"/>
      <c r="C23" s="337"/>
      <c r="D23" s="22"/>
      <c r="E23" s="22"/>
      <c r="F23" s="23"/>
      <c r="G23" s="25"/>
      <c r="H23" s="26"/>
      <c r="I23" s="26"/>
      <c r="J23" s="26"/>
      <c r="K23" s="26"/>
      <c r="L23" s="26"/>
      <c r="M23" s="26"/>
      <c r="N23" s="37"/>
    </row>
    <row r="24" spans="2:16" ht="15.75" thickBot="1" x14ac:dyDescent="0.3">
      <c r="B24" s="484" t="s">
        <v>69</v>
      </c>
      <c r="C24" s="485"/>
      <c r="D24" s="485"/>
      <c r="E24" s="485"/>
      <c r="F24" s="485"/>
      <c r="G24" s="104">
        <f t="shared" ref="G24:M24" si="7">SUM(G12:G22)</f>
        <v>112622.95999999999</v>
      </c>
      <c r="H24" s="104">
        <f t="shared" si="7"/>
        <v>112622.95999999999</v>
      </c>
      <c r="I24" s="104">
        <f t="shared" si="7"/>
        <v>0</v>
      </c>
      <c r="J24" s="104">
        <f t="shared" si="7"/>
        <v>0</v>
      </c>
      <c r="K24" s="104">
        <f t="shared" si="7"/>
        <v>0</v>
      </c>
      <c r="L24" s="104">
        <f t="shared" si="7"/>
        <v>17032.73</v>
      </c>
      <c r="M24" s="104">
        <f t="shared" si="7"/>
        <v>95590.23000000001</v>
      </c>
      <c r="N24" s="27"/>
    </row>
    <row r="25" spans="2:16" ht="15.75" thickTop="1" x14ac:dyDescent="0.25">
      <c r="B25" s="338"/>
      <c r="C25" s="338"/>
      <c r="D25" s="126"/>
      <c r="E25" s="126"/>
      <c r="F25" s="126"/>
      <c r="G25" s="128"/>
      <c r="H25" s="128"/>
      <c r="I25" s="128"/>
      <c r="J25" s="128"/>
      <c r="K25" s="128"/>
      <c r="L25" s="128"/>
      <c r="M25" s="128"/>
      <c r="N25" s="127"/>
    </row>
    <row r="26" spans="2:16" ht="15" x14ac:dyDescent="0.25">
      <c r="B26" s="338"/>
      <c r="C26" s="338"/>
      <c r="D26" s="126"/>
      <c r="E26" s="126"/>
      <c r="F26" s="126"/>
      <c r="G26" s="128"/>
      <c r="H26" s="128"/>
      <c r="I26" s="128"/>
      <c r="J26" s="128"/>
      <c r="K26" s="128"/>
      <c r="L26" s="128"/>
      <c r="M26" s="128"/>
      <c r="N26" s="127"/>
    </row>
    <row r="27" spans="2:16" ht="15" x14ac:dyDescent="0.25">
      <c r="B27" s="338"/>
      <c r="C27" s="338"/>
      <c r="D27" s="126"/>
      <c r="E27" s="126"/>
      <c r="F27" s="126"/>
      <c r="G27" s="128"/>
      <c r="H27" s="128"/>
      <c r="I27" s="128"/>
      <c r="J27" s="128"/>
      <c r="K27" s="128"/>
      <c r="L27" s="128"/>
      <c r="M27" s="128"/>
      <c r="N27" s="127"/>
    </row>
    <row r="28" spans="2:16" ht="15" x14ac:dyDescent="0.25">
      <c r="B28" s="338"/>
      <c r="C28" s="338"/>
      <c r="D28" s="126"/>
      <c r="E28" s="126"/>
      <c r="F28" s="126"/>
      <c r="G28" s="128"/>
      <c r="H28" s="128"/>
      <c r="I28" s="128"/>
      <c r="J28" s="128"/>
      <c r="K28" s="128"/>
      <c r="L28" s="128"/>
      <c r="M28" s="128"/>
      <c r="N28" s="127"/>
    </row>
    <row r="29" spans="2:16" ht="15" x14ac:dyDescent="0.25">
      <c r="B29" s="338"/>
      <c r="C29" s="338"/>
      <c r="D29" s="126"/>
      <c r="E29" s="126"/>
      <c r="F29" s="126"/>
      <c r="G29" s="128"/>
      <c r="H29" s="128"/>
      <c r="I29" s="128"/>
      <c r="J29" s="128"/>
      <c r="K29" s="128"/>
      <c r="L29" s="128"/>
      <c r="M29" s="128"/>
      <c r="N29" s="127"/>
    </row>
    <row r="32" spans="2:16" x14ac:dyDescent="0.2">
      <c r="D32" s="29" t="s">
        <v>124</v>
      </c>
      <c r="M32" s="29" t="s">
        <v>124</v>
      </c>
    </row>
    <row r="33" spans="2:13" x14ac:dyDescent="0.2">
      <c r="D33" s="29" t="s">
        <v>196</v>
      </c>
      <c r="M33" s="15" t="s">
        <v>197</v>
      </c>
    </row>
    <row r="34" spans="2:13" x14ac:dyDescent="0.2">
      <c r="D34" s="30" t="s">
        <v>11</v>
      </c>
      <c r="G34" s="30"/>
      <c r="H34" s="30"/>
      <c r="I34" s="30"/>
      <c r="J34" s="30"/>
      <c r="K34" s="30"/>
      <c r="L34" s="30"/>
      <c r="M34" s="30" t="s">
        <v>184</v>
      </c>
    </row>
    <row r="36" spans="2:13" x14ac:dyDescent="0.2">
      <c r="D36" s="33"/>
      <c r="F36" s="29"/>
    </row>
    <row r="37" spans="2:13" x14ac:dyDescent="0.2">
      <c r="B37" s="339"/>
      <c r="C37" s="339"/>
      <c r="D37" s="34"/>
      <c r="E37" s="30"/>
      <c r="F37" s="30"/>
      <c r="G37" s="30"/>
      <c r="H37" s="30"/>
      <c r="I37" s="30"/>
      <c r="J37" s="30"/>
      <c r="K37" s="30"/>
      <c r="L37" s="30"/>
      <c r="M37" s="30"/>
    </row>
    <row r="41" spans="2:13" x14ac:dyDescent="0.2">
      <c r="D41" s="29"/>
    </row>
    <row r="42" spans="2:13" x14ac:dyDescent="0.2">
      <c r="D42" s="30"/>
      <c r="E42" s="30"/>
      <c r="F42" s="30"/>
      <c r="G42" s="30"/>
      <c r="H42" s="30"/>
      <c r="I42" s="30"/>
      <c r="J42" s="30"/>
      <c r="K42" s="30"/>
      <c r="L42" s="30"/>
      <c r="M42" s="30"/>
    </row>
  </sheetData>
  <sheetProtection selectLockedCells="1" selectUnlockedCells="1"/>
  <mergeCells count="6">
    <mergeCell ref="B24:F24"/>
    <mergeCell ref="B6:M6"/>
    <mergeCell ref="I7:M7"/>
    <mergeCell ref="B3:N3"/>
    <mergeCell ref="B5:N5"/>
    <mergeCell ref="B4:N4"/>
  </mergeCells>
  <phoneticPr fontId="8" type="noConversion"/>
  <pageMargins left="0" right="0.15748031496062992" top="0.9055118110236221" bottom="0.74803149606299213" header="0.31496062992125984" footer="0.31496062992125984"/>
  <pageSetup scale="6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2:S140"/>
  <sheetViews>
    <sheetView topLeftCell="A7" zoomScaleNormal="100" workbookViewId="0">
      <selection activeCell="G2" sqref="D2:O33"/>
    </sheetView>
  </sheetViews>
  <sheetFormatPr baseColWidth="10" defaultRowHeight="12.75" x14ac:dyDescent="0.2"/>
  <cols>
    <col min="1" max="1" width="10.28515625" style="15" customWidth="1"/>
    <col min="2" max="2" width="5.28515625" style="15" customWidth="1"/>
    <col min="3" max="3" width="3.85546875" style="15" hidden="1" customWidth="1"/>
    <col min="4" max="5" width="4.7109375" style="356" customWidth="1"/>
    <col min="6" max="6" width="50.140625" style="15" customWidth="1"/>
    <col min="7" max="7" width="32" style="15" customWidth="1"/>
    <col min="8" max="8" width="6.5703125" style="15" customWidth="1"/>
    <col min="9" max="9" width="13.28515625" style="15" bestFit="1" customWidth="1"/>
    <col min="10" max="10" width="14.7109375" style="15" bestFit="1" customWidth="1"/>
    <col min="11" max="11" width="12" style="51" bestFit="1" customWidth="1"/>
    <col min="12" max="12" width="12" style="15" bestFit="1" customWidth="1"/>
    <col min="13" max="13" width="11.28515625" style="15" hidden="1" customWidth="1"/>
    <col min="14" max="14" width="14.7109375" style="15" bestFit="1" customWidth="1"/>
    <col min="15" max="15" width="70.5703125" style="15" customWidth="1"/>
    <col min="16" max="17" width="11.42578125" style="15"/>
    <col min="18" max="18" width="12.85546875" style="15" bestFit="1" customWidth="1"/>
    <col min="19" max="16384" width="11.42578125" style="15"/>
  </cols>
  <sheetData>
    <row r="2" spans="4:19" x14ac:dyDescent="0.2">
      <c r="D2" s="340"/>
      <c r="E2" s="357"/>
      <c r="F2" s="46"/>
      <c r="G2" s="46"/>
      <c r="H2" s="46"/>
      <c r="I2" s="46"/>
      <c r="J2" s="46"/>
      <c r="K2" s="361"/>
      <c r="L2" s="46"/>
      <c r="M2" s="46"/>
      <c r="N2" s="46"/>
      <c r="O2" s="47"/>
      <c r="R2" s="51"/>
    </row>
    <row r="3" spans="4:19" ht="18" customHeight="1" x14ac:dyDescent="0.25">
      <c r="D3" s="507" t="s">
        <v>12</v>
      </c>
      <c r="E3" s="502"/>
      <c r="F3" s="502"/>
      <c r="G3" s="502"/>
      <c r="H3" s="502"/>
      <c r="I3" s="502"/>
      <c r="J3" s="502"/>
      <c r="K3" s="502"/>
      <c r="L3" s="502"/>
      <c r="M3" s="502"/>
      <c r="N3" s="502"/>
      <c r="O3" s="508"/>
      <c r="R3" s="51"/>
    </row>
    <row r="4" spans="4:19" ht="18" customHeight="1" x14ac:dyDescent="0.25">
      <c r="D4" s="507" t="s">
        <v>171</v>
      </c>
      <c r="E4" s="502"/>
      <c r="F4" s="502"/>
      <c r="G4" s="502"/>
      <c r="H4" s="502"/>
      <c r="I4" s="502"/>
      <c r="J4" s="502"/>
      <c r="K4" s="502"/>
      <c r="L4" s="502"/>
      <c r="M4" s="502"/>
      <c r="N4" s="502"/>
      <c r="O4" s="508"/>
      <c r="R4" s="51"/>
    </row>
    <row r="5" spans="4:19" ht="18" customHeight="1" x14ac:dyDescent="0.25">
      <c r="D5" s="507" t="s">
        <v>506</v>
      </c>
      <c r="E5" s="502"/>
      <c r="F5" s="502"/>
      <c r="G5" s="502"/>
      <c r="H5" s="502"/>
      <c r="I5" s="502"/>
      <c r="J5" s="502"/>
      <c r="K5" s="502"/>
      <c r="L5" s="502"/>
      <c r="M5" s="502"/>
      <c r="N5" s="502"/>
      <c r="O5" s="508"/>
      <c r="R5" s="51"/>
    </row>
    <row r="6" spans="4:19" ht="18" customHeight="1" x14ac:dyDescent="0.25">
      <c r="D6" s="507" t="s">
        <v>155</v>
      </c>
      <c r="E6" s="502"/>
      <c r="F6" s="502"/>
      <c r="G6" s="502"/>
      <c r="H6" s="502"/>
      <c r="I6" s="502"/>
      <c r="J6" s="502"/>
      <c r="K6" s="502"/>
      <c r="L6" s="502"/>
      <c r="M6" s="502"/>
      <c r="N6" s="502"/>
      <c r="O6" s="508"/>
    </row>
    <row r="7" spans="4:19" x14ac:dyDescent="0.2">
      <c r="D7" s="341"/>
      <c r="E7" s="341" t="s">
        <v>324</v>
      </c>
      <c r="F7" s="101"/>
      <c r="G7" s="101"/>
      <c r="H7" s="94" t="s">
        <v>4</v>
      </c>
      <c r="I7" s="102"/>
      <c r="J7" s="503" t="s">
        <v>154</v>
      </c>
      <c r="K7" s="504"/>
      <c r="L7" s="503"/>
      <c r="M7" s="505"/>
      <c r="N7" s="505"/>
      <c r="O7" s="94"/>
    </row>
    <row r="8" spans="4:19" ht="12.75" customHeight="1" x14ac:dyDescent="0.2">
      <c r="D8" s="342" t="s">
        <v>3</v>
      </c>
      <c r="E8" s="342" t="s">
        <v>325</v>
      </c>
      <c r="F8" s="90"/>
      <c r="G8" s="90"/>
      <c r="H8" s="93" t="s">
        <v>5</v>
      </c>
      <c r="I8" s="94" t="s">
        <v>1</v>
      </c>
      <c r="J8" s="94" t="s">
        <v>157</v>
      </c>
      <c r="K8" s="362" t="s">
        <v>161</v>
      </c>
      <c r="L8" s="95"/>
      <c r="M8" s="95" t="s">
        <v>177</v>
      </c>
      <c r="N8" s="95" t="s">
        <v>160</v>
      </c>
      <c r="O8" s="90" t="s">
        <v>165</v>
      </c>
    </row>
    <row r="9" spans="4:19" ht="15" x14ac:dyDescent="0.25">
      <c r="D9" s="343"/>
      <c r="E9" s="342"/>
      <c r="F9" s="96"/>
      <c r="G9" s="96" t="s">
        <v>10</v>
      </c>
      <c r="H9" s="90"/>
      <c r="I9" s="90" t="s">
        <v>7</v>
      </c>
      <c r="J9" s="90" t="s">
        <v>160</v>
      </c>
      <c r="K9" s="363" t="s">
        <v>162</v>
      </c>
      <c r="L9" s="94" t="s">
        <v>163</v>
      </c>
      <c r="M9" s="94" t="s">
        <v>178</v>
      </c>
      <c r="N9" s="94" t="s">
        <v>166</v>
      </c>
      <c r="O9" s="90"/>
    </row>
    <row r="10" spans="4:19" ht="15" x14ac:dyDescent="0.25">
      <c r="D10" s="344"/>
      <c r="E10" s="344"/>
      <c r="F10" s="97" t="s">
        <v>14</v>
      </c>
      <c r="G10" s="97" t="s">
        <v>9</v>
      </c>
      <c r="H10" s="95"/>
      <c r="I10" s="95"/>
      <c r="J10" s="95"/>
      <c r="K10" s="364"/>
      <c r="L10" s="95"/>
      <c r="M10" s="95"/>
      <c r="N10" s="95"/>
      <c r="O10" s="95"/>
    </row>
    <row r="11" spans="4:19" s="18" customFormat="1" ht="15.75" x14ac:dyDescent="0.25">
      <c r="D11" s="345"/>
      <c r="E11" s="345"/>
      <c r="F11" s="138" t="s">
        <v>20</v>
      </c>
      <c r="G11" s="138"/>
      <c r="H11" s="138"/>
      <c r="I11" s="138"/>
      <c r="J11" s="138"/>
      <c r="K11" s="365"/>
      <c r="L11" s="138"/>
      <c r="M11" s="138"/>
      <c r="N11" s="138"/>
      <c r="O11" s="16"/>
    </row>
    <row r="12" spans="4:19" ht="32.1" customHeight="1" x14ac:dyDescent="0.2">
      <c r="D12" s="346" t="s">
        <v>337</v>
      </c>
      <c r="E12" s="346" t="s">
        <v>336</v>
      </c>
      <c r="F12" s="145" t="s">
        <v>200</v>
      </c>
      <c r="G12" s="145" t="s">
        <v>13</v>
      </c>
      <c r="H12" s="140">
        <v>15</v>
      </c>
      <c r="I12" s="143">
        <v>21811</v>
      </c>
      <c r="J12" s="143">
        <v>21811</v>
      </c>
      <c r="K12" s="366">
        <f>IFERROR(IF(ROUND((((J12/H12*30.4)-VLOOKUP((J12/H12*30.4),TARIFA,1))*VLOOKUP((J12/H12*30.4),TARIFA,3)+VLOOKUP((J12/H12*30.4),TARIFA,2)-VLOOKUP((J12/H12*30.4),SUBSIDIO,2))/30.4*H12,2)&lt;0,ROUND(-(((J12/H12*30.4)-VLOOKUP((J12/H12*30.4),TARIFA,1))*VLOOKUP((J12/H12*30.4),TARIFA,3)+VLOOKUP((J12/H12*30.4),TARIFA,2)-VLOOKUP((J12/H12*30.4),SUBSIDIO,2))/30.4*H12,2),0),0)</f>
        <v>0</v>
      </c>
      <c r="L12" s="143">
        <f>IFERROR(IF(ROUND((((J12/H12*30.4)-VLOOKUP((J12/H12*30.4),TARIFA,1))*VLOOKUP((J12/H12*30.4),TARIFA,3)+VLOOKUP((J12/H12*30.4),TARIFA,2)-VLOOKUP((J12/H12*30.4),SUBSIDIO,2))/30.4*H12,2)&gt;0,ROUND((((J12/H12*30.4)-VLOOKUP((J12/H12*30.4),TARIFA,1))*VLOOKUP((J12/H12*30.4),TARIFA,3)+VLOOKUP((J12/H12*30.4),TARIFA,2)-VLOOKUP((J12/H12*30.4),SUBSIDIO,2))/30.4*H12,2),0),0)</f>
        <v>4184.4799999999996</v>
      </c>
      <c r="M12" s="143">
        <v>0</v>
      </c>
      <c r="N12" s="143">
        <f>J12+K12-L12</f>
        <v>17626.52</v>
      </c>
      <c r="O12" s="19"/>
      <c r="R12" s="51"/>
      <c r="S12" s="52"/>
    </row>
    <row r="13" spans="4:19" ht="32.1" customHeight="1" x14ac:dyDescent="0.2">
      <c r="D13" s="346" t="s">
        <v>338</v>
      </c>
      <c r="E13" s="346" t="s">
        <v>345</v>
      </c>
      <c r="F13" s="155" t="s">
        <v>201</v>
      </c>
      <c r="G13" s="483" t="s">
        <v>202</v>
      </c>
      <c r="H13" s="154">
        <v>15</v>
      </c>
      <c r="I13" s="143">
        <v>6249</v>
      </c>
      <c r="J13" s="143">
        <v>6249</v>
      </c>
      <c r="K13" s="366">
        <f>IFERROR(IF(ROUND((((J13/H13*30.4)-VLOOKUP((J13/H13*30.4),TARIFA,1))*VLOOKUP((J13/H13*30.4),TARIFA,3)+VLOOKUP((J13/H13*30.4),TARIFA,2)-VLOOKUP((J13/H13*30.4),SUBSIDIO,2))/30.4*H13,2)&lt;0,ROUND(-(((J13/H13*30.4)-VLOOKUP((J13/H13*30.4),TARIFA,1))*VLOOKUP((J13/H13*30.4),TARIFA,3)+VLOOKUP((J13/H13*30.4),TARIFA,2)-VLOOKUP((J13/H13*30.4),SUBSIDIO,2))/30.4*H13,2),0),0)</f>
        <v>0</v>
      </c>
      <c r="L13" s="143">
        <f>IFERROR(IF(ROUND((((J13/H13*30.4)-VLOOKUP((J13/H13*30.4),TARIFA,1))*VLOOKUP((J13/H13*30.4),TARIFA,3)+VLOOKUP((J13/H13*30.4),TARIFA,2)-VLOOKUP((J13/H13*30.4),SUBSIDIO,2))/30.4*H13,2)&gt;0,ROUND((((J13/H13*30.4)-VLOOKUP((J13/H13*30.4),TARIFA,1))*VLOOKUP((J13/H13*30.4),TARIFA,3)+VLOOKUP((J13/H13*30.4),TARIFA,2)-VLOOKUP((J13/H13*30.4),SUBSIDIO,2))/30.4*H13,2),0),0)</f>
        <v>635.85</v>
      </c>
      <c r="M13" s="143">
        <v>0</v>
      </c>
      <c r="N13" s="143">
        <f t="shared" ref="N13:N33" si="0">J13+K13-L13</f>
        <v>5613.15</v>
      </c>
      <c r="O13" s="19"/>
      <c r="R13" s="51"/>
      <c r="S13" s="52"/>
    </row>
    <row r="14" spans="4:19" ht="32.1" customHeight="1" x14ac:dyDescent="0.2">
      <c r="D14" s="346" t="s">
        <v>339</v>
      </c>
      <c r="E14" s="346" t="s">
        <v>336</v>
      </c>
      <c r="F14" s="145" t="s">
        <v>215</v>
      </c>
      <c r="G14" s="145" t="s">
        <v>216</v>
      </c>
      <c r="H14" s="147">
        <v>15</v>
      </c>
      <c r="I14" s="148">
        <v>7720</v>
      </c>
      <c r="J14" s="149">
        <v>7720</v>
      </c>
      <c r="K14" s="366">
        <f>IFERROR(IF(ROUND((((J14/H14*30.4)-VLOOKUP((J14/H14*30.4),TARIFA,1))*VLOOKUP((J14/H14*30.4),TARIFA,3)+VLOOKUP((J14/H14*30.4),TARIFA,2)-VLOOKUP((J14/H14*30.4),SUBSIDIO,2))/30.4*H14,2)&lt;0,ROUND(-(((J14/H14*30.4)-VLOOKUP((J14/H14*30.4),TARIFA,1))*VLOOKUP((J14/H14*30.4),TARIFA,3)+VLOOKUP((J14/H14*30.4),TARIFA,2)-VLOOKUP((J14/H14*30.4),SUBSIDIO,2))/30.4*H14,2),0),0)</f>
        <v>0</v>
      </c>
      <c r="L14" s="143">
        <f>IFERROR(IF(ROUND((((J14/H14*30.4)-VLOOKUP((J14/H14*30.4),TARIFA,1))*VLOOKUP((J14/H14*30.4),TARIFA,3)+VLOOKUP((J14/H14*30.4),TARIFA,2)-VLOOKUP((J14/H14*30.4),SUBSIDIO,2))/30.4*H14,2)&gt;0,ROUND((((J14/H14*30.4)-VLOOKUP((J14/H14*30.4),TARIFA,1))*VLOOKUP((J14/H14*30.4),TARIFA,3)+VLOOKUP((J14/H14*30.4),TARIFA,2)-VLOOKUP((J14/H14*30.4),SUBSIDIO,2))/30.4*H14,2),0),0)</f>
        <v>937.89</v>
      </c>
      <c r="M14" s="143"/>
      <c r="N14" s="143">
        <f t="shared" si="0"/>
        <v>6782.11</v>
      </c>
      <c r="O14" s="19"/>
      <c r="R14" s="51"/>
      <c r="S14" s="52"/>
    </row>
    <row r="15" spans="4:19" ht="32.1" customHeight="1" x14ac:dyDescent="0.25">
      <c r="D15" s="346"/>
      <c r="E15" s="346"/>
      <c r="F15" s="139" t="s">
        <v>146</v>
      </c>
      <c r="G15" s="150"/>
      <c r="H15" s="151"/>
      <c r="I15" s="152"/>
      <c r="J15" s="153"/>
      <c r="K15" s="367"/>
      <c r="L15" s="144"/>
      <c r="M15" s="143"/>
      <c r="N15" s="143"/>
      <c r="O15" s="19"/>
      <c r="R15" s="51"/>
      <c r="S15" s="52"/>
    </row>
    <row r="16" spans="4:19" ht="32.1" customHeight="1" x14ac:dyDescent="0.2">
      <c r="D16" s="346" t="s">
        <v>340</v>
      </c>
      <c r="E16" s="346" t="s">
        <v>336</v>
      </c>
      <c r="F16" s="145" t="s">
        <v>213</v>
      </c>
      <c r="G16" s="145" t="s">
        <v>19</v>
      </c>
      <c r="H16" s="140">
        <v>15</v>
      </c>
      <c r="I16" s="143">
        <v>9742</v>
      </c>
      <c r="J16" s="143">
        <v>9742</v>
      </c>
      <c r="K16" s="366">
        <f>IFERROR(IF(ROUND((((J16/H16*30.4)-VLOOKUP((J16/H16*30.4),TARIFA,1))*VLOOKUP((J16/H16*30.4),TARIFA,3)+VLOOKUP((J16/H16*30.4),TARIFA,2)-VLOOKUP((J16/H16*30.4),SUBSIDIO,2))/30.4*H16,2)&lt;0,ROUND(-(((J16/H16*30.4)-VLOOKUP((J16/H16*30.4),TARIFA,1))*VLOOKUP((J16/H16*30.4),TARIFA,3)+VLOOKUP((J16/H16*30.4),TARIFA,2)-VLOOKUP((J16/H16*30.4),SUBSIDIO,2))/30.4*H16,2),0),0)</f>
        <v>0</v>
      </c>
      <c r="L16" s="143">
        <f>IFERROR(IF(ROUND((((J16/H16*30.4)-VLOOKUP((J16/H16*30.4),TARIFA,1))*VLOOKUP((J16/H16*30.4),TARIFA,3)+VLOOKUP((J16/H16*30.4),TARIFA,2)-VLOOKUP((J16/H16*30.4),SUBSIDIO,2))/30.4*H16,2)&gt;0,ROUND((((J16/H16*30.4)-VLOOKUP((J16/H16*30.4),TARIFA,1))*VLOOKUP((J16/H16*30.4),TARIFA,3)+VLOOKUP((J16/H16*30.4),TARIFA,2)-VLOOKUP((J16/H16*30.4),SUBSIDIO,2))/30.4*H16,2),0),0)</f>
        <v>1369.79</v>
      </c>
      <c r="M16" s="143">
        <v>0</v>
      </c>
      <c r="N16" s="143">
        <f t="shared" si="0"/>
        <v>8372.2099999999991</v>
      </c>
      <c r="O16" s="19"/>
      <c r="R16" s="51"/>
      <c r="S16" s="52"/>
    </row>
    <row r="17" spans="4:19" ht="32.1" customHeight="1" x14ac:dyDescent="0.2">
      <c r="D17" s="346" t="s">
        <v>341</v>
      </c>
      <c r="E17" s="346" t="s">
        <v>336</v>
      </c>
      <c r="F17" s="155" t="s">
        <v>15</v>
      </c>
      <c r="G17" s="155" t="s">
        <v>16</v>
      </c>
      <c r="H17" s="154">
        <v>15</v>
      </c>
      <c r="I17" s="143">
        <v>4144</v>
      </c>
      <c r="J17" s="143">
        <v>4144</v>
      </c>
      <c r="K17" s="366">
        <f>IFERROR(IF(ROUND((((J17/H17*30.4)-VLOOKUP((J17/H17*30.4),TARIFA,1))*VLOOKUP((J17/H17*30.4),TARIFA,3)+VLOOKUP((J17/H17*30.4),TARIFA,2)-VLOOKUP((J17/H17*30.4),SUBSIDIO,2))/30.4*H17,2)&lt;0,ROUND(-(((J17/H17*30.4)-VLOOKUP((J17/H17*30.4),TARIFA,1))*VLOOKUP((J17/H17*30.4),TARIFA,3)+VLOOKUP((J17/H17*30.4),TARIFA,2)-VLOOKUP((J17/H17*30.4),SUBSIDIO,2))/30.4*H17,2),0),0)</f>
        <v>0</v>
      </c>
      <c r="L17" s="143">
        <f>IFERROR(IF(ROUND((((J17/H17*30.4)-VLOOKUP((J17/H17*30.4),TARIFA,1))*VLOOKUP((J17/H17*30.4),TARIFA,3)+VLOOKUP((J17/H17*30.4),TARIFA,2)-VLOOKUP((J17/H17*30.4),SUBSIDIO,2))/30.4*H17,2)&gt;0,ROUND((((J17/H17*30.4)-VLOOKUP((J17/H17*30.4),TARIFA,1))*VLOOKUP((J17/H17*30.4),TARIFA,3)+VLOOKUP((J17/H17*30.4),TARIFA,2)-VLOOKUP((J17/H17*30.4),SUBSIDIO,2))/30.4*H17,2),0),0)</f>
        <v>315.68</v>
      </c>
      <c r="M17" s="143">
        <v>0</v>
      </c>
      <c r="N17" s="143">
        <f t="shared" si="0"/>
        <v>3828.32</v>
      </c>
      <c r="O17" s="19"/>
      <c r="R17" s="51"/>
      <c r="S17" s="52"/>
    </row>
    <row r="18" spans="4:19" ht="32.1" customHeight="1" x14ac:dyDescent="0.25">
      <c r="D18" s="346"/>
      <c r="E18" s="346"/>
      <c r="F18" s="139" t="s">
        <v>101</v>
      </c>
      <c r="G18" s="145"/>
      <c r="H18" s="140"/>
      <c r="I18" s="143"/>
      <c r="J18" s="143"/>
      <c r="K18" s="366"/>
      <c r="L18" s="143"/>
      <c r="M18" s="143"/>
      <c r="N18" s="143"/>
      <c r="O18" s="19"/>
      <c r="R18" s="51"/>
      <c r="S18" s="52"/>
    </row>
    <row r="19" spans="4:19" ht="32.1" customHeight="1" x14ac:dyDescent="0.2">
      <c r="D19" s="346" t="s">
        <v>342</v>
      </c>
      <c r="E19" s="346" t="s">
        <v>336</v>
      </c>
      <c r="F19" s="145" t="s">
        <v>56</v>
      </c>
      <c r="G19" s="145" t="s">
        <v>70</v>
      </c>
      <c r="H19" s="140">
        <v>15</v>
      </c>
      <c r="I19" s="143">
        <v>3690</v>
      </c>
      <c r="J19" s="143">
        <v>3690</v>
      </c>
      <c r="K19" s="366">
        <f>IFERROR(IF(ROUND((((J19/H19*30.4)-VLOOKUP((J19/H19*30.4),TARIFA,1))*VLOOKUP((J19/H19*30.4),TARIFA,3)+VLOOKUP((J19/H19*30.4),TARIFA,2)-VLOOKUP((J19/H19*30.4),SUBSIDIO,2))/30.4*H19,2)&lt;0,ROUND(-(((J19/H19*30.4)-VLOOKUP((J19/H19*30.4),TARIFA,1))*VLOOKUP((J19/H19*30.4),TARIFA,3)+VLOOKUP((J19/H19*30.4),TARIFA,2)-VLOOKUP((J19/H19*30.4),SUBSIDIO,2))/30.4*H19,2),0),0)</f>
        <v>0</v>
      </c>
      <c r="L19" s="143">
        <f>IFERROR(IF(ROUND((((J19/H19*30.4)-VLOOKUP((J19/H19*30.4),TARIFA,1))*VLOOKUP((J19/H19*30.4),TARIFA,3)+VLOOKUP((J19/H19*30.4),TARIFA,2)-VLOOKUP((J19/H19*30.4),SUBSIDIO,2))/30.4*H19,2)&gt;0,ROUND((((J19/H19*30.4)-VLOOKUP((J19/H19*30.4),TARIFA,1))*VLOOKUP((J19/H19*30.4),TARIFA,3)+VLOOKUP((J19/H19*30.4),TARIFA,2)-VLOOKUP((J19/H19*30.4),SUBSIDIO,2))/30.4*H19,2),0),0)</f>
        <v>266.29000000000002</v>
      </c>
      <c r="M19" s="143">
        <v>0</v>
      </c>
      <c r="N19" s="143">
        <f t="shared" si="0"/>
        <v>3423.71</v>
      </c>
      <c r="O19" s="19"/>
      <c r="R19" s="51"/>
      <c r="S19" s="52"/>
    </row>
    <row r="20" spans="4:19" ht="32.1" customHeight="1" x14ac:dyDescent="0.25">
      <c r="D20" s="346"/>
      <c r="E20" s="346"/>
      <c r="F20" s="139" t="s">
        <v>21</v>
      </c>
      <c r="G20" s="145"/>
      <c r="H20" s="140"/>
      <c r="I20" s="143"/>
      <c r="J20" s="143"/>
      <c r="K20" s="366"/>
      <c r="L20" s="143"/>
      <c r="M20" s="143"/>
      <c r="N20" s="143"/>
      <c r="O20" s="19"/>
      <c r="R20" s="51"/>
      <c r="S20" s="52"/>
    </row>
    <row r="21" spans="4:19" ht="32.1" customHeight="1" x14ac:dyDescent="0.2">
      <c r="D21" s="346" t="s">
        <v>343</v>
      </c>
      <c r="E21" s="346" t="s">
        <v>336</v>
      </c>
      <c r="F21" s="145" t="s">
        <v>144</v>
      </c>
      <c r="G21" s="145" t="s">
        <v>248</v>
      </c>
      <c r="H21" s="154">
        <v>15</v>
      </c>
      <c r="I21" s="143">
        <v>2982</v>
      </c>
      <c r="J21" s="143">
        <v>2982</v>
      </c>
      <c r="K21" s="366">
        <f>IFERROR(IF(ROUND((((J21/H21*30.4)-VLOOKUP((J21/H21*30.4),TARIFA,1))*VLOOKUP((J21/H21*30.4),TARIFA,3)+VLOOKUP((J21/H21*30.4),TARIFA,2)-VLOOKUP((J21/H21*30.4),SUBSIDIO,2))/30.4*H21,2)&lt;0,ROUND(-(((J21/H21*30.4)-VLOOKUP((J21/H21*30.4),TARIFA,1))*VLOOKUP((J21/H21*30.4),TARIFA,3)+VLOOKUP((J21/H21*30.4),TARIFA,2)-VLOOKUP((J21/H21*30.4),SUBSIDIO,2))/30.4*H21,2),0),0)</f>
        <v>0</v>
      </c>
      <c r="L21" s="143">
        <f>IFERROR(IF(ROUND((((J21/H21*30.4)-VLOOKUP((J21/H21*30.4),TARIFA,1))*VLOOKUP((J21/H21*30.4),TARIFA,3)+VLOOKUP((J21/H21*30.4),TARIFA,2)-VLOOKUP((J21/H21*30.4),SUBSIDIO,2))/30.4*H21,2)&gt;0,ROUND((((J21/H21*30.4)-VLOOKUP((J21/H21*30.4),TARIFA,1))*VLOOKUP((J21/H21*30.4),TARIFA,3)+VLOOKUP((J21/H21*30.4),TARIFA,2)-VLOOKUP((J21/H21*30.4),SUBSIDIO,2))/30.4*H21,2),0),0)</f>
        <v>43.88</v>
      </c>
      <c r="M21" s="143"/>
      <c r="N21" s="143">
        <f t="shared" si="0"/>
        <v>2938.12</v>
      </c>
      <c r="O21" s="19"/>
      <c r="R21" s="51"/>
      <c r="S21" s="52"/>
    </row>
    <row r="22" spans="4:19" ht="32.1" customHeight="1" x14ac:dyDescent="0.25">
      <c r="D22" s="346"/>
      <c r="E22" s="346"/>
      <c r="F22" s="139" t="s">
        <v>102</v>
      </c>
      <c r="G22" s="145"/>
      <c r="H22" s="140"/>
      <c r="I22" s="143"/>
      <c r="J22" s="143"/>
      <c r="K22" s="366"/>
      <c r="L22" s="143"/>
      <c r="M22" s="143"/>
      <c r="N22" s="143"/>
      <c r="O22" s="19"/>
      <c r="R22" s="51"/>
      <c r="S22" s="52"/>
    </row>
    <row r="23" spans="4:19" ht="32.1" customHeight="1" x14ac:dyDescent="0.2">
      <c r="D23" s="346" t="s">
        <v>344</v>
      </c>
      <c r="E23" s="346" t="s">
        <v>336</v>
      </c>
      <c r="F23" s="145" t="s">
        <v>135</v>
      </c>
      <c r="G23" s="145" t="s">
        <v>103</v>
      </c>
      <c r="H23" s="140">
        <v>15</v>
      </c>
      <c r="I23" s="143">
        <v>3908</v>
      </c>
      <c r="J23" s="143">
        <v>3908</v>
      </c>
      <c r="K23" s="366">
        <f>IFERROR(IF(ROUND((((J23/H23*30.4)-VLOOKUP((J23/H23*30.4),TARIFA,1))*VLOOKUP((J23/H23*30.4),TARIFA,3)+VLOOKUP((J23/H23*30.4),TARIFA,2)-VLOOKUP((J23/H23*30.4),SUBSIDIO,2))/30.4*H23,2)&lt;0,ROUND(-(((J23/H23*30.4)-VLOOKUP((J23/H23*30.4),TARIFA,1))*VLOOKUP((J23/H23*30.4),TARIFA,3)+VLOOKUP((J23/H23*30.4),TARIFA,2)-VLOOKUP((J23/H23*30.4),SUBSIDIO,2))/30.4*H23,2),0),0)</f>
        <v>0</v>
      </c>
      <c r="L23" s="143">
        <f>IFERROR(IF(ROUND((((J23/H23*30.4)-VLOOKUP((J23/H23*30.4),TARIFA,1))*VLOOKUP((J23/H23*30.4),TARIFA,3)+VLOOKUP((J23/H23*30.4),TARIFA,2)-VLOOKUP((J23/H23*30.4),SUBSIDIO,2))/30.4*H23,2)&gt;0,ROUND((((J23/H23*30.4)-VLOOKUP((J23/H23*30.4),TARIFA,1))*VLOOKUP((J23/H23*30.4),TARIFA,3)+VLOOKUP((J23/H23*30.4),TARIFA,2)-VLOOKUP((J23/H23*30.4),SUBSIDIO,2))/30.4*H23,2),0),0)</f>
        <v>290</v>
      </c>
      <c r="M23" s="143">
        <v>0</v>
      </c>
      <c r="N23" s="143">
        <f t="shared" si="0"/>
        <v>3618</v>
      </c>
      <c r="O23" s="19"/>
      <c r="R23" s="51"/>
      <c r="S23" s="52"/>
    </row>
    <row r="24" spans="4:19" ht="32.1" customHeight="1" x14ac:dyDescent="0.25">
      <c r="D24" s="346"/>
      <c r="E24" s="346"/>
      <c r="F24" s="139" t="s">
        <v>94</v>
      </c>
      <c r="G24" s="145"/>
      <c r="H24" s="140"/>
      <c r="I24" s="143"/>
      <c r="J24" s="143"/>
      <c r="K24" s="366"/>
      <c r="L24" s="143"/>
      <c r="M24" s="143"/>
      <c r="N24" s="143"/>
      <c r="O24" s="19"/>
      <c r="R24" s="51"/>
      <c r="S24" s="52"/>
    </row>
    <row r="25" spans="4:19" ht="32.1" customHeight="1" x14ac:dyDescent="0.2">
      <c r="D25" s="346" t="s">
        <v>346</v>
      </c>
      <c r="E25" s="346" t="s">
        <v>336</v>
      </c>
      <c r="F25" s="145" t="s">
        <v>148</v>
      </c>
      <c r="G25" s="145" t="s">
        <v>71</v>
      </c>
      <c r="H25" s="140">
        <v>15</v>
      </c>
      <c r="I25" s="143">
        <v>3908</v>
      </c>
      <c r="J25" s="143">
        <v>3908</v>
      </c>
      <c r="K25" s="366">
        <f>IFERROR(IF(ROUND((((J25/H25*30.4)-VLOOKUP((J25/H25*30.4),TARIFA,1))*VLOOKUP((J25/H25*30.4),TARIFA,3)+VLOOKUP((J25/H25*30.4),TARIFA,2)-VLOOKUP((J25/H25*30.4),SUBSIDIO,2))/30.4*H25,2)&lt;0,ROUND(-(((J25/H25*30.4)-VLOOKUP((J25/H25*30.4),TARIFA,1))*VLOOKUP((J25/H25*30.4),TARIFA,3)+VLOOKUP((J25/H25*30.4),TARIFA,2)-VLOOKUP((J25/H25*30.4),SUBSIDIO,2))/30.4*H25,2),0),0)</f>
        <v>0</v>
      </c>
      <c r="L25" s="143">
        <f>IFERROR(IF(ROUND((((J25/H25*30.4)-VLOOKUP((J25/H25*30.4),TARIFA,1))*VLOOKUP((J25/H25*30.4),TARIFA,3)+VLOOKUP((J25/H25*30.4),TARIFA,2)-VLOOKUP((J25/H25*30.4),SUBSIDIO,2))/30.4*H25,2)&gt;0,ROUND((((J25/H25*30.4)-VLOOKUP((J25/H25*30.4),TARIFA,1))*VLOOKUP((J25/H25*30.4),TARIFA,3)+VLOOKUP((J25/H25*30.4),TARIFA,2)-VLOOKUP((J25/H25*30.4),SUBSIDIO,2))/30.4*H25,2),0),0)</f>
        <v>290</v>
      </c>
      <c r="M25" s="143">
        <v>0</v>
      </c>
      <c r="N25" s="143">
        <f t="shared" si="0"/>
        <v>3618</v>
      </c>
      <c r="O25" s="19"/>
      <c r="R25" s="51"/>
      <c r="S25" s="52"/>
    </row>
    <row r="26" spans="4:19" ht="32.1" customHeight="1" x14ac:dyDescent="0.2">
      <c r="D26" s="346" t="s">
        <v>347</v>
      </c>
      <c r="E26" s="346" t="s">
        <v>336</v>
      </c>
      <c r="F26" s="155" t="s">
        <v>136</v>
      </c>
      <c r="G26" s="145" t="s">
        <v>137</v>
      </c>
      <c r="H26" s="140">
        <v>15</v>
      </c>
      <c r="I26" s="142">
        <v>2375</v>
      </c>
      <c r="J26" s="150">
        <v>2375</v>
      </c>
      <c r="K26" s="366">
        <f>IFERROR(IF(ROUND((((J26/H26*30.4)-VLOOKUP((J26/H26*30.4),TARIFA,1))*VLOOKUP((J26/H26*30.4),TARIFA,3)+VLOOKUP((J26/H26*30.4),TARIFA,2)-VLOOKUP((J26/H26*30.4),SUBSIDIO,2))/30.4*H26,2)&lt;0,ROUND(-(((J26/H26*30.4)-VLOOKUP((J26/H26*30.4),TARIFA,1))*VLOOKUP((J26/H26*30.4),TARIFA,3)+VLOOKUP((J26/H26*30.4),TARIFA,2)-VLOOKUP((J26/H26*30.4),SUBSIDIO,2))/30.4*H26,2),0),0)</f>
        <v>22.54</v>
      </c>
      <c r="L26" s="143">
        <f>IFERROR(IF(ROUND((((J26/H26*30.4)-VLOOKUP((J26/H26*30.4),TARIFA,1))*VLOOKUP((J26/H26*30.4),TARIFA,3)+VLOOKUP((J26/H26*30.4),TARIFA,2)-VLOOKUP((J26/H26*30.4),SUBSIDIO,2))/30.4*H26,2)&gt;0,ROUND((((J26/H26*30.4)-VLOOKUP((J26/H26*30.4),TARIFA,1))*VLOOKUP((J26/H26*30.4),TARIFA,3)+VLOOKUP((J26/H26*30.4),TARIFA,2)-VLOOKUP((J26/H26*30.4),SUBSIDIO,2))/30.4*H26,2),0),0)</f>
        <v>0</v>
      </c>
      <c r="M26" s="142">
        <v>0</v>
      </c>
      <c r="N26" s="143">
        <f t="shared" si="0"/>
        <v>2397.54</v>
      </c>
      <c r="O26" s="19"/>
      <c r="R26" s="51"/>
      <c r="S26" s="52"/>
    </row>
    <row r="27" spans="4:19" ht="32.1" customHeight="1" x14ac:dyDescent="0.2">
      <c r="D27" s="346" t="s">
        <v>348</v>
      </c>
      <c r="E27" s="346" t="s">
        <v>336</v>
      </c>
      <c r="F27" s="155" t="s">
        <v>17</v>
      </c>
      <c r="G27" s="145" t="s">
        <v>18</v>
      </c>
      <c r="H27" s="140">
        <v>15</v>
      </c>
      <c r="I27" s="143">
        <v>2227</v>
      </c>
      <c r="J27" s="143">
        <v>2227</v>
      </c>
      <c r="K27" s="366">
        <f>IFERROR(IF(ROUND((((J27/H27*30.4)-VLOOKUP((J27/H27*30.4),TARIFA,1))*VLOOKUP((J27/H27*30.4),TARIFA,3)+VLOOKUP((J27/H27*30.4),TARIFA,2)-VLOOKUP((J27/H27*30.4),SUBSIDIO,2))/30.4*H27,2)&lt;0,ROUND(-(((J27/H27*30.4)-VLOOKUP((J27/H27*30.4),TARIFA,1))*VLOOKUP((J27/H27*30.4),TARIFA,3)+VLOOKUP((J27/H27*30.4),TARIFA,2)-VLOOKUP((J27/H27*30.4),SUBSIDIO,2))/30.4*H27,2),0),0)</f>
        <v>46.5</v>
      </c>
      <c r="L27" s="143">
        <f>IFERROR(IF(ROUND((((J27/H27*30.4)-VLOOKUP((J27/H27*30.4),TARIFA,1))*VLOOKUP((J27/H27*30.4),TARIFA,3)+VLOOKUP((J27/H27*30.4),TARIFA,2)-VLOOKUP((J27/H27*30.4),SUBSIDIO,2))/30.4*H27,2)&gt;0,ROUND((((J27/H27*30.4)-VLOOKUP((J27/H27*30.4),TARIFA,1))*VLOOKUP((J27/H27*30.4),TARIFA,3)+VLOOKUP((J27/H27*30.4),TARIFA,2)-VLOOKUP((J27/H27*30.4),SUBSIDIO,2))/30.4*H27,2),0),0)</f>
        <v>0</v>
      </c>
      <c r="M27" s="143">
        <v>0</v>
      </c>
      <c r="N27" s="143">
        <f t="shared" si="0"/>
        <v>2273.5</v>
      </c>
      <c r="O27" s="19"/>
      <c r="R27" s="51"/>
      <c r="S27" s="52"/>
    </row>
    <row r="28" spans="4:19" ht="32.1" customHeight="1" x14ac:dyDescent="0.25">
      <c r="D28" s="346"/>
      <c r="E28" s="346"/>
      <c r="F28" s="139" t="s">
        <v>78</v>
      </c>
      <c r="G28" s="145"/>
      <c r="H28" s="140"/>
      <c r="I28" s="143"/>
      <c r="J28" s="143"/>
      <c r="K28" s="366"/>
      <c r="L28" s="143"/>
      <c r="M28" s="143"/>
      <c r="N28" s="143"/>
      <c r="O28" s="19"/>
      <c r="R28" s="51"/>
      <c r="S28" s="52"/>
    </row>
    <row r="29" spans="4:19" ht="32.1" customHeight="1" x14ac:dyDescent="0.2">
      <c r="D29" s="346" t="s">
        <v>349</v>
      </c>
      <c r="E29" s="346" t="s">
        <v>336</v>
      </c>
      <c r="F29" s="145" t="s">
        <v>104</v>
      </c>
      <c r="G29" s="145" t="s">
        <v>23</v>
      </c>
      <c r="H29" s="140">
        <v>15</v>
      </c>
      <c r="I29" s="143">
        <v>3582</v>
      </c>
      <c r="J29" s="143">
        <v>3582</v>
      </c>
      <c r="K29" s="366">
        <f>IFERROR(IF(ROUND((((J29/H29*30.4)-VLOOKUP((J29/H29*30.4),TARIFA,1))*VLOOKUP((J29/H29*30.4),TARIFA,3)+VLOOKUP((J29/H29*30.4),TARIFA,2)-VLOOKUP((J29/H29*30.4),SUBSIDIO,2))/30.4*H29,2)&lt;0,ROUND(-(((J29/H29*30.4)-VLOOKUP((J29/H29*30.4),TARIFA,1))*VLOOKUP((J29/H29*30.4),TARIFA,3)+VLOOKUP((J29/H29*30.4),TARIFA,2)-VLOOKUP((J29/H29*30.4),SUBSIDIO,2))/30.4*H29,2),0),0)</f>
        <v>0</v>
      </c>
      <c r="L29" s="143">
        <f>IFERROR(IF(ROUND((((J29/H29*30.4)-VLOOKUP((J29/H29*30.4),TARIFA,1))*VLOOKUP((J29/H29*30.4),TARIFA,3)+VLOOKUP((J29/H29*30.4),TARIFA,2)-VLOOKUP((J29/H29*30.4),SUBSIDIO,2))/30.4*H29,2)&gt;0,ROUND((((J29/H29*30.4)-VLOOKUP((J29/H29*30.4),TARIFA,1))*VLOOKUP((J29/H29*30.4),TARIFA,3)+VLOOKUP((J29/H29*30.4),TARIFA,2)-VLOOKUP((J29/H29*30.4),SUBSIDIO,2))/30.4*H29,2),0),0)</f>
        <v>147.16</v>
      </c>
      <c r="M29" s="143">
        <v>0</v>
      </c>
      <c r="N29" s="143">
        <f t="shared" si="0"/>
        <v>3434.84</v>
      </c>
      <c r="O29" s="19"/>
      <c r="R29" s="51"/>
      <c r="S29" s="52"/>
    </row>
    <row r="30" spans="4:19" ht="32.1" customHeight="1" x14ac:dyDescent="0.25">
      <c r="D30" s="346"/>
      <c r="E30" s="346"/>
      <c r="F30" s="139" t="s">
        <v>24</v>
      </c>
      <c r="G30" s="145"/>
      <c r="H30" s="140"/>
      <c r="I30" s="143"/>
      <c r="J30" s="143"/>
      <c r="K30" s="366"/>
      <c r="L30" s="143"/>
      <c r="M30" s="143"/>
      <c r="N30" s="143"/>
      <c r="O30" s="19"/>
      <c r="R30" s="51"/>
      <c r="S30" s="52"/>
    </row>
    <row r="31" spans="4:19" ht="32.1" customHeight="1" x14ac:dyDescent="0.2">
      <c r="D31" s="346" t="s">
        <v>350</v>
      </c>
      <c r="E31" s="346" t="s">
        <v>336</v>
      </c>
      <c r="F31" s="155" t="s">
        <v>22</v>
      </c>
      <c r="G31" s="146" t="s">
        <v>79</v>
      </c>
      <c r="H31" s="140">
        <v>0</v>
      </c>
      <c r="I31" s="143">
        <v>4383</v>
      </c>
      <c r="J31" s="143">
        <v>0</v>
      </c>
      <c r="K31" s="366">
        <f>IFERROR(IF(ROUND((((J31/H31*30.4)-VLOOKUP((J31/H31*30.4),TARIFA,1))*VLOOKUP((J31/H31*30.4),TARIFA,3)+VLOOKUP((J31/H31*30.4),TARIFA,2)-VLOOKUP((J31/H31*30.4),SUBSIDIO,2))/30.4*H31,2)&lt;0,ROUND(-(((J31/H31*30.4)-VLOOKUP((J31/H31*30.4),TARIFA,1))*VLOOKUP((J31/H31*30.4),TARIFA,3)+VLOOKUP((J31/H31*30.4),TARIFA,2)-VLOOKUP((J31/H31*30.4),SUBSIDIO,2))/30.4*H31,2),0),0)</f>
        <v>0</v>
      </c>
      <c r="L31" s="143">
        <f>IFERROR(IF(ROUND((((J31/H31*30.4)-VLOOKUP((J31/H31*30.4),TARIFA,1))*VLOOKUP((J31/H31*30.4),TARIFA,3)+VLOOKUP((J31/H31*30.4),TARIFA,2)-VLOOKUP((J31/H31*30.4),SUBSIDIO,2))/30.4*H31,2)&gt;0,ROUND((((J31/H31*30.4)-VLOOKUP((J31/H31*30.4),TARIFA,1))*VLOOKUP((J31/H31*30.4),TARIFA,3)+VLOOKUP((J31/H31*30.4),TARIFA,2)-VLOOKUP((J31/H31*30.4),SUBSIDIO,2))/30.4*H31,2),0),0)</f>
        <v>0</v>
      </c>
      <c r="M31" s="143">
        <v>0</v>
      </c>
      <c r="N31" s="143">
        <f t="shared" si="0"/>
        <v>0</v>
      </c>
      <c r="O31" s="19"/>
      <c r="P31" s="15">
        <v>339.88</v>
      </c>
      <c r="R31" s="51"/>
      <c r="S31" s="52"/>
    </row>
    <row r="32" spans="4:19" ht="32.1" customHeight="1" x14ac:dyDescent="0.25">
      <c r="D32" s="346"/>
      <c r="E32" s="346"/>
      <c r="F32" s="139" t="s">
        <v>272</v>
      </c>
      <c r="G32" s="145"/>
      <c r="H32" s="140"/>
      <c r="I32" s="143"/>
      <c r="J32" s="143"/>
      <c r="K32" s="366"/>
      <c r="L32" s="143"/>
      <c r="M32" s="143"/>
      <c r="N32" s="143"/>
      <c r="O32" s="19"/>
      <c r="R32" s="51"/>
      <c r="S32" s="52"/>
    </row>
    <row r="33" spans="2:19" ht="43.5" customHeight="1" x14ac:dyDescent="0.2">
      <c r="D33" s="346" t="s">
        <v>351</v>
      </c>
      <c r="E33" s="346" t="s">
        <v>336</v>
      </c>
      <c r="F33" s="145" t="s">
        <v>80</v>
      </c>
      <c r="G33" s="146" t="s">
        <v>273</v>
      </c>
      <c r="H33" s="140">
        <v>15</v>
      </c>
      <c r="I33" s="143">
        <v>3908</v>
      </c>
      <c r="J33" s="143">
        <v>3908</v>
      </c>
      <c r="K33" s="366">
        <f>IFERROR(IF(ROUND((((J33/H33*30.4)-VLOOKUP((J33/H33*30.4),TARIFA,1))*VLOOKUP((J33/H33*30.4),TARIFA,3)+VLOOKUP((J33/H33*30.4),TARIFA,2)-VLOOKUP((J33/H33*30.4),SUBSIDIO,2))/30.4*H33,2)&lt;0,ROUND(-(((J33/H33*30.4)-VLOOKUP((J33/H33*30.4),TARIFA,1))*VLOOKUP((J33/H33*30.4),TARIFA,3)+VLOOKUP((J33/H33*30.4),TARIFA,2)-VLOOKUP((J33/H33*30.4),SUBSIDIO,2))/30.4*H33,2),0),0)</f>
        <v>0</v>
      </c>
      <c r="L33" s="143">
        <f>IFERROR(IF(ROUND((((J33/H33*30.4)-VLOOKUP((J33/H33*30.4),TARIFA,1))*VLOOKUP((J33/H33*30.4),TARIFA,3)+VLOOKUP((J33/H33*30.4),TARIFA,2)-VLOOKUP((J33/H33*30.4),SUBSIDIO,2))/30.4*H33,2)&gt;0,ROUND((((J33/H33*30.4)-VLOOKUP((J33/H33*30.4),TARIFA,1))*VLOOKUP((J33/H33*30.4),TARIFA,3)+VLOOKUP((J33/H33*30.4),TARIFA,2)-VLOOKUP((J33/H33*30.4),SUBSIDIO,2))/30.4*H33,2),0),0)</f>
        <v>290</v>
      </c>
      <c r="M33" s="143">
        <v>0</v>
      </c>
      <c r="N33" s="143">
        <f t="shared" si="0"/>
        <v>3618</v>
      </c>
      <c r="O33" s="19"/>
      <c r="R33" s="51"/>
      <c r="S33" s="52"/>
    </row>
    <row r="34" spans="2:19" ht="24.95" customHeight="1" x14ac:dyDescent="0.2">
      <c r="D34" s="347"/>
      <c r="E34" s="358"/>
      <c r="F34" s="82"/>
      <c r="G34" s="82"/>
      <c r="H34" s="81"/>
      <c r="I34" s="83">
        <f>I33+I31+I29+I27+I26+I25+I23+I21+I19+I17+I16+I14+I13+J12</f>
        <v>80629</v>
      </c>
      <c r="J34" s="75">
        <f>J33+J31+J29+J27+J26+J25+J23+J21+J19+J17+J16+J14+J13+J12</f>
        <v>76246</v>
      </c>
      <c r="K34" s="368"/>
      <c r="L34" s="75"/>
      <c r="M34" s="75"/>
      <c r="N34" s="75"/>
      <c r="O34" s="84"/>
      <c r="R34" s="51"/>
      <c r="S34" s="52"/>
    </row>
    <row r="35" spans="2:19" ht="21.95" customHeight="1" x14ac:dyDescent="0.25">
      <c r="B35" s="37"/>
      <c r="C35" s="37"/>
      <c r="D35" s="502" t="s">
        <v>12</v>
      </c>
      <c r="E35" s="502"/>
      <c r="F35" s="502"/>
      <c r="G35" s="502"/>
      <c r="H35" s="502"/>
      <c r="I35" s="502"/>
      <c r="J35" s="502"/>
      <c r="K35" s="502"/>
      <c r="L35" s="502"/>
      <c r="M35" s="502"/>
      <c r="N35" s="502"/>
      <c r="O35" s="502"/>
      <c r="R35" s="51"/>
      <c r="S35" s="52"/>
    </row>
    <row r="36" spans="2:19" ht="21.95" customHeight="1" x14ac:dyDescent="0.25">
      <c r="B36" s="37"/>
      <c r="C36" s="37"/>
      <c r="D36" s="502" t="s">
        <v>171</v>
      </c>
      <c r="E36" s="502"/>
      <c r="F36" s="502"/>
      <c r="G36" s="502"/>
      <c r="H36" s="502"/>
      <c r="I36" s="502"/>
      <c r="J36" s="502"/>
      <c r="K36" s="502"/>
      <c r="L36" s="502"/>
      <c r="M36" s="502"/>
      <c r="N36" s="502"/>
      <c r="O36" s="502"/>
      <c r="R36" s="51"/>
      <c r="S36" s="52"/>
    </row>
    <row r="37" spans="2:19" ht="21.95" customHeight="1" x14ac:dyDescent="0.25">
      <c r="B37" s="37"/>
      <c r="C37" s="37"/>
      <c r="D37" s="502" t="str">
        <f>D5</f>
        <v>NOMINA 2DA QUINCENA DE ENERO DE 2021</v>
      </c>
      <c r="E37" s="502"/>
      <c r="F37" s="502"/>
      <c r="G37" s="502"/>
      <c r="H37" s="502"/>
      <c r="I37" s="502"/>
      <c r="J37" s="502"/>
      <c r="K37" s="502"/>
      <c r="L37" s="502"/>
      <c r="M37" s="502"/>
      <c r="N37" s="502"/>
      <c r="O37" s="502"/>
      <c r="R37" s="51"/>
      <c r="S37" s="52"/>
    </row>
    <row r="38" spans="2:19" ht="21.95" customHeight="1" x14ac:dyDescent="0.25">
      <c r="B38" s="37"/>
      <c r="C38" s="37"/>
      <c r="D38" s="502" t="s">
        <v>155</v>
      </c>
      <c r="E38" s="502"/>
      <c r="F38" s="502"/>
      <c r="G38" s="502"/>
      <c r="H38" s="502"/>
      <c r="I38" s="502"/>
      <c r="J38" s="502"/>
      <c r="K38" s="502"/>
      <c r="L38" s="502"/>
      <c r="M38" s="502"/>
      <c r="N38" s="502"/>
      <c r="O38" s="502"/>
      <c r="R38" s="51"/>
      <c r="S38" s="52"/>
    </row>
    <row r="39" spans="2:19" ht="18.75" customHeight="1" x14ac:dyDescent="0.2">
      <c r="B39" s="37"/>
      <c r="C39" s="37"/>
      <c r="D39" s="341"/>
      <c r="E39" s="341" t="s">
        <v>324</v>
      </c>
      <c r="F39" s="101"/>
      <c r="G39" s="101"/>
      <c r="H39" s="94" t="s">
        <v>4</v>
      </c>
      <c r="I39" s="102"/>
      <c r="J39" s="503" t="s">
        <v>154</v>
      </c>
      <c r="K39" s="504"/>
      <c r="L39" s="503"/>
      <c r="M39" s="505"/>
      <c r="N39" s="505"/>
      <c r="O39" s="94"/>
      <c r="R39" s="51"/>
      <c r="S39" s="52"/>
    </row>
    <row r="40" spans="2:19" ht="12" customHeight="1" x14ac:dyDescent="0.2">
      <c r="B40" s="37"/>
      <c r="C40" s="37"/>
      <c r="D40" s="342" t="s">
        <v>3</v>
      </c>
      <c r="E40" s="342" t="s">
        <v>325</v>
      </c>
      <c r="F40" s="90"/>
      <c r="G40" s="90"/>
      <c r="H40" s="93" t="s">
        <v>5</v>
      </c>
      <c r="I40" s="94" t="s">
        <v>1</v>
      </c>
      <c r="J40" s="94" t="s">
        <v>157</v>
      </c>
      <c r="K40" s="362" t="s">
        <v>161</v>
      </c>
      <c r="L40" s="95"/>
      <c r="M40" s="95" t="s">
        <v>177</v>
      </c>
      <c r="N40" s="95" t="s">
        <v>160</v>
      </c>
      <c r="O40" s="90" t="s">
        <v>165</v>
      </c>
      <c r="R40" s="51"/>
      <c r="S40" s="52"/>
    </row>
    <row r="41" spans="2:19" ht="18.75" customHeight="1" x14ac:dyDescent="0.25">
      <c r="B41" s="37"/>
      <c r="C41" s="37"/>
      <c r="D41" s="343"/>
      <c r="E41" s="342"/>
      <c r="F41" s="96"/>
      <c r="G41" s="96" t="s">
        <v>10</v>
      </c>
      <c r="H41" s="90"/>
      <c r="I41" s="90" t="s">
        <v>7</v>
      </c>
      <c r="J41" s="90" t="s">
        <v>160</v>
      </c>
      <c r="K41" s="363" t="s">
        <v>162</v>
      </c>
      <c r="L41" s="94" t="s">
        <v>163</v>
      </c>
      <c r="M41" s="94" t="s">
        <v>178</v>
      </c>
      <c r="N41" s="94" t="s">
        <v>166</v>
      </c>
      <c r="O41" s="90"/>
      <c r="R41" s="51"/>
      <c r="S41" s="52"/>
    </row>
    <row r="42" spans="2:19" ht="14.25" customHeight="1" x14ac:dyDescent="0.25">
      <c r="B42" s="37"/>
      <c r="C42" s="37"/>
      <c r="D42" s="343"/>
      <c r="E42" s="342"/>
      <c r="F42" s="97" t="s">
        <v>14</v>
      </c>
      <c r="G42" s="97" t="s">
        <v>9</v>
      </c>
      <c r="H42" s="95"/>
      <c r="I42" s="95"/>
      <c r="J42" s="95"/>
      <c r="K42" s="364"/>
      <c r="L42" s="95"/>
      <c r="M42" s="95"/>
      <c r="N42" s="95"/>
      <c r="O42" s="95"/>
      <c r="R42" s="51"/>
      <c r="S42" s="52"/>
    </row>
    <row r="43" spans="2:19" ht="14.25" customHeight="1" x14ac:dyDescent="0.25">
      <c r="B43" s="37"/>
      <c r="C43" s="37"/>
      <c r="D43" s="343"/>
      <c r="E43" s="342"/>
      <c r="F43" s="103"/>
      <c r="G43" s="103"/>
      <c r="H43" s="90"/>
      <c r="I43" s="90"/>
      <c r="J43" s="90"/>
      <c r="K43" s="93"/>
      <c r="L43" s="90"/>
      <c r="M43" s="90"/>
      <c r="N43" s="90"/>
      <c r="O43" s="90"/>
      <c r="R43" s="51"/>
      <c r="S43" s="52"/>
    </row>
    <row r="44" spans="2:19" ht="36.950000000000003" customHeight="1" x14ac:dyDescent="0.25">
      <c r="B44" s="37"/>
      <c r="C44" s="37"/>
      <c r="D44" s="348"/>
      <c r="E44" s="348"/>
      <c r="F44" s="138" t="s">
        <v>226</v>
      </c>
      <c r="G44" s="138"/>
      <c r="H44" s="138"/>
      <c r="I44" s="138"/>
      <c r="J44" s="138"/>
      <c r="K44" s="365"/>
      <c r="L44" s="138"/>
      <c r="M44" s="138"/>
      <c r="N44" s="138"/>
      <c r="O44" s="16"/>
      <c r="R44" s="51"/>
      <c r="S44" s="52"/>
    </row>
    <row r="45" spans="2:19" ht="36.75" hidden="1" customHeight="1" x14ac:dyDescent="0.2">
      <c r="B45" s="37"/>
      <c r="C45" s="37"/>
      <c r="D45" s="349"/>
      <c r="E45" s="349"/>
      <c r="F45" s="240"/>
      <c r="G45" s="241"/>
      <c r="H45" s="242"/>
      <c r="I45" s="158"/>
      <c r="J45" s="143"/>
      <c r="K45" s="366"/>
      <c r="L45" s="143"/>
      <c r="M45" s="144"/>
      <c r="N45" s="143"/>
      <c r="O45" s="16"/>
      <c r="R45" s="51"/>
      <c r="S45" s="52"/>
    </row>
    <row r="46" spans="2:19" ht="44.25" customHeight="1" x14ac:dyDescent="0.2">
      <c r="D46" s="346" t="s">
        <v>352</v>
      </c>
      <c r="E46" s="346" t="s">
        <v>336</v>
      </c>
      <c r="F46" s="141" t="s">
        <v>131</v>
      </c>
      <c r="G46" s="238" t="s">
        <v>132</v>
      </c>
      <c r="H46" s="239">
        <v>15</v>
      </c>
      <c r="I46" s="142">
        <v>3690</v>
      </c>
      <c r="J46" s="142">
        <v>3690</v>
      </c>
      <c r="K46" s="366">
        <f>IFERROR(IF(ROUND((((J46/H46*30.4)-VLOOKUP((J46/H46*30.4),TARIFA,1))*VLOOKUP((J46/H46*30.4),TARIFA,3)+VLOOKUP((J46/H46*30.4),TARIFA,2)-VLOOKUP((J46/H46*30.4),SUBSIDIO,2))/30.4*H46,2)&lt;0,ROUND(-(((J46/H46*30.4)-VLOOKUP((J46/H46*30.4),TARIFA,1))*VLOOKUP((J46/H46*30.4),TARIFA,3)+VLOOKUP((J46/H46*30.4),TARIFA,2)-VLOOKUP((J46/H46*30.4),SUBSIDIO,2))/30.4*H46,2),0),0)</f>
        <v>0</v>
      </c>
      <c r="L46" s="143">
        <f>IFERROR(IF(ROUND((((J46/H46*30.4)-VLOOKUP((J46/H46*30.4),TARIFA,1))*VLOOKUP((J46/H46*30.4),TARIFA,3)+VLOOKUP((J46/H46*30.4),TARIFA,2)-VLOOKUP((J46/H46*30.4),SUBSIDIO,2))/30.4*H46,2)&gt;0,ROUND((((J46/H46*30.4)-VLOOKUP((J46/H46*30.4),TARIFA,1))*VLOOKUP((J46/H46*30.4),TARIFA,3)+VLOOKUP((J46/H46*30.4),TARIFA,2)-VLOOKUP((J46/H46*30.4),SUBSIDIO,2))/30.4*H46,2),0),0)</f>
        <v>266.29000000000002</v>
      </c>
      <c r="M46" s="143">
        <v>0</v>
      </c>
      <c r="N46" s="143">
        <f t="shared" ref="N46:N57" si="1">J46+K46-L46</f>
        <v>3423.71</v>
      </c>
      <c r="O46" s="19"/>
      <c r="R46" s="51"/>
      <c r="S46" s="52"/>
    </row>
    <row r="47" spans="2:19" ht="36.950000000000003" customHeight="1" x14ac:dyDescent="0.25">
      <c r="D47" s="346"/>
      <c r="E47" s="346"/>
      <c r="F47" s="139" t="s">
        <v>25</v>
      </c>
      <c r="G47" s="145"/>
      <c r="H47" s="140"/>
      <c r="I47" s="143"/>
      <c r="J47" s="143"/>
      <c r="K47" s="366"/>
      <c r="L47" s="143"/>
      <c r="M47" s="143"/>
      <c r="N47" s="143"/>
      <c r="O47" s="19"/>
      <c r="R47" s="51"/>
      <c r="S47" s="52"/>
    </row>
    <row r="48" spans="2:19" ht="36.950000000000003" customHeight="1" x14ac:dyDescent="0.2">
      <c r="D48" s="346" t="s">
        <v>353</v>
      </c>
      <c r="E48" s="346" t="s">
        <v>336</v>
      </c>
      <c r="F48" s="145" t="s">
        <v>217</v>
      </c>
      <c r="G48" s="145" t="s">
        <v>26</v>
      </c>
      <c r="H48" s="140">
        <v>15</v>
      </c>
      <c r="I48" s="143">
        <v>14457</v>
      </c>
      <c r="J48" s="143">
        <v>14457</v>
      </c>
      <c r="K48" s="366">
        <f>IFERROR(IF(ROUND((((J48/H48*30.4)-VLOOKUP((J48/H48*30.4),TARIFA,1))*VLOOKUP((J48/H48*30.4),TARIFA,3)+VLOOKUP((J48/H48*30.4),TARIFA,2)-VLOOKUP((J48/H48*30.4),SUBSIDIO,2))/30.4*H48,2)&lt;0,ROUND(-(((J48/H48*30.4)-VLOOKUP((J48/H48*30.4),TARIFA,1))*VLOOKUP((J48/H48*30.4),TARIFA,3)+VLOOKUP((J48/H48*30.4),TARIFA,2)-VLOOKUP((J48/H48*30.4),SUBSIDIO,2))/30.4*H48,2),0),0)</f>
        <v>0</v>
      </c>
      <c r="L48" s="143">
        <f>IFERROR(IF(ROUND((((J48/H48*30.4)-VLOOKUP((J48/H48*30.4),TARIFA,1))*VLOOKUP((J48/H48*30.4),TARIFA,3)+VLOOKUP((J48/H48*30.4),TARIFA,2)-VLOOKUP((J48/H48*30.4),SUBSIDIO,2))/30.4*H48,2)&gt;0,ROUND((((J48/H48*30.4)-VLOOKUP((J48/H48*30.4),TARIFA,1))*VLOOKUP((J48/H48*30.4),TARIFA,3)+VLOOKUP((J48/H48*30.4),TARIFA,2)-VLOOKUP((J48/H48*30.4),SUBSIDIO,2))/30.4*H48,2),0),0)</f>
        <v>2401.54</v>
      </c>
      <c r="M48" s="143">
        <v>0</v>
      </c>
      <c r="N48" s="143">
        <f t="shared" si="1"/>
        <v>12055.46</v>
      </c>
      <c r="O48" s="19"/>
      <c r="R48" s="51"/>
      <c r="S48" s="52"/>
    </row>
    <row r="49" spans="2:19" ht="36.950000000000003" customHeight="1" x14ac:dyDescent="0.2">
      <c r="D49" s="346" t="s">
        <v>354</v>
      </c>
      <c r="E49" s="346" t="s">
        <v>336</v>
      </c>
      <c r="F49" s="145" t="s">
        <v>27</v>
      </c>
      <c r="G49" s="145" t="s">
        <v>16</v>
      </c>
      <c r="H49" s="140">
        <v>15</v>
      </c>
      <c r="I49" s="143">
        <v>4410</v>
      </c>
      <c r="J49" s="143">
        <v>4410</v>
      </c>
      <c r="K49" s="366">
        <f>IFERROR(IF(ROUND((((J49/H49*30.4)-VLOOKUP((J49/H49*30.4),TARIFA,1))*VLOOKUP((J49/H49*30.4),TARIFA,3)+VLOOKUP((J49/H49*30.4),TARIFA,2)-VLOOKUP((J49/H49*30.4),SUBSIDIO,2))/30.4*H49,2)&lt;0,ROUND(-(((J49/H49*30.4)-VLOOKUP((J49/H49*30.4),TARIFA,1))*VLOOKUP((J49/H49*30.4),TARIFA,3)+VLOOKUP((J49/H49*30.4),TARIFA,2)-VLOOKUP((J49/H49*30.4),SUBSIDIO,2))/30.4*H49,2),0),0)</f>
        <v>0</v>
      </c>
      <c r="L49" s="143">
        <f>IFERROR(IF(ROUND((((J49/H49*30.4)-VLOOKUP((J49/H49*30.4),TARIFA,1))*VLOOKUP((J49/H49*30.4),TARIFA,3)+VLOOKUP((J49/H49*30.4),TARIFA,2)-VLOOKUP((J49/H49*30.4),SUBSIDIO,2))/30.4*H49,2)&gt;0,ROUND((((J49/H49*30.4)-VLOOKUP((J49/H49*30.4),TARIFA,1))*VLOOKUP((J49/H49*30.4),TARIFA,3)+VLOOKUP((J49/H49*30.4),TARIFA,2)-VLOOKUP((J49/H49*30.4),SUBSIDIO,2))/30.4*H49,2),0),0)</f>
        <v>344.62</v>
      </c>
      <c r="M49" s="143">
        <v>0</v>
      </c>
      <c r="N49" s="143">
        <f t="shared" si="1"/>
        <v>4065.38</v>
      </c>
      <c r="O49" s="19"/>
      <c r="R49" s="51"/>
      <c r="S49" s="52"/>
    </row>
    <row r="50" spans="2:19" ht="36.950000000000003" customHeight="1" x14ac:dyDescent="0.2">
      <c r="D50" s="346" t="s">
        <v>355</v>
      </c>
      <c r="E50" s="346" t="s">
        <v>345</v>
      </c>
      <c r="F50" s="145" t="s">
        <v>105</v>
      </c>
      <c r="G50" s="145" t="s">
        <v>16</v>
      </c>
      <c r="H50" s="140">
        <v>15</v>
      </c>
      <c r="I50" s="142">
        <v>4410</v>
      </c>
      <c r="J50" s="142">
        <v>4410</v>
      </c>
      <c r="K50" s="366">
        <f>IFERROR(IF(ROUND((((J50/H50*30.4)-VLOOKUP((J50/H50*30.4),TARIFA,1))*VLOOKUP((J50/H50*30.4),TARIFA,3)+VLOOKUP((J50/H50*30.4),TARIFA,2)-VLOOKUP((J50/H50*30.4),SUBSIDIO,2))/30.4*H50,2)&lt;0,ROUND(-(((J50/H50*30.4)-VLOOKUP((J50/H50*30.4),TARIFA,1))*VLOOKUP((J50/H50*30.4),TARIFA,3)+VLOOKUP((J50/H50*30.4),TARIFA,2)-VLOOKUP((J50/H50*30.4),SUBSIDIO,2))/30.4*H50,2),0),0)</f>
        <v>0</v>
      </c>
      <c r="L50" s="143">
        <f>IFERROR(IF(ROUND((((J50/H50*30.4)-VLOOKUP((J50/H50*30.4),TARIFA,1))*VLOOKUP((J50/H50*30.4),TARIFA,3)+VLOOKUP((J50/H50*30.4),TARIFA,2)-VLOOKUP((J50/H50*30.4),SUBSIDIO,2))/30.4*H50,2)&gt;0,ROUND((((J50/H50*30.4)-VLOOKUP((J50/H50*30.4),TARIFA,1))*VLOOKUP((J50/H50*30.4),TARIFA,3)+VLOOKUP((J50/H50*30.4),TARIFA,2)-VLOOKUP((J50/H50*30.4),SUBSIDIO,2))/30.4*H50,2),0),0)</f>
        <v>344.62</v>
      </c>
      <c r="M50" s="143">
        <v>0</v>
      </c>
      <c r="N50" s="143">
        <f t="shared" si="1"/>
        <v>4065.38</v>
      </c>
      <c r="O50" s="19"/>
      <c r="R50" s="51"/>
      <c r="S50" s="52"/>
    </row>
    <row r="51" spans="2:19" ht="36.950000000000003" customHeight="1" x14ac:dyDescent="0.2">
      <c r="D51" s="346" t="s">
        <v>356</v>
      </c>
      <c r="E51" s="346" t="s">
        <v>336</v>
      </c>
      <c r="F51" s="145" t="s">
        <v>28</v>
      </c>
      <c r="G51" s="145" t="s">
        <v>16</v>
      </c>
      <c r="H51" s="140">
        <v>15</v>
      </c>
      <c r="I51" s="143">
        <v>4410</v>
      </c>
      <c r="J51" s="143">
        <v>4410</v>
      </c>
      <c r="K51" s="366">
        <f>IFERROR(IF(ROUND((((J51/H51*30.4)-VLOOKUP((J51/H51*30.4),TARIFA,1))*VLOOKUP((J51/H51*30.4),TARIFA,3)+VLOOKUP((J51/H51*30.4),TARIFA,2)-VLOOKUP((J51/H51*30.4),SUBSIDIO,2))/30.4*H51,2)&lt;0,ROUND(-(((J51/H51*30.4)-VLOOKUP((J51/H51*30.4),TARIFA,1))*VLOOKUP((J51/H51*30.4),TARIFA,3)+VLOOKUP((J51/H51*30.4),TARIFA,2)-VLOOKUP((J51/H51*30.4),SUBSIDIO,2))/30.4*H51,2),0),0)</f>
        <v>0</v>
      </c>
      <c r="L51" s="143">
        <f>IFERROR(IF(ROUND((((J51/H51*30.4)-VLOOKUP((J51/H51*30.4),TARIFA,1))*VLOOKUP((J51/H51*30.4),TARIFA,3)+VLOOKUP((J51/H51*30.4),TARIFA,2)-VLOOKUP((J51/H51*30.4),SUBSIDIO,2))/30.4*H51,2)&gt;0,ROUND((((J51/H51*30.4)-VLOOKUP((J51/H51*30.4),TARIFA,1))*VLOOKUP((J51/H51*30.4),TARIFA,3)+VLOOKUP((J51/H51*30.4),TARIFA,2)-VLOOKUP((J51/H51*30.4),SUBSIDIO,2))/30.4*H51,2),0),0)</f>
        <v>344.62</v>
      </c>
      <c r="M51" s="143">
        <v>0</v>
      </c>
      <c r="N51" s="143">
        <f t="shared" si="1"/>
        <v>4065.38</v>
      </c>
      <c r="O51" s="19"/>
      <c r="R51" s="51"/>
      <c r="S51" s="52"/>
    </row>
    <row r="52" spans="2:19" ht="36.950000000000003" customHeight="1" x14ac:dyDescent="0.25">
      <c r="D52" s="346"/>
      <c r="E52" s="346"/>
      <c r="F52" s="139" t="s">
        <v>91</v>
      </c>
      <c r="G52" s="145"/>
      <c r="H52" s="140"/>
      <c r="I52" s="143"/>
      <c r="J52" s="143"/>
      <c r="K52" s="366"/>
      <c r="L52" s="143"/>
      <c r="M52" s="143"/>
      <c r="N52" s="143"/>
      <c r="O52" s="19"/>
      <c r="R52" s="51"/>
      <c r="S52" s="52"/>
    </row>
    <row r="53" spans="2:19" ht="43.5" customHeight="1" x14ac:dyDescent="0.2">
      <c r="D53" s="346" t="s">
        <v>357</v>
      </c>
      <c r="E53" s="346" t="s">
        <v>336</v>
      </c>
      <c r="F53" s="145" t="s">
        <v>57</v>
      </c>
      <c r="G53" s="146" t="s">
        <v>218</v>
      </c>
      <c r="H53" s="140">
        <v>15</v>
      </c>
      <c r="I53" s="143">
        <v>3908</v>
      </c>
      <c r="J53" s="143">
        <v>3908</v>
      </c>
      <c r="K53" s="366">
        <f>IFERROR(IF(ROUND((((J53/H53*30.4)-VLOOKUP((J53/H53*30.4),TARIFA,1))*VLOOKUP((J53/H53*30.4),TARIFA,3)+VLOOKUP((J53/H53*30.4),TARIFA,2)-VLOOKUP((J53/H53*30.4),SUBSIDIO,2))/30.4*H53,2)&lt;0,ROUND(-(((J53/H53*30.4)-VLOOKUP((J53/H53*30.4),TARIFA,1))*VLOOKUP((J53/H53*30.4),TARIFA,3)+VLOOKUP((J53/H53*30.4),TARIFA,2)-VLOOKUP((J53/H53*30.4),SUBSIDIO,2))/30.4*H53,2),0),0)</f>
        <v>0</v>
      </c>
      <c r="L53" s="143">
        <f>IFERROR(IF(ROUND((((J53/H53*30.4)-VLOOKUP((J53/H53*30.4),TARIFA,1))*VLOOKUP((J53/H53*30.4),TARIFA,3)+VLOOKUP((J53/H53*30.4),TARIFA,2)-VLOOKUP((J53/H53*30.4),SUBSIDIO,2))/30.4*H53,2)&gt;0,ROUND((((J53/H53*30.4)-VLOOKUP((J53/H53*30.4),TARIFA,1))*VLOOKUP((J53/H53*30.4),TARIFA,3)+VLOOKUP((J53/H53*30.4),TARIFA,2)-VLOOKUP((J53/H53*30.4),SUBSIDIO,2))/30.4*H53,2),0),0)</f>
        <v>290</v>
      </c>
      <c r="M53" s="143">
        <v>0</v>
      </c>
      <c r="N53" s="143">
        <f t="shared" si="1"/>
        <v>3618</v>
      </c>
      <c r="O53" s="19"/>
      <c r="R53" s="51"/>
      <c r="S53" s="52"/>
    </row>
    <row r="54" spans="2:19" ht="36.950000000000003" customHeight="1" x14ac:dyDescent="0.25">
      <c r="D54" s="346"/>
      <c r="E54" s="346"/>
      <c r="F54" s="139" t="s">
        <v>29</v>
      </c>
      <c r="G54" s="145"/>
      <c r="H54" s="140"/>
      <c r="I54" s="143"/>
      <c r="J54" s="143"/>
      <c r="K54" s="366"/>
      <c r="L54" s="143"/>
      <c r="M54" s="143"/>
      <c r="N54" s="143"/>
      <c r="O54" s="19"/>
      <c r="R54" s="51"/>
      <c r="S54" s="52"/>
    </row>
    <row r="55" spans="2:19" ht="36.950000000000003" customHeight="1" x14ac:dyDescent="0.2">
      <c r="D55" s="346" t="s">
        <v>358</v>
      </c>
      <c r="E55" s="346" t="s">
        <v>336</v>
      </c>
      <c r="F55" s="145" t="s">
        <v>175</v>
      </c>
      <c r="G55" s="145" t="s">
        <v>30</v>
      </c>
      <c r="H55" s="140">
        <v>15</v>
      </c>
      <c r="I55" s="143">
        <v>8534</v>
      </c>
      <c r="J55" s="143">
        <v>8534</v>
      </c>
      <c r="K55" s="366">
        <f>IFERROR(IF(ROUND((((J55/H55*30.4)-VLOOKUP((J55/H55*30.4),TARIFA,1))*VLOOKUP((J55/H55*30.4),TARIFA,3)+VLOOKUP((J55/H55*30.4),TARIFA,2)-VLOOKUP((J55/H55*30.4),SUBSIDIO,2))/30.4*H55,2)&lt;0,ROUND(-(((J55/H55*30.4)-VLOOKUP((J55/H55*30.4),TARIFA,1))*VLOOKUP((J55/H55*30.4),TARIFA,3)+VLOOKUP((J55/H55*30.4),TARIFA,2)-VLOOKUP((J55/H55*30.4),SUBSIDIO,2))/30.4*H55,2),0),0)</f>
        <v>0</v>
      </c>
      <c r="L55" s="143">
        <f>IFERROR(IF(ROUND((((J55/H55*30.4)-VLOOKUP((J55/H55*30.4),TARIFA,1))*VLOOKUP((J55/H55*30.4),TARIFA,3)+VLOOKUP((J55/H55*30.4),TARIFA,2)-VLOOKUP((J55/H55*30.4),SUBSIDIO,2))/30.4*H55,2)&gt;0,ROUND((((J55/H55*30.4)-VLOOKUP((J55/H55*30.4),TARIFA,1))*VLOOKUP((J55/H55*30.4),TARIFA,3)+VLOOKUP((J55/H55*30.4),TARIFA,2)-VLOOKUP((J55/H55*30.4),SUBSIDIO,2))/30.4*H55,2),0),0)</f>
        <v>1111.76</v>
      </c>
      <c r="M55" s="143">
        <v>0</v>
      </c>
      <c r="N55" s="143">
        <f t="shared" si="1"/>
        <v>7422.24</v>
      </c>
      <c r="O55" s="19"/>
      <c r="R55" s="51"/>
      <c r="S55" s="52"/>
    </row>
    <row r="56" spans="2:19" ht="36.950000000000003" customHeight="1" x14ac:dyDescent="0.2">
      <c r="D56" s="346" t="s">
        <v>359</v>
      </c>
      <c r="E56" s="346" t="s">
        <v>336</v>
      </c>
      <c r="F56" s="145" t="s">
        <v>81</v>
      </c>
      <c r="G56" s="145" t="s">
        <v>72</v>
      </c>
      <c r="H56" s="140">
        <v>15</v>
      </c>
      <c r="I56" s="143">
        <v>4696</v>
      </c>
      <c r="J56" s="143">
        <v>4696</v>
      </c>
      <c r="K56" s="366">
        <f>IFERROR(IF(ROUND((((J56/H56*30.4)-VLOOKUP((J56/H56*30.4),TARIFA,1))*VLOOKUP((J56/H56*30.4),TARIFA,3)+VLOOKUP((J56/H56*30.4),TARIFA,2)-VLOOKUP((J56/H56*30.4),SUBSIDIO,2))/30.4*H56,2)&lt;0,ROUND(-(((J56/H56*30.4)-VLOOKUP((J56/H56*30.4),TARIFA,1))*VLOOKUP((J56/H56*30.4),TARIFA,3)+VLOOKUP((J56/H56*30.4),TARIFA,2)-VLOOKUP((J56/H56*30.4),SUBSIDIO,2))/30.4*H56,2),0),0)</f>
        <v>0</v>
      </c>
      <c r="L56" s="143">
        <f>IFERROR(IF(ROUND((((J56/H56*30.4)-VLOOKUP((J56/H56*30.4),TARIFA,1))*VLOOKUP((J56/H56*30.4),TARIFA,3)+VLOOKUP((J56/H56*30.4),TARIFA,2)-VLOOKUP((J56/H56*30.4),SUBSIDIO,2))/30.4*H56,2)&gt;0,ROUND((((J56/H56*30.4)-VLOOKUP((J56/H56*30.4),TARIFA,1))*VLOOKUP((J56/H56*30.4),TARIFA,3)+VLOOKUP((J56/H56*30.4),TARIFA,2)-VLOOKUP((J56/H56*30.4),SUBSIDIO,2))/30.4*H56,2),0),0)</f>
        <v>375.74</v>
      </c>
      <c r="M56" s="143">
        <v>0</v>
      </c>
      <c r="N56" s="143">
        <f t="shared" si="1"/>
        <v>4320.26</v>
      </c>
      <c r="O56" s="19"/>
      <c r="R56" s="51"/>
      <c r="S56" s="52"/>
    </row>
    <row r="57" spans="2:19" ht="36.950000000000003" customHeight="1" x14ac:dyDescent="0.2">
      <c r="D57" s="346" t="s">
        <v>360</v>
      </c>
      <c r="E57" s="346" t="s">
        <v>336</v>
      </c>
      <c r="F57" s="145" t="s">
        <v>211</v>
      </c>
      <c r="G57" s="145" t="s">
        <v>72</v>
      </c>
      <c r="H57" s="140">
        <v>15</v>
      </c>
      <c r="I57" s="143">
        <v>6256</v>
      </c>
      <c r="J57" s="143">
        <v>6256</v>
      </c>
      <c r="K57" s="366">
        <f>IFERROR(IF(ROUND((((J57/H57*30.4)-VLOOKUP((J57/H57*30.4),TARIFA,1))*VLOOKUP((J57/H57*30.4),TARIFA,3)+VLOOKUP((J57/H57*30.4),TARIFA,2)-VLOOKUP((J57/H57*30.4),SUBSIDIO,2))/30.4*H57,2)&lt;0,ROUND(-(((J57/H57*30.4)-VLOOKUP((J57/H57*30.4),TARIFA,1))*VLOOKUP((J57/H57*30.4),TARIFA,3)+VLOOKUP((J57/H57*30.4),TARIFA,2)-VLOOKUP((J57/H57*30.4),SUBSIDIO,2))/30.4*H57,2),0),0)</f>
        <v>0</v>
      </c>
      <c r="L57" s="143">
        <f>IFERROR(IF(ROUND((((J57/H57*30.4)-VLOOKUP((J57/H57*30.4),TARIFA,1))*VLOOKUP((J57/H57*30.4),TARIFA,3)+VLOOKUP((J57/H57*30.4),TARIFA,2)-VLOOKUP((J57/H57*30.4),SUBSIDIO,2))/30.4*H57,2)&gt;0,ROUND((((J57/H57*30.4)-VLOOKUP((J57/H57*30.4),TARIFA,1))*VLOOKUP((J57/H57*30.4),TARIFA,3)+VLOOKUP((J57/H57*30.4),TARIFA,2)-VLOOKUP((J57/H57*30.4),SUBSIDIO,2))/30.4*H57,2),0),0)</f>
        <v>637.11</v>
      </c>
      <c r="M57" s="143">
        <v>0</v>
      </c>
      <c r="N57" s="143">
        <f t="shared" si="1"/>
        <v>5618.89</v>
      </c>
      <c r="O57" s="19"/>
      <c r="R57" s="51"/>
      <c r="S57" s="52"/>
    </row>
    <row r="58" spans="2:19" ht="36.950000000000003" customHeight="1" x14ac:dyDescent="0.2">
      <c r="D58" s="346"/>
      <c r="E58" s="346"/>
      <c r="F58" s="8"/>
      <c r="G58" s="4"/>
      <c r="H58" s="5"/>
      <c r="I58" s="19">
        <f>I57+I56+I55+I53+I51+I50+I49+I48+I46+I45</f>
        <v>54771</v>
      </c>
      <c r="J58" s="19">
        <f>J57+J56+J55+J53+J51+J50+J49+J48+J46+J45</f>
        <v>54771</v>
      </c>
      <c r="K58" s="369"/>
      <c r="L58" s="19"/>
      <c r="M58" s="19"/>
      <c r="N58" s="63"/>
      <c r="O58" s="19"/>
      <c r="R58" s="51"/>
      <c r="S58" s="52"/>
    </row>
    <row r="59" spans="2:19" ht="21.95" customHeight="1" x14ac:dyDescent="0.3">
      <c r="B59" s="37"/>
      <c r="C59" s="37"/>
      <c r="D59" s="506" t="s">
        <v>12</v>
      </c>
      <c r="E59" s="506"/>
      <c r="F59" s="506"/>
      <c r="G59" s="506"/>
      <c r="H59" s="506"/>
      <c r="I59" s="506"/>
      <c r="J59" s="506"/>
      <c r="K59" s="506"/>
      <c r="L59" s="506"/>
      <c r="M59" s="506"/>
      <c r="N59" s="506"/>
      <c r="O59" s="506"/>
      <c r="R59" s="51"/>
      <c r="S59" s="52"/>
    </row>
    <row r="60" spans="2:19" ht="21.95" customHeight="1" x14ac:dyDescent="0.3">
      <c r="B60" s="37"/>
      <c r="C60" s="37"/>
      <c r="D60" s="506" t="s">
        <v>171</v>
      </c>
      <c r="E60" s="506"/>
      <c r="F60" s="506"/>
      <c r="G60" s="506"/>
      <c r="H60" s="506"/>
      <c r="I60" s="506"/>
      <c r="J60" s="506"/>
      <c r="K60" s="506"/>
      <c r="L60" s="506"/>
      <c r="M60" s="506"/>
      <c r="N60" s="506"/>
      <c r="O60" s="506"/>
      <c r="R60" s="51"/>
      <c r="S60" s="52"/>
    </row>
    <row r="61" spans="2:19" ht="21.95" customHeight="1" x14ac:dyDescent="0.3">
      <c r="B61" s="37"/>
      <c r="C61" s="37"/>
      <c r="D61" s="506" t="str">
        <f>D37</f>
        <v>NOMINA 2DA QUINCENA DE ENERO DE 2021</v>
      </c>
      <c r="E61" s="506"/>
      <c r="F61" s="506"/>
      <c r="G61" s="506"/>
      <c r="H61" s="506"/>
      <c r="I61" s="506"/>
      <c r="J61" s="506"/>
      <c r="K61" s="506"/>
      <c r="L61" s="506"/>
      <c r="M61" s="506"/>
      <c r="N61" s="506"/>
      <c r="O61" s="506"/>
      <c r="R61" s="51"/>
      <c r="S61" s="52"/>
    </row>
    <row r="62" spans="2:19" ht="21.95" customHeight="1" x14ac:dyDescent="0.3">
      <c r="B62" s="37"/>
      <c r="C62" s="37"/>
      <c r="D62" s="506" t="s">
        <v>155</v>
      </c>
      <c r="E62" s="506"/>
      <c r="F62" s="506"/>
      <c r="G62" s="506"/>
      <c r="H62" s="506"/>
      <c r="I62" s="506"/>
      <c r="J62" s="506"/>
      <c r="K62" s="506"/>
      <c r="L62" s="506"/>
      <c r="M62" s="506"/>
      <c r="N62" s="506"/>
      <c r="O62" s="506"/>
      <c r="R62" s="51"/>
      <c r="S62" s="52"/>
    </row>
    <row r="63" spans="2:19" ht="21.95" customHeight="1" x14ac:dyDescent="0.2">
      <c r="B63" s="37"/>
      <c r="C63" s="37"/>
      <c r="D63" s="341"/>
      <c r="E63" s="341" t="s">
        <v>324</v>
      </c>
      <c r="F63" s="101"/>
      <c r="G63" s="101"/>
      <c r="H63" s="94" t="s">
        <v>4</v>
      </c>
      <c r="I63" s="102"/>
      <c r="J63" s="503" t="s">
        <v>154</v>
      </c>
      <c r="K63" s="504"/>
      <c r="L63" s="503"/>
      <c r="M63" s="505"/>
      <c r="N63" s="505"/>
      <c r="O63" s="94"/>
      <c r="R63" s="51"/>
      <c r="S63" s="52"/>
    </row>
    <row r="64" spans="2:19" ht="18.75" customHeight="1" x14ac:dyDescent="0.2">
      <c r="B64" s="37"/>
      <c r="C64" s="37"/>
      <c r="D64" s="342" t="s">
        <v>3</v>
      </c>
      <c r="E64" s="342" t="s">
        <v>325</v>
      </c>
      <c r="F64" s="90"/>
      <c r="G64" s="90"/>
      <c r="H64" s="93" t="s">
        <v>5</v>
      </c>
      <c r="I64" s="94" t="s">
        <v>1</v>
      </c>
      <c r="J64" s="94" t="s">
        <v>157</v>
      </c>
      <c r="K64" s="362" t="s">
        <v>161</v>
      </c>
      <c r="L64" s="95"/>
      <c r="M64" s="95" t="s">
        <v>176</v>
      </c>
      <c r="N64" s="95" t="s">
        <v>160</v>
      </c>
      <c r="O64" s="90" t="s">
        <v>165</v>
      </c>
      <c r="R64" s="51"/>
      <c r="S64" s="52"/>
    </row>
    <row r="65" spans="2:19" ht="21.95" customHeight="1" x14ac:dyDescent="0.25">
      <c r="B65" s="37"/>
      <c r="C65" s="37"/>
      <c r="D65" s="343"/>
      <c r="E65" s="342"/>
      <c r="F65" s="96"/>
      <c r="G65" s="96" t="s">
        <v>10</v>
      </c>
      <c r="H65" s="90"/>
      <c r="I65" s="90" t="s">
        <v>7</v>
      </c>
      <c r="J65" s="90" t="s">
        <v>160</v>
      </c>
      <c r="K65" s="363" t="s">
        <v>162</v>
      </c>
      <c r="L65" s="94" t="s">
        <v>163</v>
      </c>
      <c r="M65" s="94" t="s">
        <v>178</v>
      </c>
      <c r="N65" s="94" t="s">
        <v>166</v>
      </c>
      <c r="O65" s="90"/>
      <c r="R65" s="51"/>
      <c r="S65" s="52"/>
    </row>
    <row r="66" spans="2:19" ht="21.75" customHeight="1" x14ac:dyDescent="0.25">
      <c r="B66" s="37"/>
      <c r="C66" s="37"/>
      <c r="D66" s="344"/>
      <c r="E66" s="344"/>
      <c r="F66" s="97" t="s">
        <v>14</v>
      </c>
      <c r="G66" s="97" t="s">
        <v>9</v>
      </c>
      <c r="H66" s="95"/>
      <c r="I66" s="95"/>
      <c r="J66" s="95"/>
      <c r="K66" s="364"/>
      <c r="L66" s="95"/>
      <c r="M66" s="95"/>
      <c r="N66" s="95"/>
      <c r="O66" s="95"/>
      <c r="R66" s="51"/>
      <c r="S66" s="52"/>
    </row>
    <row r="67" spans="2:19" ht="36.950000000000003" customHeight="1" x14ac:dyDescent="0.25">
      <c r="B67" s="37"/>
      <c r="C67" s="37"/>
      <c r="D67" s="346"/>
      <c r="E67" s="346"/>
      <c r="F67" s="139" t="s">
        <v>31</v>
      </c>
      <c r="G67" s="145"/>
      <c r="H67" s="140"/>
      <c r="I67" s="143"/>
      <c r="J67" s="143"/>
      <c r="K67" s="366"/>
      <c r="L67" s="143"/>
      <c r="M67" s="143"/>
      <c r="N67" s="144"/>
      <c r="O67" s="129"/>
      <c r="R67" s="51"/>
      <c r="S67" s="52"/>
    </row>
    <row r="68" spans="2:19" ht="36.950000000000003" customHeight="1" x14ac:dyDescent="0.2">
      <c r="B68" s="37"/>
      <c r="C68" s="37"/>
      <c r="D68" s="346" t="s">
        <v>361</v>
      </c>
      <c r="E68" s="346" t="s">
        <v>336</v>
      </c>
      <c r="F68" s="155" t="s">
        <v>34</v>
      </c>
      <c r="G68" s="145" t="s">
        <v>33</v>
      </c>
      <c r="H68" s="140">
        <v>15</v>
      </c>
      <c r="I68" s="143">
        <v>4172</v>
      </c>
      <c r="J68" s="143">
        <v>4172</v>
      </c>
      <c r="K68" s="366">
        <f t="shared" ref="K68:K73" si="2">IFERROR(IF(ROUND((((J68/H68*30.4)-VLOOKUP((J68/H68*30.4),TARIFA,1))*VLOOKUP((J68/H68*30.4),TARIFA,3)+VLOOKUP((J68/H68*30.4),TARIFA,2)-VLOOKUP((J68/H68*30.4),SUBSIDIO,2))/30.4*H68,2)&lt;0,ROUND(-(((J68/H68*30.4)-VLOOKUP((J68/H68*30.4),TARIFA,1))*VLOOKUP((J68/H68*30.4),TARIFA,3)+VLOOKUP((J68/H68*30.4),TARIFA,2)-VLOOKUP((J68/H68*30.4),SUBSIDIO,2))/30.4*H68,2),0),0)</f>
        <v>0</v>
      </c>
      <c r="L68" s="143">
        <f t="shared" ref="L68:L73" si="3">IFERROR(IF(ROUND((((J68/H68*30.4)-VLOOKUP((J68/H68*30.4),TARIFA,1))*VLOOKUP((J68/H68*30.4),TARIFA,3)+VLOOKUP((J68/H68*30.4),TARIFA,2)-VLOOKUP((J68/H68*30.4),SUBSIDIO,2))/30.4*H68,2)&gt;0,ROUND((((J68/H68*30.4)-VLOOKUP((J68/H68*30.4),TARIFA,1))*VLOOKUP((J68/H68*30.4),TARIFA,3)+VLOOKUP((J68/H68*30.4),TARIFA,2)-VLOOKUP((J68/H68*30.4),SUBSIDIO,2))/30.4*H68,2),0),0)</f>
        <v>318.73</v>
      </c>
      <c r="M68" s="143">
        <v>0</v>
      </c>
      <c r="N68" s="143">
        <f t="shared" ref="N68:N80" si="4">J68+K68-L68</f>
        <v>3853.27</v>
      </c>
      <c r="O68" s="130"/>
      <c r="R68" s="51"/>
      <c r="S68" s="52"/>
    </row>
    <row r="69" spans="2:19" ht="36.950000000000003" customHeight="1" x14ac:dyDescent="0.2">
      <c r="B69" s="37"/>
      <c r="C69" s="37"/>
      <c r="D69" s="346" t="s">
        <v>362</v>
      </c>
      <c r="E69" s="346" t="s">
        <v>345</v>
      </c>
      <c r="F69" s="155" t="s">
        <v>82</v>
      </c>
      <c r="G69" s="145" t="s">
        <v>33</v>
      </c>
      <c r="H69" s="140">
        <v>15</v>
      </c>
      <c r="I69" s="143">
        <v>3210</v>
      </c>
      <c r="J69" s="143">
        <v>3210</v>
      </c>
      <c r="K69" s="366">
        <f t="shared" si="2"/>
        <v>0</v>
      </c>
      <c r="L69" s="143">
        <f t="shared" si="3"/>
        <v>88.96</v>
      </c>
      <c r="M69" s="143">
        <v>0</v>
      </c>
      <c r="N69" s="143">
        <f t="shared" si="4"/>
        <v>3121.04</v>
      </c>
      <c r="O69" s="130"/>
      <c r="R69" s="51"/>
      <c r="S69" s="52"/>
    </row>
    <row r="70" spans="2:19" ht="36.950000000000003" customHeight="1" x14ac:dyDescent="0.2">
      <c r="B70" s="37"/>
      <c r="C70" s="37"/>
      <c r="D70" s="346" t="s">
        <v>363</v>
      </c>
      <c r="E70" s="346" t="s">
        <v>345</v>
      </c>
      <c r="F70" s="155" t="s">
        <v>36</v>
      </c>
      <c r="G70" s="145" t="s">
        <v>33</v>
      </c>
      <c r="H70" s="140">
        <v>15</v>
      </c>
      <c r="I70" s="143">
        <v>2537</v>
      </c>
      <c r="J70" s="143">
        <v>2537</v>
      </c>
      <c r="K70" s="366">
        <f t="shared" si="2"/>
        <v>12.18</v>
      </c>
      <c r="L70" s="143">
        <f t="shared" si="3"/>
        <v>0</v>
      </c>
      <c r="M70" s="143">
        <v>0</v>
      </c>
      <c r="N70" s="143">
        <f t="shared" si="4"/>
        <v>2549.1799999999998</v>
      </c>
      <c r="O70" s="130"/>
      <c r="R70" s="51"/>
      <c r="S70" s="52"/>
    </row>
    <row r="71" spans="2:19" ht="36.950000000000003" customHeight="1" x14ac:dyDescent="0.2">
      <c r="B71" s="37"/>
      <c r="C71" s="37"/>
      <c r="D71" s="346" t="s">
        <v>364</v>
      </c>
      <c r="E71" s="346" t="s">
        <v>336</v>
      </c>
      <c r="F71" s="155" t="s">
        <v>38</v>
      </c>
      <c r="G71" s="145" t="s">
        <v>39</v>
      </c>
      <c r="H71" s="140">
        <v>15</v>
      </c>
      <c r="I71" s="143">
        <v>3151</v>
      </c>
      <c r="J71" s="143">
        <v>3151</v>
      </c>
      <c r="K71" s="366">
        <f t="shared" si="2"/>
        <v>0</v>
      </c>
      <c r="L71" s="143">
        <f t="shared" si="3"/>
        <v>82.54</v>
      </c>
      <c r="M71" s="143">
        <v>0</v>
      </c>
      <c r="N71" s="143">
        <f t="shared" si="4"/>
        <v>3068.46</v>
      </c>
      <c r="O71" s="130"/>
      <c r="R71" s="51"/>
      <c r="S71" s="52"/>
    </row>
    <row r="72" spans="2:19" ht="36.950000000000003" customHeight="1" x14ac:dyDescent="0.2">
      <c r="B72" s="37"/>
      <c r="C72" s="37"/>
      <c r="D72" s="346" t="s">
        <v>365</v>
      </c>
      <c r="E72" s="346" t="s">
        <v>336</v>
      </c>
      <c r="F72" s="155" t="s">
        <v>74</v>
      </c>
      <c r="G72" s="145" t="s">
        <v>39</v>
      </c>
      <c r="H72" s="140">
        <v>15</v>
      </c>
      <c r="I72" s="143">
        <v>3151</v>
      </c>
      <c r="J72" s="143">
        <v>3151</v>
      </c>
      <c r="K72" s="366">
        <f t="shared" si="2"/>
        <v>0</v>
      </c>
      <c r="L72" s="143">
        <f t="shared" si="3"/>
        <v>82.54</v>
      </c>
      <c r="M72" s="143">
        <v>0</v>
      </c>
      <c r="N72" s="143">
        <f t="shared" si="4"/>
        <v>3068.46</v>
      </c>
      <c r="O72" s="130"/>
      <c r="R72" s="51"/>
      <c r="S72" s="52"/>
    </row>
    <row r="73" spans="2:19" ht="38.25" customHeight="1" x14ac:dyDescent="0.2">
      <c r="B73" s="37"/>
      <c r="C73" s="37"/>
      <c r="D73" s="350" t="s">
        <v>366</v>
      </c>
      <c r="E73" s="350" t="s">
        <v>336</v>
      </c>
      <c r="F73" s="156" t="s">
        <v>143</v>
      </c>
      <c r="G73" s="155" t="s">
        <v>33</v>
      </c>
      <c r="H73" s="154">
        <v>15</v>
      </c>
      <c r="I73" s="142">
        <v>3824</v>
      </c>
      <c r="J73" s="142">
        <v>3824</v>
      </c>
      <c r="K73" s="366">
        <f t="shared" si="2"/>
        <v>0</v>
      </c>
      <c r="L73" s="143">
        <f t="shared" si="3"/>
        <v>280.87</v>
      </c>
      <c r="M73" s="143">
        <v>0</v>
      </c>
      <c r="N73" s="143">
        <f t="shared" si="4"/>
        <v>3543.13</v>
      </c>
      <c r="O73" s="130"/>
      <c r="R73" s="51"/>
      <c r="S73" s="52"/>
    </row>
    <row r="74" spans="2:19" ht="36.950000000000003" customHeight="1" x14ac:dyDescent="0.25">
      <c r="D74" s="346"/>
      <c r="E74" s="346"/>
      <c r="F74" s="157" t="s">
        <v>179</v>
      </c>
      <c r="G74" s="145"/>
      <c r="H74" s="140"/>
      <c r="I74" s="143"/>
      <c r="J74" s="143"/>
      <c r="K74" s="366"/>
      <c r="L74" s="143"/>
      <c r="M74" s="143"/>
      <c r="N74" s="143"/>
      <c r="O74" s="19"/>
      <c r="R74" s="51"/>
      <c r="S74" s="52"/>
    </row>
    <row r="75" spans="2:19" ht="34.5" customHeight="1" x14ac:dyDescent="0.2">
      <c r="D75" s="346" t="s">
        <v>367</v>
      </c>
      <c r="E75" s="346" t="s">
        <v>336</v>
      </c>
      <c r="F75" s="155" t="s">
        <v>138</v>
      </c>
      <c r="G75" s="145" t="s">
        <v>16</v>
      </c>
      <c r="H75" s="140">
        <v>15</v>
      </c>
      <c r="I75" s="143">
        <v>4009</v>
      </c>
      <c r="J75" s="143">
        <v>4009</v>
      </c>
      <c r="K75" s="366">
        <f>IFERROR(IF(ROUND((((J75/H75*30.4)-VLOOKUP((J75/H75*30.4),TARIFA,1))*VLOOKUP((J75/H75*30.4),TARIFA,3)+VLOOKUP((J75/H75*30.4),TARIFA,2)-VLOOKUP((J75/H75*30.4),SUBSIDIO,2))/30.4*H75,2)&lt;0,ROUND(-(((J75/H75*30.4)-VLOOKUP((J75/H75*30.4),TARIFA,1))*VLOOKUP((J75/H75*30.4),TARIFA,3)+VLOOKUP((J75/H75*30.4),TARIFA,2)-VLOOKUP((J75/H75*30.4),SUBSIDIO,2))/30.4*H75,2),0),0)</f>
        <v>0</v>
      </c>
      <c r="L75" s="143">
        <f>IFERROR(IF(ROUND((((J75/H75*30.4)-VLOOKUP((J75/H75*30.4),TARIFA,1))*VLOOKUP((J75/H75*30.4),TARIFA,3)+VLOOKUP((J75/H75*30.4),TARIFA,2)-VLOOKUP((J75/H75*30.4),SUBSIDIO,2))/30.4*H75,2)&gt;0,ROUND((((J75/H75*30.4)-VLOOKUP((J75/H75*30.4),TARIFA,1))*VLOOKUP((J75/H75*30.4),TARIFA,3)+VLOOKUP((J75/H75*30.4),TARIFA,2)-VLOOKUP((J75/H75*30.4),SUBSIDIO,2))/30.4*H75,2),0),0)</f>
        <v>300.99</v>
      </c>
      <c r="M75" s="143">
        <v>0</v>
      </c>
      <c r="N75" s="143">
        <f t="shared" si="4"/>
        <v>3708.01</v>
      </c>
      <c r="O75" s="19"/>
      <c r="R75" s="51"/>
      <c r="S75" s="52"/>
    </row>
    <row r="76" spans="2:19" ht="1.5" hidden="1" customHeight="1" x14ac:dyDescent="0.2">
      <c r="D76" s="346"/>
      <c r="E76" s="346"/>
      <c r="F76" s="155"/>
      <c r="G76" s="145"/>
      <c r="H76" s="140"/>
      <c r="I76" s="143"/>
      <c r="J76" s="143"/>
      <c r="K76" s="366"/>
      <c r="L76" s="143"/>
      <c r="M76" s="143"/>
      <c r="N76" s="143"/>
      <c r="O76" s="19"/>
      <c r="R76" s="51"/>
      <c r="S76" s="52"/>
    </row>
    <row r="77" spans="2:19" ht="36.950000000000003" hidden="1" customHeight="1" x14ac:dyDescent="0.2">
      <c r="D77" s="351">
        <v>35</v>
      </c>
      <c r="E77" s="351"/>
      <c r="F77" s="245"/>
      <c r="G77" s="145"/>
      <c r="H77" s="140"/>
      <c r="I77" s="143"/>
      <c r="J77" s="143"/>
      <c r="K77" s="366"/>
      <c r="L77" s="143"/>
      <c r="M77" s="143">
        <v>0</v>
      </c>
      <c r="N77" s="143">
        <f t="shared" si="4"/>
        <v>0</v>
      </c>
      <c r="O77" s="19"/>
      <c r="R77" s="51"/>
      <c r="S77" s="52"/>
    </row>
    <row r="78" spans="2:19" ht="3" hidden="1" customHeight="1" x14ac:dyDescent="0.2">
      <c r="D78" s="351"/>
      <c r="E78" s="351"/>
      <c r="F78" s="155"/>
      <c r="G78" s="145"/>
      <c r="H78" s="140"/>
      <c r="I78" s="143"/>
      <c r="J78" s="143"/>
      <c r="K78" s="366"/>
      <c r="L78" s="143"/>
      <c r="M78" s="143"/>
      <c r="N78" s="143"/>
      <c r="O78" s="19"/>
      <c r="R78" s="51"/>
      <c r="S78" s="52"/>
    </row>
    <row r="79" spans="2:19" ht="36.950000000000003" customHeight="1" x14ac:dyDescent="0.25">
      <c r="D79" s="346"/>
      <c r="E79" s="346"/>
      <c r="F79" s="157" t="s">
        <v>47</v>
      </c>
      <c r="G79" s="145"/>
      <c r="H79" s="140"/>
      <c r="I79" s="143"/>
      <c r="J79" s="143"/>
      <c r="K79" s="366"/>
      <c r="L79" s="143"/>
      <c r="M79" s="143"/>
      <c r="N79" s="143"/>
      <c r="O79" s="19"/>
      <c r="R79" s="51"/>
      <c r="S79" s="52"/>
    </row>
    <row r="80" spans="2:19" ht="36.950000000000003" customHeight="1" x14ac:dyDescent="0.2">
      <c r="D80" s="346" t="s">
        <v>368</v>
      </c>
      <c r="E80" s="346" t="s">
        <v>336</v>
      </c>
      <c r="F80" s="155" t="s">
        <v>48</v>
      </c>
      <c r="G80" s="146" t="s">
        <v>88</v>
      </c>
      <c r="H80" s="140">
        <v>15</v>
      </c>
      <c r="I80" s="158">
        <v>2201</v>
      </c>
      <c r="J80" s="143">
        <v>2201</v>
      </c>
      <c r="K80" s="366">
        <f>IFERROR(IF(ROUND((((J80/H80*30.4)-VLOOKUP((J80/H80*30.4),TARIFA,1))*VLOOKUP((J80/H80*30.4),TARIFA,3)+VLOOKUP((J80/H80*30.4),TARIFA,2)-VLOOKUP((J80/H80*30.4),SUBSIDIO,2))/30.4*H80,2)&lt;0,ROUND(-(((J80/H80*30.4)-VLOOKUP((J80/H80*30.4),TARIFA,1))*VLOOKUP((J80/H80*30.4),TARIFA,3)+VLOOKUP((J80/H80*30.4),TARIFA,2)-VLOOKUP((J80/H80*30.4),SUBSIDIO,2))/30.4*H80,2),0),0)</f>
        <v>48.17</v>
      </c>
      <c r="L80" s="143">
        <f>IFERROR(IF(ROUND((((J80/H80*30.4)-VLOOKUP((J80/H80*30.4),TARIFA,1))*VLOOKUP((J80/H80*30.4),TARIFA,3)+VLOOKUP((J80/H80*30.4),TARIFA,2)-VLOOKUP((J80/H80*30.4),SUBSIDIO,2))/30.4*H80,2)&gt;0,ROUND((((J80/H80*30.4)-VLOOKUP((J80/H80*30.4),TARIFA,1))*VLOOKUP((J80/H80*30.4),TARIFA,3)+VLOOKUP((J80/H80*30.4),TARIFA,2)-VLOOKUP((J80/H80*30.4),SUBSIDIO,2))/30.4*H80,2),0),0)</f>
        <v>0</v>
      </c>
      <c r="M80" s="143">
        <v>0</v>
      </c>
      <c r="N80" s="143">
        <f t="shared" si="4"/>
        <v>2249.17</v>
      </c>
      <c r="O80" s="19"/>
      <c r="R80" s="51"/>
      <c r="S80" s="52"/>
    </row>
    <row r="81" spans="4:19" ht="36.950000000000003" customHeight="1" x14ac:dyDescent="0.2">
      <c r="D81" s="352"/>
      <c r="E81" s="359"/>
      <c r="F81" s="85"/>
      <c r="G81" s="85"/>
      <c r="H81" s="77"/>
      <c r="I81" s="86">
        <f>I80+I75+I73+I72+I71+I70+I69+I68</f>
        <v>26255</v>
      </c>
      <c r="J81" s="86">
        <f>J80+J75+J73+J72+J71+J70+J69+J68</f>
        <v>26255</v>
      </c>
      <c r="K81" s="370"/>
      <c r="L81" s="86"/>
      <c r="M81" s="86"/>
      <c r="N81" s="78"/>
      <c r="O81" s="78"/>
      <c r="P81" s="87"/>
      <c r="R81" s="51"/>
      <c r="S81" s="52"/>
    </row>
    <row r="82" spans="4:19" ht="21.95" customHeight="1" x14ac:dyDescent="0.3">
      <c r="D82" s="506" t="s">
        <v>155</v>
      </c>
      <c r="E82" s="506"/>
      <c r="F82" s="506"/>
      <c r="G82" s="506"/>
      <c r="H82" s="506"/>
      <c r="I82" s="506"/>
      <c r="J82" s="506"/>
      <c r="K82" s="506"/>
      <c r="L82" s="506"/>
      <c r="M82" s="506"/>
      <c r="N82" s="506"/>
      <c r="O82" s="506"/>
      <c r="R82" s="51"/>
      <c r="S82" s="52"/>
    </row>
    <row r="83" spans="4:19" ht="21.95" customHeight="1" x14ac:dyDescent="0.3">
      <c r="D83" s="506" t="s">
        <v>171</v>
      </c>
      <c r="E83" s="506"/>
      <c r="F83" s="506"/>
      <c r="G83" s="506"/>
      <c r="H83" s="506"/>
      <c r="I83" s="506"/>
      <c r="J83" s="506"/>
      <c r="K83" s="506"/>
      <c r="L83" s="506"/>
      <c r="M83" s="506"/>
      <c r="N83" s="506"/>
      <c r="O83" s="506"/>
      <c r="R83" s="51"/>
      <c r="S83" s="52"/>
    </row>
    <row r="84" spans="4:19" ht="21.95" customHeight="1" x14ac:dyDescent="0.3">
      <c r="D84" s="506" t="str">
        <f>D61</f>
        <v>NOMINA 2DA QUINCENA DE ENERO DE 2021</v>
      </c>
      <c r="E84" s="506"/>
      <c r="F84" s="506"/>
      <c r="G84" s="506"/>
      <c r="H84" s="506"/>
      <c r="I84" s="506"/>
      <c r="J84" s="506"/>
      <c r="K84" s="506"/>
      <c r="L84" s="506"/>
      <c r="M84" s="506"/>
      <c r="N84" s="506"/>
      <c r="O84" s="506"/>
      <c r="R84" s="51"/>
      <c r="S84" s="52"/>
    </row>
    <row r="85" spans="4:19" ht="21.95" customHeight="1" x14ac:dyDescent="0.3">
      <c r="D85" s="506" t="s">
        <v>155</v>
      </c>
      <c r="E85" s="506"/>
      <c r="F85" s="506"/>
      <c r="G85" s="506"/>
      <c r="H85" s="506"/>
      <c r="I85" s="506"/>
      <c r="J85" s="506"/>
      <c r="K85" s="506"/>
      <c r="L85" s="506"/>
      <c r="M85" s="506"/>
      <c r="N85" s="506"/>
      <c r="O85" s="506"/>
      <c r="R85" s="51"/>
      <c r="S85" s="52"/>
    </row>
    <row r="86" spans="4:19" ht="21.95" customHeight="1" x14ac:dyDescent="0.2">
      <c r="D86" s="341"/>
      <c r="E86" s="341" t="s">
        <v>324</v>
      </c>
      <c r="F86" s="101"/>
      <c r="G86" s="101"/>
      <c r="H86" s="94" t="s">
        <v>4</v>
      </c>
      <c r="I86" s="102"/>
      <c r="J86" s="503" t="s">
        <v>154</v>
      </c>
      <c r="K86" s="504"/>
      <c r="L86" s="503"/>
      <c r="M86" s="505"/>
      <c r="N86" s="505"/>
      <c r="O86" s="94"/>
      <c r="R86" s="51"/>
      <c r="S86" s="52"/>
    </row>
    <row r="87" spans="4:19" ht="13.5" customHeight="1" x14ac:dyDescent="0.2">
      <c r="D87" s="342" t="s">
        <v>3</v>
      </c>
      <c r="E87" s="342" t="s">
        <v>325</v>
      </c>
      <c r="F87" s="90"/>
      <c r="G87" s="90"/>
      <c r="H87" s="93" t="s">
        <v>5</v>
      </c>
      <c r="I87" s="94" t="s">
        <v>1</v>
      </c>
      <c r="J87" s="94" t="s">
        <v>157</v>
      </c>
      <c r="K87" s="362" t="s">
        <v>161</v>
      </c>
      <c r="L87" s="95"/>
      <c r="M87" s="95" t="s">
        <v>177</v>
      </c>
      <c r="N87" s="95" t="s">
        <v>160</v>
      </c>
      <c r="O87" s="90" t="s">
        <v>165</v>
      </c>
      <c r="R87" s="51"/>
      <c r="S87" s="52"/>
    </row>
    <row r="88" spans="4:19" ht="21.95" customHeight="1" x14ac:dyDescent="0.25">
      <c r="D88" s="343"/>
      <c r="E88" s="342"/>
      <c r="F88" s="96"/>
      <c r="G88" s="96" t="s">
        <v>10</v>
      </c>
      <c r="H88" s="90"/>
      <c r="I88" s="90" t="s">
        <v>7</v>
      </c>
      <c r="J88" s="90" t="s">
        <v>160</v>
      </c>
      <c r="K88" s="363" t="s">
        <v>162</v>
      </c>
      <c r="L88" s="94" t="s">
        <v>163</v>
      </c>
      <c r="M88" s="94" t="s">
        <v>178</v>
      </c>
      <c r="N88" s="94" t="s">
        <v>166</v>
      </c>
      <c r="O88" s="90"/>
      <c r="R88" s="51"/>
      <c r="S88" s="52"/>
    </row>
    <row r="89" spans="4:19" ht="21.95" customHeight="1" x14ac:dyDescent="0.25">
      <c r="D89" s="344"/>
      <c r="E89" s="344"/>
      <c r="F89" s="97" t="s">
        <v>14</v>
      </c>
      <c r="G89" s="97" t="s">
        <v>9</v>
      </c>
      <c r="H89" s="95"/>
      <c r="I89" s="95"/>
      <c r="J89" s="95"/>
      <c r="K89" s="364"/>
      <c r="L89" s="95"/>
      <c r="M89" s="95"/>
      <c r="N89" s="95"/>
      <c r="O89" s="95"/>
      <c r="R89" s="51"/>
      <c r="S89" s="52"/>
    </row>
    <row r="90" spans="4:19" ht="36.950000000000003" customHeight="1" x14ac:dyDescent="0.25">
      <c r="D90" s="353"/>
      <c r="E90" s="360"/>
      <c r="F90" s="159" t="s">
        <v>49</v>
      </c>
      <c r="G90" s="160"/>
      <c r="H90" s="161"/>
      <c r="I90" s="162"/>
      <c r="J90" s="162"/>
      <c r="K90" s="371"/>
      <c r="L90" s="144"/>
      <c r="M90" s="144"/>
      <c r="N90" s="144"/>
      <c r="O90" s="63"/>
      <c r="R90" s="51"/>
      <c r="S90" s="52"/>
    </row>
    <row r="91" spans="4:19" ht="36.950000000000003" customHeight="1" x14ac:dyDescent="0.2">
      <c r="D91" s="346" t="s">
        <v>369</v>
      </c>
      <c r="E91" s="346" t="s">
        <v>336</v>
      </c>
      <c r="F91" s="145" t="s">
        <v>243</v>
      </c>
      <c r="G91" s="146" t="s">
        <v>118</v>
      </c>
      <c r="H91" s="140">
        <v>15</v>
      </c>
      <c r="I91" s="143">
        <v>1384</v>
      </c>
      <c r="J91" s="143">
        <v>1384</v>
      </c>
      <c r="K91" s="366">
        <f t="shared" ref="K91:K97" si="5">IFERROR(IF(ROUND((((J91/H91*30.4)-VLOOKUP((J91/H91*30.4),TARIFA,1))*VLOOKUP((J91/H91*30.4),TARIFA,3)+VLOOKUP((J91/H91*30.4),TARIFA,2)-VLOOKUP((J91/H91*30.4),SUBSIDIO,2))/30.4*H91,2)&lt;0,ROUND(-(((J91/H91*30.4)-VLOOKUP((J91/H91*30.4),TARIFA,1))*VLOOKUP((J91/H91*30.4),TARIFA,3)+VLOOKUP((J91/H91*30.4),TARIFA,2)-VLOOKUP((J91/H91*30.4),SUBSIDIO,2))/30.4*H91,2),0),0)</f>
        <v>126.31</v>
      </c>
      <c r="L91" s="143">
        <f t="shared" ref="L91:L100" si="6">IFERROR(IF(ROUND((((J91/H91*30.4)-VLOOKUP((J91/H91*30.4),TARIFA,1))*VLOOKUP((J91/H91*30.4),TARIFA,3)+VLOOKUP((J91/H91*30.4),TARIFA,2)-VLOOKUP((J91/H91*30.4),SUBSIDIO,2))/30.4*H91,2)&gt;0,ROUND((((J91/H91*30.4)-VLOOKUP((J91/H91*30.4),TARIFA,1))*VLOOKUP((J91/H91*30.4),TARIFA,3)+VLOOKUP((J91/H91*30.4),TARIFA,2)-VLOOKUP((J91/H91*30.4),SUBSIDIO,2))/30.4*H91,2),0),0)</f>
        <v>0</v>
      </c>
      <c r="M91" s="143">
        <v>0</v>
      </c>
      <c r="N91" s="143">
        <f t="shared" ref="N91:N100" si="7">J91+K91-L91</f>
        <v>1510.31</v>
      </c>
      <c r="O91" s="19"/>
      <c r="R91" s="51"/>
      <c r="S91" s="52"/>
    </row>
    <row r="92" spans="4:19" ht="36.950000000000003" customHeight="1" x14ac:dyDescent="0.2">
      <c r="D92" s="346" t="s">
        <v>370</v>
      </c>
      <c r="E92" s="346" t="s">
        <v>345</v>
      </c>
      <c r="F92" s="145" t="s">
        <v>486</v>
      </c>
      <c r="G92" s="146" t="s">
        <v>89</v>
      </c>
      <c r="H92" s="140">
        <v>15</v>
      </c>
      <c r="I92" s="143">
        <v>1384</v>
      </c>
      <c r="J92" s="143">
        <v>1384</v>
      </c>
      <c r="K92" s="366">
        <f t="shared" si="5"/>
        <v>126.31</v>
      </c>
      <c r="L92" s="143">
        <f t="shared" si="6"/>
        <v>0</v>
      </c>
      <c r="M92" s="143">
        <v>0</v>
      </c>
      <c r="N92" s="143">
        <f t="shared" si="7"/>
        <v>1510.31</v>
      </c>
      <c r="O92" s="19"/>
      <c r="R92" s="51"/>
      <c r="S92" s="52"/>
    </row>
    <row r="93" spans="4:19" ht="36.950000000000003" customHeight="1" x14ac:dyDescent="0.2">
      <c r="D93" s="346" t="s">
        <v>371</v>
      </c>
      <c r="E93" s="346" t="s">
        <v>492</v>
      </c>
      <c r="F93" s="145"/>
      <c r="G93" s="146" t="s">
        <v>92</v>
      </c>
      <c r="H93" s="140">
        <v>0</v>
      </c>
      <c r="I93" s="143">
        <v>0</v>
      </c>
      <c r="J93" s="143">
        <v>0</v>
      </c>
      <c r="K93" s="366">
        <f t="shared" si="5"/>
        <v>0</v>
      </c>
      <c r="L93" s="143">
        <f t="shared" si="6"/>
        <v>0</v>
      </c>
      <c r="M93" s="143">
        <v>0</v>
      </c>
      <c r="N93" s="143">
        <f t="shared" si="7"/>
        <v>0</v>
      </c>
      <c r="O93" s="19"/>
      <c r="R93" s="51"/>
      <c r="S93" s="52"/>
    </row>
    <row r="94" spans="4:19" ht="36.950000000000003" customHeight="1" x14ac:dyDescent="0.2">
      <c r="D94" s="346" t="s">
        <v>372</v>
      </c>
      <c r="E94" s="346" t="s">
        <v>345</v>
      </c>
      <c r="F94" s="145" t="s">
        <v>244</v>
      </c>
      <c r="G94" s="146" t="s">
        <v>93</v>
      </c>
      <c r="H94" s="140">
        <v>15</v>
      </c>
      <c r="I94" s="143">
        <v>1384</v>
      </c>
      <c r="J94" s="143">
        <v>1384</v>
      </c>
      <c r="K94" s="366">
        <f t="shared" si="5"/>
        <v>126.31</v>
      </c>
      <c r="L94" s="143">
        <f t="shared" si="6"/>
        <v>0</v>
      </c>
      <c r="M94" s="143">
        <v>0</v>
      </c>
      <c r="N94" s="143">
        <f t="shared" si="7"/>
        <v>1510.31</v>
      </c>
      <c r="O94" s="19"/>
      <c r="R94" s="51"/>
      <c r="S94" s="52"/>
    </row>
    <row r="95" spans="4:19" ht="36.950000000000003" customHeight="1" x14ac:dyDescent="0.2">
      <c r="D95" s="346" t="s">
        <v>373</v>
      </c>
      <c r="E95" s="346" t="s">
        <v>345</v>
      </c>
      <c r="F95" s="145" t="s">
        <v>245</v>
      </c>
      <c r="G95" s="146" t="s">
        <v>119</v>
      </c>
      <c r="H95" s="140">
        <v>15</v>
      </c>
      <c r="I95" s="143">
        <v>1384</v>
      </c>
      <c r="J95" s="143">
        <v>1384</v>
      </c>
      <c r="K95" s="366">
        <f t="shared" si="5"/>
        <v>126.31</v>
      </c>
      <c r="L95" s="143">
        <f t="shared" si="6"/>
        <v>0</v>
      </c>
      <c r="M95" s="143">
        <v>0</v>
      </c>
      <c r="N95" s="143">
        <f t="shared" si="7"/>
        <v>1510.31</v>
      </c>
      <c r="O95" s="19"/>
      <c r="R95" s="51"/>
      <c r="S95" s="52"/>
    </row>
    <row r="96" spans="4:19" ht="36.950000000000003" customHeight="1" x14ac:dyDescent="0.2">
      <c r="D96" s="346" t="s">
        <v>374</v>
      </c>
      <c r="E96" s="346" t="s">
        <v>336</v>
      </c>
      <c r="F96" s="145" t="s">
        <v>246</v>
      </c>
      <c r="G96" s="146" t="s">
        <v>120</v>
      </c>
      <c r="H96" s="140">
        <v>15</v>
      </c>
      <c r="I96" s="143">
        <v>1384</v>
      </c>
      <c r="J96" s="143">
        <v>1384</v>
      </c>
      <c r="K96" s="366">
        <f t="shared" si="5"/>
        <v>126.31</v>
      </c>
      <c r="L96" s="143">
        <f t="shared" si="6"/>
        <v>0</v>
      </c>
      <c r="M96" s="143">
        <v>0</v>
      </c>
      <c r="N96" s="143">
        <f t="shared" si="7"/>
        <v>1510.31</v>
      </c>
      <c r="O96" s="19"/>
      <c r="R96" s="51"/>
      <c r="S96" s="52"/>
    </row>
    <row r="97" spans="4:19" ht="47.25" customHeight="1" x14ac:dyDescent="0.2">
      <c r="D97" s="346" t="s">
        <v>375</v>
      </c>
      <c r="E97" s="346" t="s">
        <v>345</v>
      </c>
      <c r="F97" s="145" t="s">
        <v>247</v>
      </c>
      <c r="G97" s="146" t="s">
        <v>121</v>
      </c>
      <c r="H97" s="140">
        <v>15</v>
      </c>
      <c r="I97" s="143">
        <v>1384</v>
      </c>
      <c r="J97" s="143">
        <v>1384</v>
      </c>
      <c r="K97" s="366">
        <f t="shared" si="5"/>
        <v>126.31</v>
      </c>
      <c r="L97" s="143">
        <f t="shared" si="6"/>
        <v>0</v>
      </c>
      <c r="M97" s="143">
        <v>0</v>
      </c>
      <c r="N97" s="143">
        <f t="shared" si="7"/>
        <v>1510.31</v>
      </c>
      <c r="O97" s="19"/>
      <c r="R97" s="51"/>
      <c r="S97" s="52"/>
    </row>
    <row r="98" spans="4:19" ht="36.950000000000003" customHeight="1" x14ac:dyDescent="0.25">
      <c r="D98" s="346"/>
      <c r="E98" s="346"/>
      <c r="F98" s="139" t="s">
        <v>50</v>
      </c>
      <c r="G98" s="145"/>
      <c r="H98" s="140"/>
      <c r="I98" s="143"/>
      <c r="J98" s="143"/>
      <c r="K98" s="366"/>
      <c r="L98" s="143"/>
      <c r="M98" s="143"/>
      <c r="N98" s="143"/>
      <c r="O98" s="19"/>
      <c r="R98" s="51"/>
      <c r="S98" s="52"/>
    </row>
    <row r="99" spans="4:19" ht="36.950000000000003" customHeight="1" x14ac:dyDescent="0.2">
      <c r="D99" s="346" t="s">
        <v>376</v>
      </c>
      <c r="E99" s="346" t="s">
        <v>336</v>
      </c>
      <c r="F99" s="155" t="s">
        <v>52</v>
      </c>
      <c r="G99" s="145" t="s">
        <v>53</v>
      </c>
      <c r="H99" s="140">
        <v>15</v>
      </c>
      <c r="I99" s="143">
        <v>4137</v>
      </c>
      <c r="J99" s="143">
        <v>4137</v>
      </c>
      <c r="K99" s="366">
        <f>IFERROR(IF(ROUND((((J99/H99*30.4)-VLOOKUP((J99/H99*30.4),TARIFA,1))*VLOOKUP((J99/H99*30.4),TARIFA,3)+VLOOKUP((J99/H99*30.4),TARIFA,2)-VLOOKUP((J99/H99*30.4),SUBSIDIO,2))/30.4*H99,2)&lt;0,ROUND(-(((J99/H99*30.4)-VLOOKUP((J99/H99*30.4),TARIFA,1))*VLOOKUP((J99/H99*30.4),TARIFA,3)+VLOOKUP((J99/H99*30.4),TARIFA,2)-VLOOKUP((J99/H99*30.4),SUBSIDIO,2))/30.4*H99,2),0),0)</f>
        <v>0</v>
      </c>
      <c r="L99" s="143">
        <f t="shared" si="6"/>
        <v>314.92</v>
      </c>
      <c r="M99" s="143">
        <v>0</v>
      </c>
      <c r="N99" s="143">
        <f t="shared" si="7"/>
        <v>3822.08</v>
      </c>
      <c r="O99" s="19"/>
      <c r="R99" s="51"/>
      <c r="S99" s="52"/>
    </row>
    <row r="100" spans="4:19" ht="36.950000000000003" customHeight="1" x14ac:dyDescent="0.2">
      <c r="D100" s="346" t="s">
        <v>377</v>
      </c>
      <c r="E100" s="346" t="s">
        <v>336</v>
      </c>
      <c r="F100" s="155" t="s">
        <v>54</v>
      </c>
      <c r="G100" s="146" t="s">
        <v>55</v>
      </c>
      <c r="H100" s="154">
        <v>15</v>
      </c>
      <c r="I100" s="143">
        <v>3355</v>
      </c>
      <c r="J100" s="143">
        <v>3355</v>
      </c>
      <c r="K100" s="366">
        <f>IFERROR(IF(ROUND((((J100/H100*30.4)-VLOOKUP((J100/H100*30.4),TARIFA,1))*VLOOKUP((J100/H100*30.4),TARIFA,3)+VLOOKUP((J100/H100*30.4),TARIFA,2)-VLOOKUP((J100/H100*30.4),SUBSIDIO,2))/30.4*H100,2)&lt;0,ROUND(-(((J100/H100*30.4)-VLOOKUP((J100/H100*30.4),TARIFA,1))*VLOOKUP((J100/H100*30.4),TARIFA,3)+VLOOKUP((J100/H100*30.4),TARIFA,2)-VLOOKUP((J100/H100*30.4),SUBSIDIO,2))/30.4*H100,2),0),0)</f>
        <v>0</v>
      </c>
      <c r="L100" s="143">
        <f t="shared" si="6"/>
        <v>104.74</v>
      </c>
      <c r="M100" s="143">
        <v>0</v>
      </c>
      <c r="N100" s="143">
        <f t="shared" si="7"/>
        <v>3250.26</v>
      </c>
      <c r="O100" s="19"/>
      <c r="R100" s="51"/>
      <c r="S100" s="52"/>
    </row>
    <row r="101" spans="4:19" ht="36.950000000000003" customHeight="1" x14ac:dyDescent="0.2">
      <c r="D101" s="354"/>
      <c r="E101" s="350"/>
      <c r="F101" s="4"/>
      <c r="G101" s="4"/>
      <c r="H101" s="5"/>
      <c r="I101" s="19"/>
      <c r="J101" s="19"/>
      <c r="K101" s="369"/>
      <c r="L101" s="19"/>
      <c r="M101" s="19"/>
      <c r="N101" s="19"/>
      <c r="O101" s="19"/>
      <c r="R101" s="51"/>
      <c r="S101" s="52"/>
    </row>
    <row r="102" spans="4:19" ht="36.950000000000003" customHeight="1" x14ac:dyDescent="0.2">
      <c r="D102" s="355"/>
      <c r="E102" s="355"/>
      <c r="F102" s="20"/>
      <c r="G102" s="20"/>
      <c r="H102" s="71"/>
      <c r="I102" s="24"/>
      <c r="J102" s="25"/>
      <c r="K102" s="372"/>
      <c r="L102" s="26"/>
      <c r="M102" s="26"/>
      <c r="N102" s="26"/>
      <c r="O102" s="26"/>
    </row>
    <row r="103" spans="4:19" ht="36.950000000000003" customHeight="1" thickBot="1" x14ac:dyDescent="0.3">
      <c r="D103" s="484" t="s">
        <v>6</v>
      </c>
      <c r="E103" s="485"/>
      <c r="F103" s="485"/>
      <c r="G103" s="485"/>
      <c r="H103" s="485"/>
      <c r="I103" s="163">
        <f>I104+I81+I58+I34</f>
        <v>177451</v>
      </c>
      <c r="J103" s="163">
        <f>J104+J81+J58+J34</f>
        <v>173068</v>
      </c>
      <c r="K103" s="373">
        <f>K100+K99+K97+K96+K95+K94+K93+K92+K91+K80+K78+K77+K76+K75+K73+K72+K71+K70+K69+K68+K57+K56+K55+K53+K51+K50+K49+K48+K46+K45+K33+K31+K29+K27+K26+K25+K23+K21+K19+K17+K16+K14+K13+K12</f>
        <v>887.24999999999977</v>
      </c>
      <c r="L103" s="163">
        <f>L100+L99+L97+L96+L95+L94+L93+L92+L91+L80+L78+L77+L76+L75+L73+L72+L71+L70+L69+L68+L57+L56+L55+L53+L51+L50+L49+L48+L46+L45+L33+L31+L29+L27+L26+L25+L23+L21+L19+L17+L16+L14+L13+L12</f>
        <v>16461.61</v>
      </c>
      <c r="M103" s="163" t="e">
        <f>M100+M99+M97+M96+M95+M94+M93+M92+M91+M80+M78+M77+M76+M75+#REF!+M73+M72+M71+M70+M69+M68+M57+M56+M55+M53+M51+M50+M49+M48+M46+M45+M33+M31+M29+M27+M26+M25+M23+M21+M19+M17+M16+M14+#REF!+M13+M12</f>
        <v>#REF!</v>
      </c>
      <c r="N103" s="163">
        <f>N100+N99+N97+N96+N95+N94+N93+N92+N91+N80+N78+N77+N76+N75+N73+N72+N71+N70+N69+N68+N57+N56+N55+N53+N51+N50+N49+N48+N46+N45+N33+N31+N29+N27+N26+N25+N23+N21+N19+N17+N16+N14+N13+N12</f>
        <v>157493.63999999998</v>
      </c>
      <c r="O103" s="28"/>
      <c r="R103" s="52"/>
      <c r="S103" s="52"/>
    </row>
    <row r="104" spans="4:19" ht="13.5" thickTop="1" x14ac:dyDescent="0.2">
      <c r="I104" s="270">
        <f>I100+I99+I97+I96+I95+I94+I93+I92+I91</f>
        <v>15796</v>
      </c>
      <c r="J104" s="270">
        <f>J100+J99+J97+J96+J95+J94+J93+J92+J91</f>
        <v>15796</v>
      </c>
      <c r="K104" s="374"/>
      <c r="L104" s="269"/>
      <c r="M104" s="70"/>
      <c r="N104" s="70"/>
    </row>
    <row r="105" spans="4:19" x14ac:dyDescent="0.2">
      <c r="I105" s="269"/>
      <c r="J105" s="269"/>
      <c r="K105" s="374"/>
      <c r="L105" s="269"/>
      <c r="M105" s="70"/>
      <c r="N105" s="70"/>
    </row>
    <row r="106" spans="4:19" x14ac:dyDescent="0.2">
      <c r="I106" s="269"/>
      <c r="J106" s="269"/>
      <c r="K106" s="374"/>
      <c r="L106" s="269"/>
      <c r="M106" s="70"/>
      <c r="N106" s="70"/>
    </row>
    <row r="107" spans="4:19" x14ac:dyDescent="0.2">
      <c r="I107" s="269"/>
      <c r="J107" s="269"/>
      <c r="K107" s="374"/>
      <c r="L107" s="269"/>
      <c r="M107" s="70"/>
      <c r="N107" s="70"/>
    </row>
    <row r="108" spans="4:19" x14ac:dyDescent="0.2">
      <c r="I108" s="269"/>
      <c r="J108" s="269"/>
      <c r="K108" s="374"/>
      <c r="L108" s="269"/>
      <c r="M108" s="70"/>
      <c r="N108" s="70"/>
    </row>
    <row r="109" spans="4:19" x14ac:dyDescent="0.2">
      <c r="I109" s="29"/>
      <c r="J109" s="29"/>
      <c r="K109" s="374"/>
      <c r="L109" s="29"/>
    </row>
    <row r="110" spans="4:19" x14ac:dyDescent="0.2">
      <c r="I110" s="29"/>
      <c r="J110" s="269"/>
      <c r="K110" s="374"/>
      <c r="L110" s="29"/>
    </row>
    <row r="111" spans="4:19" x14ac:dyDescent="0.2">
      <c r="F111" s="15" t="s">
        <v>122</v>
      </c>
      <c r="I111" s="29"/>
      <c r="J111" s="29"/>
      <c r="K111" s="374"/>
      <c r="L111" s="29"/>
      <c r="N111" s="60"/>
      <c r="O111" s="60"/>
    </row>
    <row r="112" spans="4:19" x14ac:dyDescent="0.2">
      <c r="F112" s="29" t="s">
        <v>199</v>
      </c>
      <c r="N112" s="500" t="s">
        <v>197</v>
      </c>
      <c r="O112" s="500"/>
    </row>
    <row r="113" spans="6:15" x14ac:dyDescent="0.2">
      <c r="F113" s="30" t="s">
        <v>11</v>
      </c>
      <c r="G113" s="30"/>
      <c r="N113" s="501" t="s">
        <v>168</v>
      </c>
      <c r="O113" s="501"/>
    </row>
    <row r="114" spans="6:15" x14ac:dyDescent="0.2">
      <c r="L114" s="51"/>
      <c r="M114" s="51"/>
    </row>
    <row r="115" spans="6:15" x14ac:dyDescent="0.2">
      <c r="L115" s="51"/>
      <c r="M115" s="51"/>
    </row>
    <row r="116" spans="6:15" x14ac:dyDescent="0.2">
      <c r="L116" s="51"/>
      <c r="M116" s="51"/>
    </row>
    <row r="117" spans="6:15" x14ac:dyDescent="0.2">
      <c r="L117" s="51"/>
      <c r="M117" s="51"/>
    </row>
    <row r="118" spans="6:15" x14ac:dyDescent="0.2">
      <c r="F118" s="31"/>
      <c r="I118" s="29"/>
    </row>
    <row r="119" spans="6:15" x14ac:dyDescent="0.2">
      <c r="F119" s="32"/>
      <c r="G119" s="30"/>
      <c r="H119" s="30"/>
      <c r="I119" s="30"/>
      <c r="J119" s="30"/>
      <c r="K119" s="375"/>
      <c r="L119" s="30"/>
      <c r="M119" s="30"/>
      <c r="N119" s="30"/>
      <c r="O119" s="30"/>
    </row>
    <row r="124" spans="6:15" x14ac:dyDescent="0.2">
      <c r="F124" s="29"/>
      <c r="I124" s="29"/>
    </row>
    <row r="139" spans="6:15" x14ac:dyDescent="0.2">
      <c r="F139" s="29"/>
      <c r="I139" s="29"/>
    </row>
    <row r="140" spans="6:15" x14ac:dyDescent="0.2">
      <c r="F140" s="30"/>
      <c r="G140" s="30"/>
      <c r="H140" s="30"/>
      <c r="I140" s="30"/>
      <c r="J140" s="30"/>
      <c r="K140" s="375"/>
      <c r="L140" s="30"/>
      <c r="M140" s="30"/>
      <c r="N140" s="30"/>
      <c r="O140" s="30"/>
    </row>
  </sheetData>
  <sheetProtection selectLockedCells="1" selectUnlockedCells="1"/>
  <mergeCells count="27">
    <mergeCell ref="D4:O4"/>
    <mergeCell ref="D83:O83"/>
    <mergeCell ref="D84:O84"/>
    <mergeCell ref="D85:O85"/>
    <mergeCell ref="D3:O3"/>
    <mergeCell ref="D5:O5"/>
    <mergeCell ref="L7:N7"/>
    <mergeCell ref="J7:K7"/>
    <mergeCell ref="D6:O6"/>
    <mergeCell ref="D37:O37"/>
    <mergeCell ref="D38:O38"/>
    <mergeCell ref="D60:O60"/>
    <mergeCell ref="D61:O61"/>
    <mergeCell ref="D82:O82"/>
    <mergeCell ref="D62:O62"/>
    <mergeCell ref="D103:H103"/>
    <mergeCell ref="N112:O112"/>
    <mergeCell ref="N113:O113"/>
    <mergeCell ref="D35:O35"/>
    <mergeCell ref="J39:K39"/>
    <mergeCell ref="L39:N39"/>
    <mergeCell ref="D59:O59"/>
    <mergeCell ref="J63:K63"/>
    <mergeCell ref="L63:N63"/>
    <mergeCell ref="D36:O36"/>
    <mergeCell ref="J86:K86"/>
    <mergeCell ref="L86:N86"/>
  </mergeCells>
  <phoneticPr fontId="0" type="noConversion"/>
  <pageMargins left="0.39370078740157483" right="0.39370078740157483" top="0.59055118110236227" bottom="0" header="0.11811023622047245" footer="0.23622047244094491"/>
  <pageSetup scale="5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2:IG176"/>
  <sheetViews>
    <sheetView topLeftCell="D21" zoomScale="90" zoomScaleNormal="90" workbookViewId="0">
      <selection activeCell="F144" sqref="F144"/>
    </sheetView>
  </sheetViews>
  <sheetFormatPr baseColWidth="10" defaultRowHeight="12.75" x14ac:dyDescent="0.2"/>
  <cols>
    <col min="1" max="1" width="11.42578125" style="1"/>
    <col min="2" max="2" width="6.42578125" style="1" customWidth="1"/>
    <col min="3" max="3" width="5.140625" style="1" hidden="1" customWidth="1"/>
    <col min="4" max="5" width="4.5703125" style="395" customWidth="1"/>
    <col min="6" max="6" width="62.5703125" style="1" customWidth="1"/>
    <col min="7" max="7" width="66.28515625" style="1" customWidth="1"/>
    <col min="8" max="8" width="5.7109375" style="1" customWidth="1"/>
    <col min="9" max="9" width="22.7109375" style="1" customWidth="1"/>
    <col min="10" max="10" width="21.42578125" style="1" customWidth="1"/>
    <col min="11" max="11" width="16" style="54" bestFit="1" customWidth="1"/>
    <col min="12" max="12" width="15.42578125" style="54" bestFit="1" customWidth="1"/>
    <col min="13" max="13" width="19.42578125" style="1" hidden="1" customWidth="1"/>
    <col min="14" max="14" width="19.28515625" style="1" customWidth="1"/>
    <col min="15" max="15" width="83.140625" style="1" customWidth="1"/>
    <col min="16" max="17" width="11.42578125" style="1"/>
    <col min="18" max="18" width="12.140625" style="1" bestFit="1" customWidth="1"/>
    <col min="19" max="16384" width="11.42578125" style="1"/>
  </cols>
  <sheetData>
    <row r="2" spans="4:19" x14ac:dyDescent="0.2">
      <c r="D2" s="380"/>
      <c r="E2" s="380"/>
      <c r="F2" s="12"/>
      <c r="G2" s="12"/>
      <c r="H2" s="12"/>
      <c r="I2" s="12"/>
      <c r="J2" s="12"/>
      <c r="K2" s="408"/>
      <c r="L2" s="408"/>
      <c r="M2" s="12"/>
      <c r="N2" s="12"/>
      <c r="O2" s="12"/>
    </row>
    <row r="3" spans="4:19" ht="35.1" customHeight="1" x14ac:dyDescent="0.3">
      <c r="D3" s="511" t="s">
        <v>281</v>
      </c>
      <c r="E3" s="512"/>
      <c r="F3" s="512"/>
      <c r="G3" s="512"/>
      <c r="H3" s="512"/>
      <c r="I3" s="512"/>
      <c r="J3" s="512"/>
      <c r="K3" s="512"/>
      <c r="L3" s="512"/>
      <c r="M3" s="512"/>
      <c r="N3" s="512"/>
      <c r="O3" s="513"/>
    </row>
    <row r="4" spans="4:19" ht="35.1" customHeight="1" x14ac:dyDescent="0.3">
      <c r="D4" s="525" t="s">
        <v>171</v>
      </c>
      <c r="E4" s="509"/>
      <c r="F4" s="509"/>
      <c r="G4" s="509"/>
      <c r="H4" s="509"/>
      <c r="I4" s="509"/>
      <c r="J4" s="509"/>
      <c r="K4" s="509"/>
      <c r="L4" s="509"/>
      <c r="M4" s="509"/>
      <c r="N4" s="509"/>
      <c r="O4" s="526"/>
    </row>
    <row r="5" spans="4:19" ht="35.1" customHeight="1" x14ac:dyDescent="0.3">
      <c r="D5" s="514" t="str">
        <f>PERMANENTES!D37</f>
        <v>NOMINA 2DA QUINCENA DE ENERO DE 2021</v>
      </c>
      <c r="E5" s="510"/>
      <c r="F5" s="510"/>
      <c r="G5" s="510"/>
      <c r="H5" s="510"/>
      <c r="I5" s="510"/>
      <c r="J5" s="510"/>
      <c r="K5" s="510"/>
      <c r="L5" s="510"/>
      <c r="M5" s="510"/>
      <c r="N5" s="510"/>
      <c r="O5" s="515"/>
    </row>
    <row r="6" spans="4:19" ht="35.1" customHeight="1" x14ac:dyDescent="0.3">
      <c r="D6" s="519" t="s">
        <v>158</v>
      </c>
      <c r="E6" s="520"/>
      <c r="F6" s="520"/>
      <c r="G6" s="520"/>
      <c r="H6" s="520"/>
      <c r="I6" s="520"/>
      <c r="J6" s="520"/>
      <c r="K6" s="520"/>
      <c r="L6" s="520"/>
      <c r="M6" s="520"/>
      <c r="N6" s="520"/>
      <c r="O6" s="521"/>
    </row>
    <row r="7" spans="4:19" ht="35.1" customHeight="1" x14ac:dyDescent="0.2">
      <c r="D7" s="522" t="s">
        <v>378</v>
      </c>
      <c r="E7" s="396" t="s">
        <v>324</v>
      </c>
      <c r="F7" s="106"/>
      <c r="G7" s="105"/>
      <c r="H7" s="111" t="s">
        <v>4</v>
      </c>
      <c r="I7" s="516" t="s">
        <v>0</v>
      </c>
      <c r="J7" s="517"/>
      <c r="K7" s="518"/>
      <c r="L7" s="409"/>
      <c r="M7" s="108"/>
      <c r="N7" s="107"/>
      <c r="O7" s="109"/>
    </row>
    <row r="8" spans="4:19" ht="35.1" customHeight="1" x14ac:dyDescent="0.2">
      <c r="D8" s="523"/>
      <c r="E8" s="397" t="s">
        <v>325</v>
      </c>
      <c r="F8" s="109"/>
      <c r="G8" s="109"/>
      <c r="H8" s="110" t="s">
        <v>5</v>
      </c>
      <c r="I8" s="111" t="s">
        <v>1</v>
      </c>
      <c r="J8" s="111" t="s">
        <v>157</v>
      </c>
      <c r="K8" s="410" t="s">
        <v>161</v>
      </c>
      <c r="L8" s="410"/>
      <c r="M8" s="107" t="s">
        <v>176</v>
      </c>
      <c r="N8" s="107" t="s">
        <v>160</v>
      </c>
      <c r="O8" s="112"/>
    </row>
    <row r="9" spans="4:19" ht="35.1" customHeight="1" x14ac:dyDescent="0.25">
      <c r="D9" s="523"/>
      <c r="E9" s="397"/>
      <c r="F9" s="113"/>
      <c r="G9" s="114" t="s">
        <v>10</v>
      </c>
      <c r="H9" s="107"/>
      <c r="I9" s="107" t="s">
        <v>7</v>
      </c>
      <c r="J9" s="107" t="s">
        <v>160</v>
      </c>
      <c r="K9" s="110" t="s">
        <v>162</v>
      </c>
      <c r="L9" s="110" t="s">
        <v>163</v>
      </c>
      <c r="M9" s="107" t="s">
        <v>178</v>
      </c>
      <c r="N9" s="107" t="s">
        <v>166</v>
      </c>
      <c r="O9" s="111" t="s">
        <v>169</v>
      </c>
    </row>
    <row r="10" spans="4:19" ht="35.1" customHeight="1" x14ac:dyDescent="0.25">
      <c r="D10" s="524"/>
      <c r="E10" s="398"/>
      <c r="F10" s="113" t="s">
        <v>77</v>
      </c>
      <c r="G10" s="113" t="s">
        <v>9</v>
      </c>
      <c r="H10" s="111"/>
      <c r="I10" s="111"/>
      <c r="J10" s="111"/>
      <c r="K10" s="410"/>
      <c r="L10" s="411"/>
      <c r="M10" s="115"/>
      <c r="N10" s="111"/>
      <c r="O10" s="111"/>
    </row>
    <row r="11" spans="4:19" s="9" customFormat="1" ht="35.1" customHeight="1" x14ac:dyDescent="0.3">
      <c r="D11" s="381"/>
      <c r="E11" s="399"/>
      <c r="F11" s="192" t="s">
        <v>20</v>
      </c>
      <c r="G11" s="193"/>
      <c r="H11" s="194"/>
      <c r="I11" s="195"/>
      <c r="J11" s="195"/>
      <c r="K11" s="412"/>
      <c r="L11" s="413"/>
      <c r="M11" s="196"/>
      <c r="N11" s="195"/>
      <c r="O11" s="44"/>
    </row>
    <row r="12" spans="4:19" ht="35.1" customHeight="1" x14ac:dyDescent="0.3">
      <c r="D12" s="382" t="s">
        <v>379</v>
      </c>
      <c r="E12" s="384" t="s">
        <v>336</v>
      </c>
      <c r="F12" s="197" t="s">
        <v>100</v>
      </c>
      <c r="G12" s="198" t="s">
        <v>84</v>
      </c>
      <c r="H12" s="199">
        <v>15</v>
      </c>
      <c r="I12" s="200">
        <v>1980</v>
      </c>
      <c r="J12" s="201">
        <f>I12</f>
        <v>1980</v>
      </c>
      <c r="K12" s="200">
        <f>IFERROR(IF(ROUND((((J12/H12*30.4)-VLOOKUP((J12/H12*30.4),TARIFA,1))*VLOOKUP((J12/H12*30.4),TARIFA,3)+VLOOKUP((J12/H12*30.4),TARIFA,2)-VLOOKUP((J12/H12*30.4),SUBSIDIO,2))/30.4*H12,2)&lt;0,ROUND(-(((J12/H12*30.4)-VLOOKUP((J12/H12*30.4),TARIFA,1))*VLOOKUP((J12/H12*30.4),TARIFA,3)+VLOOKUP((J12/H12*30.4),TARIFA,2)-VLOOKUP((J12/H12*30.4),SUBSIDIO,2))/30.4*H12,2),0),0)</f>
        <v>76.239999999999995</v>
      </c>
      <c r="L12" s="200">
        <f>IFERROR(IF(ROUND((((J12/H12*30.4)-VLOOKUP((J12/H12*30.4),TARIFA,1))*VLOOKUP((J12/H12*30.4),TARIFA,3)+VLOOKUP((J12/H12*30.4),TARIFA,2)-VLOOKUP((J12/H12*30.4),SUBSIDIO,2))/30.4*H12,2)&gt;0,ROUND((((J12/H12*30.4)-VLOOKUP((J12/H12*30.4),TARIFA,1))*VLOOKUP((J12/H12*30.4),TARIFA,3)+VLOOKUP((J12/H12*30.4),TARIFA,2)-VLOOKUP((J12/H12*30.4),SUBSIDIO,2))/30.4*H12,2),0),0)</f>
        <v>0</v>
      </c>
      <c r="M12" s="201">
        <v>0</v>
      </c>
      <c r="N12" s="201">
        <f>J12+K12-L12-M12</f>
        <v>2056.2399999999998</v>
      </c>
      <c r="O12" s="19"/>
      <c r="R12" s="54"/>
      <c r="S12" s="56"/>
    </row>
    <row r="13" spans="4:19" ht="35.1" customHeight="1" x14ac:dyDescent="0.3">
      <c r="D13" s="382" t="s">
        <v>380</v>
      </c>
      <c r="E13" s="384" t="s">
        <v>345</v>
      </c>
      <c r="F13" s="197" t="s">
        <v>250</v>
      </c>
      <c r="G13" s="198" t="s">
        <v>18</v>
      </c>
      <c r="H13" s="199">
        <v>15</v>
      </c>
      <c r="I13" s="200">
        <v>2400</v>
      </c>
      <c r="J13" s="201">
        <v>2400</v>
      </c>
      <c r="K13" s="200">
        <f>IFERROR(IF(ROUND((((J13/H13*30.4)-VLOOKUP((J13/H13*30.4),TARIFA,1))*VLOOKUP((J13/H13*30.4),TARIFA,3)+VLOOKUP((J13/H13*30.4),TARIFA,2)-VLOOKUP((J13/H13*30.4),SUBSIDIO,2))/30.4*H13,2)&lt;0,ROUND(-(((J13/H13*30.4)-VLOOKUP((J13/H13*30.4),TARIFA,1))*VLOOKUP((J13/H13*30.4),TARIFA,3)+VLOOKUP((J13/H13*30.4),TARIFA,2)-VLOOKUP((J13/H13*30.4),SUBSIDIO,2))/30.4*H13,2),0),0)</f>
        <v>20.94</v>
      </c>
      <c r="L13" s="200">
        <f>IFERROR(IF(ROUND((((J13/H13*30.4)-VLOOKUP((J13/H13*30.4),TARIFA,1))*VLOOKUP((J13/H13*30.4),TARIFA,3)+VLOOKUP((J13/H13*30.4),TARIFA,2)-VLOOKUP((J13/H13*30.4),SUBSIDIO,2))/30.4*H13,2)&gt;0,ROUND((((J13/H13*30.4)-VLOOKUP((J13/H13*30.4),TARIFA,1))*VLOOKUP((J13/H13*30.4),TARIFA,3)+VLOOKUP((J13/H13*30.4),TARIFA,2)-VLOOKUP((J13/H13*30.4),SUBSIDIO,2))/30.4*H13,2),0),0)</f>
        <v>0</v>
      </c>
      <c r="M13" s="201"/>
      <c r="N13" s="201">
        <f>J13+K13-L13-M13</f>
        <v>2420.94</v>
      </c>
      <c r="O13" s="19"/>
      <c r="R13" s="54"/>
      <c r="S13" s="56"/>
    </row>
    <row r="14" spans="4:19" ht="35.1" customHeight="1" x14ac:dyDescent="0.3">
      <c r="D14" s="382" t="s">
        <v>381</v>
      </c>
      <c r="E14" s="384" t="s">
        <v>336</v>
      </c>
      <c r="F14" s="202" t="s">
        <v>203</v>
      </c>
      <c r="G14" s="203" t="s">
        <v>83</v>
      </c>
      <c r="H14" s="204">
        <v>15</v>
      </c>
      <c r="I14" s="201">
        <v>2321</v>
      </c>
      <c r="J14" s="201">
        <v>2321</v>
      </c>
      <c r="K14" s="200">
        <f>IFERROR(IF(ROUND((((J14/H14*30.4)-VLOOKUP((J14/H14*30.4),TARIFA,1))*VLOOKUP((J14/H14*30.4),TARIFA,3)+VLOOKUP((J14/H14*30.4),TARIFA,2)-VLOOKUP((J14/H14*30.4),SUBSIDIO,2))/30.4*H14,2)&lt;0,ROUND(-(((J14/H14*30.4)-VLOOKUP((J14/H14*30.4),TARIFA,1))*VLOOKUP((J14/H14*30.4),TARIFA,3)+VLOOKUP((J14/H14*30.4),TARIFA,2)-VLOOKUP((J14/H14*30.4),SUBSIDIO,2))/30.4*H14,2),0),0)</f>
        <v>40.49</v>
      </c>
      <c r="L14" s="200">
        <f>IFERROR(IF(ROUND((((J14/H14*30.4)-VLOOKUP((J14/H14*30.4),TARIFA,1))*VLOOKUP((J14/H14*30.4),TARIFA,3)+VLOOKUP((J14/H14*30.4),TARIFA,2)-VLOOKUP((J14/H14*30.4),SUBSIDIO,2))/30.4*H14,2)&gt;0,ROUND((((J14/H14*30.4)-VLOOKUP((J14/H14*30.4),TARIFA,1))*VLOOKUP((J14/H14*30.4),TARIFA,3)+VLOOKUP((J14/H14*30.4),TARIFA,2)-VLOOKUP((J14/H14*30.4),SUBSIDIO,2))/30.4*H14,2),0),0)</f>
        <v>0</v>
      </c>
      <c r="M14" s="201">
        <v>0</v>
      </c>
      <c r="N14" s="201">
        <f>J14+K14</f>
        <v>2361.4899999999998</v>
      </c>
      <c r="O14" s="19"/>
      <c r="R14" s="54"/>
      <c r="S14" s="56"/>
    </row>
    <row r="15" spans="4:19" ht="35.1" customHeight="1" x14ac:dyDescent="0.3">
      <c r="D15" s="382"/>
      <c r="E15" s="384"/>
      <c r="F15" s="205" t="s">
        <v>234</v>
      </c>
      <c r="G15" s="198"/>
      <c r="H15" s="199"/>
      <c r="I15" s="206"/>
      <c r="J15" s="201"/>
      <c r="K15" s="200"/>
      <c r="L15" s="200"/>
      <c r="M15" s="201"/>
      <c r="N15" s="201"/>
      <c r="O15" s="19"/>
      <c r="R15" s="54"/>
      <c r="S15" s="56"/>
    </row>
    <row r="16" spans="4:19" ht="34.5" customHeight="1" x14ac:dyDescent="0.3">
      <c r="D16" s="382" t="s">
        <v>382</v>
      </c>
      <c r="E16" s="384" t="s">
        <v>336</v>
      </c>
      <c r="F16" s="197" t="s">
        <v>204</v>
      </c>
      <c r="G16" s="198" t="s">
        <v>147</v>
      </c>
      <c r="H16" s="199">
        <v>15</v>
      </c>
      <c r="I16" s="206">
        <v>7720</v>
      </c>
      <c r="J16" s="201">
        <v>7720</v>
      </c>
      <c r="K16" s="200">
        <f>IFERROR(IF(ROUND((((J16/H16*30.4)-VLOOKUP((J16/H16*30.4),TARIFA,1))*VLOOKUP((J16/H16*30.4),TARIFA,3)+VLOOKUP((J16/H16*30.4),TARIFA,2)-VLOOKUP((J16/H16*30.4),SUBSIDIO,2))/30.4*H16,2)&lt;0,ROUND(-(((J16/H16*30.4)-VLOOKUP((J16/H16*30.4),TARIFA,1))*VLOOKUP((J16/H16*30.4),TARIFA,3)+VLOOKUP((J16/H16*30.4),TARIFA,2)-VLOOKUP((J16/H16*30.4),SUBSIDIO,2))/30.4*H16,2),0),0)</f>
        <v>0</v>
      </c>
      <c r="L16" s="200">
        <f>IFERROR(IF(ROUND((((J16/H16*30.4)-VLOOKUP((J16/H16*30.4),TARIFA,1))*VLOOKUP((J16/H16*30.4),TARIFA,3)+VLOOKUP((J16/H16*30.4),TARIFA,2)-VLOOKUP((J16/H16*30.4),SUBSIDIO,2))/30.4*H16,2)&gt;0,ROUND((((J16/H16*30.4)-VLOOKUP((J16/H16*30.4),TARIFA,1))*VLOOKUP((J16/H16*30.4),TARIFA,3)+VLOOKUP((J16/H16*30.4),TARIFA,2)-VLOOKUP((J16/H16*30.4),SUBSIDIO,2))/30.4*H16,2),0),0)</f>
        <v>937.89</v>
      </c>
      <c r="M16" s="201">
        <v>0</v>
      </c>
      <c r="N16" s="201">
        <f>J16+K16-L16-M16</f>
        <v>6782.11</v>
      </c>
      <c r="O16" s="19"/>
      <c r="R16" s="54"/>
      <c r="S16" s="56"/>
    </row>
    <row r="17" spans="4:19" ht="34.5" hidden="1" customHeight="1" x14ac:dyDescent="0.3">
      <c r="D17" s="382"/>
      <c r="E17" s="384"/>
      <c r="F17" s="205"/>
      <c r="G17" s="198"/>
      <c r="H17" s="199"/>
      <c r="I17" s="206"/>
      <c r="J17" s="201"/>
      <c r="K17" s="200"/>
      <c r="L17" s="200"/>
      <c r="M17" s="201"/>
      <c r="N17" s="201"/>
      <c r="O17" s="19"/>
      <c r="R17" s="54"/>
      <c r="S17" s="56"/>
    </row>
    <row r="18" spans="4:19" ht="35.1" customHeight="1" x14ac:dyDescent="0.3">
      <c r="D18" s="382"/>
      <c r="E18" s="384"/>
      <c r="F18" s="205" t="s">
        <v>139</v>
      </c>
      <c r="G18" s="198" t="s">
        <v>233</v>
      </c>
      <c r="H18" s="199"/>
      <c r="I18" s="206"/>
      <c r="J18" s="201"/>
      <c r="K18" s="200"/>
      <c r="L18" s="200"/>
      <c r="M18" s="201"/>
      <c r="N18" s="201"/>
      <c r="O18" s="19"/>
      <c r="R18" s="54"/>
      <c r="S18" s="56"/>
    </row>
    <row r="19" spans="4:19" ht="35.1" customHeight="1" x14ac:dyDescent="0.3">
      <c r="D19" s="382" t="s">
        <v>383</v>
      </c>
      <c r="E19" s="384" t="s">
        <v>336</v>
      </c>
      <c r="F19" s="202" t="s">
        <v>249</v>
      </c>
      <c r="G19" s="198" t="s">
        <v>140</v>
      </c>
      <c r="H19" s="199">
        <v>15</v>
      </c>
      <c r="I19" s="206">
        <v>4901</v>
      </c>
      <c r="J19" s="206">
        <v>4901</v>
      </c>
      <c r="K19" s="200">
        <f>IFERROR(IF(ROUND((((J19/H19*30.4)-VLOOKUP((J19/H19*30.4),TARIFA,1))*VLOOKUP((J19/H19*30.4),TARIFA,3)+VLOOKUP((J19/H19*30.4),TARIFA,2)-VLOOKUP((J19/H19*30.4),SUBSIDIO,2))/30.4*H19,2)&lt;0,ROUND(-(((J19/H19*30.4)-VLOOKUP((J19/H19*30.4),TARIFA,1))*VLOOKUP((J19/H19*30.4),TARIFA,3)+VLOOKUP((J19/H19*30.4),TARIFA,2)-VLOOKUP((J19/H19*30.4),SUBSIDIO,2))/30.4*H19,2),0),0)</f>
        <v>0</v>
      </c>
      <c r="L19" s="200">
        <f>IFERROR(IF(ROUND((((J19/H19*30.4)-VLOOKUP((J19/H19*30.4),TARIFA,1))*VLOOKUP((J19/H19*30.4),TARIFA,3)+VLOOKUP((J19/H19*30.4),TARIFA,2)-VLOOKUP((J19/H19*30.4),SUBSIDIO,2))/30.4*H19,2)&gt;0,ROUND((((J19/H19*30.4)-VLOOKUP((J19/H19*30.4),TARIFA,1))*VLOOKUP((J19/H19*30.4),TARIFA,3)+VLOOKUP((J19/H19*30.4),TARIFA,2)-VLOOKUP((J19/H19*30.4),SUBSIDIO,2))/30.4*H19,2),0),0)</f>
        <v>406.08</v>
      </c>
      <c r="M19" s="206">
        <v>0</v>
      </c>
      <c r="N19" s="206">
        <f>J19+K19-L19-M19</f>
        <v>4494.92</v>
      </c>
      <c r="O19" s="19"/>
      <c r="R19" s="54"/>
      <c r="S19" s="56"/>
    </row>
    <row r="20" spans="4:19" ht="35.1" customHeight="1" x14ac:dyDescent="0.3">
      <c r="D20" s="383" t="s">
        <v>384</v>
      </c>
      <c r="E20" s="400" t="s">
        <v>336</v>
      </c>
      <c r="F20" s="202" t="s">
        <v>205</v>
      </c>
      <c r="G20" s="244" t="s">
        <v>206</v>
      </c>
      <c r="H20" s="204">
        <v>15</v>
      </c>
      <c r="I20" s="206">
        <v>2983</v>
      </c>
      <c r="J20" s="206">
        <v>2983</v>
      </c>
      <c r="K20" s="200">
        <f>IFERROR(IF(ROUND((((J20/H20*30.4)-VLOOKUP((J20/H20*30.4),TARIFA,1))*VLOOKUP((J20/H20*30.4),TARIFA,3)+VLOOKUP((J20/H20*30.4),TARIFA,2)-VLOOKUP((J20/H20*30.4),SUBSIDIO,2))/30.4*H20,2)&lt;0,ROUND(-(((J20/H20*30.4)-VLOOKUP((J20/H20*30.4),TARIFA,1))*VLOOKUP((J20/H20*30.4),TARIFA,3)+VLOOKUP((J20/H20*30.4),TARIFA,2)-VLOOKUP((J20/H20*30.4),SUBSIDIO,2))/30.4*H20,2),0),0)</f>
        <v>0</v>
      </c>
      <c r="L20" s="200">
        <f>IFERROR(IF(ROUND((((J20/H20*30.4)-VLOOKUP((J20/H20*30.4),TARIFA,1))*VLOOKUP((J20/H20*30.4),TARIFA,3)+VLOOKUP((J20/H20*30.4),TARIFA,2)-VLOOKUP((J20/H20*30.4),SUBSIDIO,2))/30.4*H20,2)&gt;0,ROUND((((J20/H20*30.4)-VLOOKUP((J20/H20*30.4),TARIFA,1))*VLOOKUP((J20/H20*30.4),TARIFA,3)+VLOOKUP((J20/H20*30.4),TARIFA,2)-VLOOKUP((J20/H20*30.4),SUBSIDIO,2))/30.4*H20,2),0),0)</f>
        <v>43.99</v>
      </c>
      <c r="M20" s="206"/>
      <c r="N20" s="206">
        <f>J20+K20-L20-M20</f>
        <v>2939.01</v>
      </c>
      <c r="O20" s="19"/>
      <c r="R20" s="54"/>
      <c r="S20" s="56"/>
    </row>
    <row r="21" spans="4:19" ht="35.1" customHeight="1" x14ac:dyDescent="0.3">
      <c r="D21" s="382"/>
      <c r="E21" s="384"/>
      <c r="F21" s="205" t="s">
        <v>125</v>
      </c>
      <c r="G21" s="198"/>
      <c r="H21" s="199"/>
      <c r="I21" s="206"/>
      <c r="J21" s="201"/>
      <c r="K21" s="200"/>
      <c r="L21" s="200"/>
      <c r="M21" s="201"/>
      <c r="N21" s="201"/>
      <c r="O21" s="19"/>
      <c r="R21" s="54"/>
      <c r="S21" s="56"/>
    </row>
    <row r="22" spans="4:19" ht="3" hidden="1" customHeight="1" x14ac:dyDescent="0.3">
      <c r="D22" s="382"/>
      <c r="E22" s="384"/>
      <c r="F22" s="197"/>
      <c r="G22" s="198"/>
      <c r="H22" s="199"/>
      <c r="I22" s="206"/>
      <c r="J22" s="201"/>
      <c r="K22" s="200"/>
      <c r="L22" s="200"/>
      <c r="M22" s="201"/>
      <c r="N22" s="201"/>
      <c r="O22" s="19"/>
      <c r="R22" s="54"/>
      <c r="S22" s="56"/>
    </row>
    <row r="23" spans="4:19" ht="0.75" hidden="1" customHeight="1" x14ac:dyDescent="0.3">
      <c r="D23" s="382"/>
      <c r="E23" s="384"/>
      <c r="F23" s="197"/>
      <c r="G23" s="198"/>
      <c r="H23" s="199"/>
      <c r="I23" s="206">
        <v>0</v>
      </c>
      <c r="J23" s="201">
        <v>0</v>
      </c>
      <c r="K23" s="200"/>
      <c r="L23" s="200">
        <v>0</v>
      </c>
      <c r="M23" s="201"/>
      <c r="N23" s="201">
        <f>J23-L23</f>
        <v>0</v>
      </c>
      <c r="O23" s="19"/>
      <c r="R23" s="54"/>
      <c r="S23" s="56"/>
    </row>
    <row r="24" spans="4:19" ht="35.1" customHeight="1" x14ac:dyDescent="0.3">
      <c r="D24" s="382" t="s">
        <v>385</v>
      </c>
      <c r="E24" s="384" t="s">
        <v>336</v>
      </c>
      <c r="F24" s="202" t="s">
        <v>237</v>
      </c>
      <c r="G24" s="198" t="s">
        <v>238</v>
      </c>
      <c r="H24" s="199">
        <v>15</v>
      </c>
      <c r="I24" s="201">
        <v>3183</v>
      </c>
      <c r="J24" s="201">
        <v>3183</v>
      </c>
      <c r="K24" s="200">
        <f>IFERROR(IF(ROUND((((J24/H24*30.4)-VLOOKUP((J24/H24*30.4),TARIFA,1))*VLOOKUP((J24/H24*30.4),TARIFA,3)+VLOOKUP((J24/H24*30.4),TARIFA,2)-VLOOKUP((J24/H24*30.4),SUBSIDIO,2))/30.4*H24,2)&lt;0,ROUND(-(((J24/H24*30.4)-VLOOKUP((J24/H24*30.4),TARIFA,1))*VLOOKUP((J24/H24*30.4),TARIFA,3)+VLOOKUP((J24/H24*30.4),TARIFA,2)-VLOOKUP((J24/H24*30.4),SUBSIDIO,2))/30.4*H24,2),0),0)</f>
        <v>0</v>
      </c>
      <c r="L24" s="200">
        <f>IFERROR(IF(ROUND((((J24/H24*30.4)-VLOOKUP((J24/H24*30.4),TARIFA,1))*VLOOKUP((J24/H24*30.4),TARIFA,3)+VLOOKUP((J24/H24*30.4),TARIFA,2)-VLOOKUP((J24/H24*30.4),SUBSIDIO,2))/30.4*H24,2)&gt;0,ROUND((((J24/H24*30.4)-VLOOKUP((J24/H24*30.4),TARIFA,1))*VLOOKUP((J24/H24*30.4),TARIFA,3)+VLOOKUP((J24/H24*30.4),TARIFA,2)-VLOOKUP((J24/H24*30.4),SUBSIDIO,2))/30.4*H24,2),0),0)</f>
        <v>86.02</v>
      </c>
      <c r="M24" s="201"/>
      <c r="N24" s="206">
        <f>J24+K24-L24-M24</f>
        <v>3096.98</v>
      </c>
      <c r="O24" s="19"/>
      <c r="R24" s="54"/>
      <c r="S24" s="56"/>
    </row>
    <row r="25" spans="4:19" ht="35.1" customHeight="1" x14ac:dyDescent="0.3">
      <c r="D25" s="382" t="s">
        <v>386</v>
      </c>
      <c r="E25" s="384" t="s">
        <v>336</v>
      </c>
      <c r="F25" s="202" t="s">
        <v>255</v>
      </c>
      <c r="G25" s="198" t="s">
        <v>72</v>
      </c>
      <c r="H25" s="199">
        <v>15</v>
      </c>
      <c r="I25" s="201">
        <v>2983</v>
      </c>
      <c r="J25" s="201">
        <v>2983</v>
      </c>
      <c r="K25" s="200">
        <f>IFERROR(IF(ROUND((((J25/H25*30.4)-VLOOKUP((J25/H25*30.4),TARIFA,1))*VLOOKUP((J25/H25*30.4),TARIFA,3)+VLOOKUP((J25/H25*30.4),TARIFA,2)-VLOOKUP((J25/H25*30.4),SUBSIDIO,2))/30.4*H25,2)&lt;0,ROUND(-(((J25/H25*30.4)-VLOOKUP((J25/H25*30.4),TARIFA,1))*VLOOKUP((J25/H25*30.4),TARIFA,3)+VLOOKUP((J25/H25*30.4),TARIFA,2)-VLOOKUP((J25/H25*30.4),SUBSIDIO,2))/30.4*H25,2),0),0)</f>
        <v>0</v>
      </c>
      <c r="L25" s="200">
        <f>IFERROR(IF(ROUND((((J25/H25*30.4)-VLOOKUP((J25/H25*30.4),TARIFA,1))*VLOOKUP((J25/H25*30.4),TARIFA,3)+VLOOKUP((J25/H25*30.4),TARIFA,2)-VLOOKUP((J25/H25*30.4),SUBSIDIO,2))/30.4*H25,2)&gt;0,ROUND((((J25/H25*30.4)-VLOOKUP((J25/H25*30.4),TARIFA,1))*VLOOKUP((J25/H25*30.4),TARIFA,3)+VLOOKUP((J25/H25*30.4),TARIFA,2)-VLOOKUP((J25/H25*30.4),SUBSIDIO,2))/30.4*H25,2),0),0)</f>
        <v>43.99</v>
      </c>
      <c r="M25" s="201"/>
      <c r="N25" s="206">
        <f>J25+K25-L25-M25</f>
        <v>2939.01</v>
      </c>
      <c r="O25" s="19"/>
      <c r="R25" s="54"/>
      <c r="S25" s="56"/>
    </row>
    <row r="26" spans="4:19" ht="35.1" customHeight="1" x14ac:dyDescent="0.3">
      <c r="D26" s="382"/>
      <c r="E26" s="384"/>
      <c r="F26" s="205" t="s">
        <v>102</v>
      </c>
      <c r="G26" s="198"/>
      <c r="H26" s="199"/>
      <c r="I26" s="206"/>
      <c r="J26" s="201"/>
      <c r="K26" s="200"/>
      <c r="L26" s="200"/>
      <c r="M26" s="201"/>
      <c r="N26" s="201"/>
      <c r="O26" s="19"/>
      <c r="R26" s="54"/>
      <c r="S26" s="56"/>
    </row>
    <row r="27" spans="4:19" ht="35.1" customHeight="1" x14ac:dyDescent="0.3">
      <c r="D27" s="382" t="s">
        <v>387</v>
      </c>
      <c r="E27" s="384" t="s">
        <v>336</v>
      </c>
      <c r="F27" s="197" t="s">
        <v>180</v>
      </c>
      <c r="G27" s="198" t="s">
        <v>225</v>
      </c>
      <c r="H27" s="199">
        <v>15</v>
      </c>
      <c r="I27" s="206">
        <v>3557</v>
      </c>
      <c r="J27" s="201">
        <v>3557</v>
      </c>
      <c r="K27" s="200">
        <f>IFERROR(IF(ROUND((((J27/H27*30.4)-VLOOKUP((J27/H27*30.4),TARIFA,1))*VLOOKUP((J27/H27*30.4),TARIFA,3)+VLOOKUP((J27/H27*30.4),TARIFA,2)-VLOOKUP((J27/H27*30.4),SUBSIDIO,2))/30.4*H27,2)&lt;0,ROUND(-(((J27/H27*30.4)-VLOOKUP((J27/H27*30.4),TARIFA,1))*VLOOKUP((J27/H27*30.4),TARIFA,3)+VLOOKUP((J27/H27*30.4),TARIFA,2)-VLOOKUP((J27/H27*30.4),SUBSIDIO,2))/30.4*H27,2),0),0)</f>
        <v>0</v>
      </c>
      <c r="L27" s="200">
        <f>IFERROR(IF(ROUND((((J27/H27*30.4)-VLOOKUP((J27/H27*30.4),TARIFA,1))*VLOOKUP((J27/H27*30.4),TARIFA,3)+VLOOKUP((J27/H27*30.4),TARIFA,2)-VLOOKUP((J27/H27*30.4),SUBSIDIO,2))/30.4*H27,2)&gt;0,ROUND((((J27/H27*30.4)-VLOOKUP((J27/H27*30.4),TARIFA,1))*VLOOKUP((J27/H27*30.4),TARIFA,3)+VLOOKUP((J27/H27*30.4),TARIFA,2)-VLOOKUP((J27/H27*30.4),SUBSIDIO,2))/30.4*H27,2),0),0)</f>
        <v>144.44</v>
      </c>
      <c r="M27" s="201">
        <v>0</v>
      </c>
      <c r="N27" s="201">
        <f>J27+K27-L27-M27</f>
        <v>3412.56</v>
      </c>
      <c r="O27" s="19"/>
      <c r="R27" s="54"/>
      <c r="S27" s="56"/>
    </row>
    <row r="28" spans="4:19" ht="34.5" hidden="1" customHeight="1" x14ac:dyDescent="0.3">
      <c r="D28" s="384"/>
      <c r="E28" s="401"/>
      <c r="F28" s="231"/>
      <c r="G28" s="198"/>
      <c r="H28" s="199"/>
      <c r="I28" s="206"/>
      <c r="J28" s="206"/>
      <c r="K28" s="206"/>
      <c r="L28" s="206"/>
      <c r="M28" s="206"/>
      <c r="N28" s="206"/>
      <c r="O28" s="19"/>
      <c r="R28" s="54"/>
      <c r="S28" s="56"/>
    </row>
    <row r="29" spans="4:19" ht="35.1" customHeight="1" x14ac:dyDescent="0.3">
      <c r="D29" s="384"/>
      <c r="E29" s="401"/>
      <c r="F29" s="207" t="s">
        <v>207</v>
      </c>
      <c r="G29" s="198"/>
      <c r="H29" s="199"/>
      <c r="I29" s="206"/>
      <c r="J29" s="201"/>
      <c r="K29" s="200"/>
      <c r="L29" s="200"/>
      <c r="M29" s="201"/>
      <c r="N29" s="201"/>
      <c r="O29" s="19"/>
      <c r="R29" s="54"/>
      <c r="S29" s="56"/>
    </row>
    <row r="30" spans="4:19" ht="35.1" customHeight="1" x14ac:dyDescent="0.3">
      <c r="D30" s="384" t="s">
        <v>388</v>
      </c>
      <c r="E30" s="401" t="s">
        <v>336</v>
      </c>
      <c r="F30" s="208" t="s">
        <v>209</v>
      </c>
      <c r="G30" s="209" t="s">
        <v>208</v>
      </c>
      <c r="H30" s="199">
        <v>15</v>
      </c>
      <c r="I30" s="206">
        <v>3915</v>
      </c>
      <c r="J30" s="201">
        <v>3915</v>
      </c>
      <c r="K30" s="200">
        <f>IFERROR(IF(ROUND((((J30/H30*30.4)-VLOOKUP((J30/H30*30.4),TARIFA,1))*VLOOKUP((J30/H30*30.4),TARIFA,3)+VLOOKUP((J30/H30*30.4),TARIFA,2)-VLOOKUP((J30/H30*30.4),SUBSIDIO,2))/30.4*H30,2)&lt;0,ROUND(-(((J30/H30*30.4)-VLOOKUP((J30/H30*30.4),TARIFA,1))*VLOOKUP((J30/H30*30.4),TARIFA,3)+VLOOKUP((J30/H30*30.4),TARIFA,2)-VLOOKUP((J30/H30*30.4),SUBSIDIO,2))/30.4*H30,2),0),0)</f>
        <v>0</v>
      </c>
      <c r="L30" s="200">
        <f>IFERROR(IF(ROUND((((J30/H30*30.4)-VLOOKUP((J30/H30*30.4),TARIFA,1))*VLOOKUP((J30/H30*30.4),TARIFA,3)+VLOOKUP((J30/H30*30.4),TARIFA,2)-VLOOKUP((J30/H30*30.4),SUBSIDIO,2))/30.4*H30,2)&gt;0,ROUND((((J30/H30*30.4)-VLOOKUP((J30/H30*30.4),TARIFA,1))*VLOOKUP((J30/H30*30.4),TARIFA,3)+VLOOKUP((J30/H30*30.4),TARIFA,2)-VLOOKUP((J30/H30*30.4),SUBSIDIO,2))/30.4*H30,2),0),0)</f>
        <v>290.77</v>
      </c>
      <c r="M30" s="201">
        <v>0</v>
      </c>
      <c r="N30" s="201">
        <f>J30+K30-L30-M30</f>
        <v>3624.23</v>
      </c>
      <c r="O30" s="19"/>
      <c r="R30" s="54"/>
      <c r="S30" s="56"/>
    </row>
    <row r="31" spans="4:19" ht="35.1" customHeight="1" x14ac:dyDescent="0.3">
      <c r="D31" s="384" t="s">
        <v>389</v>
      </c>
      <c r="E31" s="401" t="s">
        <v>336</v>
      </c>
      <c r="F31" s="208" t="s">
        <v>210</v>
      </c>
      <c r="G31" s="198" t="s">
        <v>16</v>
      </c>
      <c r="H31" s="199">
        <v>15</v>
      </c>
      <c r="I31" s="206">
        <v>2233</v>
      </c>
      <c r="J31" s="201">
        <v>2233</v>
      </c>
      <c r="K31" s="200">
        <f>IFERROR(IF(ROUND((((J31/H31*30.4)-VLOOKUP((J31/H31*30.4),TARIFA,1))*VLOOKUP((J31/H31*30.4),TARIFA,3)+VLOOKUP((J31/H31*30.4),TARIFA,2)-VLOOKUP((J31/H31*30.4),SUBSIDIO,2))/30.4*H31,2)&lt;0,ROUND(-(((J31/H31*30.4)-VLOOKUP((J31/H31*30.4),TARIFA,1))*VLOOKUP((J31/H31*30.4),TARIFA,3)+VLOOKUP((J31/H31*30.4),TARIFA,2)-VLOOKUP((J31/H31*30.4),SUBSIDIO,2))/30.4*H31,2),0),0)</f>
        <v>46.12</v>
      </c>
      <c r="L31" s="200">
        <f>IFERROR(IF(ROUND((((J31/H31*30.4)-VLOOKUP((J31/H31*30.4),TARIFA,1))*VLOOKUP((J31/H31*30.4),TARIFA,3)+VLOOKUP((J31/H31*30.4),TARIFA,2)-VLOOKUP((J31/H31*30.4),SUBSIDIO,2))/30.4*H31,2)&gt;0,ROUND((((J31/H31*30.4)-VLOOKUP((J31/H31*30.4),TARIFA,1))*VLOOKUP((J31/H31*30.4),TARIFA,3)+VLOOKUP((J31/H31*30.4),TARIFA,2)-VLOOKUP((J31/H31*30.4),SUBSIDIO,2))/30.4*H31,2),0),0)</f>
        <v>0</v>
      </c>
      <c r="M31" s="201"/>
      <c r="N31" s="206">
        <f>J31+K31-L31-M31</f>
        <v>2279.12</v>
      </c>
      <c r="O31" s="19"/>
      <c r="R31" s="54"/>
      <c r="S31" s="56"/>
    </row>
    <row r="32" spans="4:19" ht="35.1" customHeight="1" x14ac:dyDescent="0.3">
      <c r="D32" s="384" t="s">
        <v>390</v>
      </c>
      <c r="E32" s="401" t="s">
        <v>336</v>
      </c>
      <c r="F32" s="208" t="s">
        <v>99</v>
      </c>
      <c r="G32" s="198" t="s">
        <v>16</v>
      </c>
      <c r="H32" s="199">
        <v>15</v>
      </c>
      <c r="I32" s="206">
        <v>3369</v>
      </c>
      <c r="J32" s="201">
        <v>3369</v>
      </c>
      <c r="K32" s="200">
        <f>IFERROR(IF(ROUND((((J32/H32*30.4)-VLOOKUP((J32/H32*30.4),TARIFA,1))*VLOOKUP((J32/H32*30.4),TARIFA,3)+VLOOKUP((J32/H32*30.4),TARIFA,2)-VLOOKUP((J32/H32*30.4),SUBSIDIO,2))/30.4*H32,2)&lt;0,ROUND(-(((J32/H32*30.4)-VLOOKUP((J32/H32*30.4),TARIFA,1))*VLOOKUP((J32/H32*30.4),TARIFA,3)+VLOOKUP((J32/H32*30.4),TARIFA,2)-VLOOKUP((J32/H32*30.4),SUBSIDIO,2))/30.4*H32,2),0),0)</f>
        <v>0</v>
      </c>
      <c r="L32" s="200">
        <f>IFERROR(IF(ROUND((((J32/H32*30.4)-VLOOKUP((J32/H32*30.4),TARIFA,1))*VLOOKUP((J32/H32*30.4),TARIFA,3)+VLOOKUP((J32/H32*30.4),TARIFA,2)-VLOOKUP((J32/H32*30.4),SUBSIDIO,2))/30.4*H32,2)&gt;0,ROUND((((J32/H32*30.4)-VLOOKUP((J32/H32*30.4),TARIFA,1))*VLOOKUP((J32/H32*30.4),TARIFA,3)+VLOOKUP((J32/H32*30.4),TARIFA,2)-VLOOKUP((J32/H32*30.4),SUBSIDIO,2))/30.4*H32,2),0),0)</f>
        <v>106.26</v>
      </c>
      <c r="M32" s="201"/>
      <c r="N32" s="206">
        <f>J32+K32-L32-M32</f>
        <v>3262.74</v>
      </c>
      <c r="O32" s="19"/>
      <c r="R32" s="54"/>
      <c r="S32" s="56"/>
    </row>
    <row r="33" spans="2:19" ht="35.1" customHeight="1" x14ac:dyDescent="0.3">
      <c r="D33" s="384"/>
      <c r="E33" s="401"/>
      <c r="F33" s="207" t="s">
        <v>220</v>
      </c>
      <c r="G33" s="198"/>
      <c r="H33" s="199"/>
      <c r="I33" s="206"/>
      <c r="J33" s="201"/>
      <c r="K33" s="200"/>
      <c r="L33" s="200"/>
      <c r="M33" s="201"/>
      <c r="N33" s="201"/>
      <c r="O33" s="19"/>
      <c r="R33" s="54"/>
      <c r="S33" s="56"/>
    </row>
    <row r="34" spans="2:19" ht="35.1" customHeight="1" x14ac:dyDescent="0.3">
      <c r="D34" s="384"/>
      <c r="E34" s="401"/>
      <c r="F34" s="208"/>
      <c r="G34" s="198" t="s">
        <v>223</v>
      </c>
      <c r="H34" s="199">
        <v>0</v>
      </c>
      <c r="I34" s="206">
        <v>6884</v>
      </c>
      <c r="J34" s="201">
        <v>0</v>
      </c>
      <c r="K34" s="200">
        <f>IFERROR(IF(ROUND((((J34/H34*30.4)-VLOOKUP((J34/H34*30.4),TARIFA,1))*VLOOKUP((J34/H34*30.4),TARIFA,3)+VLOOKUP((J34/H34*30.4),TARIFA,2)-VLOOKUP((J34/H34*30.4),SUBSIDIO,2))/30.4*H34,2)&lt;0,ROUND(-(((J34/H34*30.4)-VLOOKUP((J34/H34*30.4),TARIFA,1))*VLOOKUP((J34/H34*30.4),TARIFA,3)+VLOOKUP((J34/H34*30.4),TARIFA,2)-VLOOKUP((J34/H34*30.4),SUBSIDIO,2))/30.4*H34,2),0),0)</f>
        <v>0</v>
      </c>
      <c r="L34" s="200">
        <f>IFERROR(IF(ROUND((((J34/H34*30.4)-VLOOKUP((J34/H34*30.4),TARIFA,1))*VLOOKUP((J34/H34*30.4),TARIFA,3)+VLOOKUP((J34/H34*30.4),TARIFA,2)-VLOOKUP((J34/H34*30.4),SUBSIDIO,2))/30.4*H34,2)&gt;0,ROUND((((J34/H34*30.4)-VLOOKUP((J34/H34*30.4),TARIFA,1))*VLOOKUP((J34/H34*30.4),TARIFA,3)+VLOOKUP((J34/H34*30.4),TARIFA,2)-VLOOKUP((J34/H34*30.4),SUBSIDIO,2))/30.4*H34,2),0),0)</f>
        <v>0</v>
      </c>
      <c r="M34" s="201"/>
      <c r="N34" s="206">
        <f>J34+K34-L34-M34</f>
        <v>0</v>
      </c>
      <c r="O34" s="19"/>
      <c r="P34" s="1">
        <v>749.84</v>
      </c>
      <c r="R34" s="54"/>
      <c r="S34" s="56"/>
    </row>
    <row r="35" spans="2:19" ht="35.1" customHeight="1" x14ac:dyDescent="0.3">
      <c r="D35" s="384" t="s">
        <v>392</v>
      </c>
      <c r="E35" s="401" t="s">
        <v>336</v>
      </c>
      <c r="F35" s="208" t="s">
        <v>222</v>
      </c>
      <c r="G35" s="198" t="s">
        <v>224</v>
      </c>
      <c r="H35" s="199">
        <v>15</v>
      </c>
      <c r="I35" s="206">
        <v>4235</v>
      </c>
      <c r="J35" s="201">
        <v>4235</v>
      </c>
      <c r="K35" s="200">
        <f>IFERROR(IF(ROUND((((J35/H35*30.4)-VLOOKUP((J35/H35*30.4),TARIFA,1))*VLOOKUP((J35/H35*30.4),TARIFA,3)+VLOOKUP((J35/H35*30.4),TARIFA,2)-VLOOKUP((J35/H35*30.4),SUBSIDIO,2))/30.4*H35,2)&lt;0,ROUND(-(((J35/H35*30.4)-VLOOKUP((J35/H35*30.4),TARIFA,1))*VLOOKUP((J35/H35*30.4),TARIFA,3)+VLOOKUP((J35/H35*30.4),TARIFA,2)-VLOOKUP((J35/H35*30.4),SUBSIDIO,2))/30.4*H35,2),0),0)</f>
        <v>0</v>
      </c>
      <c r="L35" s="200">
        <f>IFERROR(IF(ROUND((((J35/H35*30.4)-VLOOKUP((J35/H35*30.4),TARIFA,1))*VLOOKUP((J35/H35*30.4),TARIFA,3)+VLOOKUP((J35/H35*30.4),TARIFA,2)-VLOOKUP((J35/H35*30.4),SUBSIDIO,2))/30.4*H35,2)&gt;0,ROUND((((J35/H35*30.4)-VLOOKUP((J35/H35*30.4),TARIFA,1))*VLOOKUP((J35/H35*30.4),TARIFA,3)+VLOOKUP((J35/H35*30.4),TARIFA,2)-VLOOKUP((J35/H35*30.4),SUBSIDIO,2))/30.4*H35,2),0),0)</f>
        <v>325.58</v>
      </c>
      <c r="M35" s="201"/>
      <c r="N35" s="206">
        <f>J35+K35-L35-M35</f>
        <v>3909.42</v>
      </c>
      <c r="O35" s="19"/>
      <c r="R35" s="54"/>
      <c r="S35" s="56"/>
    </row>
    <row r="36" spans="2:19" ht="35.1" customHeight="1" x14ac:dyDescent="0.3">
      <c r="D36" s="346"/>
      <c r="E36" s="385"/>
      <c r="F36" s="210" t="s">
        <v>40</v>
      </c>
      <c r="G36" s="209"/>
      <c r="H36" s="211"/>
      <c r="I36" s="212"/>
      <c r="J36" s="212"/>
      <c r="K36" s="414"/>
      <c r="L36" s="414"/>
      <c r="M36" s="212"/>
      <c r="N36" s="212"/>
      <c r="O36" s="19"/>
      <c r="R36" s="54"/>
      <c r="S36" s="56"/>
    </row>
    <row r="37" spans="2:19" ht="35.1" customHeight="1" x14ac:dyDescent="0.3">
      <c r="D37" s="346" t="s">
        <v>393</v>
      </c>
      <c r="E37" s="385" t="s">
        <v>345</v>
      </c>
      <c r="F37" s="202" t="s">
        <v>291</v>
      </c>
      <c r="G37" s="198" t="s">
        <v>41</v>
      </c>
      <c r="H37" s="199">
        <v>15</v>
      </c>
      <c r="I37" s="201">
        <v>2415</v>
      </c>
      <c r="J37" s="201">
        <v>2415</v>
      </c>
      <c r="K37" s="200">
        <f>IFERROR(IF(ROUND((((J37/H37*30.4)-VLOOKUP((J37/H37*30.4),TARIFA,1))*VLOOKUP((J37/H37*30.4),TARIFA,3)+VLOOKUP((J37/H37*30.4),TARIFA,2)-VLOOKUP((J37/H37*30.4),SUBSIDIO,2))/30.4*H37,2)&lt;0,ROUND(-(((J37/H37*30.4)-VLOOKUP((J37/H37*30.4),TARIFA,1))*VLOOKUP((J37/H37*30.4),TARIFA,3)+VLOOKUP((J37/H37*30.4),TARIFA,2)-VLOOKUP((J37/H37*30.4),SUBSIDIO,2))/30.4*H37,2),0),0)</f>
        <v>19.98</v>
      </c>
      <c r="L37" s="200">
        <f>IFERROR(IF(ROUND((((J37/H37*30.4)-VLOOKUP((J37/H37*30.4),TARIFA,1))*VLOOKUP((J37/H37*30.4),TARIFA,3)+VLOOKUP((J37/H37*30.4),TARIFA,2)-VLOOKUP((J37/H37*30.4),SUBSIDIO,2))/30.4*H37,2)&gt;0,ROUND((((J37/H37*30.4)-VLOOKUP((J37/H37*30.4),TARIFA,1))*VLOOKUP((J37/H37*30.4),TARIFA,3)+VLOOKUP((J37/H37*30.4),TARIFA,2)-VLOOKUP((J37/H37*30.4),SUBSIDIO,2))/30.4*H37,2),0),0)</f>
        <v>0</v>
      </c>
      <c r="M37" s="201">
        <v>0</v>
      </c>
      <c r="N37" s="206">
        <f>J37+K37-L37-M37</f>
        <v>2434.98</v>
      </c>
      <c r="O37" s="19"/>
      <c r="R37" s="54"/>
      <c r="S37" s="56"/>
    </row>
    <row r="38" spans="2:19" ht="35.1" customHeight="1" x14ac:dyDescent="0.3">
      <c r="D38" s="385" t="s">
        <v>394</v>
      </c>
      <c r="E38" s="402" t="s">
        <v>345</v>
      </c>
      <c r="F38" s="250" t="s">
        <v>279</v>
      </c>
      <c r="G38" s="198" t="s">
        <v>37</v>
      </c>
      <c r="H38" s="199">
        <v>15</v>
      </c>
      <c r="I38" s="206">
        <v>1932</v>
      </c>
      <c r="J38" s="201">
        <v>1932</v>
      </c>
      <c r="K38" s="200">
        <f>IFERROR(IF(ROUND((((J38/H38*30.4)-VLOOKUP((J38/H38*30.4),TARIFA,1))*VLOOKUP((J38/H38*30.4),TARIFA,3)+VLOOKUP((J38/H38*30.4),TARIFA,2)-VLOOKUP((J38/H38*30.4),SUBSIDIO,2))/30.4*H38,2)&lt;0,ROUND(-(((J38/H38*30.4)-VLOOKUP((J38/H38*30.4),TARIFA,1))*VLOOKUP((J38/H38*30.4),TARIFA,3)+VLOOKUP((J38/H38*30.4),TARIFA,2)-VLOOKUP((J38/H38*30.4),SUBSIDIO,2))/30.4*H38,2),0),0)</f>
        <v>79.31</v>
      </c>
      <c r="L38" s="200">
        <f>IFERROR(IF(ROUND((((J38/H38*30.4)-VLOOKUP((J38/H38*30.4),TARIFA,1))*VLOOKUP((J38/H38*30.4),TARIFA,3)+VLOOKUP((J38/H38*30.4),TARIFA,2)-VLOOKUP((J38/H38*30.4),SUBSIDIO,2))/30.4*H38,2)&gt;0,ROUND((((J38/H38*30.4)-VLOOKUP((J38/H38*30.4),TARIFA,1))*VLOOKUP((J38/H38*30.4),TARIFA,3)+VLOOKUP((J38/H38*30.4),TARIFA,2)-VLOOKUP((J38/H38*30.4),SUBSIDIO,2))/30.4*H38,2),0),0)</f>
        <v>0</v>
      </c>
      <c r="M38" s="201">
        <v>0</v>
      </c>
      <c r="N38" s="206">
        <f>J38+K38-L38-M38</f>
        <v>2011.31</v>
      </c>
      <c r="O38" s="19"/>
      <c r="R38" s="54"/>
      <c r="S38" s="56"/>
    </row>
    <row r="39" spans="2:19" ht="35.1" customHeight="1" x14ac:dyDescent="0.3">
      <c r="D39" s="385"/>
      <c r="E39" s="402"/>
      <c r="F39" s="213" t="s">
        <v>179</v>
      </c>
      <c r="G39" s="198"/>
      <c r="H39" s="199"/>
      <c r="I39" s="201"/>
      <c r="J39" s="201"/>
      <c r="K39" s="200"/>
      <c r="L39" s="200"/>
      <c r="M39" s="201"/>
      <c r="N39" s="201"/>
      <c r="O39" s="19"/>
      <c r="R39" s="54"/>
      <c r="S39" s="56"/>
    </row>
    <row r="40" spans="2:19" ht="35.1" hidden="1" customHeight="1" x14ac:dyDescent="0.3">
      <c r="D40" s="385"/>
      <c r="E40" s="385"/>
      <c r="F40" s="197"/>
      <c r="G40" s="243"/>
      <c r="H40" s="199"/>
      <c r="I40" s="201"/>
      <c r="J40" s="201"/>
      <c r="K40" s="200"/>
      <c r="L40" s="200"/>
      <c r="M40" s="201"/>
      <c r="N40" s="201"/>
      <c r="O40" s="19"/>
      <c r="R40" s="54"/>
      <c r="S40" s="56"/>
    </row>
    <row r="41" spans="2:19" ht="35.1" customHeight="1" x14ac:dyDescent="0.3">
      <c r="D41" s="385" t="s">
        <v>395</v>
      </c>
      <c r="E41" s="402" t="s">
        <v>345</v>
      </c>
      <c r="F41" s="231" t="s">
        <v>280</v>
      </c>
      <c r="G41" s="198" t="s">
        <v>44</v>
      </c>
      <c r="H41" s="199">
        <v>15</v>
      </c>
      <c r="I41" s="206">
        <v>3257</v>
      </c>
      <c r="J41" s="201">
        <v>3257</v>
      </c>
      <c r="K41" s="200">
        <f>IFERROR(IF(ROUND((((J41/H41*30.4)-VLOOKUP((J41/H41*30.4),TARIFA,1))*VLOOKUP((J41/H41*30.4),TARIFA,3)+VLOOKUP((J41/H41*30.4),TARIFA,2)-VLOOKUP((J41/H41*30.4),SUBSIDIO,2))/30.4*H41,2)&lt;0,ROUND(-(((J41/H41*30.4)-VLOOKUP((J41/H41*30.4),TARIFA,1))*VLOOKUP((J41/H41*30.4),TARIFA,3)+VLOOKUP((J41/H41*30.4),TARIFA,2)-VLOOKUP((J41/H41*30.4),SUBSIDIO,2))/30.4*H41,2),0),0)</f>
        <v>0</v>
      </c>
      <c r="L41" s="200">
        <f>IFERROR(IF(ROUND((((J41/H41*30.4)-VLOOKUP((J41/H41*30.4),TARIFA,1))*VLOOKUP((J41/H41*30.4),TARIFA,3)+VLOOKUP((J41/H41*30.4),TARIFA,2)-VLOOKUP((J41/H41*30.4),SUBSIDIO,2))/30.4*H41,2)&gt;0,ROUND((((J41/H41*30.4)-VLOOKUP((J41/H41*30.4),TARIFA,1))*VLOOKUP((J41/H41*30.4),TARIFA,3)+VLOOKUP((J41/H41*30.4),TARIFA,2)-VLOOKUP((J41/H41*30.4),SUBSIDIO,2))/30.4*H41,2),0),0)</f>
        <v>94.07</v>
      </c>
      <c r="M41" s="201">
        <v>0</v>
      </c>
      <c r="N41" s="206">
        <f>J41+K41-L41-M41</f>
        <v>3162.93</v>
      </c>
      <c r="O41" s="19"/>
      <c r="R41" s="54"/>
      <c r="S41" s="56"/>
    </row>
    <row r="42" spans="2:19" ht="32.1" customHeight="1" x14ac:dyDescent="0.3">
      <c r="D42" s="384"/>
      <c r="E42" s="401"/>
      <c r="F42" s="166"/>
      <c r="G42" s="164"/>
      <c r="H42" s="165"/>
      <c r="I42" s="158"/>
      <c r="J42" s="143"/>
      <c r="K42" s="366"/>
      <c r="L42" s="366"/>
      <c r="M42" s="143"/>
      <c r="N42" s="206"/>
      <c r="O42" s="19"/>
      <c r="R42" s="54"/>
      <c r="S42" s="56"/>
    </row>
    <row r="43" spans="2:19" ht="30" customHeight="1" x14ac:dyDescent="0.2">
      <c r="D43" s="386"/>
      <c r="E43" s="390"/>
      <c r="F43" s="64"/>
      <c r="G43" s="72"/>
      <c r="H43" s="73"/>
      <c r="I43" s="74">
        <f>SUM(I12:I41)</f>
        <v>60268</v>
      </c>
      <c r="J43" s="74">
        <f>SUM(J12:J41)</f>
        <v>53384</v>
      </c>
      <c r="K43" s="74">
        <f>SUM(K12:K42)</f>
        <v>283.08</v>
      </c>
      <c r="L43" s="74">
        <f>SUM(L12:L42)</f>
        <v>2479.09</v>
      </c>
      <c r="M43" s="74" t="e">
        <f>M41+M40+M38+M37+M35+M34+M32+M31+M30+M27+M25+M24+M23+M20+M19+#REF!+M16+M14+M13+M12</f>
        <v>#REF!</v>
      </c>
      <c r="N43" s="74">
        <f>SUM(N12:N42)</f>
        <v>51187.99</v>
      </c>
      <c r="O43" s="76"/>
      <c r="R43" s="54"/>
      <c r="S43" s="56"/>
    </row>
    <row r="44" spans="2:19" ht="39.950000000000003" customHeight="1" x14ac:dyDescent="0.3">
      <c r="B44" s="65"/>
      <c r="C44" s="65"/>
      <c r="D44" s="509" t="s">
        <v>12</v>
      </c>
      <c r="E44" s="509"/>
      <c r="F44" s="509"/>
      <c r="G44" s="509"/>
      <c r="H44" s="509"/>
      <c r="I44" s="509"/>
      <c r="J44" s="509"/>
      <c r="K44" s="509"/>
      <c r="L44" s="509"/>
      <c r="M44" s="509"/>
      <c r="N44" s="509"/>
      <c r="O44" s="509"/>
      <c r="R44" s="54"/>
      <c r="S44" s="56"/>
    </row>
    <row r="45" spans="2:19" ht="39.950000000000003" customHeight="1" x14ac:dyDescent="0.3">
      <c r="B45" s="65"/>
      <c r="C45" s="65"/>
      <c r="D45" s="509" t="s">
        <v>171</v>
      </c>
      <c r="E45" s="509"/>
      <c r="F45" s="509"/>
      <c r="G45" s="509"/>
      <c r="H45" s="509"/>
      <c r="I45" s="509"/>
      <c r="J45" s="509"/>
      <c r="K45" s="509"/>
      <c r="L45" s="509"/>
      <c r="M45" s="509"/>
      <c r="N45" s="509"/>
      <c r="O45" s="509"/>
      <c r="R45" s="54"/>
      <c r="S45" s="56"/>
    </row>
    <row r="46" spans="2:19" ht="39.950000000000003" customHeight="1" x14ac:dyDescent="0.3">
      <c r="B46" s="65"/>
      <c r="C46" s="65"/>
      <c r="D46" s="510" t="str">
        <f>D5</f>
        <v>NOMINA 2DA QUINCENA DE ENERO DE 2021</v>
      </c>
      <c r="E46" s="510"/>
      <c r="F46" s="510"/>
      <c r="G46" s="510"/>
      <c r="H46" s="510"/>
      <c r="I46" s="510"/>
      <c r="J46" s="510"/>
      <c r="K46" s="510"/>
      <c r="L46" s="510"/>
      <c r="M46" s="510"/>
      <c r="N46" s="510"/>
      <c r="O46" s="510"/>
      <c r="R46" s="54"/>
      <c r="S46" s="56"/>
    </row>
    <row r="47" spans="2:19" ht="39.950000000000003" customHeight="1" x14ac:dyDescent="0.3">
      <c r="B47" s="65"/>
      <c r="C47" s="65"/>
      <c r="D47" s="510" t="s">
        <v>158</v>
      </c>
      <c r="E47" s="510"/>
      <c r="F47" s="510"/>
      <c r="G47" s="510"/>
      <c r="H47" s="510"/>
      <c r="I47" s="510"/>
      <c r="J47" s="510"/>
      <c r="K47" s="510"/>
      <c r="L47" s="510"/>
      <c r="M47" s="510"/>
      <c r="N47" s="510"/>
      <c r="O47" s="510"/>
      <c r="R47" s="54"/>
      <c r="S47" s="56"/>
    </row>
    <row r="48" spans="2:19" ht="39.950000000000003" customHeight="1" x14ac:dyDescent="0.2">
      <c r="B48" s="65"/>
      <c r="C48" s="65"/>
      <c r="D48" s="522" t="s">
        <v>378</v>
      </c>
      <c r="E48" s="406" t="s">
        <v>324</v>
      </c>
      <c r="F48" s="106"/>
      <c r="G48" s="106"/>
      <c r="H48" s="107" t="s">
        <v>4</v>
      </c>
      <c r="I48" s="516" t="s">
        <v>0</v>
      </c>
      <c r="J48" s="517"/>
      <c r="K48" s="518"/>
      <c r="L48" s="409"/>
      <c r="M48" s="108"/>
      <c r="N48" s="107"/>
      <c r="O48" s="109"/>
      <c r="R48" s="54"/>
      <c r="S48" s="56"/>
    </row>
    <row r="49" spans="2:19" ht="39.950000000000003" customHeight="1" x14ac:dyDescent="0.2">
      <c r="B49" s="65"/>
      <c r="C49" s="65"/>
      <c r="D49" s="523"/>
      <c r="E49" s="407" t="s">
        <v>325</v>
      </c>
      <c r="F49" s="109"/>
      <c r="G49" s="107"/>
      <c r="H49" s="110" t="s">
        <v>5</v>
      </c>
      <c r="I49" s="111" t="s">
        <v>1</v>
      </c>
      <c r="J49" s="111" t="s">
        <v>157</v>
      </c>
      <c r="K49" s="410" t="s">
        <v>161</v>
      </c>
      <c r="L49" s="410"/>
      <c r="M49" s="107" t="s">
        <v>176</v>
      </c>
      <c r="N49" s="107" t="s">
        <v>160</v>
      </c>
      <c r="O49" s="112"/>
      <c r="R49" s="54"/>
      <c r="S49" s="56"/>
    </row>
    <row r="50" spans="2:19" ht="39.950000000000003" customHeight="1" x14ac:dyDescent="0.25">
      <c r="B50" s="65"/>
      <c r="C50" s="65"/>
      <c r="D50" s="523"/>
      <c r="E50" s="407"/>
      <c r="F50" s="113"/>
      <c r="G50" s="114" t="s">
        <v>10</v>
      </c>
      <c r="H50" s="107"/>
      <c r="I50" s="107" t="s">
        <v>7</v>
      </c>
      <c r="J50" s="107" t="s">
        <v>160</v>
      </c>
      <c r="K50" s="110" t="s">
        <v>162</v>
      </c>
      <c r="L50" s="110" t="s">
        <v>163</v>
      </c>
      <c r="M50" s="107" t="s">
        <v>178</v>
      </c>
      <c r="N50" s="107" t="s">
        <v>166</v>
      </c>
      <c r="O50" s="111" t="s">
        <v>169</v>
      </c>
      <c r="R50" s="54"/>
      <c r="S50" s="56"/>
    </row>
    <row r="51" spans="2:19" ht="39.950000000000003" customHeight="1" x14ac:dyDescent="0.25">
      <c r="B51" s="65"/>
      <c r="C51" s="65"/>
      <c r="D51" s="524"/>
      <c r="E51" s="398"/>
      <c r="F51" s="113" t="s">
        <v>77</v>
      </c>
      <c r="G51" s="113" t="s">
        <v>9</v>
      </c>
      <c r="H51" s="111"/>
      <c r="I51" s="111"/>
      <c r="J51" s="111"/>
      <c r="K51" s="410"/>
      <c r="L51" s="411"/>
      <c r="M51" s="115"/>
      <c r="N51" s="111"/>
      <c r="O51" s="111"/>
      <c r="R51" s="54"/>
      <c r="S51" s="56"/>
    </row>
    <row r="52" spans="2:19" ht="39.950000000000003" customHeight="1" x14ac:dyDescent="0.3">
      <c r="D52" s="387"/>
      <c r="E52" s="403"/>
      <c r="F52" s="215" t="s">
        <v>230</v>
      </c>
      <c r="G52" s="216"/>
      <c r="H52" s="217"/>
      <c r="I52" s="218"/>
      <c r="J52" s="219"/>
      <c r="K52" s="415"/>
      <c r="L52" s="415"/>
      <c r="M52" s="219"/>
      <c r="N52" s="212"/>
      <c r="O52" s="63"/>
      <c r="R52" s="54"/>
      <c r="S52" s="56"/>
    </row>
    <row r="53" spans="2:19" ht="39.950000000000003" customHeight="1" x14ac:dyDescent="0.3">
      <c r="D53" s="385" t="s">
        <v>396</v>
      </c>
      <c r="E53" s="402" t="s">
        <v>345</v>
      </c>
      <c r="F53" s="214" t="s">
        <v>252</v>
      </c>
      <c r="G53" s="198" t="s">
        <v>33</v>
      </c>
      <c r="H53" s="199">
        <v>15</v>
      </c>
      <c r="I53" s="201">
        <v>2309</v>
      </c>
      <c r="J53" s="201">
        <v>2309</v>
      </c>
      <c r="K53" s="200">
        <f t="shared" ref="K53:K74" si="0">IFERROR(IF(ROUND((((J53/H53*30.4)-VLOOKUP((J53/H53*30.4),TARIFA,1))*VLOOKUP((J53/H53*30.4),TARIFA,3)+VLOOKUP((J53/H53*30.4),TARIFA,2)-VLOOKUP((J53/H53*30.4),SUBSIDIO,2))/30.4*H53,2)&lt;0,ROUND(-(((J53/H53*30.4)-VLOOKUP((J53/H53*30.4),TARIFA,1))*VLOOKUP((J53/H53*30.4),TARIFA,3)+VLOOKUP((J53/H53*30.4),TARIFA,2)-VLOOKUP((J53/H53*30.4),SUBSIDIO,2))/30.4*H53,2),0),0)</f>
        <v>41.26</v>
      </c>
      <c r="L53" s="200">
        <f t="shared" ref="L53:L74" si="1">IFERROR(IF(ROUND((((J53/H53*30.4)-VLOOKUP((J53/H53*30.4),TARIFA,1))*VLOOKUP((J53/H53*30.4),TARIFA,3)+VLOOKUP((J53/H53*30.4),TARIFA,2)-VLOOKUP((J53/H53*30.4),SUBSIDIO,2))/30.4*H53,2)&gt;0,ROUND((((J53/H53*30.4)-VLOOKUP((J53/H53*30.4),TARIFA,1))*VLOOKUP((J53/H53*30.4),TARIFA,3)+VLOOKUP((J53/H53*30.4),TARIFA,2)-VLOOKUP((J53/H53*30.4),SUBSIDIO,2))/30.4*H53,2),0),0)</f>
        <v>0</v>
      </c>
      <c r="M53" s="201"/>
      <c r="N53" s="206">
        <f>J53+K53-L53-M53</f>
        <v>2350.2600000000002</v>
      </c>
      <c r="O53" s="19"/>
      <c r="R53" s="54"/>
      <c r="S53" s="56"/>
    </row>
    <row r="54" spans="2:19" ht="39.950000000000003" customHeight="1" x14ac:dyDescent="0.3">
      <c r="D54" s="385" t="s">
        <v>397</v>
      </c>
      <c r="E54" s="402" t="s">
        <v>345</v>
      </c>
      <c r="F54" s="214" t="s">
        <v>253</v>
      </c>
      <c r="G54" s="198" t="s">
        <v>33</v>
      </c>
      <c r="H54" s="199">
        <v>15</v>
      </c>
      <c r="I54" s="201">
        <v>2309</v>
      </c>
      <c r="J54" s="201">
        <v>2309</v>
      </c>
      <c r="K54" s="200">
        <f t="shared" si="0"/>
        <v>41.26</v>
      </c>
      <c r="L54" s="200">
        <f t="shared" si="1"/>
        <v>0</v>
      </c>
      <c r="M54" s="201"/>
      <c r="N54" s="206">
        <f t="shared" ref="N54:N74" si="2">J54+K54-L54-M54</f>
        <v>2350.2600000000002</v>
      </c>
      <c r="O54" s="19"/>
      <c r="R54" s="54"/>
      <c r="S54" s="56"/>
    </row>
    <row r="55" spans="2:19" ht="39.950000000000003" customHeight="1" x14ac:dyDescent="0.3">
      <c r="D55" s="385" t="s">
        <v>398</v>
      </c>
      <c r="E55" s="402" t="s">
        <v>345</v>
      </c>
      <c r="F55" s="214" t="s">
        <v>254</v>
      </c>
      <c r="G55" s="198" t="s">
        <v>33</v>
      </c>
      <c r="H55" s="199">
        <v>15</v>
      </c>
      <c r="I55" s="201">
        <v>2309</v>
      </c>
      <c r="J55" s="201">
        <v>2309</v>
      </c>
      <c r="K55" s="200">
        <f t="shared" si="0"/>
        <v>41.26</v>
      </c>
      <c r="L55" s="200">
        <f t="shared" si="1"/>
        <v>0</v>
      </c>
      <c r="M55" s="201"/>
      <c r="N55" s="206">
        <f t="shared" si="2"/>
        <v>2350.2600000000002</v>
      </c>
      <c r="O55" s="19"/>
      <c r="R55" s="54"/>
      <c r="S55" s="56"/>
    </row>
    <row r="56" spans="2:19" ht="39.950000000000003" customHeight="1" x14ac:dyDescent="0.3">
      <c r="D56" s="385" t="s">
        <v>399</v>
      </c>
      <c r="E56" s="402" t="s">
        <v>345</v>
      </c>
      <c r="F56" s="214" t="s">
        <v>251</v>
      </c>
      <c r="G56" s="198" t="s">
        <v>41</v>
      </c>
      <c r="H56" s="199">
        <v>15</v>
      </c>
      <c r="I56" s="201">
        <v>2494</v>
      </c>
      <c r="J56" s="201">
        <v>2494</v>
      </c>
      <c r="K56" s="200">
        <f t="shared" si="0"/>
        <v>14.93</v>
      </c>
      <c r="L56" s="200">
        <f t="shared" si="1"/>
        <v>0</v>
      </c>
      <c r="M56" s="201"/>
      <c r="N56" s="206">
        <f t="shared" si="2"/>
        <v>2508.9299999999998</v>
      </c>
      <c r="O56" s="19"/>
      <c r="R56" s="54"/>
      <c r="S56" s="56"/>
    </row>
    <row r="57" spans="2:19" ht="39.950000000000003" customHeight="1" x14ac:dyDescent="0.3">
      <c r="D57" s="385" t="s">
        <v>400</v>
      </c>
      <c r="E57" s="402" t="s">
        <v>336</v>
      </c>
      <c r="F57" s="214" t="s">
        <v>231</v>
      </c>
      <c r="G57" s="198" t="s">
        <v>39</v>
      </c>
      <c r="H57" s="199">
        <v>15</v>
      </c>
      <c r="I57" s="206">
        <v>2896</v>
      </c>
      <c r="J57" s="201">
        <v>2896</v>
      </c>
      <c r="K57" s="200">
        <f t="shared" si="0"/>
        <v>0</v>
      </c>
      <c r="L57" s="200">
        <f t="shared" si="1"/>
        <v>34.520000000000003</v>
      </c>
      <c r="M57" s="201"/>
      <c r="N57" s="206">
        <f t="shared" si="2"/>
        <v>2861.48</v>
      </c>
      <c r="O57" s="19"/>
      <c r="R57" s="54"/>
      <c r="S57" s="56"/>
    </row>
    <row r="58" spans="2:19" ht="39.950000000000003" customHeight="1" x14ac:dyDescent="0.3">
      <c r="D58" s="385" t="s">
        <v>401</v>
      </c>
      <c r="E58" s="385" t="s">
        <v>336</v>
      </c>
      <c r="F58" s="220" t="s">
        <v>219</v>
      </c>
      <c r="G58" s="221" t="s">
        <v>32</v>
      </c>
      <c r="H58" s="222">
        <v>15</v>
      </c>
      <c r="I58" s="201">
        <v>5572</v>
      </c>
      <c r="J58" s="201">
        <v>5572</v>
      </c>
      <c r="K58" s="200">
        <f t="shared" si="0"/>
        <v>0</v>
      </c>
      <c r="L58" s="200">
        <f t="shared" si="1"/>
        <v>514.53</v>
      </c>
      <c r="M58" s="201">
        <v>0</v>
      </c>
      <c r="N58" s="206">
        <f t="shared" si="2"/>
        <v>5057.47</v>
      </c>
      <c r="O58" s="19"/>
      <c r="R58" s="54"/>
      <c r="S58" s="56"/>
    </row>
    <row r="59" spans="2:19" ht="39.950000000000003" customHeight="1" x14ac:dyDescent="0.3">
      <c r="D59" s="385" t="s">
        <v>402</v>
      </c>
      <c r="E59" s="402" t="s">
        <v>336</v>
      </c>
      <c r="F59" s="223" t="s">
        <v>59</v>
      </c>
      <c r="G59" s="224" t="s">
        <v>33</v>
      </c>
      <c r="H59" s="222">
        <v>15</v>
      </c>
      <c r="I59" s="206">
        <v>2289</v>
      </c>
      <c r="J59" s="201">
        <v>2289</v>
      </c>
      <c r="K59" s="200">
        <f t="shared" si="0"/>
        <v>42.54</v>
      </c>
      <c r="L59" s="200">
        <f t="shared" si="1"/>
        <v>0</v>
      </c>
      <c r="M59" s="201">
        <v>0</v>
      </c>
      <c r="N59" s="206">
        <f t="shared" si="2"/>
        <v>2331.54</v>
      </c>
      <c r="O59" s="19"/>
      <c r="R59" s="54"/>
      <c r="S59" s="56"/>
    </row>
    <row r="60" spans="2:19" ht="39.950000000000003" customHeight="1" x14ac:dyDescent="0.3">
      <c r="D60" s="385" t="s">
        <v>403</v>
      </c>
      <c r="E60" s="402" t="s">
        <v>336</v>
      </c>
      <c r="F60" s="223" t="s">
        <v>106</v>
      </c>
      <c r="G60" s="224" t="s">
        <v>33</v>
      </c>
      <c r="H60" s="222">
        <v>15</v>
      </c>
      <c r="I60" s="206">
        <v>2896</v>
      </c>
      <c r="J60" s="201">
        <v>2896</v>
      </c>
      <c r="K60" s="200">
        <f t="shared" si="0"/>
        <v>0</v>
      </c>
      <c r="L60" s="200">
        <f t="shared" si="1"/>
        <v>34.520000000000003</v>
      </c>
      <c r="M60" s="201"/>
      <c r="N60" s="206">
        <f t="shared" si="2"/>
        <v>2861.48</v>
      </c>
      <c r="O60" s="19"/>
      <c r="R60" s="54"/>
      <c r="S60" s="56"/>
    </row>
    <row r="61" spans="2:19" ht="39.950000000000003" customHeight="1" x14ac:dyDescent="0.3">
      <c r="D61" s="385" t="s">
        <v>404</v>
      </c>
      <c r="E61" s="385" t="s">
        <v>336</v>
      </c>
      <c r="F61" s="220" t="s">
        <v>110</v>
      </c>
      <c r="G61" s="221" t="s">
        <v>109</v>
      </c>
      <c r="H61" s="222">
        <v>15</v>
      </c>
      <c r="I61" s="206">
        <v>3355</v>
      </c>
      <c r="J61" s="201">
        <f>I61</f>
        <v>3355</v>
      </c>
      <c r="K61" s="200">
        <f t="shared" si="0"/>
        <v>0</v>
      </c>
      <c r="L61" s="200">
        <f t="shared" si="1"/>
        <v>104.74</v>
      </c>
      <c r="M61" s="201">
        <v>0</v>
      </c>
      <c r="N61" s="206">
        <f t="shared" si="2"/>
        <v>3250.26</v>
      </c>
      <c r="O61" s="19"/>
      <c r="R61" s="54"/>
      <c r="S61" s="56"/>
    </row>
    <row r="62" spans="2:19" ht="39.950000000000003" customHeight="1" x14ac:dyDescent="0.3">
      <c r="D62" s="385" t="s">
        <v>405</v>
      </c>
      <c r="E62" s="385" t="s">
        <v>336</v>
      </c>
      <c r="F62" s="220" t="s">
        <v>134</v>
      </c>
      <c r="G62" s="225" t="s">
        <v>133</v>
      </c>
      <c r="H62" s="222">
        <v>15</v>
      </c>
      <c r="I62" s="206">
        <v>2415</v>
      </c>
      <c r="J62" s="201">
        <v>2415</v>
      </c>
      <c r="K62" s="200">
        <f t="shared" si="0"/>
        <v>19.98</v>
      </c>
      <c r="L62" s="200">
        <f t="shared" si="1"/>
        <v>0</v>
      </c>
      <c r="M62" s="201">
        <v>0</v>
      </c>
      <c r="N62" s="206">
        <f t="shared" si="2"/>
        <v>2434.98</v>
      </c>
      <c r="O62" s="19"/>
      <c r="R62" s="54"/>
      <c r="S62" s="56"/>
    </row>
    <row r="63" spans="2:19" ht="39.950000000000003" customHeight="1" x14ac:dyDescent="0.3">
      <c r="D63" s="385" t="s">
        <v>406</v>
      </c>
      <c r="E63" s="385" t="s">
        <v>336</v>
      </c>
      <c r="F63" s="220" t="s">
        <v>182</v>
      </c>
      <c r="G63" s="225" t="s">
        <v>39</v>
      </c>
      <c r="H63" s="222">
        <v>15</v>
      </c>
      <c r="I63" s="206">
        <v>2896</v>
      </c>
      <c r="J63" s="201">
        <v>2896</v>
      </c>
      <c r="K63" s="200">
        <f t="shared" si="0"/>
        <v>0</v>
      </c>
      <c r="L63" s="200">
        <f t="shared" si="1"/>
        <v>34.520000000000003</v>
      </c>
      <c r="M63" s="201">
        <v>0</v>
      </c>
      <c r="N63" s="206">
        <f t="shared" si="2"/>
        <v>2861.48</v>
      </c>
      <c r="O63" s="19"/>
      <c r="R63" s="54"/>
      <c r="S63" s="56"/>
    </row>
    <row r="64" spans="2:19" ht="39.950000000000003" customHeight="1" x14ac:dyDescent="0.3">
      <c r="D64" s="385" t="s">
        <v>407</v>
      </c>
      <c r="E64" s="385" t="s">
        <v>336</v>
      </c>
      <c r="F64" s="220" t="s">
        <v>95</v>
      </c>
      <c r="G64" s="225" t="s">
        <v>33</v>
      </c>
      <c r="H64" s="222">
        <v>15</v>
      </c>
      <c r="I64" s="206">
        <v>3257</v>
      </c>
      <c r="J64" s="201">
        <v>3257</v>
      </c>
      <c r="K64" s="200">
        <f t="shared" si="0"/>
        <v>0</v>
      </c>
      <c r="L64" s="200">
        <f t="shared" si="1"/>
        <v>94.07</v>
      </c>
      <c r="M64" s="201">
        <v>0</v>
      </c>
      <c r="N64" s="206">
        <f t="shared" si="2"/>
        <v>3162.93</v>
      </c>
      <c r="O64" s="19"/>
      <c r="R64" s="54"/>
      <c r="S64" s="56"/>
    </row>
    <row r="65" spans="2:241" ht="39.950000000000003" customHeight="1" x14ac:dyDescent="0.3">
      <c r="D65" s="385" t="s">
        <v>408</v>
      </c>
      <c r="E65" s="385" t="s">
        <v>336</v>
      </c>
      <c r="F65" s="220" t="s">
        <v>85</v>
      </c>
      <c r="G65" s="225" t="s">
        <v>58</v>
      </c>
      <c r="H65" s="222">
        <v>15</v>
      </c>
      <c r="I65" s="206">
        <v>2415</v>
      </c>
      <c r="J65" s="201">
        <v>2415</v>
      </c>
      <c r="K65" s="200">
        <f t="shared" si="0"/>
        <v>19.98</v>
      </c>
      <c r="L65" s="200">
        <f t="shared" si="1"/>
        <v>0</v>
      </c>
      <c r="M65" s="201">
        <v>0</v>
      </c>
      <c r="N65" s="206">
        <f t="shared" si="2"/>
        <v>2434.98</v>
      </c>
      <c r="O65" s="19"/>
      <c r="R65" s="54"/>
      <c r="S65" s="56"/>
    </row>
    <row r="66" spans="2:241" ht="39.950000000000003" customHeight="1" x14ac:dyDescent="0.3">
      <c r="D66" s="385" t="s">
        <v>409</v>
      </c>
      <c r="E66" s="385" t="s">
        <v>336</v>
      </c>
      <c r="F66" s="220" t="s">
        <v>111</v>
      </c>
      <c r="G66" s="225" t="s">
        <v>33</v>
      </c>
      <c r="H66" s="222">
        <v>15</v>
      </c>
      <c r="I66" s="206">
        <v>2415</v>
      </c>
      <c r="J66" s="201">
        <v>2415</v>
      </c>
      <c r="K66" s="200">
        <f t="shared" si="0"/>
        <v>19.98</v>
      </c>
      <c r="L66" s="200">
        <f t="shared" si="1"/>
        <v>0</v>
      </c>
      <c r="M66" s="201">
        <v>0</v>
      </c>
      <c r="N66" s="206">
        <f t="shared" si="2"/>
        <v>2434.98</v>
      </c>
      <c r="O66" s="19"/>
      <c r="R66" s="54"/>
      <c r="S66" s="56"/>
    </row>
    <row r="67" spans="2:241" ht="39.950000000000003" customHeight="1" x14ac:dyDescent="0.3">
      <c r="D67" s="385" t="s">
        <v>410</v>
      </c>
      <c r="E67" s="385" t="s">
        <v>336</v>
      </c>
      <c r="F67" s="220" t="s">
        <v>97</v>
      </c>
      <c r="G67" s="220" t="s">
        <v>33</v>
      </c>
      <c r="H67" s="456">
        <v>15</v>
      </c>
      <c r="I67" s="206">
        <v>4253</v>
      </c>
      <c r="J67" s="201">
        <v>4253</v>
      </c>
      <c r="K67" s="200">
        <f t="shared" si="0"/>
        <v>0</v>
      </c>
      <c r="L67" s="200">
        <f t="shared" si="1"/>
        <v>327.54000000000002</v>
      </c>
      <c r="M67" s="201">
        <v>0</v>
      </c>
      <c r="N67" s="206">
        <f t="shared" si="2"/>
        <v>3925.46</v>
      </c>
      <c r="O67" s="19"/>
      <c r="R67" s="54"/>
      <c r="S67" s="56"/>
    </row>
    <row r="68" spans="2:241" ht="39.950000000000003" customHeight="1" x14ac:dyDescent="0.3">
      <c r="D68" s="385" t="s">
        <v>411</v>
      </c>
      <c r="E68" s="385" t="s">
        <v>336</v>
      </c>
      <c r="F68" s="220" t="s">
        <v>112</v>
      </c>
      <c r="G68" s="225" t="s">
        <v>33</v>
      </c>
      <c r="H68" s="222">
        <v>15</v>
      </c>
      <c r="I68" s="206">
        <v>2201</v>
      </c>
      <c r="J68" s="201">
        <v>2201</v>
      </c>
      <c r="K68" s="200">
        <f t="shared" si="0"/>
        <v>48.17</v>
      </c>
      <c r="L68" s="200">
        <f t="shared" si="1"/>
        <v>0</v>
      </c>
      <c r="M68" s="201">
        <v>0</v>
      </c>
      <c r="N68" s="206">
        <f t="shared" si="2"/>
        <v>2249.17</v>
      </c>
      <c r="O68" s="19"/>
      <c r="R68" s="54"/>
      <c r="S68" s="56"/>
    </row>
    <row r="69" spans="2:241" ht="39.950000000000003" customHeight="1" x14ac:dyDescent="0.3">
      <c r="D69" s="385" t="s">
        <v>412</v>
      </c>
      <c r="E69" s="385" t="s">
        <v>336</v>
      </c>
      <c r="F69" s="220" t="s">
        <v>108</v>
      </c>
      <c r="G69" s="225" t="s">
        <v>33</v>
      </c>
      <c r="H69" s="222">
        <v>15</v>
      </c>
      <c r="I69" s="206">
        <v>2517</v>
      </c>
      <c r="J69" s="201">
        <v>2517</v>
      </c>
      <c r="K69" s="200">
        <f t="shared" si="0"/>
        <v>13.46</v>
      </c>
      <c r="L69" s="200">
        <f t="shared" si="1"/>
        <v>0</v>
      </c>
      <c r="M69" s="201">
        <v>0</v>
      </c>
      <c r="N69" s="206">
        <f t="shared" si="2"/>
        <v>2530.46</v>
      </c>
      <c r="O69" s="19"/>
      <c r="R69" s="54"/>
      <c r="S69" s="56"/>
    </row>
    <row r="70" spans="2:241" ht="39.950000000000003" customHeight="1" x14ac:dyDescent="0.3">
      <c r="D70" s="385" t="s">
        <v>413</v>
      </c>
      <c r="E70" s="385" t="s">
        <v>345</v>
      </c>
      <c r="F70" s="220" t="s">
        <v>145</v>
      </c>
      <c r="G70" s="225" t="s">
        <v>33</v>
      </c>
      <c r="H70" s="222">
        <v>15</v>
      </c>
      <c r="I70" s="206">
        <v>2276</v>
      </c>
      <c r="J70" s="201">
        <v>2276</v>
      </c>
      <c r="K70" s="200">
        <f t="shared" si="0"/>
        <v>43.37</v>
      </c>
      <c r="L70" s="200">
        <f t="shared" si="1"/>
        <v>0</v>
      </c>
      <c r="M70" s="201">
        <v>0</v>
      </c>
      <c r="N70" s="206">
        <f t="shared" si="2"/>
        <v>2319.37</v>
      </c>
      <c r="O70" s="19"/>
      <c r="R70" s="54"/>
      <c r="S70" s="56"/>
    </row>
    <row r="71" spans="2:241" ht="39.950000000000003" customHeight="1" x14ac:dyDescent="0.3">
      <c r="D71" s="385" t="s">
        <v>414</v>
      </c>
      <c r="E71" s="385" t="s">
        <v>345</v>
      </c>
      <c r="F71" s="220" t="s">
        <v>107</v>
      </c>
      <c r="G71" s="225" t="s">
        <v>33</v>
      </c>
      <c r="H71" s="222">
        <v>15</v>
      </c>
      <c r="I71" s="206">
        <v>3257</v>
      </c>
      <c r="J71" s="201">
        <f>I71</f>
        <v>3257</v>
      </c>
      <c r="K71" s="200">
        <f t="shared" si="0"/>
        <v>0</v>
      </c>
      <c r="L71" s="200">
        <f t="shared" si="1"/>
        <v>94.07</v>
      </c>
      <c r="M71" s="201">
        <v>0</v>
      </c>
      <c r="N71" s="206">
        <f t="shared" si="2"/>
        <v>3162.93</v>
      </c>
      <c r="O71" s="19"/>
      <c r="R71" s="54"/>
      <c r="S71" s="56"/>
    </row>
    <row r="72" spans="2:241" ht="39.950000000000003" customHeight="1" x14ac:dyDescent="0.3">
      <c r="B72" s="14"/>
      <c r="C72" s="42"/>
      <c r="D72" s="385" t="s">
        <v>415</v>
      </c>
      <c r="E72" s="385" t="s">
        <v>336</v>
      </c>
      <c r="F72" s="220" t="s">
        <v>115</v>
      </c>
      <c r="G72" s="225" t="s">
        <v>39</v>
      </c>
      <c r="H72" s="222">
        <v>15</v>
      </c>
      <c r="I72" s="206">
        <v>3359</v>
      </c>
      <c r="J72" s="201">
        <v>3359</v>
      </c>
      <c r="K72" s="200">
        <f t="shared" si="0"/>
        <v>0</v>
      </c>
      <c r="L72" s="200">
        <f t="shared" si="1"/>
        <v>105.17</v>
      </c>
      <c r="M72" s="201">
        <v>0</v>
      </c>
      <c r="N72" s="206">
        <f t="shared" si="2"/>
        <v>3253.83</v>
      </c>
      <c r="O72" s="19"/>
      <c r="P72" s="59"/>
      <c r="Q72" s="57"/>
      <c r="R72" s="58"/>
      <c r="S72" s="56"/>
      <c r="T72" s="57"/>
      <c r="U72" s="57"/>
      <c r="V72" s="57"/>
      <c r="W72" s="57"/>
      <c r="X72" s="57"/>
      <c r="Y72" s="57"/>
      <c r="Z72" s="57"/>
      <c r="AA72" s="57"/>
      <c r="AB72" s="57"/>
      <c r="AC72" s="57"/>
      <c r="AD72" s="57"/>
      <c r="AE72" s="57"/>
      <c r="AF72" s="57"/>
      <c r="AG72" s="57"/>
      <c r="AH72" s="57"/>
      <c r="AI72" s="57"/>
      <c r="AJ72" s="57"/>
      <c r="AK72" s="57"/>
      <c r="AL72" s="57"/>
      <c r="AM72" s="57"/>
      <c r="AN72" s="57"/>
      <c r="AO72" s="57"/>
      <c r="AP72" s="57"/>
      <c r="AQ72" s="57"/>
      <c r="AR72" s="57"/>
      <c r="AS72" s="57"/>
      <c r="AT72" s="57"/>
      <c r="AU72" s="57"/>
      <c r="AV72" s="43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  <c r="CO72" s="14"/>
      <c r="CP72" s="14"/>
      <c r="CQ72" s="14"/>
      <c r="CR72" s="14"/>
      <c r="CS72" s="14"/>
      <c r="CT72" s="14"/>
      <c r="CU72" s="14"/>
      <c r="CV72" s="14"/>
      <c r="CW72" s="14"/>
      <c r="CX72" s="14"/>
      <c r="CY72" s="14"/>
      <c r="CZ72" s="14"/>
      <c r="DA72" s="14"/>
      <c r="DB72" s="14"/>
      <c r="DC72" s="14"/>
      <c r="DD72" s="14"/>
      <c r="DE72" s="14"/>
      <c r="DF72" s="14"/>
      <c r="DG72" s="14"/>
      <c r="DH72" s="14"/>
      <c r="DI72" s="14"/>
      <c r="DJ72" s="14"/>
      <c r="DK72" s="14"/>
      <c r="DL72" s="14"/>
      <c r="DM72" s="14"/>
      <c r="DN72" s="14"/>
      <c r="DO72" s="14"/>
      <c r="DP72" s="14"/>
      <c r="DQ72" s="14"/>
      <c r="DR72" s="14"/>
      <c r="DS72" s="14"/>
      <c r="DT72" s="14"/>
      <c r="DU72" s="14"/>
      <c r="DV72" s="14"/>
      <c r="DW72" s="14"/>
      <c r="DX72" s="14"/>
      <c r="DY72" s="14"/>
      <c r="DZ72" s="14"/>
      <c r="EA72" s="14"/>
      <c r="EB72" s="14"/>
      <c r="EC72" s="14"/>
      <c r="ED72" s="14"/>
      <c r="EE72" s="14"/>
      <c r="EF72" s="14"/>
      <c r="EG72" s="14"/>
      <c r="EH72" s="14"/>
      <c r="EI72" s="14"/>
      <c r="EJ72" s="14"/>
      <c r="EK72" s="14"/>
      <c r="EL72" s="14"/>
      <c r="EM72" s="14"/>
      <c r="EN72" s="14"/>
      <c r="EO72" s="14"/>
      <c r="EP72" s="14"/>
      <c r="EQ72" s="14"/>
      <c r="ER72" s="14"/>
      <c r="ES72" s="14"/>
      <c r="ET72" s="14"/>
      <c r="EU72" s="14"/>
      <c r="EV72" s="14"/>
      <c r="EW72" s="14"/>
      <c r="EX72" s="14"/>
      <c r="EY72" s="14"/>
      <c r="EZ72" s="14"/>
      <c r="FA72" s="14"/>
      <c r="FB72" s="14"/>
      <c r="FC72" s="14"/>
      <c r="FD72" s="14"/>
      <c r="FE72" s="14"/>
      <c r="FF72" s="14"/>
      <c r="FG72" s="14"/>
      <c r="FH72" s="14"/>
      <c r="FI72" s="14"/>
      <c r="FJ72" s="14"/>
      <c r="FK72" s="14"/>
      <c r="FL72" s="14"/>
      <c r="FM72" s="14"/>
      <c r="FN72" s="14"/>
      <c r="FO72" s="14"/>
      <c r="FP72" s="14"/>
      <c r="FQ72" s="14"/>
      <c r="FR72" s="14"/>
      <c r="FS72" s="14"/>
      <c r="FT72" s="14"/>
      <c r="FU72" s="14"/>
      <c r="FV72" s="14"/>
      <c r="FW72" s="14"/>
      <c r="FX72" s="14"/>
      <c r="FY72" s="14"/>
      <c r="FZ72" s="14"/>
      <c r="GA72" s="14"/>
      <c r="GB72" s="14"/>
      <c r="GC72" s="14"/>
      <c r="GD72" s="14"/>
      <c r="GE72" s="14"/>
      <c r="GF72" s="14"/>
      <c r="GG72" s="14"/>
      <c r="GH72" s="14"/>
      <c r="GI72" s="14"/>
      <c r="GJ72" s="14"/>
      <c r="GK72" s="14"/>
      <c r="GL72" s="14"/>
      <c r="GM72" s="14"/>
      <c r="GN72" s="14"/>
      <c r="GO72" s="14"/>
      <c r="GP72" s="14"/>
      <c r="GQ72" s="14"/>
      <c r="GR72" s="14"/>
      <c r="GS72" s="14"/>
      <c r="GT72" s="14"/>
      <c r="GU72" s="14"/>
      <c r="GV72" s="14"/>
      <c r="GW72" s="14"/>
      <c r="GX72" s="14"/>
      <c r="GY72" s="14"/>
      <c r="GZ72" s="14"/>
      <c r="HA72" s="14"/>
      <c r="HB72" s="14"/>
      <c r="HC72" s="14"/>
      <c r="HD72" s="14"/>
      <c r="HE72" s="14"/>
      <c r="HF72" s="14"/>
      <c r="HG72" s="14"/>
      <c r="HH72" s="14"/>
      <c r="HI72" s="14"/>
      <c r="HJ72" s="14"/>
      <c r="HK72" s="14"/>
      <c r="HL72" s="14"/>
      <c r="HM72" s="14"/>
      <c r="HN72" s="14"/>
      <c r="HO72" s="14"/>
      <c r="HP72" s="14"/>
      <c r="HQ72" s="14"/>
      <c r="HR72" s="14"/>
      <c r="HS72" s="14"/>
      <c r="HT72" s="14"/>
      <c r="HU72" s="14"/>
      <c r="HV72" s="14"/>
      <c r="HW72" s="14"/>
      <c r="HX72" s="14"/>
      <c r="HY72" s="14"/>
      <c r="HZ72" s="14"/>
      <c r="IA72" s="14"/>
      <c r="IB72" s="14"/>
      <c r="IC72" s="14"/>
      <c r="ID72" s="14"/>
      <c r="IE72" s="14"/>
      <c r="IF72" s="14"/>
      <c r="IG72" s="14"/>
    </row>
    <row r="73" spans="2:241" ht="39.950000000000003" customHeight="1" x14ac:dyDescent="0.3">
      <c r="D73" s="385" t="s">
        <v>416</v>
      </c>
      <c r="E73" s="385" t="s">
        <v>336</v>
      </c>
      <c r="F73" s="202" t="s">
        <v>229</v>
      </c>
      <c r="G73" s="209" t="s">
        <v>37</v>
      </c>
      <c r="H73" s="199">
        <v>15</v>
      </c>
      <c r="I73" s="206">
        <v>1630</v>
      </c>
      <c r="J73" s="201">
        <f>I73</f>
        <v>1630</v>
      </c>
      <c r="K73" s="200">
        <f t="shared" si="0"/>
        <v>110.56</v>
      </c>
      <c r="L73" s="200">
        <f t="shared" si="1"/>
        <v>0</v>
      </c>
      <c r="M73" s="201">
        <v>0</v>
      </c>
      <c r="N73" s="206">
        <f t="shared" si="2"/>
        <v>1740.56</v>
      </c>
      <c r="O73" s="19"/>
      <c r="Q73" s="41"/>
      <c r="R73" s="55"/>
      <c r="S73" s="56"/>
    </row>
    <row r="74" spans="2:241" ht="39.75" customHeight="1" x14ac:dyDescent="0.3">
      <c r="D74" s="385" t="s">
        <v>417</v>
      </c>
      <c r="E74" s="385" t="s">
        <v>336</v>
      </c>
      <c r="F74" s="220" t="s">
        <v>286</v>
      </c>
      <c r="G74" s="225" t="s">
        <v>37</v>
      </c>
      <c r="H74" s="222">
        <v>15</v>
      </c>
      <c r="I74" s="206">
        <v>1630</v>
      </c>
      <c r="J74" s="201">
        <f>I74</f>
        <v>1630</v>
      </c>
      <c r="K74" s="200">
        <f t="shared" si="0"/>
        <v>110.56</v>
      </c>
      <c r="L74" s="200">
        <f t="shared" si="1"/>
        <v>0</v>
      </c>
      <c r="M74" s="201">
        <v>0</v>
      </c>
      <c r="N74" s="206">
        <f t="shared" si="2"/>
        <v>1740.56</v>
      </c>
      <c r="O74" s="19"/>
      <c r="R74" s="54"/>
      <c r="S74" s="56"/>
    </row>
    <row r="75" spans="2:241" ht="21.75" hidden="1" customHeight="1" x14ac:dyDescent="0.3">
      <c r="D75" s="388"/>
      <c r="E75" s="404"/>
      <c r="F75" s="220"/>
      <c r="G75" s="225"/>
      <c r="H75" s="222"/>
      <c r="I75" s="206"/>
      <c r="J75" s="201"/>
      <c r="K75" s="200"/>
      <c r="L75" s="200"/>
      <c r="M75" s="201"/>
      <c r="N75" s="201"/>
      <c r="O75" s="19"/>
      <c r="R75" s="54"/>
      <c r="S75" s="56"/>
    </row>
    <row r="76" spans="2:241" ht="24" hidden="1" customHeight="1" x14ac:dyDescent="0.3">
      <c r="D76" s="388"/>
      <c r="E76" s="404"/>
      <c r="F76" s="220"/>
      <c r="G76" s="225"/>
      <c r="H76" s="222"/>
      <c r="I76" s="226"/>
      <c r="J76" s="201"/>
      <c r="K76" s="200"/>
      <c r="L76" s="200"/>
      <c r="M76" s="201">
        <v>0</v>
      </c>
      <c r="N76" s="201"/>
      <c r="O76" s="19"/>
      <c r="R76" s="54"/>
      <c r="S76" s="56"/>
    </row>
    <row r="77" spans="2:241" ht="36.950000000000003" customHeight="1" x14ac:dyDescent="0.3">
      <c r="D77" s="389"/>
      <c r="E77" s="389"/>
      <c r="F77" s="227" t="s">
        <v>50</v>
      </c>
      <c r="G77" s="208"/>
      <c r="H77" s="228"/>
      <c r="I77" s="229"/>
      <c r="J77" s="212"/>
      <c r="K77" s="416"/>
      <c r="L77" s="417"/>
      <c r="M77" s="230"/>
      <c r="N77" s="212"/>
      <c r="O77" s="131"/>
      <c r="R77" s="54"/>
      <c r="S77" s="56"/>
    </row>
    <row r="78" spans="2:241" ht="36.950000000000003" customHeight="1" x14ac:dyDescent="0.3">
      <c r="D78" s="389" t="s">
        <v>418</v>
      </c>
      <c r="E78" s="389" t="s">
        <v>336</v>
      </c>
      <c r="F78" s="223" t="s">
        <v>227</v>
      </c>
      <c r="G78" s="231" t="s">
        <v>51</v>
      </c>
      <c r="H78" s="222">
        <v>15</v>
      </c>
      <c r="I78" s="206">
        <v>3355</v>
      </c>
      <c r="J78" s="201">
        <f>I78</f>
        <v>3355</v>
      </c>
      <c r="K78" s="200">
        <f>IFERROR(IF(ROUND((((J78/H78*30.4)-VLOOKUP((J78/H78*30.4),TARIFA,1))*VLOOKUP((J78/H78*30.4),TARIFA,3)+VLOOKUP((J78/H78*30.4),TARIFA,2)-VLOOKUP((J78/H78*30.4),SUBSIDIO,2))/30.4*H78,2)&lt;0,ROUND(-(((J78/H78*30.4)-VLOOKUP((J78/H78*30.4),TARIFA,1))*VLOOKUP((J78/H78*30.4),TARIFA,3)+VLOOKUP((J78/H78*30.4),TARIFA,2)-VLOOKUP((J78/H78*30.4),SUBSIDIO,2))/30.4*H78,2),0),0)</f>
        <v>0</v>
      </c>
      <c r="L78" s="200">
        <f t="shared" ref="L78" si="3">IFERROR(IF(ROUND((((J78/H78*30.4)-VLOOKUP((J78/H78*30.4),TARIFA,1))*VLOOKUP((J78/H78*30.4),TARIFA,3)+VLOOKUP((J78/H78*30.4),TARIFA,2)-VLOOKUP((J78/H78*30.4),SUBSIDIO,2))/30.4*H78,2)&gt;0,ROUND((((J78/H78*30.4)-VLOOKUP((J78/H78*30.4),TARIFA,1))*VLOOKUP((J78/H78*30.4),TARIFA,3)+VLOOKUP((J78/H78*30.4),TARIFA,2)-VLOOKUP((J78/H78*30.4),SUBSIDIO,2))/30.4*H78,2),0),0)</f>
        <v>104.74</v>
      </c>
      <c r="M78" s="201">
        <v>0</v>
      </c>
      <c r="N78" s="201">
        <f>J78+K78-L78-M78</f>
        <v>3250.26</v>
      </c>
      <c r="O78" s="79"/>
      <c r="R78" s="54"/>
      <c r="S78" s="56"/>
    </row>
    <row r="79" spans="2:241" ht="38.1" customHeight="1" x14ac:dyDescent="0.2">
      <c r="D79" s="390"/>
      <c r="E79" s="390"/>
      <c r="F79" s="188"/>
      <c r="G79" s="189"/>
      <c r="H79" s="190"/>
      <c r="I79" s="191">
        <f>I78+I74+I73+I72+I71+I70+I69+I68+I67+I66+I65+I64+I63+I62+I61+I60+I59+I58+I57+I56+I55+I54+I53</f>
        <v>64305</v>
      </c>
      <c r="J79" s="191">
        <f>J78+J76+J74+J73+J72+J71+J70+J69+J68+J67+J66+J65+J64+J63+J62+J61+J60+J59+J58+J57+J56+J55+J54+J53</f>
        <v>64305</v>
      </c>
      <c r="K79" s="418">
        <f>K76+K74+K73+K70+K69+K68+K66+K65+K62+K59+K56+K55+K54+K53</f>
        <v>567.31000000000006</v>
      </c>
      <c r="L79" s="418">
        <f>L78+L72+L71+L67+L64+L63+L61+L60+L58+L57</f>
        <v>1448.4199999999998</v>
      </c>
      <c r="M79" s="191"/>
      <c r="N79" s="191">
        <f>N78+N76+N74+N73+N72+N71+N70+N69+N68+N67+N66+N65+N64+N63+N62+N61+N60+N59+N58+N57+N56+N55+N54+N53</f>
        <v>63423.890000000021</v>
      </c>
      <c r="O79" s="83"/>
      <c r="R79" s="54"/>
      <c r="S79" s="56"/>
    </row>
    <row r="80" spans="2:241" ht="38.1" customHeight="1" x14ac:dyDescent="0.3">
      <c r="D80" s="509" t="s">
        <v>12</v>
      </c>
      <c r="E80" s="509"/>
      <c r="F80" s="509"/>
      <c r="G80" s="509"/>
      <c r="H80" s="509"/>
      <c r="I80" s="509"/>
      <c r="J80" s="509"/>
      <c r="K80" s="509"/>
      <c r="L80" s="509"/>
      <c r="M80" s="509"/>
      <c r="N80" s="509"/>
      <c r="O80" s="509"/>
      <c r="R80" s="54"/>
      <c r="S80" s="56"/>
    </row>
    <row r="81" spans="4:19" ht="38.1" customHeight="1" x14ac:dyDescent="0.3">
      <c r="D81" s="509" t="s">
        <v>171</v>
      </c>
      <c r="E81" s="509"/>
      <c r="F81" s="509"/>
      <c r="G81" s="509"/>
      <c r="H81" s="509"/>
      <c r="I81" s="509"/>
      <c r="J81" s="509"/>
      <c r="K81" s="509"/>
      <c r="L81" s="509"/>
      <c r="M81" s="509"/>
      <c r="N81" s="509"/>
      <c r="O81" s="509"/>
      <c r="R81" s="54"/>
      <c r="S81" s="56"/>
    </row>
    <row r="82" spans="4:19" ht="38.1" customHeight="1" x14ac:dyDescent="0.3">
      <c r="D82" s="510" t="str">
        <f>D5</f>
        <v>NOMINA 2DA QUINCENA DE ENERO DE 2021</v>
      </c>
      <c r="E82" s="510"/>
      <c r="F82" s="510"/>
      <c r="G82" s="510"/>
      <c r="H82" s="510"/>
      <c r="I82" s="510"/>
      <c r="J82" s="510"/>
      <c r="K82" s="510"/>
      <c r="L82" s="510"/>
      <c r="M82" s="510"/>
      <c r="N82" s="510"/>
      <c r="O82" s="510"/>
      <c r="R82" s="54"/>
      <c r="S82" s="56"/>
    </row>
    <row r="83" spans="4:19" ht="38.1" customHeight="1" x14ac:dyDescent="0.3">
      <c r="D83" s="510" t="s">
        <v>158</v>
      </c>
      <c r="E83" s="510"/>
      <c r="F83" s="510"/>
      <c r="G83" s="510"/>
      <c r="H83" s="510"/>
      <c r="I83" s="510"/>
      <c r="J83" s="510"/>
      <c r="K83" s="510"/>
      <c r="L83" s="510"/>
      <c r="M83" s="510"/>
      <c r="N83" s="510"/>
      <c r="O83" s="510"/>
      <c r="R83" s="54"/>
      <c r="S83" s="56"/>
    </row>
    <row r="84" spans="4:19" ht="38.1" customHeight="1" x14ac:dyDescent="0.2">
      <c r="D84" s="522" t="s">
        <v>378</v>
      </c>
      <c r="E84" s="406" t="s">
        <v>324</v>
      </c>
      <c r="F84" s="106"/>
      <c r="G84" s="106"/>
      <c r="H84" s="107" t="s">
        <v>4</v>
      </c>
      <c r="I84" s="516" t="s">
        <v>0</v>
      </c>
      <c r="J84" s="517"/>
      <c r="K84" s="518"/>
      <c r="L84" s="409"/>
      <c r="M84" s="108"/>
      <c r="N84" s="107"/>
      <c r="O84" s="109"/>
      <c r="R84" s="54"/>
      <c r="S84" s="56"/>
    </row>
    <row r="85" spans="4:19" ht="38.1" customHeight="1" x14ac:dyDescent="0.2">
      <c r="D85" s="523"/>
      <c r="E85" s="407" t="s">
        <v>325</v>
      </c>
      <c r="F85" s="109"/>
      <c r="G85" s="107"/>
      <c r="H85" s="110" t="s">
        <v>5</v>
      </c>
      <c r="I85" s="111" t="s">
        <v>1</v>
      </c>
      <c r="J85" s="111" t="s">
        <v>157</v>
      </c>
      <c r="K85" s="410" t="s">
        <v>161</v>
      </c>
      <c r="L85" s="410"/>
      <c r="M85" s="107" t="s">
        <v>176</v>
      </c>
      <c r="N85" s="107" t="s">
        <v>160</v>
      </c>
      <c r="O85" s="112"/>
      <c r="R85" s="54"/>
      <c r="S85" s="56"/>
    </row>
    <row r="86" spans="4:19" ht="38.1" customHeight="1" x14ac:dyDescent="0.25">
      <c r="D86" s="523"/>
      <c r="E86" s="407"/>
      <c r="F86" s="113"/>
      <c r="G86" s="114" t="s">
        <v>10</v>
      </c>
      <c r="H86" s="107"/>
      <c r="I86" s="107" t="s">
        <v>7</v>
      </c>
      <c r="J86" s="107" t="s">
        <v>160</v>
      </c>
      <c r="K86" s="110" t="s">
        <v>162</v>
      </c>
      <c r="L86" s="110" t="s">
        <v>163</v>
      </c>
      <c r="M86" s="107" t="s">
        <v>178</v>
      </c>
      <c r="N86" s="107" t="s">
        <v>166</v>
      </c>
      <c r="O86" s="111" t="s">
        <v>169</v>
      </c>
      <c r="R86" s="54"/>
      <c r="S86" s="56"/>
    </row>
    <row r="87" spans="4:19" ht="38.1" customHeight="1" x14ac:dyDescent="0.25">
      <c r="D87" s="524"/>
      <c r="E87" s="398"/>
      <c r="F87" s="113" t="s">
        <v>77</v>
      </c>
      <c r="G87" s="113" t="s">
        <v>9</v>
      </c>
      <c r="H87" s="111"/>
      <c r="I87" s="111"/>
      <c r="J87" s="111"/>
      <c r="K87" s="410"/>
      <c r="L87" s="411"/>
      <c r="M87" s="115"/>
      <c r="N87" s="111"/>
      <c r="O87" s="111"/>
      <c r="R87" s="54"/>
      <c r="S87" s="56"/>
    </row>
    <row r="88" spans="4:19" ht="39.950000000000003" customHeight="1" x14ac:dyDescent="0.3">
      <c r="D88" s="387"/>
      <c r="E88" s="403"/>
      <c r="F88" s="215" t="s">
        <v>256</v>
      </c>
      <c r="G88" s="216"/>
      <c r="H88" s="217"/>
      <c r="I88" s="218"/>
      <c r="J88" s="219"/>
      <c r="K88" s="415"/>
      <c r="L88" s="415"/>
      <c r="M88" s="219"/>
      <c r="N88" s="212"/>
      <c r="O88" s="63"/>
      <c r="R88" s="54"/>
      <c r="S88" s="56"/>
    </row>
    <row r="89" spans="4:19" ht="39.950000000000003" customHeight="1" x14ac:dyDescent="0.3">
      <c r="D89" s="388" t="s">
        <v>419</v>
      </c>
      <c r="E89" s="404" t="s">
        <v>345</v>
      </c>
      <c r="F89" s="220" t="s">
        <v>257</v>
      </c>
      <c r="G89" s="221" t="s">
        <v>258</v>
      </c>
      <c r="H89" s="222">
        <v>15</v>
      </c>
      <c r="I89" s="201">
        <v>2309</v>
      </c>
      <c r="J89" s="201">
        <v>2309</v>
      </c>
      <c r="K89" s="200">
        <f>IFERROR(IF(ROUND((((J89/H89*30.4)-VLOOKUP((J89/H89*30.4),TARIFA,1))*VLOOKUP((J89/H89*30.4),TARIFA,3)+VLOOKUP((J89/H89*30.4),TARIFA,2)-VLOOKUP((J89/H89*30.4),SUBSIDIO,2))/30.4*H89,2)&lt;0,ROUND(-(((J89/H89*30.4)-VLOOKUP((J89/H89*30.4),TARIFA,1))*VLOOKUP((J89/H89*30.4),TARIFA,3)+VLOOKUP((J89/H89*30.4),TARIFA,2)-VLOOKUP((J89/H89*30.4),SUBSIDIO,2))/30.4*H89,2),0),0)</f>
        <v>41.26</v>
      </c>
      <c r="L89" s="200">
        <f>IFERROR(IF(ROUND((((J89/H89*30.4)-VLOOKUP((J89/H89*30.4),TARIFA,1))*VLOOKUP((J89/H89*30.4),TARIFA,3)+VLOOKUP((J89/H89*30.4),TARIFA,2)-VLOOKUP((J89/H89*30.4),SUBSIDIO,2))/30.4*H89,2)&gt;0,ROUND((((J89/H89*30.4)-VLOOKUP((J89/H89*30.4),TARIFA,1))*VLOOKUP((J89/H89*30.4),TARIFA,3)+VLOOKUP((J89/H89*30.4),TARIFA,2)-VLOOKUP((J89/H89*30.4),SUBSIDIO,2))/30.4*H89,2),0),0)</f>
        <v>0</v>
      </c>
      <c r="M89" s="201"/>
      <c r="N89" s="201">
        <f t="shared" ref="N89:N91" si="4">J89+K89-L89-M89</f>
        <v>2350.2600000000002</v>
      </c>
      <c r="O89" s="19"/>
      <c r="R89" s="54"/>
      <c r="S89" s="56"/>
    </row>
    <row r="90" spans="4:19" ht="39.950000000000003" customHeight="1" x14ac:dyDescent="0.3">
      <c r="D90" s="388"/>
      <c r="E90" s="389"/>
      <c r="F90" s="232" t="s">
        <v>259</v>
      </c>
      <c r="G90" s="233"/>
      <c r="H90" s="222"/>
      <c r="I90" s="206"/>
      <c r="J90" s="201"/>
      <c r="K90" s="200"/>
      <c r="L90" s="200"/>
      <c r="M90" s="201"/>
      <c r="N90" s="201"/>
      <c r="O90" s="19"/>
      <c r="R90" s="54"/>
      <c r="S90" s="56"/>
    </row>
    <row r="91" spans="4:19" ht="39.950000000000003" customHeight="1" x14ac:dyDescent="0.3">
      <c r="D91" s="388" t="s">
        <v>420</v>
      </c>
      <c r="E91" s="389" t="s">
        <v>336</v>
      </c>
      <c r="F91" s="223" t="s">
        <v>487</v>
      </c>
      <c r="G91" s="233" t="s">
        <v>260</v>
      </c>
      <c r="H91" s="222">
        <v>15</v>
      </c>
      <c r="I91" s="201">
        <v>2983</v>
      </c>
      <c r="J91" s="201">
        <v>2983</v>
      </c>
      <c r="K91" s="200">
        <f>IFERROR(IF(ROUND((((J91/H91*30.4)-VLOOKUP((J91/H91*30.4),TARIFA,1))*VLOOKUP((J91/H91*30.4),TARIFA,3)+VLOOKUP((J91/H91*30.4),TARIFA,2)-VLOOKUP((J91/H91*30.4),SUBSIDIO,2))/30.4*H91,2)&lt;0,ROUND(-(((J91/H91*30.4)-VLOOKUP((J91/H91*30.4),TARIFA,1))*VLOOKUP((J91/H91*30.4),TARIFA,3)+VLOOKUP((J91/H91*30.4),TARIFA,2)-VLOOKUP((J91/H91*30.4),SUBSIDIO,2))/30.4*H91,2),0),0)</f>
        <v>0</v>
      </c>
      <c r="L91" s="200">
        <f>IFERROR(IF(ROUND((((J91/H91*30.4)-VLOOKUP((J91/H91*30.4),TARIFA,1))*VLOOKUP((J91/H91*30.4),TARIFA,3)+VLOOKUP((J91/H91*30.4),TARIFA,2)-VLOOKUP((J91/H91*30.4),SUBSIDIO,2))/30.4*H91,2)&gt;0,ROUND((((J91/H91*30.4)-VLOOKUP((J91/H91*30.4),TARIFA,1))*VLOOKUP((J91/H91*30.4),TARIFA,3)+VLOOKUP((J91/H91*30.4),TARIFA,2)-VLOOKUP((J91/H91*30.4),SUBSIDIO,2))/30.4*H91,2),0),0)</f>
        <v>43.99</v>
      </c>
      <c r="M91" s="201"/>
      <c r="N91" s="201">
        <f t="shared" si="4"/>
        <v>2939.01</v>
      </c>
      <c r="O91" s="19"/>
      <c r="R91" s="54"/>
      <c r="S91" s="56"/>
    </row>
    <row r="92" spans="4:19" ht="36.75" customHeight="1" x14ac:dyDescent="0.3">
      <c r="D92" s="388"/>
      <c r="E92" s="404"/>
      <c r="F92" s="234" t="s">
        <v>262</v>
      </c>
      <c r="G92" s="221"/>
      <c r="H92" s="222"/>
      <c r="I92" s="206"/>
      <c r="J92" s="201"/>
      <c r="K92" s="200"/>
      <c r="L92" s="200"/>
      <c r="M92" s="201"/>
      <c r="N92" s="201"/>
      <c r="O92" s="19"/>
      <c r="R92" s="54"/>
      <c r="S92" s="56"/>
    </row>
    <row r="93" spans="4:19" ht="3" hidden="1" customHeight="1" x14ac:dyDescent="0.3">
      <c r="D93" s="388"/>
      <c r="E93" s="404"/>
      <c r="F93" s="220"/>
      <c r="G93" s="225"/>
      <c r="H93" s="222">
        <v>0</v>
      </c>
      <c r="I93" s="201">
        <v>0</v>
      </c>
      <c r="J93" s="201">
        <v>0</v>
      </c>
      <c r="K93" s="200">
        <v>0</v>
      </c>
      <c r="L93" s="200"/>
      <c r="M93" s="201"/>
      <c r="N93" s="201">
        <v>0</v>
      </c>
      <c r="O93" s="19"/>
      <c r="R93" s="54"/>
      <c r="S93" s="56"/>
    </row>
    <row r="94" spans="4:19" ht="39.950000000000003" customHeight="1" x14ac:dyDescent="0.3">
      <c r="D94" s="388" t="s">
        <v>421</v>
      </c>
      <c r="E94" s="404" t="s">
        <v>345</v>
      </c>
      <c r="F94" s="220" t="s">
        <v>278</v>
      </c>
      <c r="G94" s="225" t="s">
        <v>263</v>
      </c>
      <c r="H94" s="222">
        <v>15</v>
      </c>
      <c r="I94" s="201">
        <v>2309</v>
      </c>
      <c r="J94" s="201">
        <v>2309</v>
      </c>
      <c r="K94" s="200">
        <f>IFERROR(IF(ROUND((((J94/H94*30.4)-VLOOKUP((J94/H94*30.4),TARIFA,1))*VLOOKUP((J94/H94*30.4),TARIFA,3)+VLOOKUP((J94/H94*30.4),TARIFA,2)-VLOOKUP((J94/H94*30.4),SUBSIDIO,2))/30.4*H94,2)&lt;0,ROUND(-(((J94/H94*30.4)-VLOOKUP((J94/H94*30.4),TARIFA,1))*VLOOKUP((J94/H94*30.4),TARIFA,3)+VLOOKUP((J94/H94*30.4),TARIFA,2)-VLOOKUP((J94/H94*30.4),SUBSIDIO,2))/30.4*H94,2),0),0)</f>
        <v>41.26</v>
      </c>
      <c r="L94" s="200">
        <f>IFERROR(IF(ROUND((((J94/H94*30.4)-VLOOKUP((J94/H94*30.4),TARIFA,1))*VLOOKUP((J94/H94*30.4),TARIFA,3)+VLOOKUP((J94/H94*30.4),TARIFA,2)-VLOOKUP((J94/H94*30.4),SUBSIDIO,2))/30.4*H94,2)&gt;0,ROUND((((J94/H94*30.4)-VLOOKUP((J94/H94*30.4),TARIFA,1))*VLOOKUP((J94/H94*30.4),TARIFA,3)+VLOOKUP((J94/H94*30.4),TARIFA,2)-VLOOKUP((J94/H94*30.4),SUBSIDIO,2))/30.4*H94,2),0),0)</f>
        <v>0</v>
      </c>
      <c r="M94" s="201"/>
      <c r="N94" s="201">
        <f t="shared" ref="N94" si="5">J94+K94-L94-M94</f>
        <v>2350.2600000000002</v>
      </c>
      <c r="O94" s="19"/>
      <c r="R94" s="54"/>
      <c r="S94" s="56"/>
    </row>
    <row r="95" spans="4:19" ht="39.950000000000003" customHeight="1" x14ac:dyDescent="0.3">
      <c r="D95" s="388"/>
      <c r="E95" s="404"/>
      <c r="F95" s="234" t="s">
        <v>264</v>
      </c>
      <c r="G95" s="225"/>
      <c r="H95" s="222"/>
      <c r="I95" s="206"/>
      <c r="J95" s="201"/>
      <c r="K95" s="200"/>
      <c r="L95" s="200"/>
      <c r="M95" s="201"/>
      <c r="N95" s="201"/>
      <c r="O95" s="19"/>
      <c r="R95" s="54"/>
      <c r="S95" s="56"/>
    </row>
    <row r="96" spans="4:19" ht="39.950000000000003" customHeight="1" x14ac:dyDescent="0.3">
      <c r="D96" s="388" t="s">
        <v>422</v>
      </c>
      <c r="E96" s="404" t="s">
        <v>345</v>
      </c>
      <c r="F96" s="220" t="s">
        <v>287</v>
      </c>
      <c r="G96" s="225" t="s">
        <v>33</v>
      </c>
      <c r="H96" s="222">
        <v>15</v>
      </c>
      <c r="I96" s="201">
        <v>2309</v>
      </c>
      <c r="J96" s="201">
        <v>2309</v>
      </c>
      <c r="K96" s="200">
        <f t="shared" ref="K96:K109" si="6">IFERROR(IF(ROUND((((J96/H96*30.4)-VLOOKUP((J96/H96*30.4),TARIFA,1))*VLOOKUP((J96/H96*30.4),TARIFA,3)+VLOOKUP((J96/H96*30.4),TARIFA,2)-VLOOKUP((J96/H96*30.4),SUBSIDIO,2))/30.4*H96,2)&lt;0,ROUND(-(((J96/H96*30.4)-VLOOKUP((J96/H96*30.4),TARIFA,1))*VLOOKUP((J96/H96*30.4),TARIFA,3)+VLOOKUP((J96/H96*30.4),TARIFA,2)-VLOOKUP((J96/H96*30.4),SUBSIDIO,2))/30.4*H96,2),0),0)</f>
        <v>41.26</v>
      </c>
      <c r="L96" s="200">
        <f t="shared" ref="L96:L109" si="7">IFERROR(IF(ROUND((((J96/H96*30.4)-VLOOKUP((J96/H96*30.4),TARIFA,1))*VLOOKUP((J96/H96*30.4),TARIFA,3)+VLOOKUP((J96/H96*30.4),TARIFA,2)-VLOOKUP((J96/H96*30.4),SUBSIDIO,2))/30.4*H96,2)&gt;0,ROUND((((J96/H96*30.4)-VLOOKUP((J96/H96*30.4),TARIFA,1))*VLOOKUP((J96/H96*30.4),TARIFA,3)+VLOOKUP((J96/H96*30.4),TARIFA,2)-VLOOKUP((J96/H96*30.4),SUBSIDIO,2))/30.4*H96,2),0),0)</f>
        <v>0</v>
      </c>
      <c r="M96" s="201"/>
      <c r="N96" s="201">
        <f t="shared" ref="N96:N109" si="8">J96+K96-L96-M96</f>
        <v>2350.2600000000002</v>
      </c>
      <c r="O96" s="19"/>
      <c r="R96" s="54"/>
      <c r="S96" s="56"/>
    </row>
    <row r="97" spans="4:19" ht="39.950000000000003" customHeight="1" x14ac:dyDescent="0.3">
      <c r="D97" s="388" t="s">
        <v>423</v>
      </c>
      <c r="E97" s="404" t="s">
        <v>345</v>
      </c>
      <c r="F97" s="220" t="s">
        <v>288</v>
      </c>
      <c r="G97" s="225" t="s">
        <v>33</v>
      </c>
      <c r="H97" s="222">
        <v>15</v>
      </c>
      <c r="I97" s="201">
        <v>2309</v>
      </c>
      <c r="J97" s="201">
        <v>2309</v>
      </c>
      <c r="K97" s="200">
        <f t="shared" si="6"/>
        <v>41.26</v>
      </c>
      <c r="L97" s="200">
        <f t="shared" si="7"/>
        <v>0</v>
      </c>
      <c r="M97" s="201"/>
      <c r="N97" s="201">
        <f t="shared" si="8"/>
        <v>2350.2600000000002</v>
      </c>
      <c r="O97" s="19"/>
      <c r="R97" s="54"/>
      <c r="S97" s="56"/>
    </row>
    <row r="98" spans="4:19" ht="39.950000000000003" customHeight="1" x14ac:dyDescent="0.3">
      <c r="D98" s="388" t="s">
        <v>424</v>
      </c>
      <c r="E98" s="404" t="s">
        <v>336</v>
      </c>
      <c r="F98" s="220" t="s">
        <v>289</v>
      </c>
      <c r="G98" s="225" t="s">
        <v>290</v>
      </c>
      <c r="H98" s="222">
        <v>15</v>
      </c>
      <c r="I98" s="226">
        <v>2537</v>
      </c>
      <c r="J98" s="201">
        <v>2537</v>
      </c>
      <c r="K98" s="200">
        <f t="shared" si="6"/>
        <v>12.18</v>
      </c>
      <c r="L98" s="200">
        <f t="shared" si="7"/>
        <v>0</v>
      </c>
      <c r="M98" s="201">
        <v>0</v>
      </c>
      <c r="N98" s="201">
        <f t="shared" si="8"/>
        <v>2549.1799999999998</v>
      </c>
      <c r="O98" s="19"/>
      <c r="R98" s="54"/>
      <c r="S98" s="56"/>
    </row>
    <row r="99" spans="4:19" ht="39.950000000000003" customHeight="1" x14ac:dyDescent="0.3">
      <c r="D99" s="388" t="s">
        <v>425</v>
      </c>
      <c r="E99" s="404" t="s">
        <v>336</v>
      </c>
      <c r="F99" s="220" t="s">
        <v>265</v>
      </c>
      <c r="G99" s="225" t="s">
        <v>33</v>
      </c>
      <c r="H99" s="222">
        <v>15</v>
      </c>
      <c r="I99" s="206">
        <v>2415</v>
      </c>
      <c r="J99" s="201">
        <v>2415</v>
      </c>
      <c r="K99" s="200">
        <f t="shared" si="6"/>
        <v>19.98</v>
      </c>
      <c r="L99" s="200">
        <f t="shared" si="7"/>
        <v>0</v>
      </c>
      <c r="M99" s="201">
        <v>0</v>
      </c>
      <c r="N99" s="201">
        <f t="shared" si="8"/>
        <v>2434.98</v>
      </c>
      <c r="O99" s="19"/>
      <c r="R99" s="54"/>
      <c r="S99" s="56"/>
    </row>
    <row r="100" spans="4:19" ht="39.950000000000003" customHeight="1" x14ac:dyDescent="0.3">
      <c r="D100" s="388" t="s">
        <v>426</v>
      </c>
      <c r="E100" s="404" t="s">
        <v>345</v>
      </c>
      <c r="F100" s="220" t="s">
        <v>266</v>
      </c>
      <c r="G100" s="225" t="s">
        <v>33</v>
      </c>
      <c r="H100" s="222">
        <v>15</v>
      </c>
      <c r="I100" s="206">
        <v>2415</v>
      </c>
      <c r="J100" s="201">
        <v>2415</v>
      </c>
      <c r="K100" s="200">
        <f t="shared" si="6"/>
        <v>19.98</v>
      </c>
      <c r="L100" s="200">
        <f t="shared" si="7"/>
        <v>0</v>
      </c>
      <c r="M100" s="201">
        <v>0</v>
      </c>
      <c r="N100" s="201">
        <f t="shared" si="8"/>
        <v>2434.98</v>
      </c>
      <c r="O100" s="19"/>
      <c r="R100" s="54"/>
      <c r="S100" s="56"/>
    </row>
    <row r="101" spans="4:19" ht="39.75" customHeight="1" x14ac:dyDescent="0.3">
      <c r="D101" s="388" t="s">
        <v>427</v>
      </c>
      <c r="E101" s="404" t="s">
        <v>345</v>
      </c>
      <c r="F101" s="220" t="s">
        <v>274</v>
      </c>
      <c r="G101" s="225" t="s">
        <v>44</v>
      </c>
      <c r="H101" s="222">
        <v>15</v>
      </c>
      <c r="I101" s="206">
        <v>2493</v>
      </c>
      <c r="J101" s="201">
        <v>2493</v>
      </c>
      <c r="K101" s="200">
        <f t="shared" si="6"/>
        <v>14.99</v>
      </c>
      <c r="L101" s="200">
        <f t="shared" si="7"/>
        <v>0</v>
      </c>
      <c r="M101" s="201"/>
      <c r="N101" s="201">
        <f t="shared" si="8"/>
        <v>2507.9899999999998</v>
      </c>
      <c r="O101" s="19"/>
      <c r="R101" s="54"/>
      <c r="S101" s="56"/>
    </row>
    <row r="102" spans="4:19" ht="37.5" hidden="1" customHeight="1" x14ac:dyDescent="0.3">
      <c r="D102" s="388">
        <v>53</v>
      </c>
      <c r="E102" s="404"/>
      <c r="F102" s="220"/>
      <c r="G102" s="225"/>
      <c r="H102" s="222"/>
      <c r="I102" s="206"/>
      <c r="J102" s="201"/>
      <c r="K102" s="200">
        <f t="shared" si="6"/>
        <v>0</v>
      </c>
      <c r="L102" s="200">
        <f t="shared" si="7"/>
        <v>0</v>
      </c>
      <c r="M102" s="201"/>
      <c r="N102" s="201">
        <f t="shared" si="8"/>
        <v>0</v>
      </c>
      <c r="O102" s="19"/>
      <c r="R102" s="54"/>
      <c r="S102" s="56"/>
    </row>
    <row r="103" spans="4:19" ht="1.5" hidden="1" customHeight="1" x14ac:dyDescent="0.3">
      <c r="D103" s="388"/>
      <c r="E103" s="404"/>
      <c r="F103" s="167"/>
      <c r="G103" s="225"/>
      <c r="H103" s="222"/>
      <c r="I103" s="206"/>
      <c r="J103" s="201"/>
      <c r="K103" s="200">
        <f t="shared" si="6"/>
        <v>0</v>
      </c>
      <c r="L103" s="200">
        <f t="shared" si="7"/>
        <v>0</v>
      </c>
      <c r="M103" s="201"/>
      <c r="N103" s="201">
        <f t="shared" si="8"/>
        <v>0</v>
      </c>
      <c r="O103" s="19"/>
      <c r="R103" s="54"/>
      <c r="S103" s="56"/>
    </row>
    <row r="104" spans="4:19" ht="0.75" hidden="1" customHeight="1" x14ac:dyDescent="0.3">
      <c r="D104" s="388"/>
      <c r="E104" s="404"/>
      <c r="F104" s="167"/>
      <c r="G104" s="225"/>
      <c r="H104" s="222"/>
      <c r="I104" s="206"/>
      <c r="J104" s="201"/>
      <c r="K104" s="200">
        <f t="shared" si="6"/>
        <v>0</v>
      </c>
      <c r="L104" s="200">
        <f t="shared" si="7"/>
        <v>0</v>
      </c>
      <c r="M104" s="201"/>
      <c r="N104" s="201">
        <f t="shared" si="8"/>
        <v>0</v>
      </c>
      <c r="O104" s="19"/>
      <c r="R104" s="54"/>
      <c r="S104" s="56"/>
    </row>
    <row r="105" spans="4:19" ht="39.950000000000003" customHeight="1" x14ac:dyDescent="0.3">
      <c r="D105" s="388" t="s">
        <v>428</v>
      </c>
      <c r="E105" s="404" t="s">
        <v>345</v>
      </c>
      <c r="F105" s="167" t="s">
        <v>282</v>
      </c>
      <c r="G105" s="225" t="s">
        <v>39</v>
      </c>
      <c r="H105" s="222">
        <v>15</v>
      </c>
      <c r="I105" s="206">
        <v>2896</v>
      </c>
      <c r="J105" s="201">
        <v>2896</v>
      </c>
      <c r="K105" s="200">
        <f t="shared" si="6"/>
        <v>0</v>
      </c>
      <c r="L105" s="200">
        <f t="shared" si="7"/>
        <v>34.520000000000003</v>
      </c>
      <c r="M105" s="201"/>
      <c r="N105" s="201">
        <f t="shared" si="8"/>
        <v>2861.48</v>
      </c>
      <c r="O105" s="19"/>
      <c r="R105" s="54"/>
      <c r="S105" s="56"/>
    </row>
    <row r="106" spans="4:19" ht="39.950000000000003" customHeight="1" x14ac:dyDescent="0.3">
      <c r="D106" s="388" t="s">
        <v>429</v>
      </c>
      <c r="E106" s="404" t="s">
        <v>345</v>
      </c>
      <c r="F106" s="167" t="s">
        <v>283</v>
      </c>
      <c r="G106" s="225" t="s">
        <v>484</v>
      </c>
      <c r="H106" s="222">
        <v>15</v>
      </c>
      <c r="I106" s="206">
        <v>4101</v>
      </c>
      <c r="J106" s="201">
        <v>4101</v>
      </c>
      <c r="K106" s="200">
        <f t="shared" si="6"/>
        <v>0</v>
      </c>
      <c r="L106" s="200">
        <f t="shared" si="7"/>
        <v>311</v>
      </c>
      <c r="M106" s="201"/>
      <c r="N106" s="201">
        <f t="shared" si="8"/>
        <v>3790</v>
      </c>
      <c r="O106" s="19"/>
      <c r="R106" s="54"/>
      <c r="S106" s="56"/>
    </row>
    <row r="107" spans="4:19" ht="39.950000000000003" customHeight="1" x14ac:dyDescent="0.3">
      <c r="D107" s="388" t="s">
        <v>503</v>
      </c>
      <c r="E107" s="404" t="s">
        <v>345</v>
      </c>
      <c r="F107" s="167" t="s">
        <v>482</v>
      </c>
      <c r="G107" s="225" t="s">
        <v>483</v>
      </c>
      <c r="H107" s="222">
        <v>15</v>
      </c>
      <c r="I107" s="206">
        <v>5153</v>
      </c>
      <c r="J107" s="201">
        <v>5153</v>
      </c>
      <c r="K107" s="200">
        <f t="shared" si="6"/>
        <v>0</v>
      </c>
      <c r="L107" s="200">
        <f t="shared" si="7"/>
        <v>446.4</v>
      </c>
      <c r="M107" s="201"/>
      <c r="N107" s="201">
        <f t="shared" si="8"/>
        <v>4706.6000000000004</v>
      </c>
      <c r="O107" s="19"/>
      <c r="R107" s="54"/>
      <c r="S107" s="56"/>
    </row>
    <row r="108" spans="4:19" ht="39.950000000000003" customHeight="1" x14ac:dyDescent="0.3">
      <c r="D108" s="388" t="s">
        <v>430</v>
      </c>
      <c r="E108" s="404" t="s">
        <v>336</v>
      </c>
      <c r="F108" s="167" t="s">
        <v>284</v>
      </c>
      <c r="G108" s="225" t="s">
        <v>39</v>
      </c>
      <c r="H108" s="222">
        <v>15</v>
      </c>
      <c r="I108" s="206">
        <v>2896</v>
      </c>
      <c r="J108" s="201">
        <v>2896</v>
      </c>
      <c r="K108" s="200">
        <f t="shared" si="6"/>
        <v>0</v>
      </c>
      <c r="L108" s="200">
        <f t="shared" si="7"/>
        <v>34.520000000000003</v>
      </c>
      <c r="M108" s="201"/>
      <c r="N108" s="201">
        <f t="shared" si="8"/>
        <v>2861.48</v>
      </c>
      <c r="O108" s="19"/>
      <c r="R108" s="54"/>
      <c r="S108" s="56"/>
    </row>
    <row r="109" spans="4:19" ht="31.5" customHeight="1" x14ac:dyDescent="0.3">
      <c r="D109" s="388" t="s">
        <v>431</v>
      </c>
      <c r="E109" s="404" t="s">
        <v>345</v>
      </c>
      <c r="F109" s="167" t="s">
        <v>285</v>
      </c>
      <c r="G109" s="225" t="s">
        <v>39</v>
      </c>
      <c r="H109" s="222">
        <v>15</v>
      </c>
      <c r="I109" s="206">
        <v>2896</v>
      </c>
      <c r="J109" s="201">
        <v>2896</v>
      </c>
      <c r="K109" s="200">
        <f t="shared" si="6"/>
        <v>0</v>
      </c>
      <c r="L109" s="200">
        <f t="shared" si="7"/>
        <v>34.520000000000003</v>
      </c>
      <c r="M109" s="201"/>
      <c r="N109" s="201">
        <f t="shared" si="8"/>
        <v>2861.48</v>
      </c>
      <c r="O109" s="19"/>
      <c r="R109" s="54"/>
      <c r="S109" s="56"/>
    </row>
    <row r="110" spans="4:19" ht="35.25" hidden="1" customHeight="1" x14ac:dyDescent="0.3">
      <c r="D110" s="388"/>
      <c r="E110" s="404"/>
      <c r="F110" s="167"/>
      <c r="G110" s="220"/>
      <c r="H110" s="456"/>
      <c r="I110" s="201"/>
      <c r="J110" s="201"/>
      <c r="K110" s="200"/>
      <c r="L110" s="200"/>
      <c r="M110" s="201"/>
      <c r="N110" s="201"/>
      <c r="O110" s="19"/>
      <c r="R110" s="54"/>
      <c r="S110" s="56"/>
    </row>
    <row r="111" spans="4:19" ht="39.950000000000003" customHeight="1" x14ac:dyDescent="0.3">
      <c r="D111" s="388"/>
      <c r="E111" s="404"/>
      <c r="F111" s="234" t="s">
        <v>234</v>
      </c>
      <c r="G111" s="225"/>
      <c r="H111" s="222"/>
      <c r="I111" s="206"/>
      <c r="J111" s="201"/>
      <c r="K111" s="200"/>
      <c r="L111" s="200"/>
      <c r="M111" s="201"/>
      <c r="N111" s="201"/>
      <c r="O111" s="19"/>
      <c r="R111" s="54"/>
      <c r="S111" s="56"/>
    </row>
    <row r="112" spans="4:19" ht="41.25" customHeight="1" x14ac:dyDescent="0.3">
      <c r="D112" s="388" t="s">
        <v>432</v>
      </c>
      <c r="E112" s="404" t="s">
        <v>345</v>
      </c>
      <c r="F112" s="220" t="s">
        <v>268</v>
      </c>
      <c r="G112" s="221" t="s">
        <v>269</v>
      </c>
      <c r="H112" s="222">
        <v>15</v>
      </c>
      <c r="I112" s="201">
        <v>2309</v>
      </c>
      <c r="J112" s="201">
        <v>2309</v>
      </c>
      <c r="K112" s="200">
        <f>IFERROR(IF(ROUND((((J112/H112*30.4)-VLOOKUP((J112/H112*30.4),TARIFA,1))*VLOOKUP((J112/H112*30.4),TARIFA,3)+VLOOKUP((J112/H112*30.4),TARIFA,2)-VLOOKUP((J112/H112*30.4),SUBSIDIO,2))/30.4*H112,2)&lt;0,ROUND(-(((J112/H112*30.4)-VLOOKUP((J112/H112*30.4),TARIFA,1))*VLOOKUP((J112/H112*30.4),TARIFA,3)+VLOOKUP((J112/H112*30.4),TARIFA,2)-VLOOKUP((J112/H112*30.4),SUBSIDIO,2))/30.4*H112,2),0),0)</f>
        <v>41.26</v>
      </c>
      <c r="L112" s="200">
        <f>IFERROR(IF(ROUND((((J112/H112*30.4)-VLOOKUP((J112/H112*30.4),TARIFA,1))*VLOOKUP((J112/H112*30.4),TARIFA,3)+VLOOKUP((J112/H112*30.4),TARIFA,2)-VLOOKUP((J112/H112*30.4),SUBSIDIO,2))/30.4*H112,2)&gt;0,ROUND((((J112/H112*30.4)-VLOOKUP((J112/H112*30.4),TARIFA,1))*VLOOKUP((J112/H112*30.4),TARIFA,3)+VLOOKUP((J112/H112*30.4),TARIFA,2)-VLOOKUP((J112/H112*30.4),SUBSIDIO,2))/30.4*H112,2),0),0)</f>
        <v>0</v>
      </c>
      <c r="M112" s="201"/>
      <c r="N112" s="201">
        <f t="shared" ref="N112" si="9">J112+K112-L112-M112</f>
        <v>2350.2600000000002</v>
      </c>
      <c r="O112" s="19"/>
      <c r="R112" s="54"/>
      <c r="S112" s="56"/>
    </row>
    <row r="113" spans="2:19" ht="0.75" customHeight="1" x14ac:dyDescent="0.3">
      <c r="D113" s="388"/>
      <c r="E113" s="404"/>
      <c r="F113" s="234"/>
      <c r="G113" s="145"/>
      <c r="H113" s="140"/>
      <c r="I113" s="158"/>
      <c r="J113" s="143"/>
      <c r="K113" s="366"/>
      <c r="L113" s="366"/>
      <c r="M113" s="143"/>
      <c r="N113" s="143"/>
      <c r="O113" s="19"/>
      <c r="R113" s="54"/>
      <c r="S113" s="56"/>
    </row>
    <row r="114" spans="2:19" ht="39.75" hidden="1" customHeight="1" x14ac:dyDescent="0.3">
      <c r="D114" s="388"/>
      <c r="E114" s="404"/>
      <c r="F114" s="220"/>
      <c r="G114" s="221"/>
      <c r="H114" s="222"/>
      <c r="I114" s="201"/>
      <c r="J114" s="201"/>
      <c r="K114" s="200"/>
      <c r="L114" s="200"/>
      <c r="M114" s="201"/>
      <c r="N114" s="201"/>
      <c r="O114" s="19"/>
      <c r="R114" s="54"/>
      <c r="S114" s="56"/>
    </row>
    <row r="115" spans="2:19" ht="38.1" customHeight="1" x14ac:dyDescent="0.2">
      <c r="D115" s="390"/>
      <c r="E115" s="390"/>
      <c r="F115" s="188"/>
      <c r="G115" s="189"/>
      <c r="H115" s="190"/>
      <c r="I115" s="191">
        <f>SUM(I89:I114)</f>
        <v>42330</v>
      </c>
      <c r="J115" s="191">
        <f>SUM(J89:J114)</f>
        <v>42330</v>
      </c>
      <c r="K115" s="418">
        <f>SUM(K89:K114)</f>
        <v>273.43</v>
      </c>
      <c r="L115" s="418">
        <f>SUM(L89:L114)</f>
        <v>904.94999999999993</v>
      </c>
      <c r="M115" s="191"/>
      <c r="N115" s="191">
        <f>SUM(N89:N114)</f>
        <v>41698.48000000001</v>
      </c>
      <c r="O115" s="83"/>
      <c r="R115" s="54"/>
      <c r="S115" s="56"/>
    </row>
    <row r="116" spans="2:19" ht="38.1" customHeight="1" x14ac:dyDescent="0.2">
      <c r="D116" s="390"/>
      <c r="E116" s="390"/>
      <c r="F116" s="188"/>
      <c r="G116" s="189"/>
      <c r="H116" s="190"/>
      <c r="I116" s="191"/>
      <c r="J116" s="191"/>
      <c r="K116" s="418"/>
      <c r="L116" s="418"/>
      <c r="M116" s="191"/>
      <c r="N116" s="191"/>
      <c r="O116" s="83"/>
      <c r="R116" s="54"/>
      <c r="S116" s="56"/>
    </row>
    <row r="117" spans="2:19" ht="38.1" customHeight="1" x14ac:dyDescent="0.2">
      <c r="D117" s="390"/>
      <c r="E117" s="390"/>
      <c r="F117" s="188"/>
      <c r="G117" s="189"/>
      <c r="H117" s="190"/>
      <c r="I117" s="191"/>
      <c r="J117" s="191"/>
      <c r="K117" s="418"/>
      <c r="L117" s="418"/>
      <c r="M117" s="191"/>
      <c r="N117" s="191"/>
      <c r="O117" s="83"/>
      <c r="R117" s="54"/>
      <c r="S117" s="56"/>
    </row>
    <row r="118" spans="2:19" ht="38.1" customHeight="1" x14ac:dyDescent="0.2">
      <c r="D118" s="390"/>
      <c r="E118" s="390"/>
      <c r="F118" s="188"/>
      <c r="G118" s="189"/>
      <c r="H118" s="190"/>
      <c r="I118" s="191"/>
      <c r="J118" s="191"/>
      <c r="K118" s="418"/>
      <c r="L118" s="418"/>
      <c r="M118" s="191"/>
      <c r="N118" s="191"/>
      <c r="O118" s="83"/>
      <c r="R118" s="54"/>
      <c r="S118" s="56"/>
    </row>
    <row r="119" spans="2:19" ht="38.1" customHeight="1" x14ac:dyDescent="0.2">
      <c r="D119" s="390"/>
      <c r="E119" s="390"/>
      <c r="F119" s="188"/>
      <c r="G119" s="189"/>
      <c r="H119" s="190"/>
      <c r="I119" s="191"/>
      <c r="J119" s="191"/>
      <c r="K119" s="418"/>
      <c r="L119" s="418"/>
      <c r="M119" s="191"/>
      <c r="N119" s="191"/>
      <c r="O119" s="83"/>
      <c r="R119" s="54"/>
      <c r="S119" s="56"/>
    </row>
    <row r="120" spans="2:19" ht="20.100000000000001" customHeight="1" x14ac:dyDescent="0.3">
      <c r="D120" s="509" t="s">
        <v>12</v>
      </c>
      <c r="E120" s="509"/>
      <c r="F120" s="509"/>
      <c r="G120" s="509"/>
      <c r="H120" s="509"/>
      <c r="I120" s="509"/>
      <c r="J120" s="509"/>
      <c r="K120" s="509"/>
      <c r="L120" s="509"/>
      <c r="M120" s="509"/>
      <c r="N120" s="509"/>
      <c r="O120" s="509"/>
      <c r="R120" s="54"/>
      <c r="S120" s="56"/>
    </row>
    <row r="121" spans="2:19" ht="20.100000000000001" customHeight="1" x14ac:dyDescent="0.3">
      <c r="D121" s="509" t="s">
        <v>171</v>
      </c>
      <c r="E121" s="509"/>
      <c r="F121" s="509"/>
      <c r="G121" s="509"/>
      <c r="H121" s="509"/>
      <c r="I121" s="509"/>
      <c r="J121" s="509"/>
      <c r="K121" s="509"/>
      <c r="L121" s="509"/>
      <c r="M121" s="509"/>
      <c r="N121" s="509"/>
      <c r="O121" s="509"/>
      <c r="R121" s="54"/>
      <c r="S121" s="56"/>
    </row>
    <row r="122" spans="2:19" ht="20.100000000000001" customHeight="1" x14ac:dyDescent="0.3">
      <c r="D122" s="510" t="str">
        <f>D5</f>
        <v>NOMINA 2DA QUINCENA DE ENERO DE 2021</v>
      </c>
      <c r="E122" s="510"/>
      <c r="F122" s="510"/>
      <c r="G122" s="510"/>
      <c r="H122" s="510"/>
      <c r="I122" s="510"/>
      <c r="J122" s="510"/>
      <c r="K122" s="510"/>
      <c r="L122" s="510"/>
      <c r="M122" s="510"/>
      <c r="N122" s="510"/>
      <c r="O122" s="510"/>
      <c r="R122" s="54"/>
      <c r="S122" s="56"/>
    </row>
    <row r="123" spans="2:19" ht="20.100000000000001" customHeight="1" x14ac:dyDescent="0.3">
      <c r="D123" s="510" t="s">
        <v>158</v>
      </c>
      <c r="E123" s="510"/>
      <c r="F123" s="510"/>
      <c r="G123" s="510"/>
      <c r="H123" s="510"/>
      <c r="I123" s="510"/>
      <c r="J123" s="510"/>
      <c r="K123" s="510"/>
      <c r="L123" s="510"/>
      <c r="M123" s="510"/>
      <c r="N123" s="510"/>
      <c r="O123" s="510"/>
      <c r="R123" s="54"/>
      <c r="S123" s="56"/>
    </row>
    <row r="124" spans="2:19" ht="33" customHeight="1" x14ac:dyDescent="0.2">
      <c r="D124" s="522" t="s">
        <v>378</v>
      </c>
      <c r="E124" s="406" t="s">
        <v>324</v>
      </c>
      <c r="F124" s="106"/>
      <c r="G124" s="106"/>
      <c r="H124" s="107" t="s">
        <v>4</v>
      </c>
      <c r="I124" s="516" t="s">
        <v>0</v>
      </c>
      <c r="J124" s="517"/>
      <c r="K124" s="518"/>
      <c r="L124" s="409"/>
      <c r="M124" s="108"/>
      <c r="N124" s="107"/>
      <c r="O124" s="109"/>
      <c r="R124" s="54"/>
      <c r="S124" s="56"/>
    </row>
    <row r="125" spans="2:19" ht="33" customHeight="1" x14ac:dyDescent="0.2">
      <c r="D125" s="523"/>
      <c r="E125" s="407" t="s">
        <v>325</v>
      </c>
      <c r="F125" s="107"/>
      <c r="G125" s="116"/>
      <c r="H125" s="110" t="s">
        <v>5</v>
      </c>
      <c r="I125" s="111" t="s">
        <v>1</v>
      </c>
      <c r="J125" s="111" t="s">
        <v>157</v>
      </c>
      <c r="K125" s="410" t="s">
        <v>161</v>
      </c>
      <c r="L125" s="410"/>
      <c r="M125" s="107" t="s">
        <v>176</v>
      </c>
      <c r="N125" s="107" t="s">
        <v>160</v>
      </c>
      <c r="O125" s="112"/>
      <c r="R125" s="54"/>
      <c r="S125" s="56"/>
    </row>
    <row r="126" spans="2:19" ht="33" customHeight="1" x14ac:dyDescent="0.25">
      <c r="D126" s="523"/>
      <c r="E126" s="407"/>
      <c r="F126" s="113"/>
      <c r="G126" s="113" t="s">
        <v>10</v>
      </c>
      <c r="H126" s="107"/>
      <c r="I126" s="107" t="s">
        <v>7</v>
      </c>
      <c r="J126" s="107" t="s">
        <v>160</v>
      </c>
      <c r="K126" s="110" t="s">
        <v>162</v>
      </c>
      <c r="L126" s="110" t="s">
        <v>163</v>
      </c>
      <c r="M126" s="107" t="s">
        <v>178</v>
      </c>
      <c r="N126" s="107" t="s">
        <v>166</v>
      </c>
      <c r="O126" s="111" t="s">
        <v>169</v>
      </c>
      <c r="R126" s="54"/>
      <c r="S126" s="56"/>
    </row>
    <row r="127" spans="2:19" ht="33" customHeight="1" x14ac:dyDescent="0.25">
      <c r="D127" s="524"/>
      <c r="E127" s="398"/>
      <c r="F127" s="113" t="s">
        <v>77</v>
      </c>
      <c r="G127" s="113" t="s">
        <v>9</v>
      </c>
      <c r="H127" s="111"/>
      <c r="I127" s="111"/>
      <c r="J127" s="111"/>
      <c r="K127" s="410"/>
      <c r="L127" s="411"/>
      <c r="M127" s="115"/>
      <c r="N127" s="111"/>
      <c r="O127" s="111"/>
      <c r="R127" s="54"/>
      <c r="S127" s="56"/>
    </row>
    <row r="128" spans="2:19" ht="33" customHeight="1" x14ac:dyDescent="0.3">
      <c r="B128" s="80"/>
      <c r="D128" s="447"/>
      <c r="E128" s="448"/>
      <c r="F128" s="449" t="s">
        <v>61</v>
      </c>
      <c r="G128" s="225"/>
      <c r="H128" s="222"/>
      <c r="I128" s="206"/>
      <c r="J128" s="450"/>
      <c r="K128" s="451"/>
      <c r="L128" s="451"/>
      <c r="M128" s="450"/>
      <c r="N128" s="201"/>
      <c r="O128" s="19"/>
      <c r="R128" s="54"/>
      <c r="S128" s="56"/>
    </row>
    <row r="129" spans="4:19" ht="33" customHeight="1" x14ac:dyDescent="0.3">
      <c r="D129" s="391" t="s">
        <v>433</v>
      </c>
      <c r="E129" s="391" t="s">
        <v>336</v>
      </c>
      <c r="F129" s="452" t="s">
        <v>86</v>
      </c>
      <c r="G129" s="453" t="s">
        <v>87</v>
      </c>
      <c r="H129" s="454">
        <v>15</v>
      </c>
      <c r="I129" s="455">
        <v>2281</v>
      </c>
      <c r="J129" s="201">
        <v>2281</v>
      </c>
      <c r="K129" s="200">
        <f>IFERROR(IF(ROUND((((J129/H129*30.4)-VLOOKUP((J129/H129*30.4),TARIFA,1))*VLOOKUP((J129/H129*30.4),TARIFA,3)+VLOOKUP((J129/H129*30.4),TARIFA,2)-VLOOKUP((J129/H129*30.4),SUBSIDIO,2))/30.4*H129,2)&lt;0,ROUND(-(((J129/H129*30.4)-VLOOKUP((J129/H129*30.4),TARIFA,1))*VLOOKUP((J129/H129*30.4),TARIFA,3)+VLOOKUP((J129/H129*30.4),TARIFA,2)-VLOOKUP((J129/H129*30.4),SUBSIDIO,2))/30.4*H129,2),0),0)</f>
        <v>43.05</v>
      </c>
      <c r="L129" s="200">
        <f>IFERROR(IF(ROUND((((J129/H129*30.4)-VLOOKUP((J129/H129*30.4),TARIFA,1))*VLOOKUP((J129/H129*30.4),TARIFA,3)+VLOOKUP((J129/H129*30.4),TARIFA,2)-VLOOKUP((J129/H129*30.4),SUBSIDIO,2))/30.4*H129,2)&gt;0,ROUND((((J129/H129*30.4)-VLOOKUP((J129/H129*30.4),TARIFA,1))*VLOOKUP((J129/H129*30.4),TARIFA,3)+VLOOKUP((J129/H129*30.4),TARIFA,2)-VLOOKUP((J129/H129*30.4),SUBSIDIO,2))/30.4*H129,2),0),0)</f>
        <v>0</v>
      </c>
      <c r="M129" s="201">
        <v>0</v>
      </c>
      <c r="N129" s="201">
        <f>J129+K129-L129-M129</f>
        <v>2324.0500000000002</v>
      </c>
      <c r="O129" s="19"/>
      <c r="R129" s="54"/>
      <c r="S129" s="56"/>
    </row>
    <row r="130" spans="4:19" ht="33" customHeight="1" x14ac:dyDescent="0.3">
      <c r="D130" s="382"/>
      <c r="E130" s="382"/>
      <c r="F130" s="234" t="s">
        <v>47</v>
      </c>
      <c r="G130" s="225"/>
      <c r="H130" s="222"/>
      <c r="I130" s="206"/>
      <c r="J130" s="201"/>
      <c r="K130" s="200"/>
      <c r="L130" s="200"/>
      <c r="M130" s="201"/>
      <c r="N130" s="201"/>
      <c r="O130" s="19"/>
      <c r="R130" s="54"/>
      <c r="S130" s="56"/>
    </row>
    <row r="131" spans="4:19" ht="33" customHeight="1" x14ac:dyDescent="0.3">
      <c r="D131" s="382" t="s">
        <v>434</v>
      </c>
      <c r="E131" s="382" t="s">
        <v>345</v>
      </c>
      <c r="F131" s="220" t="s">
        <v>228</v>
      </c>
      <c r="G131" s="225" t="s">
        <v>37</v>
      </c>
      <c r="H131" s="222">
        <v>15</v>
      </c>
      <c r="I131" s="206">
        <v>819</v>
      </c>
      <c r="J131" s="201">
        <f t="shared" ref="J131:J140" si="10">I131</f>
        <v>819</v>
      </c>
      <c r="K131" s="200">
        <f t="shared" ref="K131:K140" si="11">IFERROR(IF(ROUND((((J131/H131*30.4)-VLOOKUP((J131/H131*30.4),TARIFA,1))*VLOOKUP((J131/H131*30.4),TARIFA,3)+VLOOKUP((J131/H131*30.4),TARIFA,2)-VLOOKUP((J131/H131*30.4),SUBSIDIO,2))/30.4*H131,2)&lt;0,ROUND(-(((J131/H131*30.4)-VLOOKUP((J131/H131*30.4),TARIFA,1))*VLOOKUP((J131/H131*30.4),TARIFA,3)+VLOOKUP((J131/H131*30.4),TARIFA,2)-VLOOKUP((J131/H131*30.4),SUBSIDIO,2))/30.4*H131,2),0),0)</f>
        <v>162.66</v>
      </c>
      <c r="L131" s="200">
        <f t="shared" ref="L131:L140" si="12">IFERROR(IF(ROUND((((J131/H131*30.4)-VLOOKUP((J131/H131*30.4),TARIFA,1))*VLOOKUP((J131/H131*30.4),TARIFA,3)+VLOOKUP((J131/H131*30.4),TARIFA,2)-VLOOKUP((J131/H131*30.4),SUBSIDIO,2))/30.4*H131,2)&gt;0,ROUND((((J131/H131*30.4)-VLOOKUP((J131/H131*30.4),TARIFA,1))*VLOOKUP((J131/H131*30.4),TARIFA,3)+VLOOKUP((J131/H131*30.4),TARIFA,2)-VLOOKUP((J131/H131*30.4),SUBSIDIO,2))/30.4*H131,2),0),0)</f>
        <v>0</v>
      </c>
      <c r="M131" s="201">
        <v>0</v>
      </c>
      <c r="N131" s="201">
        <f t="shared" ref="N131:N154" si="13">J131+K131-L131-M131</f>
        <v>981.66</v>
      </c>
      <c r="O131" s="19"/>
      <c r="R131" s="54"/>
      <c r="S131" s="56"/>
    </row>
    <row r="132" spans="4:19" ht="33" customHeight="1" x14ac:dyDescent="0.3">
      <c r="D132" s="382" t="s">
        <v>435</v>
      </c>
      <c r="E132" s="382" t="s">
        <v>336</v>
      </c>
      <c r="F132" s="220" t="s">
        <v>294</v>
      </c>
      <c r="G132" s="225" t="s">
        <v>37</v>
      </c>
      <c r="H132" s="222">
        <v>15</v>
      </c>
      <c r="I132" s="206">
        <v>819</v>
      </c>
      <c r="J132" s="201">
        <f t="shared" si="10"/>
        <v>819</v>
      </c>
      <c r="K132" s="200">
        <f t="shared" si="11"/>
        <v>162.66</v>
      </c>
      <c r="L132" s="200">
        <f t="shared" si="12"/>
        <v>0</v>
      </c>
      <c r="M132" s="201">
        <v>0</v>
      </c>
      <c r="N132" s="201">
        <f t="shared" si="13"/>
        <v>981.66</v>
      </c>
      <c r="O132" s="19"/>
      <c r="R132" s="54"/>
      <c r="S132" s="56"/>
    </row>
    <row r="133" spans="4:19" ht="33" customHeight="1" x14ac:dyDescent="0.3">
      <c r="D133" s="382" t="s">
        <v>436</v>
      </c>
      <c r="E133" s="382" t="s">
        <v>345</v>
      </c>
      <c r="F133" s="220" t="s">
        <v>241</v>
      </c>
      <c r="G133" s="225" t="s">
        <v>37</v>
      </c>
      <c r="H133" s="222">
        <v>15</v>
      </c>
      <c r="I133" s="206">
        <v>819</v>
      </c>
      <c r="J133" s="201">
        <f t="shared" si="10"/>
        <v>819</v>
      </c>
      <c r="K133" s="200">
        <f t="shared" si="11"/>
        <v>162.66</v>
      </c>
      <c r="L133" s="200">
        <f t="shared" si="12"/>
        <v>0</v>
      </c>
      <c r="M133" s="201">
        <v>0</v>
      </c>
      <c r="N133" s="201">
        <f t="shared" si="13"/>
        <v>981.66</v>
      </c>
      <c r="O133" s="19"/>
      <c r="R133" s="54"/>
      <c r="S133" s="56"/>
    </row>
    <row r="134" spans="4:19" ht="33" customHeight="1" x14ac:dyDescent="0.3">
      <c r="D134" s="382" t="s">
        <v>437</v>
      </c>
      <c r="E134" s="382" t="s">
        <v>336</v>
      </c>
      <c r="F134" s="220" t="s">
        <v>113</v>
      </c>
      <c r="G134" s="225" t="s">
        <v>37</v>
      </c>
      <c r="H134" s="222">
        <v>15</v>
      </c>
      <c r="I134" s="206">
        <v>819</v>
      </c>
      <c r="J134" s="201">
        <f t="shared" si="10"/>
        <v>819</v>
      </c>
      <c r="K134" s="200">
        <f t="shared" si="11"/>
        <v>162.66</v>
      </c>
      <c r="L134" s="200">
        <f t="shared" si="12"/>
        <v>0</v>
      </c>
      <c r="M134" s="201">
        <v>0</v>
      </c>
      <c r="N134" s="201">
        <f t="shared" si="13"/>
        <v>981.66</v>
      </c>
      <c r="O134" s="19"/>
      <c r="R134" s="54"/>
      <c r="S134" s="56"/>
    </row>
    <row r="135" spans="4:19" ht="33" customHeight="1" x14ac:dyDescent="0.3">
      <c r="D135" s="382" t="s">
        <v>438</v>
      </c>
      <c r="E135" s="382" t="s">
        <v>345</v>
      </c>
      <c r="F135" s="220" t="s">
        <v>293</v>
      </c>
      <c r="G135" s="225" t="s">
        <v>41</v>
      </c>
      <c r="H135" s="222">
        <v>15</v>
      </c>
      <c r="I135" s="206">
        <v>819</v>
      </c>
      <c r="J135" s="201">
        <f t="shared" si="10"/>
        <v>819</v>
      </c>
      <c r="K135" s="200">
        <f t="shared" si="11"/>
        <v>162.66</v>
      </c>
      <c r="L135" s="200">
        <f t="shared" si="12"/>
        <v>0</v>
      </c>
      <c r="M135" s="201">
        <v>0</v>
      </c>
      <c r="N135" s="201">
        <f t="shared" si="13"/>
        <v>981.66</v>
      </c>
      <c r="O135" s="19"/>
      <c r="R135" s="54"/>
      <c r="S135" s="56"/>
    </row>
    <row r="136" spans="4:19" ht="33" customHeight="1" x14ac:dyDescent="0.3">
      <c r="D136" s="382" t="s">
        <v>439</v>
      </c>
      <c r="E136" s="382" t="s">
        <v>345</v>
      </c>
      <c r="F136" s="220" t="s">
        <v>236</v>
      </c>
      <c r="G136" s="225" t="s">
        <v>37</v>
      </c>
      <c r="H136" s="222">
        <v>15</v>
      </c>
      <c r="I136" s="206">
        <v>819</v>
      </c>
      <c r="J136" s="201">
        <f t="shared" si="10"/>
        <v>819</v>
      </c>
      <c r="K136" s="200">
        <f t="shared" si="11"/>
        <v>162.66</v>
      </c>
      <c r="L136" s="200">
        <f t="shared" si="12"/>
        <v>0</v>
      </c>
      <c r="M136" s="201">
        <v>0</v>
      </c>
      <c r="N136" s="201">
        <f t="shared" si="13"/>
        <v>981.66</v>
      </c>
      <c r="O136" s="19"/>
      <c r="R136" s="54"/>
      <c r="S136" s="56"/>
    </row>
    <row r="137" spans="4:19" ht="33" customHeight="1" x14ac:dyDescent="0.3">
      <c r="D137" s="382" t="s">
        <v>440</v>
      </c>
      <c r="E137" s="382" t="s">
        <v>345</v>
      </c>
      <c r="F137" s="220" t="s">
        <v>242</v>
      </c>
      <c r="G137" s="225" t="s">
        <v>114</v>
      </c>
      <c r="H137" s="222">
        <v>15</v>
      </c>
      <c r="I137" s="206">
        <v>819</v>
      </c>
      <c r="J137" s="201">
        <f t="shared" si="10"/>
        <v>819</v>
      </c>
      <c r="K137" s="200">
        <f t="shared" si="11"/>
        <v>162.66</v>
      </c>
      <c r="L137" s="200">
        <f t="shared" si="12"/>
        <v>0</v>
      </c>
      <c r="M137" s="201">
        <v>0</v>
      </c>
      <c r="N137" s="201">
        <f t="shared" si="13"/>
        <v>981.66</v>
      </c>
      <c r="O137" s="19"/>
      <c r="R137" s="54"/>
      <c r="S137" s="56"/>
    </row>
    <row r="138" spans="4:19" ht="33" customHeight="1" x14ac:dyDescent="0.3">
      <c r="D138" s="382" t="s">
        <v>441</v>
      </c>
      <c r="E138" s="382" t="s">
        <v>345</v>
      </c>
      <c r="F138" s="220" t="s">
        <v>270</v>
      </c>
      <c r="G138" s="221" t="s">
        <v>62</v>
      </c>
      <c r="H138" s="222">
        <v>15</v>
      </c>
      <c r="I138" s="206">
        <v>819</v>
      </c>
      <c r="J138" s="201">
        <f t="shared" si="10"/>
        <v>819</v>
      </c>
      <c r="K138" s="200">
        <f t="shared" si="11"/>
        <v>162.66</v>
      </c>
      <c r="L138" s="200">
        <f t="shared" si="12"/>
        <v>0</v>
      </c>
      <c r="M138" s="201">
        <v>0</v>
      </c>
      <c r="N138" s="201">
        <f t="shared" si="13"/>
        <v>981.66</v>
      </c>
      <c r="O138" s="19"/>
      <c r="R138" s="54"/>
      <c r="S138" s="56"/>
    </row>
    <row r="139" spans="4:19" ht="33" customHeight="1" x14ac:dyDescent="0.3">
      <c r="D139" s="382" t="s">
        <v>442</v>
      </c>
      <c r="E139" s="382" t="s">
        <v>345</v>
      </c>
      <c r="F139" s="220" t="s">
        <v>267</v>
      </c>
      <c r="G139" s="221" t="s">
        <v>142</v>
      </c>
      <c r="H139" s="222">
        <v>15</v>
      </c>
      <c r="I139" s="206">
        <v>819</v>
      </c>
      <c r="J139" s="201">
        <f t="shared" si="10"/>
        <v>819</v>
      </c>
      <c r="K139" s="200">
        <f t="shared" si="11"/>
        <v>162.66</v>
      </c>
      <c r="L139" s="200">
        <f t="shared" si="12"/>
        <v>0</v>
      </c>
      <c r="M139" s="201">
        <v>0</v>
      </c>
      <c r="N139" s="201">
        <f t="shared" si="13"/>
        <v>981.66</v>
      </c>
      <c r="O139" s="19"/>
      <c r="R139" s="54"/>
      <c r="S139" s="56"/>
    </row>
    <row r="140" spans="4:19" ht="33" customHeight="1" x14ac:dyDescent="0.3">
      <c r="D140" s="382" t="s">
        <v>443</v>
      </c>
      <c r="E140" s="382" t="s">
        <v>345</v>
      </c>
      <c r="F140" s="220" t="s">
        <v>292</v>
      </c>
      <c r="G140" s="225" t="s">
        <v>37</v>
      </c>
      <c r="H140" s="222">
        <v>15</v>
      </c>
      <c r="I140" s="206">
        <v>819</v>
      </c>
      <c r="J140" s="201">
        <f t="shared" si="10"/>
        <v>819</v>
      </c>
      <c r="K140" s="200">
        <f t="shared" si="11"/>
        <v>162.66</v>
      </c>
      <c r="L140" s="200">
        <f t="shared" si="12"/>
        <v>0</v>
      </c>
      <c r="M140" s="201">
        <v>0</v>
      </c>
      <c r="N140" s="201">
        <f t="shared" si="13"/>
        <v>981.66</v>
      </c>
      <c r="O140" s="19"/>
      <c r="R140" s="54"/>
      <c r="S140" s="56"/>
    </row>
    <row r="141" spans="4:19" ht="33" customHeight="1" x14ac:dyDescent="0.3">
      <c r="D141" s="382"/>
      <c r="E141" s="382"/>
      <c r="F141" s="449" t="s">
        <v>490</v>
      </c>
      <c r="G141" s="225"/>
      <c r="H141" s="222"/>
      <c r="I141" s="206"/>
      <c r="J141" s="201"/>
      <c r="K141" s="200"/>
      <c r="L141" s="200"/>
      <c r="M141" s="201"/>
      <c r="N141" s="201"/>
      <c r="O141" s="19"/>
      <c r="R141" s="54"/>
      <c r="S141" s="56"/>
    </row>
    <row r="142" spans="4:19" ht="38.25" customHeight="1" x14ac:dyDescent="0.3">
      <c r="D142" s="382" t="s">
        <v>502</v>
      </c>
      <c r="E142" s="382" t="s">
        <v>345</v>
      </c>
      <c r="F142" s="220" t="s">
        <v>488</v>
      </c>
      <c r="G142" s="221" t="s">
        <v>489</v>
      </c>
      <c r="H142" s="222">
        <v>15</v>
      </c>
      <c r="I142" s="206">
        <v>3214</v>
      </c>
      <c r="J142" s="201">
        <v>3214</v>
      </c>
      <c r="K142" s="200">
        <f>IFERROR(IF(ROUND((((J142/H142*30.4)-VLOOKUP((J142/H142*30.4),TARIFA,1))*VLOOKUP((J142/H142*30.4),TARIFA,3)+VLOOKUP((J142/H142*30.4),TARIFA,2)-VLOOKUP((J142/H142*30.4),SUBSIDIO,2))/30.4*H142,2)&lt;0,ROUND(-(((J142/H142*30.4)-VLOOKUP((J142/H142*30.4),TARIFA,1))*VLOOKUP((J142/H142*30.4),TARIFA,3)+VLOOKUP((J142/H142*30.4),TARIFA,2)-VLOOKUP((J142/H142*30.4),SUBSIDIO,2))/30.4*H142,2),0),0)</f>
        <v>0</v>
      </c>
      <c r="L142" s="200">
        <f>IFERROR(IF(ROUND((((J142/H142*30.4)-VLOOKUP((J142/H142*30.4),TARIFA,1))*VLOOKUP((J142/H142*30.4),TARIFA,3)+VLOOKUP((J142/H142*30.4),TARIFA,2)-VLOOKUP((J142/H142*30.4),SUBSIDIO,2))/30.4*H142,2)&gt;0,ROUND((((J142/H142*30.4)-VLOOKUP((J142/H142*30.4),TARIFA,1))*VLOOKUP((J142/H142*30.4),TARIFA,3)+VLOOKUP((J142/H142*30.4),TARIFA,2)-VLOOKUP((J142/H142*30.4),SUBSIDIO,2))/30.4*H142,2),0),0)</f>
        <v>89.4</v>
      </c>
      <c r="M142" s="201"/>
      <c r="N142" s="201">
        <f t="shared" si="13"/>
        <v>3124.6</v>
      </c>
      <c r="O142" s="19"/>
      <c r="R142" s="54"/>
      <c r="S142" s="56"/>
    </row>
    <row r="143" spans="4:19" ht="33" customHeight="1" x14ac:dyDescent="0.3">
      <c r="D143" s="351"/>
      <c r="E143" s="351"/>
      <c r="F143" s="234" t="s">
        <v>509</v>
      </c>
      <c r="G143" s="220"/>
      <c r="H143" s="456"/>
      <c r="I143" s="201"/>
      <c r="J143" s="201"/>
      <c r="K143" s="200"/>
      <c r="L143" s="200"/>
      <c r="M143" s="201"/>
      <c r="N143" s="201"/>
      <c r="O143" s="19"/>
      <c r="R143" s="54"/>
      <c r="S143" s="56"/>
    </row>
    <row r="144" spans="4:19" ht="39" customHeight="1" x14ac:dyDescent="0.3">
      <c r="D144" s="351" t="s">
        <v>445</v>
      </c>
      <c r="E144" s="351" t="s">
        <v>336</v>
      </c>
      <c r="F144" s="220" t="s">
        <v>214</v>
      </c>
      <c r="G144" s="457" t="s">
        <v>510</v>
      </c>
      <c r="H144" s="456">
        <v>15</v>
      </c>
      <c r="I144" s="201">
        <v>4902</v>
      </c>
      <c r="J144" s="201">
        <v>4902</v>
      </c>
      <c r="K144" s="200">
        <f>IFERROR(IF(ROUND((((J144/H144*30.4)-VLOOKUP((J144/H144*30.4),TARIFA,1))*VLOOKUP((J144/H144*30.4),TARIFA,3)+VLOOKUP((J144/H144*30.4),TARIFA,2)-VLOOKUP((J144/H144*30.4),SUBSIDIO,2))/30.4*H144,2)&lt;0,ROUND(-(((J144/H144*30.4)-VLOOKUP((J144/H144*30.4),TARIFA,1))*VLOOKUP((J144/H144*30.4),TARIFA,3)+VLOOKUP((J144/H144*30.4),TARIFA,2)-VLOOKUP((J144/H144*30.4),SUBSIDIO,2))/30.4*H144,2),0),0)</f>
        <v>0</v>
      </c>
      <c r="L144" s="200">
        <f>IFERROR(IF(ROUND((((J144/H144*30.4)-VLOOKUP((J144/H144*30.4),TARIFA,1))*VLOOKUP((J144/H144*30.4),TARIFA,3)+VLOOKUP((J144/H144*30.4),TARIFA,2)-VLOOKUP((J144/H144*30.4),SUBSIDIO,2))/30.4*H144,2)&gt;0,ROUND((((J144/H144*30.4)-VLOOKUP((J144/H144*30.4),TARIFA,1))*VLOOKUP((J144/H144*30.4),TARIFA,3)+VLOOKUP((J144/H144*30.4),TARIFA,2)-VLOOKUP((J144/H144*30.4),SUBSIDIO,2))/30.4*H144,2),0),0)</f>
        <v>406.24</v>
      </c>
      <c r="M144" s="201">
        <v>0</v>
      </c>
      <c r="N144" s="201">
        <f t="shared" si="13"/>
        <v>4495.76</v>
      </c>
      <c r="O144" s="19"/>
      <c r="R144" s="54"/>
      <c r="S144" s="56"/>
    </row>
    <row r="145" spans="4:19" ht="33" customHeight="1" x14ac:dyDescent="0.3">
      <c r="D145" s="392" t="s">
        <v>446</v>
      </c>
      <c r="E145" s="392" t="s">
        <v>336</v>
      </c>
      <c r="F145" s="452" t="s">
        <v>261</v>
      </c>
      <c r="G145" s="458" t="s">
        <v>511</v>
      </c>
      <c r="H145" s="459">
        <v>15</v>
      </c>
      <c r="I145" s="201">
        <v>2983</v>
      </c>
      <c r="J145" s="201">
        <v>2983</v>
      </c>
      <c r="K145" s="200">
        <f>IFERROR(IF(ROUND((((J145/H145*30.4)-VLOOKUP((J145/H145*30.4),TARIFA,1))*VLOOKUP((J145/H145*30.4),TARIFA,3)+VLOOKUP((J145/H145*30.4),TARIFA,2)-VLOOKUP((J145/H145*30.4),SUBSIDIO,2))/30.4*H145,2)&lt;0,ROUND(-(((J145/H145*30.4)-VLOOKUP((J145/H145*30.4),TARIFA,1))*VLOOKUP((J145/H145*30.4),TARIFA,3)+VLOOKUP((J145/H145*30.4),TARIFA,2)-VLOOKUP((J145/H145*30.4),SUBSIDIO,2))/30.4*H145,2),0),0)</f>
        <v>0</v>
      </c>
      <c r="L145" s="200">
        <f>IFERROR(IF(ROUND((((J145/H145*30.4)-VLOOKUP((J145/H145*30.4),TARIFA,1))*VLOOKUP((J145/H145*30.4),TARIFA,3)+VLOOKUP((J145/H145*30.4),TARIFA,2)-VLOOKUP((J145/H145*30.4),SUBSIDIO,2))/30.4*H145,2)&gt;0,ROUND((((J145/H145*30.4)-VLOOKUP((J145/H145*30.4),TARIFA,1))*VLOOKUP((J145/H145*30.4),TARIFA,3)+VLOOKUP((J145/H145*30.4),TARIFA,2)-VLOOKUP((J145/H145*30.4),SUBSIDIO,2))/30.4*H145,2),0),0)</f>
        <v>43.99</v>
      </c>
      <c r="M145" s="201"/>
      <c r="N145" s="201">
        <f t="shared" si="13"/>
        <v>2939.01</v>
      </c>
      <c r="O145" s="19"/>
      <c r="R145" s="54"/>
      <c r="S145" s="56"/>
    </row>
    <row r="146" spans="4:19" ht="7.5" hidden="1" customHeight="1" x14ac:dyDescent="0.3">
      <c r="D146" s="345"/>
      <c r="E146" s="345"/>
      <c r="F146" s="460"/>
      <c r="G146" s="461"/>
      <c r="H146" s="461"/>
      <c r="I146" s="462"/>
      <c r="J146" s="462"/>
      <c r="K146" s="463"/>
      <c r="L146" s="463"/>
      <c r="M146" s="461"/>
      <c r="N146" s="461"/>
      <c r="O146" s="19"/>
      <c r="R146" s="54"/>
      <c r="S146" s="56"/>
    </row>
    <row r="147" spans="4:19" ht="9" hidden="1" customHeight="1" x14ac:dyDescent="0.3">
      <c r="D147" s="393"/>
      <c r="E147" s="351"/>
      <c r="F147" s="464"/>
      <c r="G147" s="465"/>
      <c r="H147" s="466"/>
      <c r="I147" s="206"/>
      <c r="J147" s="201"/>
      <c r="K147" s="414"/>
      <c r="L147" s="414"/>
      <c r="M147" s="212">
        <v>0</v>
      </c>
      <c r="N147" s="212"/>
      <c r="O147" s="19"/>
      <c r="R147" s="54"/>
      <c r="S147" s="56"/>
    </row>
    <row r="148" spans="4:19" ht="33" customHeight="1" x14ac:dyDescent="0.3">
      <c r="D148" s="351"/>
      <c r="E148" s="351"/>
      <c r="F148" s="234" t="s">
        <v>21</v>
      </c>
      <c r="G148" s="220"/>
      <c r="H148" s="456"/>
      <c r="I148" s="201"/>
      <c r="J148" s="201"/>
      <c r="K148" s="200"/>
      <c r="L148" s="200"/>
      <c r="M148" s="201"/>
      <c r="N148" s="201"/>
      <c r="O148" s="19"/>
      <c r="R148" s="54"/>
      <c r="S148" s="56"/>
    </row>
    <row r="149" spans="4:19" ht="33" customHeight="1" x14ac:dyDescent="0.3">
      <c r="D149" s="351" t="s">
        <v>447</v>
      </c>
      <c r="E149" s="351" t="s">
        <v>336</v>
      </c>
      <c r="F149" s="220" t="s">
        <v>212</v>
      </c>
      <c r="G149" s="467" t="s">
        <v>183</v>
      </c>
      <c r="H149" s="456">
        <v>15</v>
      </c>
      <c r="I149" s="201">
        <v>3908</v>
      </c>
      <c r="J149" s="201">
        <v>3908</v>
      </c>
      <c r="K149" s="200">
        <f>IFERROR(IF(ROUND((((J149/H149*30.4)-VLOOKUP((J149/H149*30.4),TARIFA,1))*VLOOKUP((J149/H149*30.4),TARIFA,3)+VLOOKUP((J149/H149*30.4),TARIFA,2)-VLOOKUP((J149/H149*30.4),SUBSIDIO,2))/30.4*H149,2)&lt;0,ROUND(-(((J149/H149*30.4)-VLOOKUP((J149/H149*30.4),TARIFA,1))*VLOOKUP((J149/H149*30.4),TARIFA,3)+VLOOKUP((J149/H149*30.4),TARIFA,2)-VLOOKUP((J149/H149*30.4),SUBSIDIO,2))/30.4*H149,2),0),0)</f>
        <v>0</v>
      </c>
      <c r="L149" s="200">
        <f>IFERROR(IF(ROUND((((J149/H149*30.4)-VLOOKUP((J149/H149*30.4),TARIFA,1))*VLOOKUP((J149/H149*30.4),TARIFA,3)+VLOOKUP((J149/H149*30.4),TARIFA,2)-VLOOKUP((J149/H149*30.4),SUBSIDIO,2))/30.4*H149,2)&gt;0,ROUND((((J149/H149*30.4)-VLOOKUP((J149/H149*30.4),TARIFA,1))*VLOOKUP((J149/H149*30.4),TARIFA,3)+VLOOKUP((J149/H149*30.4),TARIFA,2)-VLOOKUP((J149/H149*30.4),SUBSIDIO,2))/30.4*H149,2),0),0)</f>
        <v>290</v>
      </c>
      <c r="M149" s="201">
        <v>0</v>
      </c>
      <c r="N149" s="201">
        <f t="shared" si="13"/>
        <v>3618</v>
      </c>
      <c r="O149" s="19"/>
      <c r="R149" s="54"/>
      <c r="S149" s="56"/>
    </row>
    <row r="150" spans="4:19" ht="33" customHeight="1" x14ac:dyDescent="0.3">
      <c r="D150" s="382"/>
      <c r="E150" s="382"/>
      <c r="F150" s="449" t="s">
        <v>96</v>
      </c>
      <c r="G150" s="225"/>
      <c r="H150" s="222"/>
      <c r="I150" s="206"/>
      <c r="J150" s="201"/>
      <c r="K150" s="200"/>
      <c r="L150" s="200"/>
      <c r="M150" s="201"/>
      <c r="N150" s="201"/>
      <c r="O150" s="19"/>
      <c r="R150" s="54"/>
      <c r="S150" s="56"/>
    </row>
    <row r="151" spans="4:19" ht="33" customHeight="1" x14ac:dyDescent="0.3">
      <c r="D151" s="382" t="s">
        <v>448</v>
      </c>
      <c r="E151" s="382" t="s">
        <v>345</v>
      </c>
      <c r="F151" s="220" t="s">
        <v>276</v>
      </c>
      <c r="G151" s="221" t="s">
        <v>277</v>
      </c>
      <c r="H151" s="222">
        <v>15</v>
      </c>
      <c r="I151" s="206">
        <v>2097</v>
      </c>
      <c r="J151" s="201">
        <v>2097</v>
      </c>
      <c r="K151" s="200">
        <f>IFERROR(IF(ROUND((((J151/H151*30.4)-VLOOKUP((J151/H151*30.4),TARIFA,1))*VLOOKUP((J151/H151*30.4),TARIFA,3)+VLOOKUP((J151/H151*30.4),TARIFA,2)-VLOOKUP((J151/H151*30.4),SUBSIDIO,2))/30.4*H151,2)&lt;0,ROUND(-(((J151/H151*30.4)-VLOOKUP((J151/H151*30.4),TARIFA,1))*VLOOKUP((J151/H151*30.4),TARIFA,3)+VLOOKUP((J151/H151*30.4),TARIFA,2)-VLOOKUP((J151/H151*30.4),SUBSIDIO,2))/30.4*H151,2),0),0)</f>
        <v>68.75</v>
      </c>
      <c r="L151" s="200">
        <f>IFERROR(IF(ROUND((((J151/H151*30.4)-VLOOKUP((J151/H151*30.4),TARIFA,1))*VLOOKUP((J151/H151*30.4),TARIFA,3)+VLOOKUP((J151/H151*30.4),TARIFA,2)-VLOOKUP((J151/H151*30.4),SUBSIDIO,2))/30.4*H151,2)&gt;0,ROUND((((J151/H151*30.4)-VLOOKUP((J151/H151*30.4),TARIFA,1))*VLOOKUP((J151/H151*30.4),TARIFA,3)+VLOOKUP((J151/H151*30.4),TARIFA,2)-VLOOKUP((J151/H151*30.4),SUBSIDIO,2))/30.4*H151,2),0),0)</f>
        <v>0</v>
      </c>
      <c r="M151" s="201"/>
      <c r="N151" s="201">
        <f t="shared" si="13"/>
        <v>2165.75</v>
      </c>
      <c r="O151" s="19"/>
      <c r="R151" s="54"/>
      <c r="S151" s="56"/>
    </row>
    <row r="152" spans="4:19" ht="33" customHeight="1" x14ac:dyDescent="0.3">
      <c r="D152" s="382" t="s">
        <v>449</v>
      </c>
      <c r="E152" s="382" t="s">
        <v>336</v>
      </c>
      <c r="F152" s="225" t="s">
        <v>141</v>
      </c>
      <c r="G152" s="225" t="s">
        <v>18</v>
      </c>
      <c r="H152" s="222">
        <v>15</v>
      </c>
      <c r="I152" s="206">
        <v>1981</v>
      </c>
      <c r="J152" s="201">
        <v>1981</v>
      </c>
      <c r="K152" s="200">
        <f>IFERROR(IF(ROUND((((J152/H152*30.4)-VLOOKUP((J152/H152*30.4),TARIFA,1))*VLOOKUP((J152/H152*30.4),TARIFA,3)+VLOOKUP((J152/H152*30.4),TARIFA,2)-VLOOKUP((J152/H152*30.4),SUBSIDIO,2))/30.4*H152,2)&lt;0,ROUND(-(((J152/H152*30.4)-VLOOKUP((J152/H152*30.4),TARIFA,1))*VLOOKUP((J152/H152*30.4),TARIFA,3)+VLOOKUP((J152/H152*30.4),TARIFA,2)-VLOOKUP((J152/H152*30.4),SUBSIDIO,2))/30.4*H152,2),0),0)</f>
        <v>76.180000000000007</v>
      </c>
      <c r="L152" s="200">
        <f>IFERROR(IF(ROUND((((J152/H152*30.4)-VLOOKUP((J152/H152*30.4),TARIFA,1))*VLOOKUP((J152/H152*30.4),TARIFA,3)+VLOOKUP((J152/H152*30.4),TARIFA,2)-VLOOKUP((J152/H152*30.4),SUBSIDIO,2))/30.4*H152,2)&gt;0,ROUND((((J152/H152*30.4)-VLOOKUP((J152/H152*30.4),TARIFA,1))*VLOOKUP((J152/H152*30.4),TARIFA,3)+VLOOKUP((J152/H152*30.4),TARIFA,2)-VLOOKUP((J152/H152*30.4),SUBSIDIO,2))/30.4*H152,2),0),0)</f>
        <v>0</v>
      </c>
      <c r="M152" s="201">
        <v>0</v>
      </c>
      <c r="N152" s="201">
        <f t="shared" si="13"/>
        <v>2057.1799999999998</v>
      </c>
      <c r="O152" s="19"/>
      <c r="R152" s="54"/>
      <c r="S152" s="56"/>
    </row>
    <row r="153" spans="4:19" ht="33" customHeight="1" x14ac:dyDescent="0.3">
      <c r="D153" s="382"/>
      <c r="E153" s="382"/>
      <c r="F153" s="449" t="s">
        <v>185</v>
      </c>
      <c r="G153" s="225"/>
      <c r="H153" s="222"/>
      <c r="I153" s="206"/>
      <c r="J153" s="201"/>
      <c r="K153" s="200"/>
      <c r="L153" s="200"/>
      <c r="M153" s="201"/>
      <c r="N153" s="201"/>
      <c r="O153" s="19"/>
      <c r="R153" s="54"/>
      <c r="S153" s="56"/>
    </row>
    <row r="154" spans="4:19" ht="33" customHeight="1" x14ac:dyDescent="0.3">
      <c r="D154" s="382" t="s">
        <v>450</v>
      </c>
      <c r="E154" s="382" t="s">
        <v>336</v>
      </c>
      <c r="F154" s="225" t="s">
        <v>232</v>
      </c>
      <c r="G154" s="221" t="s">
        <v>186</v>
      </c>
      <c r="H154" s="222">
        <v>15</v>
      </c>
      <c r="I154" s="201">
        <v>3795</v>
      </c>
      <c r="J154" s="201">
        <v>3795</v>
      </c>
      <c r="K154" s="200">
        <f>IFERROR(IF(ROUND((((J154/H154*30.4)-VLOOKUP((J154/H154*30.4),TARIFA,1))*VLOOKUP((J154/H154*30.4),TARIFA,3)+VLOOKUP((J154/H154*30.4),TARIFA,2)-VLOOKUP((J154/H154*30.4),SUBSIDIO,2))/30.4*H154,2)&lt;0,ROUND(-(((J154/H154*30.4)-VLOOKUP((J154/H154*30.4),TARIFA,1))*VLOOKUP((J154/H154*30.4),TARIFA,3)+VLOOKUP((J154/H154*30.4),TARIFA,2)-VLOOKUP((J154/H154*30.4),SUBSIDIO,2))/30.4*H154,2),0),0)</f>
        <v>0</v>
      </c>
      <c r="L154" s="200">
        <f>IFERROR(IF(ROUND((((J154/H154*30.4)-VLOOKUP((J154/H154*30.4),TARIFA,1))*VLOOKUP((J154/H154*30.4),TARIFA,3)+VLOOKUP((J154/H154*30.4),TARIFA,2)-VLOOKUP((J154/H154*30.4),SUBSIDIO,2))/30.4*H154,2)&gt;0,ROUND((((J154/H154*30.4)-VLOOKUP((J154/H154*30.4),TARIFA,1))*VLOOKUP((J154/H154*30.4),TARIFA,3)+VLOOKUP((J154/H154*30.4),TARIFA,2)-VLOOKUP((J154/H154*30.4),SUBSIDIO,2))/30.4*H154,2),0),0)</f>
        <v>277.70999999999998</v>
      </c>
      <c r="M154" s="201">
        <v>0</v>
      </c>
      <c r="N154" s="201">
        <f t="shared" si="13"/>
        <v>3517.29</v>
      </c>
      <c r="O154" s="19"/>
      <c r="R154" s="54"/>
      <c r="S154" s="56"/>
    </row>
    <row r="155" spans="4:19" ht="33" customHeight="1" thickBot="1" x14ac:dyDescent="0.35">
      <c r="D155" s="394"/>
      <c r="E155" s="405"/>
      <c r="F155" s="168"/>
      <c r="G155" s="169"/>
      <c r="H155" s="170" t="s">
        <v>6</v>
      </c>
      <c r="I155" s="171">
        <f>I157+I115+I79+I43</f>
        <v>200254</v>
      </c>
      <c r="J155" s="171">
        <f>J157+J115+J79+J43</f>
        <v>193370</v>
      </c>
      <c r="K155" s="419">
        <f>K157+K115+K79+K43</f>
        <v>2938.4</v>
      </c>
      <c r="L155" s="419">
        <f>L157+L115+L79+L43</f>
        <v>5939.8</v>
      </c>
      <c r="M155" s="171" t="e">
        <f>M154+M152+#REF!+M151+M149+M147+M145+M144+M142+M140+M139+M138+M137+M136+M135+M134+M133+M132+M131+M129+M100+#REF!+M99+M93+M91+M89+M78+M76+M75+M73+M72+M71+M70+M69+M68+M67+M66+M65+M64+M63+M62+M61+M60+M59+M58+M57+M56+M55+M54+M53+M40+M35+M34+M32+M31+M30+M27+M25+M24+M23+M22+M20+M19+#REF!+M16+M14+M13+M12</f>
        <v>#REF!</v>
      </c>
      <c r="N155" s="171">
        <f>N167+N115+N79+N43</f>
        <v>190368.60000000003</v>
      </c>
      <c r="O155" s="3"/>
      <c r="R155" s="56"/>
      <c r="S155" s="56"/>
    </row>
    <row r="156" spans="4:19" ht="13.5" thickTop="1" x14ac:dyDescent="0.2">
      <c r="I156" s="258"/>
      <c r="J156" s="258"/>
      <c r="K156" s="420"/>
      <c r="L156" s="420"/>
      <c r="N156" s="11"/>
    </row>
    <row r="157" spans="4:19" x14ac:dyDescent="0.2">
      <c r="G157" s="2"/>
      <c r="H157" s="2"/>
      <c r="I157" s="255">
        <f>SUM(I129:I154)</f>
        <v>33351</v>
      </c>
      <c r="J157" s="256">
        <f>SUM(J129:J154)</f>
        <v>33351</v>
      </c>
      <c r="K157" s="421">
        <f>SUM(K129:K154)</f>
        <v>1814.5800000000002</v>
      </c>
      <c r="L157" s="421">
        <f>SUM(L128:L154)</f>
        <v>1107.3399999999999</v>
      </c>
      <c r="M157" s="237"/>
      <c r="N157" s="236">
        <f>SUM(N129:N154)</f>
        <v>34058.240000000005</v>
      </c>
    </row>
    <row r="158" spans="4:19" x14ac:dyDescent="0.2">
      <c r="G158" s="2"/>
      <c r="H158" s="2"/>
      <c r="I158" s="255">
        <f>I157+I115+I79+I43</f>
        <v>200254</v>
      </c>
      <c r="J158" s="256">
        <f>J157+J115+J79+J43</f>
        <v>193370</v>
      </c>
      <c r="K158" s="421">
        <f>K157+K115+K79+K43</f>
        <v>2938.4</v>
      </c>
      <c r="L158" s="421">
        <f>L157+L115+L79+L43</f>
        <v>5939.8</v>
      </c>
      <c r="M158" s="237"/>
      <c r="N158" s="236"/>
      <c r="O158" s="11"/>
    </row>
    <row r="159" spans="4:19" x14ac:dyDescent="0.2">
      <c r="G159" s="2"/>
      <c r="H159" s="2"/>
      <c r="I159" s="257"/>
      <c r="J159" s="257"/>
      <c r="K159" s="421">
        <f>K157+K115+K79+K43</f>
        <v>2938.4</v>
      </c>
      <c r="L159" s="421">
        <f>L157+L115+L79+L43</f>
        <v>5939.8</v>
      </c>
      <c r="M159" s="237"/>
      <c r="N159" s="237"/>
    </row>
    <row r="160" spans="4:19" x14ac:dyDescent="0.2">
      <c r="F160" s="1" t="s">
        <v>123</v>
      </c>
      <c r="G160" s="2"/>
      <c r="H160" s="2"/>
      <c r="I160" s="256"/>
      <c r="J160" s="259"/>
      <c r="K160" s="421"/>
      <c r="L160" s="421"/>
      <c r="N160" s="61"/>
      <c r="O160" s="61"/>
    </row>
    <row r="161" spans="4:15" ht="14.25" x14ac:dyDescent="0.2">
      <c r="F161" s="39" t="s">
        <v>196</v>
      </c>
      <c r="G161" s="29"/>
      <c r="H161" s="29"/>
      <c r="I161" s="249"/>
      <c r="J161" s="249"/>
      <c r="K161" s="422"/>
      <c r="L161" s="422"/>
      <c r="M161" s="15"/>
      <c r="N161" s="528" t="s">
        <v>197</v>
      </c>
      <c r="O161" s="528"/>
    </row>
    <row r="162" spans="4:15" ht="15" x14ac:dyDescent="0.25">
      <c r="F162" s="40" t="s">
        <v>11</v>
      </c>
      <c r="G162" s="30"/>
      <c r="H162" s="30"/>
      <c r="I162" s="249"/>
      <c r="J162" s="249"/>
      <c r="K162" s="422"/>
      <c r="L162" s="422"/>
      <c r="M162" s="30"/>
      <c r="N162" s="527" t="s">
        <v>170</v>
      </c>
      <c r="O162" s="527"/>
    </row>
    <row r="163" spans="4:15" s="15" customFormat="1" x14ac:dyDescent="0.2">
      <c r="D163" s="356"/>
      <c r="E163" s="356"/>
      <c r="F163" s="1"/>
      <c r="G163" s="1"/>
      <c r="H163" s="2"/>
      <c r="I163" s="7"/>
      <c r="J163" s="7"/>
      <c r="K163" s="423"/>
      <c r="L163" s="423"/>
      <c r="M163" s="1"/>
      <c r="N163" s="1"/>
      <c r="O163" s="1"/>
    </row>
    <row r="164" spans="4:15" s="15" customFormat="1" x14ac:dyDescent="0.2">
      <c r="D164" s="356"/>
      <c r="E164" s="356"/>
      <c r="F164" s="32"/>
      <c r="G164" s="30"/>
      <c r="H164" s="30"/>
      <c r="I164" s="30"/>
      <c r="J164" s="30"/>
      <c r="K164" s="375"/>
      <c r="L164" s="375"/>
      <c r="M164" s="30"/>
      <c r="N164" s="235"/>
      <c r="O164" s="30"/>
    </row>
    <row r="165" spans="4:15" x14ac:dyDescent="0.2">
      <c r="H165" s="2"/>
      <c r="I165" s="2"/>
      <c r="J165" s="2"/>
      <c r="K165" s="424"/>
      <c r="L165" s="424"/>
      <c r="N165" s="56"/>
    </row>
    <row r="166" spans="4:15" x14ac:dyDescent="0.2">
      <c r="I166" s="2"/>
      <c r="J166" s="248"/>
      <c r="K166" s="424"/>
      <c r="L166" s="424"/>
      <c r="N166" s="56"/>
    </row>
    <row r="167" spans="4:15" x14ac:dyDescent="0.2">
      <c r="I167" s="2"/>
      <c r="J167" s="2"/>
      <c r="K167" s="424"/>
      <c r="L167" s="424"/>
      <c r="N167" s="11">
        <f>SUM(N129:N154)</f>
        <v>34058.240000000005</v>
      </c>
    </row>
    <row r="168" spans="4:15" x14ac:dyDescent="0.2">
      <c r="I168" s="2"/>
      <c r="J168" s="2"/>
      <c r="K168" s="424"/>
      <c r="L168" s="424"/>
    </row>
    <row r="170" spans="4:15" x14ac:dyDescent="0.2">
      <c r="L170" s="54">
        <f>N167+N115+N79+N43</f>
        <v>190368.60000000003</v>
      </c>
      <c r="N170" s="11"/>
    </row>
    <row r="171" spans="4:15" x14ac:dyDescent="0.2">
      <c r="N171" s="11"/>
    </row>
    <row r="174" spans="4:15" x14ac:dyDescent="0.2">
      <c r="N174" s="11"/>
    </row>
    <row r="176" spans="4:15" x14ac:dyDescent="0.2">
      <c r="N176" s="56"/>
    </row>
  </sheetData>
  <sheetProtection selectLockedCells="1" selectUnlockedCells="1"/>
  <mergeCells count="26">
    <mergeCell ref="N162:O162"/>
    <mergeCell ref="I48:K48"/>
    <mergeCell ref="D120:O120"/>
    <mergeCell ref="I124:K124"/>
    <mergeCell ref="N161:O161"/>
    <mergeCell ref="D83:O83"/>
    <mergeCell ref="I84:K84"/>
    <mergeCell ref="D123:O123"/>
    <mergeCell ref="D80:O80"/>
    <mergeCell ref="D121:O121"/>
    <mergeCell ref="D122:O122"/>
    <mergeCell ref="D81:O81"/>
    <mergeCell ref="D124:D127"/>
    <mergeCell ref="D82:O82"/>
    <mergeCell ref="D48:D51"/>
    <mergeCell ref="D84:D87"/>
    <mergeCell ref="D44:O44"/>
    <mergeCell ref="D45:O45"/>
    <mergeCell ref="D46:O46"/>
    <mergeCell ref="D47:O47"/>
    <mergeCell ref="D3:O3"/>
    <mergeCell ref="D5:O5"/>
    <mergeCell ref="I7:K7"/>
    <mergeCell ref="D6:O6"/>
    <mergeCell ref="D7:D10"/>
    <mergeCell ref="D4:O4"/>
  </mergeCells>
  <phoneticPr fontId="0" type="noConversion"/>
  <pageMargins left="0" right="0" top="0" bottom="0" header="0.15748031496062992" footer="0.31496062992125984"/>
  <pageSetup scale="4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S81"/>
  <sheetViews>
    <sheetView zoomScaleNormal="100" workbookViewId="0">
      <selection activeCell="F35" sqref="F35"/>
    </sheetView>
  </sheetViews>
  <sheetFormatPr baseColWidth="10" defaultRowHeight="12.75" x14ac:dyDescent="0.2"/>
  <cols>
    <col min="1" max="1" width="4.7109375" style="15" customWidth="1"/>
    <col min="2" max="3" width="5.140625" style="15" customWidth="1"/>
    <col min="4" max="4" width="4.5703125" style="356" customWidth="1"/>
    <col min="5" max="5" width="4.42578125" style="356" customWidth="1"/>
    <col min="6" max="6" width="48.42578125" style="15" customWidth="1"/>
    <col min="7" max="7" width="33.5703125" style="15" customWidth="1"/>
    <col min="8" max="8" width="5.85546875" style="15" customWidth="1"/>
    <col min="9" max="10" width="13.7109375" style="15" bestFit="1" customWidth="1"/>
    <col min="11" max="11" width="13.85546875" style="15" bestFit="1" customWidth="1"/>
    <col min="12" max="12" width="12.28515625" style="15" customWidth="1"/>
    <col min="13" max="13" width="15.42578125" style="15" customWidth="1"/>
    <col min="14" max="14" width="61.5703125" style="15" customWidth="1"/>
    <col min="15" max="15" width="5.7109375" style="15" customWidth="1"/>
    <col min="16" max="16" width="11.42578125" style="15"/>
    <col min="17" max="17" width="12.85546875" style="15" bestFit="1" customWidth="1"/>
    <col min="18" max="16384" width="11.42578125" style="15"/>
  </cols>
  <sheetData>
    <row r="1" spans="2:19" ht="5.25" customHeight="1" x14ac:dyDescent="0.2">
      <c r="B1" s="35"/>
      <c r="C1" s="35"/>
      <c r="D1" s="425"/>
      <c r="E1" s="425"/>
      <c r="F1" s="35"/>
      <c r="G1" s="35"/>
      <c r="H1" s="35"/>
      <c r="I1" s="35"/>
      <c r="J1" s="35"/>
      <c r="K1" s="35"/>
      <c r="L1" s="35"/>
      <c r="M1" s="35"/>
      <c r="N1" s="35"/>
    </row>
    <row r="2" spans="2:19" ht="15.75" customHeight="1" x14ac:dyDescent="0.2">
      <c r="B2" s="35"/>
      <c r="C2" s="35"/>
      <c r="D2" s="426"/>
      <c r="E2" s="427"/>
      <c r="F2" s="48"/>
      <c r="G2" s="48"/>
      <c r="H2" s="48"/>
      <c r="I2" s="48"/>
      <c r="J2" s="48"/>
      <c r="K2" s="48"/>
      <c r="L2" s="48"/>
      <c r="M2" s="48"/>
      <c r="N2" s="49"/>
    </row>
    <row r="3" spans="2:19" ht="20.100000000000001" customHeight="1" x14ac:dyDescent="0.5">
      <c r="B3" s="35"/>
      <c r="C3" s="35"/>
      <c r="D3" s="529" t="s">
        <v>12</v>
      </c>
      <c r="E3" s="530"/>
      <c r="F3" s="530"/>
      <c r="G3" s="530"/>
      <c r="H3" s="530"/>
      <c r="I3" s="530"/>
      <c r="J3" s="530"/>
      <c r="K3" s="530"/>
      <c r="L3" s="530"/>
      <c r="M3" s="530"/>
      <c r="N3" s="531"/>
    </row>
    <row r="4" spans="2:19" ht="20.100000000000001" customHeight="1" x14ac:dyDescent="0.5">
      <c r="B4" s="35"/>
      <c r="C4" s="35"/>
      <c r="D4" s="529" t="s">
        <v>171</v>
      </c>
      <c r="E4" s="530"/>
      <c r="F4" s="530"/>
      <c r="G4" s="530"/>
      <c r="H4" s="530"/>
      <c r="I4" s="530"/>
      <c r="J4" s="530"/>
      <c r="K4" s="530"/>
      <c r="L4" s="530"/>
      <c r="M4" s="530"/>
      <c r="N4" s="531"/>
    </row>
    <row r="5" spans="2:19" ht="20.100000000000001" customHeight="1" x14ac:dyDescent="0.5">
      <c r="B5" s="35"/>
      <c r="C5" s="35"/>
      <c r="D5" s="529" t="s">
        <v>507</v>
      </c>
      <c r="E5" s="530"/>
      <c r="F5" s="530"/>
      <c r="G5" s="530"/>
      <c r="H5" s="530"/>
      <c r="I5" s="530"/>
      <c r="J5" s="530"/>
      <c r="K5" s="530"/>
      <c r="L5" s="530"/>
      <c r="M5" s="530"/>
      <c r="N5" s="531"/>
    </row>
    <row r="6" spans="2:19" ht="21.75" customHeight="1" x14ac:dyDescent="0.5">
      <c r="B6" s="35"/>
      <c r="C6" s="35"/>
      <c r="D6" s="529" t="s">
        <v>156</v>
      </c>
      <c r="E6" s="530"/>
      <c r="F6" s="530"/>
      <c r="G6" s="530"/>
      <c r="H6" s="530"/>
      <c r="I6" s="530"/>
      <c r="J6" s="530"/>
      <c r="K6" s="530"/>
      <c r="L6" s="530"/>
      <c r="M6" s="530"/>
      <c r="N6" s="531"/>
    </row>
    <row r="7" spans="2:19" x14ac:dyDescent="0.2">
      <c r="D7" s="341"/>
      <c r="E7" s="437" t="s">
        <v>324</v>
      </c>
      <c r="F7" s="117"/>
      <c r="G7" s="117"/>
      <c r="H7" s="136"/>
      <c r="I7" s="118"/>
      <c r="J7" s="532"/>
      <c r="K7" s="533"/>
      <c r="L7" s="533"/>
      <c r="M7" s="533"/>
      <c r="N7" s="534"/>
    </row>
    <row r="8" spans="2:19" x14ac:dyDescent="0.2">
      <c r="D8" s="342" t="s">
        <v>3</v>
      </c>
      <c r="E8" s="342" t="s">
        <v>325</v>
      </c>
      <c r="F8" s="119"/>
      <c r="G8" s="119"/>
      <c r="H8" s="119"/>
      <c r="I8" s="120" t="s">
        <v>1</v>
      </c>
      <c r="J8" s="121" t="s">
        <v>157</v>
      </c>
      <c r="K8" s="121" t="s">
        <v>161</v>
      </c>
      <c r="L8" s="121"/>
      <c r="M8" s="119" t="s">
        <v>167</v>
      </c>
      <c r="N8" s="119"/>
    </row>
    <row r="9" spans="2:19" ht="24" x14ac:dyDescent="0.2">
      <c r="D9" s="343"/>
      <c r="E9" s="342"/>
      <c r="F9" s="120"/>
      <c r="G9" s="120" t="s">
        <v>10</v>
      </c>
      <c r="H9" s="137" t="s">
        <v>240</v>
      </c>
      <c r="I9" s="119" t="s">
        <v>159</v>
      </c>
      <c r="J9" s="120" t="s">
        <v>160</v>
      </c>
      <c r="K9" s="120" t="s">
        <v>162</v>
      </c>
      <c r="L9" s="120" t="s">
        <v>163</v>
      </c>
      <c r="M9" s="119" t="s">
        <v>166</v>
      </c>
      <c r="N9" s="119" t="s">
        <v>165</v>
      </c>
    </row>
    <row r="10" spans="2:19" x14ac:dyDescent="0.2">
      <c r="D10" s="342"/>
      <c r="E10" s="342"/>
      <c r="F10" s="121" t="s">
        <v>63</v>
      </c>
      <c r="G10" s="121" t="s">
        <v>9</v>
      </c>
      <c r="H10" s="121"/>
      <c r="I10" s="121"/>
      <c r="J10" s="121"/>
      <c r="K10" s="121"/>
      <c r="L10" s="121"/>
      <c r="M10" s="121"/>
      <c r="N10" s="121"/>
    </row>
    <row r="11" spans="2:19" ht="27.95" customHeight="1" x14ac:dyDescent="0.25">
      <c r="D11" s="428" t="s">
        <v>451</v>
      </c>
      <c r="E11" s="346" t="s">
        <v>345</v>
      </c>
      <c r="F11" s="172" t="s">
        <v>63</v>
      </c>
      <c r="G11" s="173" t="s">
        <v>64</v>
      </c>
      <c r="H11" s="173">
        <v>15</v>
      </c>
      <c r="I11" s="175">
        <v>8368</v>
      </c>
      <c r="J11" s="175">
        <f>I11</f>
        <v>8368</v>
      </c>
      <c r="K11" s="438">
        <f t="shared" ref="K11:K21" si="0">IFERROR(IF(ROUND((((J11/H11*30.4)-VLOOKUP((J11/H11*30.4),TARIFA,1))*VLOOKUP((J11/H11*30.4),TARIFA,3)+VLOOKUP((J11/H11*30.4),TARIFA,2)-VLOOKUP((J11/H11*30.4),SUBSIDIO,2))/30.4*H11,2)&lt;0,ROUND(-(((J11/H11*30.4)-VLOOKUP((J11/H11*30.4),TARIFA,1))*VLOOKUP((J11/H11*30.4),TARIFA,3)+VLOOKUP((J11/H11*30.4),TARIFA,2)-VLOOKUP((J11/H11*30.4),SUBSIDIO,2))/30.4*H11,2),0),0)</f>
        <v>0</v>
      </c>
      <c r="L11" s="438">
        <f>IFERROR(IF(ROUND((((J11/H11*30.4)-VLOOKUP((J11/H11*30.4),TARIFA,1))*VLOOKUP((J11/H11*30.4),TARIFA,3)+VLOOKUP((J11/H11*30.4),TARIFA,2)-VLOOKUP((J11/H11*30.4),SUBSIDIO,2))/30.4*H11,2)&gt;0,ROUND((((J11/H11*30.4)-VLOOKUP((J11/H11*30.4),TARIFA,1))*VLOOKUP((J11/H11*30.4),TARIFA,3)+VLOOKUP((J11/H11*30.4),TARIFA,2)-VLOOKUP((J11/H11*30.4),SUBSIDIO,2))/30.4*H11,2),0),0)</f>
        <v>1076.3</v>
      </c>
      <c r="M11" s="143">
        <f>J11+K11-L11</f>
        <v>7291.7</v>
      </c>
      <c r="N11" s="175"/>
      <c r="Q11" s="51">
        <v>13600</v>
      </c>
      <c r="R11" s="52">
        <f>Q11/2</f>
        <v>6800</v>
      </c>
      <c r="S11" s="15">
        <f>M11/15</f>
        <v>486.11333333333334</v>
      </c>
    </row>
    <row r="12" spans="2:19" ht="27.95" customHeight="1" x14ac:dyDescent="0.25">
      <c r="D12" s="346" t="s">
        <v>452</v>
      </c>
      <c r="E12" s="346" t="s">
        <v>336</v>
      </c>
      <c r="F12" s="177" t="s">
        <v>63</v>
      </c>
      <c r="G12" s="182" t="s">
        <v>198</v>
      </c>
      <c r="H12" s="176">
        <v>15</v>
      </c>
      <c r="I12" s="175">
        <v>5156</v>
      </c>
      <c r="J12" s="175">
        <v>5156</v>
      </c>
      <c r="K12" s="438">
        <f t="shared" si="0"/>
        <v>0</v>
      </c>
      <c r="L12" s="438">
        <f>IFERROR(IF(ROUND((((J12/H12*30.4)-VLOOKUP((J12/H12*30.4),TARIFA,1))*VLOOKUP((J12/H12*30.4),TARIFA,3)+VLOOKUP((J12/H12*30.4),TARIFA,2)-VLOOKUP((J12/H12*30.4),SUBSIDIO,2))/30.4*H12,2)&gt;0,ROUND((((J12/H12*30.4)-VLOOKUP((J12/H12*30.4),TARIFA,1))*VLOOKUP((J12/H12*30.4),TARIFA,3)+VLOOKUP((J12/H12*30.4),TARIFA,2)-VLOOKUP((J12/H12*30.4),SUBSIDIO,2))/30.4*H12,2),0),0)</f>
        <v>446.88</v>
      </c>
      <c r="M12" s="143">
        <f t="shared" ref="M12:M35" si="1">J12+K12-L12</f>
        <v>4709.12</v>
      </c>
      <c r="N12" s="175"/>
      <c r="Q12" s="51"/>
      <c r="R12" s="52"/>
    </row>
    <row r="13" spans="2:19" ht="27.95" customHeight="1" x14ac:dyDescent="0.25">
      <c r="D13" s="346" t="s">
        <v>485</v>
      </c>
      <c r="E13" s="346" t="s">
        <v>336</v>
      </c>
      <c r="F13" s="172" t="s">
        <v>63</v>
      </c>
      <c r="G13" s="176" t="s">
        <v>198</v>
      </c>
      <c r="H13" s="173">
        <v>15</v>
      </c>
      <c r="I13" s="175">
        <v>5156</v>
      </c>
      <c r="J13" s="175">
        <v>5156</v>
      </c>
      <c r="K13" s="438">
        <f t="shared" si="0"/>
        <v>0</v>
      </c>
      <c r="L13" s="438">
        <f t="shared" ref="L13:L21" si="2">IFERROR(IF(ROUND((((J13/H13*30.4)-VLOOKUP((J13/H13*30.4),TARIFA,1))*VLOOKUP((J13/H13*30.4),TARIFA,3)+VLOOKUP((J13/H13*30.4),TARIFA,2)-VLOOKUP((J13/H13*30.4),SUBSIDIO,2))/30.4*H13,2)&gt;0,ROUND((((J13/H13*30.4)-VLOOKUP((J13/H13*30.4),TARIFA,1))*VLOOKUP((J13/H13*30.4),TARIFA,3)+VLOOKUP((J13/H13*30.4),TARIFA,2)-VLOOKUP((J13/H13*30.4),SUBSIDIO,2))/30.4*H13,2),0),0)</f>
        <v>446.88</v>
      </c>
      <c r="M13" s="143">
        <f t="shared" si="1"/>
        <v>4709.12</v>
      </c>
      <c r="N13" s="175"/>
      <c r="Q13" s="51"/>
      <c r="R13" s="52"/>
    </row>
    <row r="14" spans="2:19" ht="32.25" customHeight="1" x14ac:dyDescent="0.25">
      <c r="D14" s="346" t="s">
        <v>453</v>
      </c>
      <c r="E14" s="346" t="s">
        <v>336</v>
      </c>
      <c r="F14" s="177" t="s">
        <v>63</v>
      </c>
      <c r="G14" s="146" t="s">
        <v>149</v>
      </c>
      <c r="H14" s="173">
        <v>15</v>
      </c>
      <c r="I14" s="175">
        <v>4385</v>
      </c>
      <c r="J14" s="175">
        <f>I14</f>
        <v>4385</v>
      </c>
      <c r="K14" s="438">
        <f t="shared" si="0"/>
        <v>0</v>
      </c>
      <c r="L14" s="438">
        <f t="shared" si="2"/>
        <v>341.9</v>
      </c>
      <c r="M14" s="143">
        <f t="shared" si="1"/>
        <v>4043.1</v>
      </c>
      <c r="N14" s="175"/>
      <c r="Q14" s="51">
        <v>7508</v>
      </c>
      <c r="R14" s="52">
        <f t="shared" ref="R14:R20" si="3">Q14/2</f>
        <v>3754</v>
      </c>
    </row>
    <row r="15" spans="2:19" ht="27.95" customHeight="1" x14ac:dyDescent="0.25">
      <c r="D15" s="346" t="s">
        <v>454</v>
      </c>
      <c r="E15" s="346" t="s">
        <v>336</v>
      </c>
      <c r="F15" s="172" t="s">
        <v>63</v>
      </c>
      <c r="G15" s="179" t="s">
        <v>65</v>
      </c>
      <c r="H15" s="173">
        <v>15</v>
      </c>
      <c r="I15" s="175">
        <v>4760</v>
      </c>
      <c r="J15" s="175">
        <v>4760</v>
      </c>
      <c r="K15" s="438">
        <f t="shared" si="0"/>
        <v>0</v>
      </c>
      <c r="L15" s="438">
        <f t="shared" si="2"/>
        <v>383.52</v>
      </c>
      <c r="M15" s="143">
        <f t="shared" si="1"/>
        <v>4376.4799999999996</v>
      </c>
      <c r="N15" s="175"/>
      <c r="Q15" s="51"/>
      <c r="R15" s="52"/>
    </row>
    <row r="16" spans="2:19" ht="27.95" customHeight="1" x14ac:dyDescent="0.25">
      <c r="D16" s="346" t="s">
        <v>455</v>
      </c>
      <c r="E16" s="346" t="s">
        <v>336</v>
      </c>
      <c r="F16" s="177" t="s">
        <v>63</v>
      </c>
      <c r="G16" s="173" t="s">
        <v>65</v>
      </c>
      <c r="H16" s="173">
        <v>15</v>
      </c>
      <c r="I16" s="175">
        <v>4760</v>
      </c>
      <c r="J16" s="175">
        <v>4760</v>
      </c>
      <c r="K16" s="438">
        <f t="shared" si="0"/>
        <v>0</v>
      </c>
      <c r="L16" s="438">
        <f t="shared" si="2"/>
        <v>383.52</v>
      </c>
      <c r="M16" s="143">
        <f t="shared" si="1"/>
        <v>4376.4799999999996</v>
      </c>
      <c r="N16" s="175"/>
      <c r="Q16" s="51">
        <v>7800</v>
      </c>
      <c r="R16" s="52">
        <f t="shared" si="3"/>
        <v>3900</v>
      </c>
    </row>
    <row r="17" spans="3:18" ht="27.95" customHeight="1" x14ac:dyDescent="0.25">
      <c r="D17" s="346" t="s">
        <v>456</v>
      </c>
      <c r="E17" s="346" t="s">
        <v>345</v>
      </c>
      <c r="F17" s="172" t="s">
        <v>63</v>
      </c>
      <c r="G17" s="179" t="s">
        <v>65</v>
      </c>
      <c r="H17" s="173">
        <v>15</v>
      </c>
      <c r="I17" s="175">
        <v>4760</v>
      </c>
      <c r="J17" s="175">
        <v>4760</v>
      </c>
      <c r="K17" s="438">
        <f t="shared" si="0"/>
        <v>0</v>
      </c>
      <c r="L17" s="438">
        <f t="shared" si="2"/>
        <v>383.52</v>
      </c>
      <c r="M17" s="143">
        <f t="shared" si="1"/>
        <v>4376.4799999999996</v>
      </c>
      <c r="N17" s="175"/>
      <c r="Q17" s="51">
        <v>7800</v>
      </c>
      <c r="R17" s="52">
        <f t="shared" si="3"/>
        <v>3900</v>
      </c>
    </row>
    <row r="18" spans="3:18" ht="27.95" customHeight="1" x14ac:dyDescent="0.25">
      <c r="D18" s="346" t="s">
        <v>457</v>
      </c>
      <c r="E18" s="350" t="s">
        <v>345</v>
      </c>
      <c r="F18" s="177" t="s">
        <v>63</v>
      </c>
      <c r="G18" s="179" t="s">
        <v>65</v>
      </c>
      <c r="H18" s="176">
        <v>15</v>
      </c>
      <c r="I18" s="175">
        <v>4760</v>
      </c>
      <c r="J18" s="175">
        <v>4760</v>
      </c>
      <c r="K18" s="438">
        <f t="shared" si="0"/>
        <v>0</v>
      </c>
      <c r="L18" s="438">
        <f t="shared" si="2"/>
        <v>383.52</v>
      </c>
      <c r="M18" s="143">
        <f t="shared" si="1"/>
        <v>4376.4799999999996</v>
      </c>
      <c r="N18" s="175"/>
      <c r="Q18" s="51">
        <v>7800</v>
      </c>
      <c r="R18" s="52">
        <f t="shared" si="3"/>
        <v>3900</v>
      </c>
    </row>
    <row r="19" spans="3:18" ht="27.95" customHeight="1" x14ac:dyDescent="0.25">
      <c r="D19" s="346" t="s">
        <v>458</v>
      </c>
      <c r="E19" s="350" t="s">
        <v>336</v>
      </c>
      <c r="F19" s="172" t="s">
        <v>63</v>
      </c>
      <c r="G19" s="179" t="s">
        <v>65</v>
      </c>
      <c r="H19" s="173">
        <v>15</v>
      </c>
      <c r="I19" s="175">
        <v>3908</v>
      </c>
      <c r="J19" s="175">
        <v>3908</v>
      </c>
      <c r="K19" s="438">
        <f t="shared" si="0"/>
        <v>0</v>
      </c>
      <c r="L19" s="438">
        <f t="shared" si="2"/>
        <v>290</v>
      </c>
      <c r="M19" s="143">
        <f t="shared" si="1"/>
        <v>3618</v>
      </c>
      <c r="N19" s="175"/>
      <c r="Q19" s="51">
        <v>7800</v>
      </c>
      <c r="R19" s="52">
        <f t="shared" si="3"/>
        <v>3900</v>
      </c>
    </row>
    <row r="20" spans="3:18" ht="27.95" customHeight="1" x14ac:dyDescent="0.25">
      <c r="D20" s="346" t="s">
        <v>459</v>
      </c>
      <c r="E20" s="346" t="s">
        <v>336</v>
      </c>
      <c r="F20" s="177" t="s">
        <v>63</v>
      </c>
      <c r="G20" s="179" t="s">
        <v>65</v>
      </c>
      <c r="H20" s="173">
        <v>15</v>
      </c>
      <c r="I20" s="175">
        <v>3098</v>
      </c>
      <c r="J20" s="175">
        <v>3908</v>
      </c>
      <c r="K20" s="438">
        <f t="shared" si="0"/>
        <v>0</v>
      </c>
      <c r="L20" s="438">
        <f t="shared" si="2"/>
        <v>290</v>
      </c>
      <c r="M20" s="143">
        <f t="shared" si="1"/>
        <v>3618</v>
      </c>
      <c r="N20" s="175"/>
      <c r="Q20" s="51">
        <v>7800</v>
      </c>
      <c r="R20" s="52">
        <f t="shared" si="3"/>
        <v>3900</v>
      </c>
    </row>
    <row r="21" spans="3:18" ht="27.95" customHeight="1" x14ac:dyDescent="0.25">
      <c r="D21" s="346" t="s">
        <v>460</v>
      </c>
      <c r="E21" s="346" t="s">
        <v>336</v>
      </c>
      <c r="F21" s="172" t="s">
        <v>63</v>
      </c>
      <c r="G21" s="178" t="s">
        <v>65</v>
      </c>
      <c r="H21" s="173">
        <v>15</v>
      </c>
      <c r="I21" s="175">
        <v>4760</v>
      </c>
      <c r="J21" s="175">
        <v>4760</v>
      </c>
      <c r="K21" s="438">
        <f t="shared" si="0"/>
        <v>0</v>
      </c>
      <c r="L21" s="438">
        <f t="shared" si="2"/>
        <v>383.52</v>
      </c>
      <c r="M21" s="143">
        <f t="shared" si="1"/>
        <v>4376.4799999999996</v>
      </c>
      <c r="N21" s="180"/>
      <c r="Q21" s="51"/>
      <c r="R21" s="52"/>
    </row>
    <row r="22" spans="3:18" ht="27.95" customHeight="1" x14ac:dyDescent="0.25">
      <c r="D22" s="346" t="s">
        <v>461</v>
      </c>
      <c r="E22" s="346" t="s">
        <v>345</v>
      </c>
      <c r="F22" s="177" t="s">
        <v>63</v>
      </c>
      <c r="G22" s="176" t="s">
        <v>65</v>
      </c>
      <c r="H22" s="173">
        <v>15</v>
      </c>
      <c r="I22" s="175">
        <v>4760</v>
      </c>
      <c r="J22" s="175">
        <v>4760</v>
      </c>
      <c r="K22" s="438">
        <f t="shared" ref="K22:K35" si="4">IFERROR(IF(ROUND((((J22/H22*30.4)-VLOOKUP((J22/H22*30.4),TARIFA,1))*VLOOKUP((J22/H22*30.4),TARIFA,3)+VLOOKUP((J22/H22*30.4),TARIFA,2)-VLOOKUP((J22/H22*30.4),SUBSIDIO,2))/30.4*H22,2)&lt;0,ROUND(-(((J22/H22*30.4)-VLOOKUP((J22/H22*30.4),TARIFA,1))*VLOOKUP((J22/H22*30.4),TARIFA,3)+VLOOKUP((J22/H22*30.4),TARIFA,2)-VLOOKUP((J22/H22*30.4),SUBSIDIO,2))/30.4*H22,2),0),0)</f>
        <v>0</v>
      </c>
      <c r="L22" s="438">
        <f t="shared" ref="L22:L35" si="5">IFERROR(IF(ROUND((((J22/H22*30.4)-VLOOKUP((J22/H22*30.4),TARIFA,1))*VLOOKUP((J22/H22*30.4),TARIFA,3)+VLOOKUP((J22/H22*30.4),TARIFA,2)-VLOOKUP((J22/H22*30.4),SUBSIDIO,2))/30.4*H22,2)&gt;0,ROUND((((J22/H22*30.4)-VLOOKUP((J22/H22*30.4),TARIFA,1))*VLOOKUP((J22/H22*30.4),TARIFA,3)+VLOOKUP((J22/H22*30.4),TARIFA,2)-VLOOKUP((J22/H22*30.4),SUBSIDIO,2))/30.4*H22,2),0),0)</f>
        <v>383.52</v>
      </c>
      <c r="M22" s="143">
        <f t="shared" si="1"/>
        <v>4376.4799999999996</v>
      </c>
      <c r="N22" s="181"/>
      <c r="P22" s="15">
        <v>4237.95</v>
      </c>
      <c r="Q22" s="51">
        <f>P22/15</f>
        <v>282.52999999999997</v>
      </c>
      <c r="R22" s="52"/>
    </row>
    <row r="23" spans="3:18" ht="27.95" customHeight="1" x14ac:dyDescent="0.25">
      <c r="D23" s="346" t="s">
        <v>462</v>
      </c>
      <c r="E23" s="346" t="s">
        <v>345</v>
      </c>
      <c r="F23" s="172" t="s">
        <v>63</v>
      </c>
      <c r="G23" s="176" t="s">
        <v>65</v>
      </c>
      <c r="H23" s="173">
        <v>15</v>
      </c>
      <c r="I23" s="175">
        <v>4760</v>
      </c>
      <c r="J23" s="175">
        <v>4760</v>
      </c>
      <c r="K23" s="438">
        <f t="shared" si="4"/>
        <v>0</v>
      </c>
      <c r="L23" s="438">
        <f t="shared" si="5"/>
        <v>383.52</v>
      </c>
      <c r="M23" s="143">
        <f t="shared" si="1"/>
        <v>4376.4799999999996</v>
      </c>
      <c r="N23" s="181"/>
      <c r="Q23" s="51">
        <f>Q22*13</f>
        <v>3672.8899999999994</v>
      </c>
      <c r="R23" s="52"/>
    </row>
    <row r="24" spans="3:18" ht="27.95" customHeight="1" x14ac:dyDescent="0.25">
      <c r="D24" s="346" t="s">
        <v>463</v>
      </c>
      <c r="E24" s="346" t="s">
        <v>345</v>
      </c>
      <c r="F24" s="177" t="s">
        <v>63</v>
      </c>
      <c r="G24" s="178" t="s">
        <v>65</v>
      </c>
      <c r="H24" s="173">
        <v>15</v>
      </c>
      <c r="I24" s="175">
        <v>4760</v>
      </c>
      <c r="J24" s="175">
        <v>4760</v>
      </c>
      <c r="K24" s="438">
        <f t="shared" si="4"/>
        <v>0</v>
      </c>
      <c r="L24" s="438">
        <f t="shared" si="5"/>
        <v>383.52</v>
      </c>
      <c r="M24" s="143">
        <f t="shared" si="1"/>
        <v>4376.4799999999996</v>
      </c>
      <c r="N24" s="181"/>
      <c r="Q24" s="51">
        <v>339.76</v>
      </c>
      <c r="R24" s="52"/>
    </row>
    <row r="25" spans="3:18" ht="27.95" customHeight="1" x14ac:dyDescent="0.25">
      <c r="D25" s="346" t="s">
        <v>464</v>
      </c>
      <c r="E25" s="346" t="s">
        <v>345</v>
      </c>
      <c r="F25" s="172" t="s">
        <v>63</v>
      </c>
      <c r="G25" s="176" t="s">
        <v>65</v>
      </c>
      <c r="H25" s="173">
        <v>15</v>
      </c>
      <c r="I25" s="175">
        <v>4760</v>
      </c>
      <c r="J25" s="175">
        <v>4760</v>
      </c>
      <c r="K25" s="438">
        <f t="shared" si="4"/>
        <v>0</v>
      </c>
      <c r="L25" s="438">
        <f t="shared" si="5"/>
        <v>383.52</v>
      </c>
      <c r="M25" s="143">
        <f t="shared" si="1"/>
        <v>4376.4799999999996</v>
      </c>
      <c r="N25" s="181"/>
      <c r="Q25" s="51">
        <f>Q24/15</f>
        <v>22.650666666666666</v>
      </c>
      <c r="R25" s="52"/>
    </row>
    <row r="26" spans="3:18" ht="27.95" customHeight="1" x14ac:dyDescent="0.25">
      <c r="C26" s="18"/>
      <c r="D26" s="346" t="s">
        <v>465</v>
      </c>
      <c r="E26" s="346" t="s">
        <v>345</v>
      </c>
      <c r="F26" s="177" t="s">
        <v>63</v>
      </c>
      <c r="G26" s="176" t="s">
        <v>65</v>
      </c>
      <c r="H26" s="173">
        <v>0</v>
      </c>
      <c r="I26" s="175">
        <v>4760</v>
      </c>
      <c r="J26" s="175">
        <v>0</v>
      </c>
      <c r="K26" s="438">
        <f t="shared" si="4"/>
        <v>0</v>
      </c>
      <c r="L26" s="438">
        <f t="shared" si="5"/>
        <v>0</v>
      </c>
      <c r="M26" s="143">
        <f t="shared" si="1"/>
        <v>0</v>
      </c>
      <c r="N26" s="181"/>
      <c r="Q26" s="51">
        <f>Q25*13</f>
        <v>294.45866666666666</v>
      </c>
      <c r="R26" s="52"/>
    </row>
    <row r="27" spans="3:18" ht="27.95" customHeight="1" x14ac:dyDescent="0.25">
      <c r="D27" s="346" t="s">
        <v>466</v>
      </c>
      <c r="E27" s="346" t="s">
        <v>345</v>
      </c>
      <c r="F27" s="172" t="s">
        <v>63</v>
      </c>
      <c r="G27" s="176" t="s">
        <v>65</v>
      </c>
      <c r="H27" s="173">
        <v>15</v>
      </c>
      <c r="I27" s="175">
        <v>4760</v>
      </c>
      <c r="J27" s="175">
        <v>4760</v>
      </c>
      <c r="K27" s="438">
        <f t="shared" si="4"/>
        <v>0</v>
      </c>
      <c r="L27" s="438">
        <f t="shared" si="5"/>
        <v>383.52</v>
      </c>
      <c r="M27" s="143">
        <f t="shared" si="1"/>
        <v>4376.4799999999996</v>
      </c>
      <c r="N27" s="181"/>
      <c r="Q27" s="51">
        <f>Q23-Q26</f>
        <v>3378.431333333333</v>
      </c>
      <c r="R27" s="52"/>
    </row>
    <row r="28" spans="3:18" ht="27.95" customHeight="1" x14ac:dyDescent="0.25">
      <c r="D28" s="346" t="s">
        <v>467</v>
      </c>
      <c r="E28" s="346" t="s">
        <v>345</v>
      </c>
      <c r="F28" s="177" t="s">
        <v>63</v>
      </c>
      <c r="G28" s="176" t="s">
        <v>65</v>
      </c>
      <c r="H28" s="173">
        <v>15</v>
      </c>
      <c r="I28" s="175">
        <v>4760</v>
      </c>
      <c r="J28" s="175">
        <v>4760</v>
      </c>
      <c r="K28" s="438">
        <f t="shared" si="4"/>
        <v>0</v>
      </c>
      <c r="L28" s="438">
        <f t="shared" si="5"/>
        <v>383.52</v>
      </c>
      <c r="M28" s="143">
        <f t="shared" si="1"/>
        <v>4376.4799999999996</v>
      </c>
      <c r="N28" s="181"/>
      <c r="Q28" s="51"/>
      <c r="R28" s="52"/>
    </row>
    <row r="29" spans="3:18" ht="27.95" customHeight="1" x14ac:dyDescent="0.25">
      <c r="D29" s="346" t="s">
        <v>468</v>
      </c>
      <c r="E29" s="346" t="s">
        <v>336</v>
      </c>
      <c r="F29" s="172" t="s">
        <v>63</v>
      </c>
      <c r="G29" s="176" t="s">
        <v>65</v>
      </c>
      <c r="H29" s="173">
        <v>15</v>
      </c>
      <c r="I29" s="175">
        <v>4760</v>
      </c>
      <c r="J29" s="175">
        <v>4760</v>
      </c>
      <c r="K29" s="438">
        <f t="shared" si="4"/>
        <v>0</v>
      </c>
      <c r="L29" s="438">
        <f t="shared" si="5"/>
        <v>383.52</v>
      </c>
      <c r="M29" s="143">
        <f t="shared" si="1"/>
        <v>4376.4799999999996</v>
      </c>
      <c r="N29" s="181"/>
      <c r="Q29" s="51"/>
      <c r="R29" s="52"/>
    </row>
    <row r="30" spans="3:18" ht="27.95" customHeight="1" x14ac:dyDescent="0.25">
      <c r="D30" s="346" t="s">
        <v>469</v>
      </c>
      <c r="E30" s="346" t="s">
        <v>345</v>
      </c>
      <c r="F30" s="177" t="s">
        <v>63</v>
      </c>
      <c r="G30" s="176" t="s">
        <v>65</v>
      </c>
      <c r="H30" s="173">
        <v>15</v>
      </c>
      <c r="I30" s="175">
        <v>4760</v>
      </c>
      <c r="J30" s="175">
        <v>4760</v>
      </c>
      <c r="K30" s="438">
        <f t="shared" si="4"/>
        <v>0</v>
      </c>
      <c r="L30" s="438">
        <f t="shared" si="5"/>
        <v>383.52</v>
      </c>
      <c r="M30" s="143">
        <f t="shared" si="1"/>
        <v>4376.4799999999996</v>
      </c>
      <c r="N30" s="181"/>
      <c r="Q30" s="51"/>
      <c r="R30" s="52"/>
    </row>
    <row r="31" spans="3:18" ht="27.95" customHeight="1" x14ac:dyDescent="0.25">
      <c r="D31" s="346" t="s">
        <v>470</v>
      </c>
      <c r="E31" s="346" t="s">
        <v>345</v>
      </c>
      <c r="F31" s="172" t="s">
        <v>63</v>
      </c>
      <c r="G31" s="176" t="s">
        <v>65</v>
      </c>
      <c r="H31" s="173">
        <v>15</v>
      </c>
      <c r="I31" s="175">
        <v>4760</v>
      </c>
      <c r="J31" s="175">
        <v>4760</v>
      </c>
      <c r="K31" s="438">
        <f t="shared" si="4"/>
        <v>0</v>
      </c>
      <c r="L31" s="438">
        <f t="shared" si="5"/>
        <v>383.52</v>
      </c>
      <c r="M31" s="143">
        <f t="shared" si="1"/>
        <v>4376.4799999999996</v>
      </c>
      <c r="N31" s="181"/>
      <c r="Q31" s="51"/>
      <c r="R31" s="52"/>
    </row>
    <row r="32" spans="3:18" ht="27.95" customHeight="1" x14ac:dyDescent="0.25">
      <c r="D32" s="346" t="s">
        <v>471</v>
      </c>
      <c r="E32" s="346" t="s">
        <v>345</v>
      </c>
      <c r="F32" s="177" t="s">
        <v>63</v>
      </c>
      <c r="G32" s="176" t="s">
        <v>65</v>
      </c>
      <c r="H32" s="173">
        <v>15</v>
      </c>
      <c r="I32" s="175">
        <v>4760</v>
      </c>
      <c r="J32" s="175">
        <v>4760</v>
      </c>
      <c r="K32" s="438">
        <f t="shared" si="4"/>
        <v>0</v>
      </c>
      <c r="L32" s="438">
        <f t="shared" si="5"/>
        <v>383.52</v>
      </c>
      <c r="M32" s="143">
        <f t="shared" si="1"/>
        <v>4376.4799999999996</v>
      </c>
      <c r="N32" s="181"/>
      <c r="Q32" s="51"/>
      <c r="R32" s="52"/>
    </row>
    <row r="33" spans="4:18" ht="27.95" customHeight="1" x14ac:dyDescent="0.25">
      <c r="D33" s="346" t="s">
        <v>499</v>
      </c>
      <c r="E33" s="346" t="s">
        <v>345</v>
      </c>
      <c r="F33" s="172" t="s">
        <v>63</v>
      </c>
      <c r="G33" s="176" t="s">
        <v>65</v>
      </c>
      <c r="H33" s="173">
        <v>15</v>
      </c>
      <c r="I33" s="175">
        <v>4760</v>
      </c>
      <c r="J33" s="175">
        <v>4760</v>
      </c>
      <c r="K33" s="438">
        <f t="shared" si="4"/>
        <v>0</v>
      </c>
      <c r="L33" s="438">
        <f t="shared" si="5"/>
        <v>383.52</v>
      </c>
      <c r="M33" s="143">
        <f t="shared" si="1"/>
        <v>4376.4799999999996</v>
      </c>
      <c r="N33" s="181"/>
      <c r="O33" s="29" t="s">
        <v>493</v>
      </c>
      <c r="Q33" s="51"/>
      <c r="R33" s="52"/>
    </row>
    <row r="34" spans="4:18" ht="27.95" customHeight="1" x14ac:dyDescent="0.25">
      <c r="D34" s="346" t="s">
        <v>500</v>
      </c>
      <c r="E34" s="346" t="s">
        <v>345</v>
      </c>
      <c r="F34" s="177" t="s">
        <v>63</v>
      </c>
      <c r="G34" s="176" t="s">
        <v>65</v>
      </c>
      <c r="H34" s="173">
        <v>15</v>
      </c>
      <c r="I34" s="175">
        <v>4760</v>
      </c>
      <c r="J34" s="175">
        <v>4760</v>
      </c>
      <c r="K34" s="438">
        <f t="shared" si="4"/>
        <v>0</v>
      </c>
      <c r="L34" s="438">
        <f t="shared" si="5"/>
        <v>383.52</v>
      </c>
      <c r="M34" s="143">
        <f t="shared" si="1"/>
        <v>4376.4799999999996</v>
      </c>
      <c r="N34" s="446"/>
      <c r="O34" s="29" t="s">
        <v>494</v>
      </c>
      <c r="Q34" s="51"/>
      <c r="R34" s="52"/>
    </row>
    <row r="35" spans="4:18" ht="27.95" customHeight="1" x14ac:dyDescent="0.25">
      <c r="D35" s="346" t="s">
        <v>501</v>
      </c>
      <c r="E35" s="346" t="s">
        <v>345</v>
      </c>
      <c r="F35" s="172" t="s">
        <v>63</v>
      </c>
      <c r="G35" s="176" t="s">
        <v>65</v>
      </c>
      <c r="H35" s="173">
        <v>15</v>
      </c>
      <c r="I35" s="175">
        <v>4760</v>
      </c>
      <c r="J35" s="175">
        <v>4760</v>
      </c>
      <c r="K35" s="438">
        <f t="shared" si="4"/>
        <v>0</v>
      </c>
      <c r="L35" s="438">
        <f t="shared" si="5"/>
        <v>383.52</v>
      </c>
      <c r="M35" s="143">
        <f t="shared" si="1"/>
        <v>4376.4799999999996</v>
      </c>
      <c r="N35" s="446"/>
      <c r="O35" s="29" t="s">
        <v>495</v>
      </c>
      <c r="Q35" s="51"/>
      <c r="R35" s="52"/>
    </row>
    <row r="36" spans="4:18" ht="27.95" customHeight="1" x14ac:dyDescent="0.25">
      <c r="D36" s="346"/>
      <c r="E36" s="346"/>
      <c r="F36" s="178"/>
      <c r="G36" s="176"/>
      <c r="H36" s="173"/>
      <c r="I36" s="175"/>
      <c r="J36" s="175"/>
      <c r="K36" s="438"/>
      <c r="L36" s="438"/>
      <c r="M36" s="175"/>
      <c r="N36" s="264"/>
      <c r="Q36" s="51"/>
      <c r="R36" s="52"/>
    </row>
    <row r="37" spans="4:18" ht="12" customHeight="1" x14ac:dyDescent="0.2">
      <c r="D37" s="429"/>
      <c r="E37" s="355"/>
      <c r="F37" s="20"/>
      <c r="G37" s="20"/>
      <c r="H37" s="20"/>
      <c r="I37" s="24"/>
      <c r="J37" s="26"/>
      <c r="K37" s="26"/>
      <c r="L37" s="26"/>
      <c r="M37" s="26"/>
      <c r="N37" s="26"/>
      <c r="Q37" s="51"/>
    </row>
    <row r="38" spans="4:18" ht="26.1" customHeight="1" thickBot="1" x14ac:dyDescent="0.3">
      <c r="D38" s="484" t="s">
        <v>69</v>
      </c>
      <c r="E38" s="485"/>
      <c r="F38" s="485"/>
      <c r="G38" s="485"/>
      <c r="H38" s="444"/>
      <c r="I38" s="445">
        <f>SUM(I11:I36)</f>
        <v>120511</v>
      </c>
      <c r="J38" s="187">
        <f>SUM(J11:J37)</f>
        <v>116561</v>
      </c>
      <c r="K38" s="187">
        <f t="shared" ref="K38:M38" si="6">SUM(K11:K37)</f>
        <v>0</v>
      </c>
      <c r="L38" s="187">
        <f t="shared" si="6"/>
        <v>9795.3200000000052</v>
      </c>
      <c r="M38" s="187">
        <f t="shared" si="6"/>
        <v>106765.67999999993</v>
      </c>
      <c r="N38" s="45"/>
      <c r="Q38" s="51"/>
      <c r="R38" s="52">
        <f>SUM(R11:R37)</f>
        <v>30054</v>
      </c>
    </row>
    <row r="39" spans="4:18" ht="13.5" thickTop="1" x14ac:dyDescent="0.2">
      <c r="I39" s="46"/>
      <c r="Q39" s="51"/>
    </row>
    <row r="40" spans="4:18" x14ac:dyDescent="0.2">
      <c r="Q40" s="51"/>
    </row>
    <row r="41" spans="4:18" x14ac:dyDescent="0.2">
      <c r="Q41" s="51"/>
    </row>
    <row r="42" spans="4:18" x14ac:dyDescent="0.2">
      <c r="F42" s="30" t="s">
        <v>124</v>
      </c>
      <c r="I42" s="30"/>
      <c r="J42" s="30"/>
      <c r="K42" s="30"/>
      <c r="L42" s="30"/>
      <c r="M42" s="62"/>
      <c r="N42" s="62"/>
      <c r="Q42" s="51"/>
    </row>
    <row r="43" spans="4:18" x14ac:dyDescent="0.2">
      <c r="F43" s="29" t="s">
        <v>199</v>
      </c>
      <c r="M43" s="500" t="s">
        <v>197</v>
      </c>
      <c r="N43" s="500"/>
      <c r="Q43" s="51"/>
    </row>
    <row r="44" spans="4:18" x14ac:dyDescent="0.2">
      <c r="F44" s="30" t="s">
        <v>11</v>
      </c>
      <c r="G44" s="30"/>
      <c r="H44" s="30"/>
      <c r="I44" s="30"/>
      <c r="J44" s="30"/>
      <c r="K44" s="30"/>
      <c r="L44" s="30"/>
      <c r="M44" s="501" t="s">
        <v>168</v>
      </c>
      <c r="N44" s="501"/>
      <c r="Q44" s="51"/>
    </row>
    <row r="45" spans="4:18" x14ac:dyDescent="0.2">
      <c r="N45" s="51"/>
      <c r="Q45" s="51"/>
    </row>
    <row r="46" spans="4:18" x14ac:dyDescent="0.2">
      <c r="N46" s="51"/>
    </row>
    <row r="47" spans="4:18" x14ac:dyDescent="0.2">
      <c r="N47" s="51"/>
    </row>
    <row r="48" spans="4:18" x14ac:dyDescent="0.2">
      <c r="N48" s="51"/>
    </row>
    <row r="49" spans="4:18" ht="18" x14ac:dyDescent="0.25">
      <c r="D49" s="543"/>
      <c r="E49" s="543"/>
      <c r="F49" s="543"/>
      <c r="G49" s="543"/>
      <c r="H49" s="543"/>
      <c r="I49" s="543"/>
      <c r="J49" s="543"/>
      <c r="K49" s="543"/>
      <c r="L49" s="543"/>
      <c r="M49" s="543"/>
      <c r="N49" s="543"/>
    </row>
    <row r="50" spans="4:18" ht="35.1" customHeight="1" x14ac:dyDescent="0.5">
      <c r="D50" s="535" t="s">
        <v>12</v>
      </c>
      <c r="E50" s="536"/>
      <c r="F50" s="536"/>
      <c r="G50" s="536"/>
      <c r="H50" s="536"/>
      <c r="I50" s="536"/>
      <c r="J50" s="536"/>
      <c r="K50" s="536"/>
      <c r="L50" s="536"/>
      <c r="M50" s="536"/>
      <c r="N50" s="537"/>
    </row>
    <row r="51" spans="4:18" ht="24.75" customHeight="1" x14ac:dyDescent="0.5">
      <c r="D51" s="529" t="str">
        <f>D5</f>
        <v>NOMINA 2DA QUINCENA DE ENERO DE  2021</v>
      </c>
      <c r="E51" s="530"/>
      <c r="F51" s="530"/>
      <c r="G51" s="530"/>
      <c r="H51" s="530"/>
      <c r="I51" s="530"/>
      <c r="J51" s="530"/>
      <c r="K51" s="530"/>
      <c r="L51" s="530"/>
      <c r="M51" s="530"/>
      <c r="N51" s="531"/>
    </row>
    <row r="52" spans="4:18" ht="28.5" customHeight="1" x14ac:dyDescent="0.5">
      <c r="D52" s="540" t="s">
        <v>271</v>
      </c>
      <c r="E52" s="541"/>
      <c r="F52" s="541"/>
      <c r="G52" s="541"/>
      <c r="H52" s="541"/>
      <c r="I52" s="541"/>
      <c r="J52" s="541"/>
      <c r="K52" s="541"/>
      <c r="L52" s="541"/>
      <c r="M52" s="541"/>
      <c r="N52" s="542"/>
    </row>
    <row r="53" spans="4:18" x14ac:dyDescent="0.2">
      <c r="D53" s="341"/>
      <c r="E53" s="437" t="s">
        <v>324</v>
      </c>
      <c r="F53" s="117"/>
      <c r="G53" s="117"/>
      <c r="H53" s="136"/>
      <c r="I53" s="118"/>
      <c r="J53" s="532"/>
      <c r="K53" s="533"/>
      <c r="L53" s="533"/>
      <c r="M53" s="533"/>
      <c r="N53" s="534"/>
    </row>
    <row r="54" spans="4:18" x14ac:dyDescent="0.2">
      <c r="D54" s="343" t="s">
        <v>3</v>
      </c>
      <c r="E54" s="342" t="s">
        <v>325</v>
      </c>
      <c r="F54" s="119"/>
      <c r="G54" s="119"/>
      <c r="H54" s="119"/>
      <c r="I54" s="120" t="s">
        <v>1</v>
      </c>
      <c r="J54" s="121" t="s">
        <v>157</v>
      </c>
      <c r="K54" s="121" t="s">
        <v>161</v>
      </c>
      <c r="L54" s="121"/>
      <c r="M54" s="119" t="s">
        <v>167</v>
      </c>
      <c r="N54" s="119"/>
    </row>
    <row r="55" spans="4:18" x14ac:dyDescent="0.2">
      <c r="D55" s="343"/>
      <c r="E55" s="342"/>
      <c r="F55" s="120"/>
      <c r="G55" s="120" t="s">
        <v>10</v>
      </c>
      <c r="H55" s="119"/>
      <c r="I55" s="119" t="s">
        <v>159</v>
      </c>
      <c r="J55" s="120" t="s">
        <v>160</v>
      </c>
      <c r="K55" s="120" t="s">
        <v>162</v>
      </c>
      <c r="L55" s="120" t="s">
        <v>163</v>
      </c>
      <c r="M55" s="119" t="s">
        <v>166</v>
      </c>
      <c r="N55" s="119" t="s">
        <v>165</v>
      </c>
    </row>
    <row r="56" spans="4:18" x14ac:dyDescent="0.2">
      <c r="D56" s="344"/>
      <c r="E56" s="344"/>
      <c r="F56" s="121" t="s">
        <v>271</v>
      </c>
      <c r="G56" s="121" t="s">
        <v>9</v>
      </c>
      <c r="H56" s="121" t="s">
        <v>172</v>
      </c>
      <c r="I56" s="121"/>
      <c r="J56" s="121"/>
      <c r="K56" s="121"/>
      <c r="L56" s="121"/>
      <c r="M56" s="121"/>
      <c r="N56" s="121"/>
    </row>
    <row r="57" spans="4:18" x14ac:dyDescent="0.2">
      <c r="G57" s="88"/>
      <c r="H57" s="88"/>
      <c r="I57" s="88"/>
      <c r="J57" s="88"/>
      <c r="K57" s="88"/>
      <c r="L57" s="88"/>
      <c r="M57" s="88"/>
      <c r="N57" s="88"/>
    </row>
    <row r="58" spans="4:18" ht="15" customHeight="1" x14ac:dyDescent="0.25">
      <c r="D58" s="428"/>
      <c r="E58" s="428"/>
      <c r="F58" s="183"/>
      <c r="G58" s="173"/>
      <c r="H58" s="173"/>
      <c r="I58" s="174"/>
      <c r="J58" s="175"/>
      <c r="K58" s="175"/>
      <c r="L58" s="175"/>
      <c r="M58" s="175"/>
      <c r="N58" s="19"/>
      <c r="Q58" s="51">
        <v>6770</v>
      </c>
      <c r="R58" s="52">
        <f>Q58/2</f>
        <v>3385</v>
      </c>
    </row>
    <row r="59" spans="4:18" ht="39.950000000000003" customHeight="1" x14ac:dyDescent="0.25">
      <c r="D59" s="430" t="s">
        <v>472</v>
      </c>
      <c r="E59" s="431" t="s">
        <v>336</v>
      </c>
      <c r="F59" s="173" t="s">
        <v>127</v>
      </c>
      <c r="G59" s="173" t="s">
        <v>128</v>
      </c>
      <c r="H59" s="173">
        <v>15</v>
      </c>
      <c r="I59" s="175">
        <v>3922</v>
      </c>
      <c r="J59" s="175">
        <v>3922</v>
      </c>
      <c r="K59" s="438">
        <f>IFERROR(IF(ROUND((((J59/H59*30.4)-VLOOKUP((J59/H59*30.4),TARIFA,1))*VLOOKUP((J59/H59*30.4),TARIFA,3)+VLOOKUP((J59/H59*30.4),TARIFA,2)-VLOOKUP((J59/H59*30.4),SUBSIDIO,2))/30.4*H59,2)&lt;0,ROUND(-(((J59/H59*30.4)-VLOOKUP((J59/H59*30.4),TARIFA,1))*VLOOKUP((J59/H59*30.4),TARIFA,3)+VLOOKUP((J59/H59*30.4),TARIFA,2)-VLOOKUP((J59/H59*30.4),SUBSIDIO,2))/30.4*H59,2),0),0)</f>
        <v>0</v>
      </c>
      <c r="L59" s="438">
        <f>IFERROR(IF(ROUND((((J59/H59*30.4)-VLOOKUP((J59/H59*30.4),TARIFA,1))*VLOOKUP((J59/H59*30.4),TARIFA,3)+VLOOKUP((J59/H59*30.4),TARIFA,2)-VLOOKUP((J59/H59*30.4),SUBSIDIO,2))/30.4*H59,2)&gt;0,ROUND((((J59/H59*30.4)-VLOOKUP((J59/H59*30.4),TARIFA,1))*VLOOKUP((J59/H59*30.4),TARIFA,3)+VLOOKUP((J59/H59*30.4),TARIFA,2)-VLOOKUP((J59/H59*30.4),SUBSIDIO,2))/30.4*H59,2),0),0)</f>
        <v>291.52999999999997</v>
      </c>
      <c r="M59" s="175">
        <f>J59-L59</f>
        <v>3630.4700000000003</v>
      </c>
      <c r="N59" s="19"/>
      <c r="Q59" s="51"/>
      <c r="R59" s="52"/>
    </row>
    <row r="60" spans="4:18" ht="39.950000000000003" customHeight="1" x14ac:dyDescent="0.25">
      <c r="D60" s="349" t="s">
        <v>473</v>
      </c>
      <c r="E60" s="349" t="s">
        <v>336</v>
      </c>
      <c r="F60" s="176" t="s">
        <v>129</v>
      </c>
      <c r="G60" s="176" t="s">
        <v>130</v>
      </c>
      <c r="H60" s="176">
        <v>15</v>
      </c>
      <c r="I60" s="175">
        <v>4483</v>
      </c>
      <c r="J60" s="175">
        <v>4483</v>
      </c>
      <c r="K60" s="438">
        <f>IFERROR(IF(ROUND((((J60/H60*30.4)-VLOOKUP((J60/H60*30.4),TARIFA,1))*VLOOKUP((J60/H60*30.4),TARIFA,3)+VLOOKUP((J60/H60*30.4),TARIFA,2)-VLOOKUP((J60/H60*30.4),SUBSIDIO,2))/30.4*H60,2)&lt;0,ROUND(-(((J60/H60*30.4)-VLOOKUP((J60/H60*30.4),TARIFA,1))*VLOOKUP((J60/H60*30.4),TARIFA,3)+VLOOKUP((J60/H60*30.4),TARIFA,2)-VLOOKUP((J60/H60*30.4),SUBSIDIO,2))/30.4*H60,2),0),0)</f>
        <v>0</v>
      </c>
      <c r="L60" s="438">
        <f>IFERROR(IF(ROUND((((J60/H60*30.4)-VLOOKUP((J60/H60*30.4),TARIFA,1))*VLOOKUP((J60/H60*30.4),TARIFA,3)+VLOOKUP((J60/H60*30.4),TARIFA,2)-VLOOKUP((J60/H60*30.4),SUBSIDIO,2))/30.4*H60,2)&gt;0,ROUND((((J60/H60*30.4)-VLOOKUP((J60/H60*30.4),TARIFA,1))*VLOOKUP((J60/H60*30.4),TARIFA,3)+VLOOKUP((J60/H60*30.4),TARIFA,2)-VLOOKUP((J60/H60*30.4),SUBSIDIO,2))/30.4*H60,2),0),0)</f>
        <v>352.56</v>
      </c>
      <c r="M60" s="175">
        <f>J60-L60</f>
        <v>4130.4399999999996</v>
      </c>
      <c r="N60" s="19"/>
      <c r="Q60" s="51">
        <v>6770</v>
      </c>
      <c r="R60" s="52">
        <f>Q60/2</f>
        <v>3385</v>
      </c>
    </row>
    <row r="61" spans="4:18" ht="39.950000000000003" customHeight="1" x14ac:dyDescent="0.25">
      <c r="D61" s="432" t="s">
        <v>474</v>
      </c>
      <c r="E61" s="346" t="s">
        <v>336</v>
      </c>
      <c r="F61" s="173" t="s">
        <v>239</v>
      </c>
      <c r="G61" s="173" t="s">
        <v>130</v>
      </c>
      <c r="H61" s="173">
        <v>15</v>
      </c>
      <c r="I61" s="175">
        <v>3183</v>
      </c>
      <c r="J61" s="175">
        <f>I61</f>
        <v>3183</v>
      </c>
      <c r="K61" s="438">
        <f>IFERROR(IF(ROUND((((J61/H61*30.4)-VLOOKUP((J61/H61*30.4),TARIFA,1))*VLOOKUP((J61/H61*30.4),TARIFA,3)+VLOOKUP((J61/H61*30.4),TARIFA,2)-VLOOKUP((J61/H61*30.4),SUBSIDIO,2))/30.4*H61,2)&lt;0,ROUND(-(((J61/H61*30.4)-VLOOKUP((J61/H61*30.4),TARIFA,1))*VLOOKUP((J61/H61*30.4),TARIFA,3)+VLOOKUP((J61/H61*30.4),TARIFA,2)-VLOOKUP((J61/H61*30.4),SUBSIDIO,2))/30.4*H61,2),0),0)</f>
        <v>0</v>
      </c>
      <c r="L61" s="438">
        <f>IFERROR(IF(ROUND((((J61/H61*30.4)-VLOOKUP((J61/H61*30.4),TARIFA,1))*VLOOKUP((J61/H61*30.4),TARIFA,3)+VLOOKUP((J61/H61*30.4),TARIFA,2)-VLOOKUP((J61/H61*30.4),SUBSIDIO,2))/30.4*H61,2)&gt;0,ROUND((((J61/H61*30.4)-VLOOKUP((J61/H61*30.4),TARIFA,1))*VLOOKUP((J61/H61*30.4),TARIFA,3)+VLOOKUP((J61/H61*30.4),TARIFA,2)-VLOOKUP((J61/H61*30.4),SUBSIDIO,2))/30.4*H61,2),0),0)</f>
        <v>86.02</v>
      </c>
      <c r="M61" s="175">
        <f>J61-L61</f>
        <v>3096.98</v>
      </c>
      <c r="N61" s="19"/>
      <c r="Q61" s="51">
        <v>4170</v>
      </c>
      <c r="R61" s="52">
        <f>Q61/2</f>
        <v>2085</v>
      </c>
    </row>
    <row r="62" spans="4:18" ht="39.950000000000003" customHeight="1" x14ac:dyDescent="0.25">
      <c r="D62" s="433" t="s">
        <v>475</v>
      </c>
      <c r="E62" s="434" t="s">
        <v>336</v>
      </c>
      <c r="F62" s="173" t="s">
        <v>181</v>
      </c>
      <c r="G62" s="173" t="s">
        <v>39</v>
      </c>
      <c r="H62" s="173">
        <v>15</v>
      </c>
      <c r="I62" s="175">
        <v>3183</v>
      </c>
      <c r="J62" s="175">
        <f>I62</f>
        <v>3183</v>
      </c>
      <c r="K62" s="438">
        <f>IFERROR(IF(ROUND((((J62/H62*30.4)-VLOOKUP((J62/H62*30.4),TARIFA,1))*VLOOKUP((J62/H62*30.4),TARIFA,3)+VLOOKUP((J62/H62*30.4),TARIFA,2)-VLOOKUP((J62/H62*30.4),SUBSIDIO,2))/30.4*H62,2)&lt;0,ROUND(-(((J62/H62*30.4)-VLOOKUP((J62/H62*30.4),TARIFA,1))*VLOOKUP((J62/H62*30.4),TARIFA,3)+VLOOKUP((J62/H62*30.4),TARIFA,2)-VLOOKUP((J62/H62*30.4),SUBSIDIO,2))/30.4*H62,2),0),0)</f>
        <v>0</v>
      </c>
      <c r="L62" s="438">
        <f>IFERROR(IF(ROUND((((J62/H62*30.4)-VLOOKUP((J62/H62*30.4),TARIFA,1))*VLOOKUP((J62/H62*30.4),TARIFA,3)+VLOOKUP((J62/H62*30.4),TARIFA,2)-VLOOKUP((J62/H62*30.4),SUBSIDIO,2))/30.4*H62,2)&gt;0,ROUND((((J62/H62*30.4)-VLOOKUP((J62/H62*30.4),TARIFA,1))*VLOOKUP((J62/H62*30.4),TARIFA,3)+VLOOKUP((J62/H62*30.4),TARIFA,2)-VLOOKUP((J62/H62*30.4),SUBSIDIO,2))/30.4*H62,2),0),0)</f>
        <v>86.02</v>
      </c>
      <c r="M62" s="175">
        <f>J62-L62</f>
        <v>3096.98</v>
      </c>
      <c r="N62" s="19"/>
      <c r="Q62" s="51">
        <v>4170</v>
      </c>
      <c r="R62" s="52">
        <f>Q62/2</f>
        <v>2085</v>
      </c>
    </row>
    <row r="63" spans="4:18" ht="39.950000000000003" customHeight="1" x14ac:dyDescent="0.25">
      <c r="D63" s="435" t="s">
        <v>444</v>
      </c>
      <c r="E63" s="435" t="s">
        <v>336</v>
      </c>
      <c r="F63" s="266" t="s">
        <v>491</v>
      </c>
      <c r="G63" s="261" t="s">
        <v>130</v>
      </c>
      <c r="H63" s="262">
        <v>15</v>
      </c>
      <c r="I63" s="260">
        <v>3908</v>
      </c>
      <c r="J63" s="264">
        <v>3908</v>
      </c>
      <c r="K63" s="468">
        <v>0</v>
      </c>
      <c r="L63" s="438">
        <f>IFERROR(IF(ROUND((((J63/H63*30.4)-VLOOKUP((J63/H63*30.4),TARIFA,1))*VLOOKUP((J63/H63*30.4),TARIFA,3)+VLOOKUP((J63/H63*30.4),TARIFA,2)-VLOOKUP((J63/H63*30.4),SUBSIDIO,2))/30.4*H63,2)&gt;0,ROUND((((J63/H63*30.4)-VLOOKUP((J63/H63*30.4),TARIFA,1))*VLOOKUP((J63/H63*30.4),TARIFA,3)+VLOOKUP((J63/H63*30.4),TARIFA,2)-VLOOKUP((J63/H63*30.4),SUBSIDIO,2))/30.4*H63,2),0),0)</f>
        <v>290</v>
      </c>
      <c r="M63" s="175">
        <f>J63-L63</f>
        <v>3618</v>
      </c>
      <c r="N63" s="78"/>
      <c r="O63" s="87"/>
      <c r="Q63" s="51"/>
      <c r="R63" s="52"/>
    </row>
    <row r="64" spans="4:18" ht="50.1" customHeight="1" x14ac:dyDescent="0.25">
      <c r="D64" s="436"/>
      <c r="E64" s="436"/>
      <c r="F64" s="265"/>
      <c r="G64" s="265"/>
      <c r="H64" s="184"/>
      <c r="I64" s="263"/>
      <c r="J64" s="267"/>
      <c r="K64" s="268"/>
      <c r="L64" s="268"/>
      <c r="M64" s="268"/>
      <c r="O64" s="87"/>
    </row>
    <row r="65" spans="4:14" ht="33.75" customHeight="1" thickBot="1" x14ac:dyDescent="0.3">
      <c r="D65" s="538" t="s">
        <v>69</v>
      </c>
      <c r="E65" s="539"/>
      <c r="F65" s="539"/>
      <c r="G65" s="539"/>
      <c r="H65" s="185"/>
      <c r="I65" s="186">
        <f>SUM(I58:I64)</f>
        <v>18679</v>
      </c>
      <c r="J65" s="186">
        <f>SUM(J58:J64)</f>
        <v>18679</v>
      </c>
      <c r="K65" s="186">
        <f>SUM(K58:K64)</f>
        <v>0</v>
      </c>
      <c r="L65" s="186">
        <f>SUM(L58:L64)</f>
        <v>1106.1299999999999</v>
      </c>
      <c r="M65" s="186">
        <f>SUM(M58:M64)</f>
        <v>17572.87</v>
      </c>
      <c r="N65" s="27"/>
    </row>
    <row r="66" spans="4:14" ht="13.5" thickTop="1" x14ac:dyDescent="0.2"/>
    <row r="73" spans="4:14" x14ac:dyDescent="0.2">
      <c r="F73" s="30" t="s">
        <v>124</v>
      </c>
      <c r="I73" s="30"/>
      <c r="J73" s="30"/>
      <c r="K73" s="30"/>
      <c r="L73" s="30"/>
      <c r="M73" s="62"/>
      <c r="N73" s="62"/>
    </row>
    <row r="74" spans="4:14" ht="24.95" customHeight="1" x14ac:dyDescent="0.2">
      <c r="F74" s="29" t="s">
        <v>199</v>
      </c>
      <c r="M74" s="500" t="s">
        <v>235</v>
      </c>
      <c r="N74" s="500"/>
    </row>
    <row r="75" spans="4:14" x14ac:dyDescent="0.2">
      <c r="F75" s="30" t="s">
        <v>11</v>
      </c>
      <c r="G75" s="30"/>
      <c r="H75" s="30"/>
      <c r="I75" s="30"/>
      <c r="J75" s="30"/>
      <c r="K75" s="30"/>
      <c r="L75" s="30"/>
      <c r="M75" s="501" t="s">
        <v>168</v>
      </c>
      <c r="N75" s="501"/>
    </row>
    <row r="78" spans="4:14" ht="24.95" customHeight="1" x14ac:dyDescent="0.2">
      <c r="F78" s="37"/>
      <c r="G78" s="37"/>
      <c r="H78" s="37"/>
      <c r="I78" s="37"/>
      <c r="J78" s="37"/>
      <c r="K78" s="37"/>
      <c r="L78" s="37"/>
      <c r="M78" s="37"/>
      <c r="N78" s="37"/>
    </row>
    <row r="79" spans="4:14" ht="24.95" customHeight="1" x14ac:dyDescent="0.2">
      <c r="F79" s="38"/>
      <c r="G79" s="37"/>
      <c r="H79" s="37"/>
      <c r="I79" s="38"/>
      <c r="J79" s="38"/>
      <c r="K79" s="38"/>
      <c r="L79" s="38"/>
      <c r="M79" s="38"/>
      <c r="N79" s="38"/>
    </row>
    <row r="80" spans="4:14" x14ac:dyDescent="0.2">
      <c r="F80" s="21"/>
      <c r="G80" s="37"/>
      <c r="H80" s="37"/>
      <c r="I80" s="37"/>
      <c r="J80" s="37"/>
      <c r="K80" s="37"/>
      <c r="L80" s="37"/>
      <c r="M80" s="37"/>
      <c r="N80" s="37"/>
    </row>
    <row r="81" spans="6:14" x14ac:dyDescent="0.2">
      <c r="F81" s="32"/>
      <c r="G81" s="30"/>
      <c r="H81" s="30"/>
      <c r="I81" s="30"/>
      <c r="J81" s="30"/>
      <c r="K81" s="30"/>
      <c r="L81" s="30"/>
      <c r="M81" s="30"/>
      <c r="N81" s="30"/>
    </row>
  </sheetData>
  <sheetProtection selectLockedCells="1" selectUnlockedCells="1"/>
  <mergeCells count="16">
    <mergeCell ref="M43:N43"/>
    <mergeCell ref="J53:N53"/>
    <mergeCell ref="M75:N75"/>
    <mergeCell ref="M44:N44"/>
    <mergeCell ref="D4:N4"/>
    <mergeCell ref="D50:N50"/>
    <mergeCell ref="D51:N51"/>
    <mergeCell ref="D65:G65"/>
    <mergeCell ref="M74:N74"/>
    <mergeCell ref="D52:N52"/>
    <mergeCell ref="D49:N49"/>
    <mergeCell ref="D3:N3"/>
    <mergeCell ref="D5:N5"/>
    <mergeCell ref="J7:N7"/>
    <mergeCell ref="D6:N6"/>
    <mergeCell ref="D38:G38"/>
  </mergeCells>
  <phoneticPr fontId="0" type="noConversion"/>
  <pageMargins left="0" right="0" top="0" bottom="0" header="0.11811023622047245" footer="0.31496062992125984"/>
  <pageSetup scale="5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C2:M34"/>
  <sheetViews>
    <sheetView topLeftCell="C11" workbookViewId="0">
      <selection activeCell="C3" sqref="C3:K27"/>
    </sheetView>
  </sheetViews>
  <sheetFormatPr baseColWidth="10" defaultRowHeight="12.75" x14ac:dyDescent="0.2"/>
  <cols>
    <col min="1" max="2" width="0" hidden="1" customWidth="1"/>
    <col min="3" max="4" width="6.28515625" style="443" customWidth="1"/>
    <col min="5" max="5" width="42.85546875" customWidth="1"/>
    <col min="6" max="6" width="36.28515625" customWidth="1"/>
    <col min="7" max="7" width="7" customWidth="1"/>
    <col min="8" max="8" width="11.140625" customWidth="1"/>
    <col min="9" max="9" width="7.5703125" customWidth="1"/>
    <col min="10" max="10" width="11.42578125" customWidth="1"/>
    <col min="11" max="11" width="73.5703125" customWidth="1"/>
  </cols>
  <sheetData>
    <row r="2" spans="3:13" x14ac:dyDescent="0.2">
      <c r="C2" s="439"/>
      <c r="D2" s="439"/>
      <c r="E2" s="13"/>
      <c r="F2" s="13"/>
      <c r="G2" s="13"/>
      <c r="H2" s="13"/>
      <c r="I2" s="13"/>
      <c r="J2" s="13"/>
      <c r="K2" s="13"/>
    </row>
    <row r="3" spans="3:13" ht="19.5" x14ac:dyDescent="0.25">
      <c r="C3" s="545" t="s">
        <v>12</v>
      </c>
      <c r="D3" s="546"/>
      <c r="E3" s="546"/>
      <c r="F3" s="546"/>
      <c r="G3" s="546"/>
      <c r="H3" s="546"/>
      <c r="I3" s="546"/>
      <c r="J3" s="546"/>
      <c r="K3" s="547"/>
    </row>
    <row r="4" spans="3:13" ht="19.5" hidden="1" x14ac:dyDescent="0.25">
      <c r="C4" s="548" t="s">
        <v>8</v>
      </c>
      <c r="D4" s="549"/>
      <c r="E4" s="549"/>
      <c r="F4" s="549"/>
      <c r="G4" s="549"/>
      <c r="H4" s="549"/>
      <c r="I4" s="549"/>
      <c r="J4" s="549"/>
      <c r="K4" s="550"/>
    </row>
    <row r="5" spans="3:13" ht="19.5" x14ac:dyDescent="0.25">
      <c r="C5" s="548" t="s">
        <v>171</v>
      </c>
      <c r="D5" s="549"/>
      <c r="E5" s="549"/>
      <c r="F5" s="549"/>
      <c r="G5" s="549"/>
      <c r="H5" s="549"/>
      <c r="I5" s="549"/>
      <c r="J5" s="549"/>
      <c r="K5" s="550"/>
    </row>
    <row r="6" spans="3:13" ht="19.5" x14ac:dyDescent="0.25">
      <c r="C6" s="548" t="s">
        <v>508</v>
      </c>
      <c r="D6" s="549"/>
      <c r="E6" s="549"/>
      <c r="F6" s="549"/>
      <c r="G6" s="549"/>
      <c r="H6" s="549"/>
      <c r="I6" s="549"/>
      <c r="J6" s="549"/>
      <c r="K6" s="550"/>
    </row>
    <row r="7" spans="3:13" x14ac:dyDescent="0.2">
      <c r="C7" s="376"/>
      <c r="D7" s="440" t="s">
        <v>324</v>
      </c>
      <c r="E7" s="106"/>
      <c r="F7" s="106"/>
      <c r="G7" s="107"/>
      <c r="H7" s="516" t="s">
        <v>0</v>
      </c>
      <c r="I7" s="518"/>
      <c r="J7" s="108"/>
      <c r="K7" s="116"/>
    </row>
    <row r="8" spans="3:13" x14ac:dyDescent="0.2">
      <c r="C8" s="377" t="s">
        <v>3</v>
      </c>
      <c r="D8" s="377" t="s">
        <v>325</v>
      </c>
      <c r="E8" s="107"/>
      <c r="F8" s="107"/>
      <c r="G8" s="107"/>
      <c r="H8" s="111" t="s">
        <v>1</v>
      </c>
      <c r="I8" s="111"/>
      <c r="J8" s="108" t="s">
        <v>157</v>
      </c>
      <c r="K8" s="107" t="s">
        <v>169</v>
      </c>
    </row>
    <row r="9" spans="3:13" ht="15" x14ac:dyDescent="0.25">
      <c r="C9" s="378"/>
      <c r="D9" s="377"/>
      <c r="E9" s="113" t="s">
        <v>173</v>
      </c>
      <c r="F9" s="113" t="s">
        <v>174</v>
      </c>
      <c r="G9" s="107" t="s">
        <v>172</v>
      </c>
      <c r="H9" s="107" t="s">
        <v>7</v>
      </c>
      <c r="I9" s="107"/>
      <c r="J9" s="107" t="s">
        <v>160</v>
      </c>
      <c r="K9" s="107"/>
    </row>
    <row r="10" spans="3:13" ht="15" x14ac:dyDescent="0.25">
      <c r="C10" s="377"/>
      <c r="D10" s="377"/>
      <c r="E10" s="114" t="s">
        <v>73</v>
      </c>
      <c r="F10" s="122"/>
      <c r="G10" s="123"/>
      <c r="H10" s="123"/>
      <c r="I10" s="123"/>
      <c r="J10" s="124"/>
      <c r="K10" s="123"/>
    </row>
    <row r="11" spans="3:13" ht="35.1" customHeight="1" x14ac:dyDescent="0.25">
      <c r="C11" s="441"/>
      <c r="D11" s="441"/>
      <c r="E11" s="10"/>
      <c r="F11" s="253"/>
      <c r="G11" s="254"/>
      <c r="H11" s="252"/>
      <c r="I11" s="252"/>
      <c r="J11" s="252"/>
      <c r="K11" s="252"/>
      <c r="L11" s="247"/>
    </row>
    <row r="12" spans="3:13" ht="39.950000000000003" customHeight="1" x14ac:dyDescent="0.2">
      <c r="C12" s="470" t="s">
        <v>476</v>
      </c>
      <c r="D12" s="470" t="s">
        <v>345</v>
      </c>
      <c r="E12" s="471" t="s">
        <v>66</v>
      </c>
      <c r="F12" s="471" t="s">
        <v>42</v>
      </c>
      <c r="G12" s="472">
        <v>15</v>
      </c>
      <c r="H12" s="473">
        <v>1992</v>
      </c>
      <c r="I12" s="474"/>
      <c r="J12" s="475">
        <f t="shared" ref="J12:J17" si="0">H12</f>
        <v>1992</v>
      </c>
      <c r="K12" s="476"/>
      <c r="M12" s="6"/>
    </row>
    <row r="13" spans="3:13" ht="39.950000000000003" customHeight="1" x14ac:dyDescent="0.2">
      <c r="C13" s="470" t="s">
        <v>477</v>
      </c>
      <c r="D13" s="470" t="s">
        <v>336</v>
      </c>
      <c r="E13" s="471" t="s">
        <v>67</v>
      </c>
      <c r="F13" s="471" t="s">
        <v>68</v>
      </c>
      <c r="G13" s="472">
        <v>15</v>
      </c>
      <c r="H13" s="473">
        <v>2430</v>
      </c>
      <c r="I13" s="474"/>
      <c r="J13" s="475">
        <f t="shared" si="0"/>
        <v>2430</v>
      </c>
      <c r="K13" s="476"/>
      <c r="M13" s="6"/>
    </row>
    <row r="14" spans="3:13" ht="39.950000000000003" customHeight="1" x14ac:dyDescent="0.2">
      <c r="C14" s="470" t="s">
        <v>478</v>
      </c>
      <c r="D14" s="470" t="s">
        <v>336</v>
      </c>
      <c r="E14" s="471" t="s">
        <v>35</v>
      </c>
      <c r="F14" s="471" t="s">
        <v>33</v>
      </c>
      <c r="G14" s="472">
        <v>15</v>
      </c>
      <c r="H14" s="473">
        <v>3194</v>
      </c>
      <c r="I14" s="474"/>
      <c r="J14" s="475">
        <f t="shared" si="0"/>
        <v>3194</v>
      </c>
      <c r="K14" s="476"/>
      <c r="L14" s="469"/>
      <c r="M14" s="6"/>
    </row>
    <row r="15" spans="3:13" ht="39.950000000000003" customHeight="1" x14ac:dyDescent="0.2">
      <c r="C15" s="470" t="s">
        <v>479</v>
      </c>
      <c r="D15" s="470" t="s">
        <v>336</v>
      </c>
      <c r="E15" s="471" t="s">
        <v>43</v>
      </c>
      <c r="F15" s="471" t="s">
        <v>275</v>
      </c>
      <c r="G15" s="472">
        <v>15</v>
      </c>
      <c r="H15" s="473">
        <v>1918</v>
      </c>
      <c r="I15" s="474"/>
      <c r="J15" s="475">
        <f t="shared" si="0"/>
        <v>1918</v>
      </c>
      <c r="K15" s="476"/>
      <c r="L15" s="251"/>
      <c r="M15" s="246"/>
    </row>
    <row r="16" spans="3:13" ht="39.950000000000003" customHeight="1" x14ac:dyDescent="0.2">
      <c r="C16" s="470" t="s">
        <v>480</v>
      </c>
      <c r="D16" s="470" t="s">
        <v>336</v>
      </c>
      <c r="E16" s="477" t="s">
        <v>45</v>
      </c>
      <c r="F16" s="471" t="s">
        <v>46</v>
      </c>
      <c r="G16" s="478">
        <v>15</v>
      </c>
      <c r="H16" s="473">
        <v>2294</v>
      </c>
      <c r="I16" s="474"/>
      <c r="J16" s="475">
        <f t="shared" si="0"/>
        <v>2294</v>
      </c>
      <c r="K16" s="476"/>
      <c r="L16" s="251"/>
      <c r="M16" s="246"/>
    </row>
    <row r="17" spans="3:13" ht="39.950000000000003" customHeight="1" x14ac:dyDescent="0.2">
      <c r="C17" s="470" t="s">
        <v>481</v>
      </c>
      <c r="D17" s="470" t="s">
        <v>336</v>
      </c>
      <c r="E17" s="477" t="s">
        <v>60</v>
      </c>
      <c r="F17" s="471" t="s">
        <v>90</v>
      </c>
      <c r="G17" s="478">
        <v>15</v>
      </c>
      <c r="H17" s="473">
        <v>1487</v>
      </c>
      <c r="I17" s="474"/>
      <c r="J17" s="475">
        <f t="shared" si="0"/>
        <v>1487</v>
      </c>
      <c r="K17" s="476"/>
      <c r="L17" s="251"/>
      <c r="M17" s="246"/>
    </row>
    <row r="18" spans="3:13" ht="39.950000000000003" customHeight="1" x14ac:dyDescent="0.2">
      <c r="C18" s="470"/>
      <c r="D18" s="470"/>
      <c r="E18" s="471"/>
      <c r="F18" s="471"/>
      <c r="G18" s="472"/>
      <c r="H18" s="473"/>
      <c r="I18" s="474"/>
      <c r="J18" s="475"/>
      <c r="K18" s="476"/>
      <c r="L18" s="251"/>
      <c r="M18" s="246"/>
    </row>
    <row r="19" spans="3:13" ht="35.1" customHeight="1" x14ac:dyDescent="0.2">
      <c r="C19" s="442"/>
      <c r="D19" s="442"/>
      <c r="E19" s="66"/>
      <c r="F19" s="479"/>
      <c r="G19" s="479"/>
      <c r="H19" s="479"/>
      <c r="I19" s="479"/>
      <c r="J19" s="479"/>
      <c r="K19" s="1"/>
    </row>
    <row r="20" spans="3:13" ht="35.1" customHeight="1" x14ac:dyDescent="0.25">
      <c r="C20" s="442"/>
      <c r="D20" s="442"/>
      <c r="E20" s="66"/>
      <c r="F20" s="67" t="s">
        <v>69</v>
      </c>
      <c r="G20" s="68"/>
      <c r="H20" s="69">
        <f>SUM(H12:H19)</f>
        <v>13315</v>
      </c>
      <c r="I20" s="69">
        <f>SUM(I12:I19)</f>
        <v>0</v>
      </c>
      <c r="J20" s="69">
        <f>SUM(J12:J19)</f>
        <v>13315</v>
      </c>
      <c r="K20" s="50"/>
    </row>
    <row r="21" spans="3:13" ht="35.1" customHeight="1" x14ac:dyDescent="0.25">
      <c r="C21" s="442"/>
      <c r="D21" s="442"/>
      <c r="E21" s="66"/>
      <c r="F21" s="132"/>
      <c r="G21" s="133"/>
      <c r="H21" s="134"/>
      <c r="I21" s="134"/>
      <c r="J21" s="134"/>
      <c r="K21" s="135"/>
    </row>
    <row r="22" spans="3:13" ht="35.1" customHeight="1" x14ac:dyDescent="0.25">
      <c r="C22" s="442"/>
      <c r="D22" s="442"/>
      <c r="E22" s="66"/>
      <c r="F22" s="132"/>
      <c r="G22" s="133"/>
      <c r="H22" s="134"/>
      <c r="I22" s="134"/>
      <c r="J22" s="134"/>
      <c r="K22" s="135"/>
    </row>
    <row r="23" spans="3:13" ht="35.1" customHeight="1" x14ac:dyDescent="0.2">
      <c r="C23" s="379"/>
      <c r="D23" s="379"/>
      <c r="E23" s="1"/>
      <c r="F23" s="1"/>
      <c r="G23" s="1"/>
      <c r="H23" s="1"/>
      <c r="I23" s="1"/>
      <c r="J23" s="1"/>
      <c r="K23" s="1"/>
    </row>
    <row r="24" spans="3:13" x14ac:dyDescent="0.2">
      <c r="C24" s="379"/>
      <c r="D24" s="379"/>
      <c r="E24" s="1"/>
      <c r="F24" s="1"/>
      <c r="G24" s="1"/>
      <c r="H24" s="1"/>
      <c r="I24" s="1"/>
      <c r="J24" s="1"/>
      <c r="K24" s="1"/>
    </row>
    <row r="25" spans="3:13" x14ac:dyDescent="0.2">
      <c r="C25" s="379"/>
      <c r="D25" s="379"/>
      <c r="E25" s="61"/>
      <c r="F25" s="1"/>
      <c r="G25" s="1"/>
      <c r="H25" s="1"/>
      <c r="I25" s="1"/>
      <c r="J25" s="61"/>
      <c r="K25" s="61"/>
    </row>
    <row r="26" spans="3:13" x14ac:dyDescent="0.2">
      <c r="C26" s="379"/>
      <c r="D26" s="379"/>
      <c r="E26" s="29" t="s">
        <v>199</v>
      </c>
      <c r="F26" s="1"/>
      <c r="G26" s="1"/>
      <c r="H26" s="1"/>
      <c r="I26" s="1"/>
      <c r="J26" s="544" t="s">
        <v>197</v>
      </c>
      <c r="K26" s="544"/>
    </row>
    <row r="27" spans="3:13" x14ac:dyDescent="0.2">
      <c r="C27" s="379"/>
      <c r="D27" s="379"/>
      <c r="E27" s="30" t="s">
        <v>11</v>
      </c>
      <c r="F27" s="7"/>
      <c r="G27" s="7"/>
      <c r="H27" s="7"/>
      <c r="I27" s="7"/>
      <c r="J27" s="501" t="s">
        <v>168</v>
      </c>
      <c r="K27" s="501"/>
    </row>
    <row r="28" spans="3:13" x14ac:dyDescent="0.2">
      <c r="C28" s="379"/>
      <c r="D28" s="379"/>
      <c r="E28" s="1"/>
      <c r="F28" s="1"/>
      <c r="G28" s="1"/>
      <c r="H28" s="1"/>
      <c r="I28" s="1"/>
      <c r="J28" s="1"/>
      <c r="K28" s="1"/>
    </row>
    <row r="29" spans="3:13" x14ac:dyDescent="0.2">
      <c r="C29" s="379"/>
      <c r="D29" s="379"/>
      <c r="E29" s="1"/>
      <c r="F29" s="1"/>
      <c r="G29" s="1"/>
      <c r="H29" s="1"/>
      <c r="I29" s="1"/>
      <c r="J29" s="1"/>
      <c r="K29" s="1"/>
    </row>
    <row r="30" spans="3:13" x14ac:dyDescent="0.2">
      <c r="C30" s="379"/>
      <c r="D30" s="379"/>
      <c r="E30" s="1"/>
      <c r="F30" s="1"/>
      <c r="G30" s="1"/>
      <c r="H30" s="1"/>
      <c r="I30" s="1"/>
      <c r="J30" s="1"/>
      <c r="K30" s="1"/>
    </row>
    <row r="31" spans="3:13" x14ac:dyDescent="0.2">
      <c r="C31" s="379"/>
      <c r="D31" s="379"/>
      <c r="E31" s="1"/>
      <c r="F31" s="1"/>
      <c r="G31" s="1"/>
      <c r="H31" s="1"/>
      <c r="I31" s="1"/>
      <c r="J31" s="1"/>
      <c r="K31" s="1"/>
    </row>
    <row r="32" spans="3:13" x14ac:dyDescent="0.2">
      <c r="C32" s="379"/>
      <c r="D32" s="379"/>
      <c r="E32" s="2"/>
      <c r="F32" s="1"/>
      <c r="G32" s="1"/>
      <c r="H32" s="2"/>
      <c r="I32" s="1"/>
      <c r="J32" s="1"/>
      <c r="K32" s="1"/>
    </row>
    <row r="33" spans="3:11" x14ac:dyDescent="0.2">
      <c r="C33" s="379"/>
      <c r="D33" s="379"/>
      <c r="E33" s="7"/>
      <c r="F33" s="7"/>
      <c r="G33" s="7"/>
      <c r="H33" s="7"/>
      <c r="I33" s="7"/>
      <c r="J33" s="7"/>
      <c r="K33" s="7"/>
    </row>
    <row r="34" spans="3:11" x14ac:dyDescent="0.2">
      <c r="C34" s="379"/>
      <c r="D34" s="379"/>
      <c r="E34" s="1"/>
      <c r="F34" s="1"/>
      <c r="G34" s="1"/>
      <c r="H34" s="1"/>
      <c r="I34" s="1"/>
      <c r="J34" s="1"/>
      <c r="K34" s="1"/>
    </row>
  </sheetData>
  <sheetProtection selectLockedCells="1" selectUnlockedCells="1"/>
  <mergeCells count="7">
    <mergeCell ref="J26:K26"/>
    <mergeCell ref="J27:K27"/>
    <mergeCell ref="C3:K3"/>
    <mergeCell ref="C4:K4"/>
    <mergeCell ref="H7:I7"/>
    <mergeCell ref="C5:K5"/>
    <mergeCell ref="C6:K6"/>
  </mergeCells>
  <phoneticPr fontId="0" type="noConversion"/>
  <pageMargins left="0.39370078740157483" right="0.31496062992125984" top="1.9291338582677167" bottom="0.74803149606299213" header="0.31496062992125984" footer="0.31496062992125984"/>
  <pageSetup scale="6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AH40"/>
  <sheetViews>
    <sheetView workbookViewId="0">
      <selection activeCell="B6" sqref="B6"/>
    </sheetView>
  </sheetViews>
  <sheetFormatPr baseColWidth="10" defaultColWidth="11" defaultRowHeight="12" x14ac:dyDescent="0.15"/>
  <cols>
    <col min="1" max="1" width="11" style="271"/>
    <col min="2" max="2" width="49.5703125" style="271" customWidth="1"/>
    <col min="3" max="3" width="15.42578125" style="271" customWidth="1"/>
    <col min="4" max="4" width="4.28515625" style="271" customWidth="1"/>
    <col min="5" max="5" width="11.85546875" style="271" hidden="1" customWidth="1"/>
    <col min="6" max="6" width="43.5703125" style="271" customWidth="1"/>
    <col min="7" max="7" width="12" style="271" bestFit="1" customWidth="1"/>
    <col min="8" max="8" width="12.28515625" style="271" bestFit="1" customWidth="1"/>
    <col min="9" max="9" width="11.28515625" style="271" bestFit="1" customWidth="1"/>
    <col min="10" max="10" width="10.5703125" style="271" customWidth="1"/>
    <col min="11" max="11" width="11" style="271"/>
    <col min="12" max="12" width="12" style="271" hidden="1" customWidth="1"/>
    <col min="13" max="14" width="11.28515625" style="271" hidden="1" customWidth="1"/>
    <col min="15" max="15" width="11" style="271"/>
    <col min="16" max="17" width="11.140625" style="271" bestFit="1" customWidth="1"/>
    <col min="18" max="22" width="8.7109375" style="271" customWidth="1"/>
    <col min="23" max="24" width="11" style="271"/>
    <col min="25" max="25" width="12.28515625" style="271" bestFit="1" customWidth="1"/>
    <col min="26" max="26" width="11" style="271" bestFit="1" customWidth="1"/>
    <col min="27" max="27" width="10.5703125" style="271" customWidth="1"/>
    <col min="28" max="28" width="11" style="271"/>
    <col min="29" max="29" width="12" style="271" hidden="1" customWidth="1"/>
    <col min="30" max="31" width="11.28515625" style="271" hidden="1" customWidth="1"/>
    <col min="32" max="32" width="11" style="271"/>
    <col min="33" max="34" width="11.140625" style="271" bestFit="1" customWidth="1"/>
    <col min="35" max="16384" width="11" style="271"/>
  </cols>
  <sheetData>
    <row r="1" spans="2:34" ht="12.75" x14ac:dyDescent="0.2">
      <c r="B1" s="272"/>
      <c r="C1" s="272"/>
      <c r="D1" s="272"/>
      <c r="E1" s="272"/>
      <c r="F1" s="272"/>
    </row>
    <row r="2" spans="2:34" ht="25.5" customHeight="1" x14ac:dyDescent="0.3">
      <c r="B2" s="273" t="s">
        <v>322</v>
      </c>
      <c r="C2" s="274"/>
      <c r="D2" s="274"/>
      <c r="E2" s="274"/>
      <c r="F2" s="274"/>
      <c r="G2" s="1"/>
      <c r="H2" s="1"/>
      <c r="R2" s="1"/>
      <c r="S2" s="1"/>
      <c r="T2" s="1"/>
      <c r="U2" s="1"/>
      <c r="V2" s="1"/>
      <c r="W2" s="1"/>
      <c r="X2" s="1"/>
      <c r="Y2" s="1"/>
    </row>
    <row r="3" spans="2:34" ht="25.5" customHeight="1" x14ac:dyDescent="0.25">
      <c r="B3" s="275" t="s">
        <v>295</v>
      </c>
      <c r="C3" s="274"/>
      <c r="D3" s="274"/>
      <c r="E3" s="274"/>
      <c r="F3" s="274"/>
      <c r="G3" s="1"/>
      <c r="H3" s="1"/>
      <c r="R3" s="1"/>
      <c r="S3" s="1"/>
      <c r="T3" s="1"/>
      <c r="U3" s="1"/>
      <c r="V3" s="1"/>
      <c r="W3" s="1"/>
      <c r="X3" s="1"/>
      <c r="Y3" s="1"/>
    </row>
    <row r="4" spans="2:34" ht="25.5" customHeight="1" x14ac:dyDescent="0.25">
      <c r="B4" s="276" t="s">
        <v>323</v>
      </c>
      <c r="C4" s="277"/>
      <c r="D4" s="274"/>
      <c r="E4" s="274"/>
      <c r="F4" s="274"/>
      <c r="G4" s="1"/>
      <c r="H4" s="1"/>
      <c r="R4" s="1"/>
      <c r="S4" s="1"/>
      <c r="T4" s="1"/>
      <c r="U4" s="1"/>
      <c r="V4" s="1"/>
      <c r="W4" s="1"/>
      <c r="X4" s="1"/>
      <c r="Y4" s="1"/>
    </row>
    <row r="5" spans="2:34" ht="26.25" customHeight="1" x14ac:dyDescent="0.25">
      <c r="B5" s="278" t="s">
        <v>504</v>
      </c>
      <c r="C5" s="277"/>
      <c r="D5" s="274"/>
      <c r="E5" s="274"/>
      <c r="F5" s="274"/>
      <c r="G5" s="1"/>
      <c r="H5" s="1"/>
      <c r="R5" s="1"/>
      <c r="S5" s="1"/>
      <c r="T5" s="1"/>
      <c r="U5" s="1"/>
      <c r="V5" s="1"/>
      <c r="W5" s="1"/>
      <c r="X5" s="1"/>
      <c r="Y5" s="1"/>
    </row>
    <row r="6" spans="2:34" ht="12.75" customHeight="1" x14ac:dyDescent="0.2">
      <c r="G6" s="1"/>
      <c r="H6" s="1"/>
      <c r="R6" s="1"/>
      <c r="S6" s="1"/>
      <c r="T6" s="1"/>
      <c r="U6" s="1"/>
      <c r="V6" s="1"/>
      <c r="W6" s="1"/>
      <c r="X6" s="1"/>
      <c r="Y6" s="1"/>
    </row>
    <row r="7" spans="2:34" ht="12.75" x14ac:dyDescent="0.2">
      <c r="B7" s="279"/>
      <c r="C7" s="279"/>
      <c r="D7" s="279"/>
      <c r="E7" s="279"/>
      <c r="F7" s="279"/>
      <c r="G7" s="1"/>
      <c r="H7" s="1"/>
      <c r="R7" s="1"/>
      <c r="S7" s="1"/>
      <c r="T7" s="1"/>
      <c r="U7" s="1"/>
      <c r="V7" s="1"/>
      <c r="W7" s="1"/>
      <c r="X7" s="1"/>
      <c r="Y7" s="1"/>
    </row>
    <row r="8" spans="2:34" ht="12.75" x14ac:dyDescent="0.2">
      <c r="B8" s="279"/>
      <c r="C8" s="279"/>
      <c r="D8" s="279"/>
      <c r="E8" s="279"/>
      <c r="F8" s="279"/>
      <c r="G8" s="1"/>
      <c r="H8" s="1"/>
      <c r="R8" s="1"/>
      <c r="S8" s="1"/>
      <c r="T8" s="1"/>
      <c r="U8" s="1"/>
      <c r="V8" s="1"/>
      <c r="W8" s="1"/>
      <c r="X8" s="1"/>
      <c r="Y8" s="1"/>
    </row>
    <row r="9" spans="2:34" ht="18" x14ac:dyDescent="0.25">
      <c r="B9" s="280" t="s">
        <v>296</v>
      </c>
      <c r="C9" s="280"/>
      <c r="D9" s="281"/>
      <c r="E9" s="280"/>
      <c r="F9" s="282"/>
      <c r="G9" s="1"/>
      <c r="H9" s="1"/>
      <c r="R9" s="1"/>
      <c r="S9" s="1"/>
      <c r="T9" s="1"/>
      <c r="U9" s="1"/>
      <c r="V9" s="1"/>
      <c r="W9" s="1"/>
      <c r="X9" s="1"/>
      <c r="Y9" s="1"/>
    </row>
    <row r="10" spans="2:34" ht="18" x14ac:dyDescent="0.25">
      <c r="B10" s="281"/>
      <c r="C10" s="281"/>
      <c r="D10" s="281"/>
      <c r="E10" s="281"/>
      <c r="F10" s="281"/>
      <c r="G10" s="1"/>
      <c r="H10" s="1"/>
      <c r="R10" s="1"/>
      <c r="S10" s="1"/>
      <c r="T10" s="1"/>
      <c r="U10" s="1"/>
      <c r="V10" s="1"/>
      <c r="W10" s="1"/>
      <c r="X10" s="1"/>
      <c r="Y10" s="1"/>
    </row>
    <row r="11" spans="2:34" ht="15.75" x14ac:dyDescent="0.25">
      <c r="B11" s="283" t="s">
        <v>297</v>
      </c>
      <c r="C11" s="284">
        <v>3400</v>
      </c>
      <c r="D11" s="283"/>
      <c r="E11" s="283"/>
      <c r="F11" s="283"/>
      <c r="G11" s="285"/>
      <c r="H11" s="551" t="s">
        <v>496</v>
      </c>
      <c r="I11" s="551"/>
      <c r="J11" s="551"/>
      <c r="K11" s="551"/>
      <c r="L11" s="551"/>
      <c r="M11" s="551"/>
      <c r="N11" s="551"/>
      <c r="O11" s="551"/>
      <c r="R11" s="286"/>
      <c r="S11" s="286"/>
      <c r="T11" s="286"/>
      <c r="U11" s="286"/>
      <c r="V11" s="286"/>
      <c r="W11" s="286"/>
      <c r="X11" s="286"/>
      <c r="Y11" s="551" t="s">
        <v>298</v>
      </c>
      <c r="Z11" s="551"/>
      <c r="AA11" s="551"/>
      <c r="AB11" s="551"/>
      <c r="AC11" s="551"/>
      <c r="AD11" s="551"/>
      <c r="AE11" s="551"/>
      <c r="AF11" s="551"/>
    </row>
    <row r="12" spans="2:34" ht="20.25" customHeight="1" x14ac:dyDescent="0.25">
      <c r="B12" s="287" t="s">
        <v>299</v>
      </c>
      <c r="C12" s="288">
        <f>C11/15*30.4</f>
        <v>6890.6666666666661</v>
      </c>
      <c r="D12" s="289"/>
      <c r="E12" s="289"/>
      <c r="F12" s="289"/>
      <c r="G12" s="290"/>
      <c r="H12" s="286"/>
      <c r="J12" s="291"/>
      <c r="K12" s="291"/>
      <c r="R12" s="1"/>
      <c r="S12" s="1"/>
      <c r="T12" s="1"/>
      <c r="U12" s="1"/>
      <c r="V12" s="1"/>
      <c r="W12" s="290"/>
      <c r="X12" s="286"/>
      <c r="Y12" s="286"/>
      <c r="AA12" s="291"/>
      <c r="AB12" s="291"/>
    </row>
    <row r="13" spans="2:34" ht="22.5" customHeight="1" x14ac:dyDescent="0.25">
      <c r="B13" s="292" t="s">
        <v>300</v>
      </c>
      <c r="C13" s="288">
        <v>0</v>
      </c>
      <c r="D13" s="289"/>
      <c r="E13" s="289"/>
      <c r="F13" s="289"/>
      <c r="H13" s="482" t="s">
        <v>498</v>
      </c>
      <c r="I13" s="293"/>
      <c r="J13" s="286"/>
      <c r="K13" s="1"/>
      <c r="L13" s="293"/>
      <c r="M13" s="286"/>
      <c r="N13" s="286"/>
      <c r="P13" s="293" t="s">
        <v>161</v>
      </c>
      <c r="Q13" s="294"/>
      <c r="Y13" s="293" t="s">
        <v>301</v>
      </c>
      <c r="Z13" s="293"/>
      <c r="AA13" s="286"/>
      <c r="AB13" s="1"/>
      <c r="AC13" s="293"/>
      <c r="AD13" s="286"/>
      <c r="AE13" s="286"/>
      <c r="AG13" s="293" t="s">
        <v>161</v>
      </c>
      <c r="AH13" s="294"/>
    </row>
    <row r="14" spans="2:34" ht="13.5" customHeight="1" x14ac:dyDescent="0.25">
      <c r="B14" s="292" t="s">
        <v>302</v>
      </c>
      <c r="C14" s="295"/>
      <c r="D14" s="289"/>
      <c r="E14" s="289"/>
      <c r="F14" s="289"/>
      <c r="H14" s="285" t="s">
        <v>296</v>
      </c>
      <c r="I14" s="286"/>
      <c r="J14" s="293"/>
      <c r="K14" s="296"/>
      <c r="L14" s="285"/>
      <c r="M14" s="293"/>
      <c r="N14" s="297"/>
      <c r="O14" s="298"/>
      <c r="P14" s="285" t="s">
        <v>303</v>
      </c>
      <c r="Q14" s="299"/>
      <c r="Y14" s="285" t="s">
        <v>296</v>
      </c>
      <c r="Z14" s="286"/>
      <c r="AA14" s="293"/>
      <c r="AB14" s="296"/>
      <c r="AC14" s="285"/>
      <c r="AD14" s="293"/>
      <c r="AE14" s="297"/>
      <c r="AF14" s="298"/>
      <c r="AG14" s="285" t="s">
        <v>303</v>
      </c>
      <c r="AH14" s="299"/>
    </row>
    <row r="15" spans="2:34" ht="20.25" customHeight="1" x14ac:dyDescent="0.25">
      <c r="B15" s="292" t="s">
        <v>304</v>
      </c>
      <c r="C15" s="288">
        <f>C12-C13</f>
        <v>6890.6666666666661</v>
      </c>
      <c r="D15" s="289"/>
      <c r="E15" s="300"/>
      <c r="F15" s="289"/>
      <c r="H15" s="301" t="s">
        <v>305</v>
      </c>
      <c r="I15" s="301" t="s">
        <v>306</v>
      </c>
      <c r="J15" s="301" t="s">
        <v>307</v>
      </c>
      <c r="K15" s="302"/>
      <c r="L15" s="301"/>
      <c r="M15" s="301"/>
      <c r="N15" s="301"/>
      <c r="O15" s="303"/>
      <c r="P15" s="301" t="s">
        <v>308</v>
      </c>
      <c r="Q15" s="301" t="s">
        <v>161</v>
      </c>
      <c r="Y15" s="301" t="s">
        <v>305</v>
      </c>
      <c r="Z15" s="301" t="s">
        <v>306</v>
      </c>
      <c r="AA15" s="301" t="s">
        <v>307</v>
      </c>
      <c r="AB15" s="302"/>
      <c r="AC15" s="301"/>
      <c r="AD15" s="301"/>
      <c r="AE15" s="301"/>
      <c r="AF15" s="303"/>
      <c r="AG15" s="301" t="s">
        <v>308</v>
      </c>
      <c r="AH15" s="301" t="s">
        <v>161</v>
      </c>
    </row>
    <row r="16" spans="2:34" ht="22.5" customHeight="1" x14ac:dyDescent="0.25">
      <c r="B16" s="292" t="s">
        <v>309</v>
      </c>
      <c r="C16" s="288">
        <f>VLOOKUP(C15,TARIFA,1)</f>
        <v>5470.93</v>
      </c>
      <c r="D16" s="289"/>
      <c r="E16" s="300"/>
      <c r="F16" s="289"/>
      <c r="H16" s="1"/>
      <c r="I16" s="1"/>
      <c r="J16" s="1"/>
      <c r="K16" s="1"/>
      <c r="L16" s="1"/>
      <c r="M16" s="1"/>
      <c r="N16" s="1"/>
      <c r="Y16" s="1"/>
      <c r="Z16" s="1"/>
      <c r="AA16" s="1"/>
      <c r="AB16" s="1"/>
      <c r="AC16" s="1"/>
      <c r="AD16" s="1"/>
      <c r="AE16" s="1"/>
    </row>
    <row r="17" spans="2:34" ht="17.25" customHeight="1" x14ac:dyDescent="0.2">
      <c r="B17" s="289"/>
      <c r="C17" s="295"/>
      <c r="D17" s="289"/>
      <c r="E17" s="304"/>
      <c r="F17" s="289"/>
      <c r="H17" s="305">
        <v>0.01</v>
      </c>
      <c r="I17" s="305">
        <v>0</v>
      </c>
      <c r="J17" s="306">
        <v>1.9199999999999998E-2</v>
      </c>
      <c r="K17" s="305"/>
      <c r="L17" s="305"/>
      <c r="M17" s="305"/>
      <c r="N17" s="306"/>
      <c r="O17" s="305"/>
      <c r="P17" s="305">
        <v>0.01</v>
      </c>
      <c r="Q17" s="305">
        <v>407.02</v>
      </c>
      <c r="Y17" s="305">
        <v>0.01</v>
      </c>
      <c r="Z17" s="305">
        <v>0</v>
      </c>
      <c r="AA17" s="306">
        <v>1.9199999999999998E-2</v>
      </c>
      <c r="AB17" s="305"/>
      <c r="AC17" s="305"/>
      <c r="AD17" s="305"/>
      <c r="AE17" s="306"/>
      <c r="AF17" s="305"/>
      <c r="AG17" s="305">
        <v>0.01</v>
      </c>
      <c r="AH17" s="305">
        <v>407.02</v>
      </c>
    </row>
    <row r="18" spans="2:34" ht="20.25" customHeight="1" x14ac:dyDescent="0.2">
      <c r="B18" s="292" t="s">
        <v>310</v>
      </c>
      <c r="C18" s="288">
        <f>C15-C16</f>
        <v>1419.7366666666658</v>
      </c>
      <c r="D18" s="300"/>
      <c r="E18" s="300"/>
      <c r="F18" s="289"/>
      <c r="H18" s="305">
        <v>644.59</v>
      </c>
      <c r="I18" s="305">
        <v>12.38</v>
      </c>
      <c r="J18" s="306">
        <v>6.4000000000000001E-2</v>
      </c>
      <c r="K18" s="305"/>
      <c r="L18" s="305"/>
      <c r="M18" s="305"/>
      <c r="N18" s="306"/>
      <c r="O18" s="305"/>
      <c r="P18" s="305">
        <v>1768.97</v>
      </c>
      <c r="Q18" s="305">
        <v>406.83</v>
      </c>
      <c r="Y18" s="305">
        <v>578.53</v>
      </c>
      <c r="Z18" s="305">
        <v>11.11</v>
      </c>
      <c r="AA18" s="306">
        <v>6.4000000000000001E-2</v>
      </c>
      <c r="AB18" s="305"/>
      <c r="AC18" s="305"/>
      <c r="AD18" s="305"/>
      <c r="AE18" s="306"/>
      <c r="AF18" s="305"/>
      <c r="AG18" s="305">
        <v>1768.97</v>
      </c>
      <c r="AH18" s="305">
        <v>406.83</v>
      </c>
    </row>
    <row r="19" spans="2:34" ht="22.5" customHeight="1" x14ac:dyDescent="0.25">
      <c r="B19" s="292" t="s">
        <v>311</v>
      </c>
      <c r="C19" s="307">
        <f>VLOOKUP(C15,TARIFA,3)</f>
        <v>0.10879999999999999</v>
      </c>
      <c r="D19" s="289"/>
      <c r="E19" s="308"/>
      <c r="F19" s="289"/>
      <c r="H19" s="305">
        <v>5470.93</v>
      </c>
      <c r="I19" s="305">
        <v>321.26</v>
      </c>
      <c r="J19" s="306">
        <v>0.10879999999999999</v>
      </c>
      <c r="K19" s="305"/>
      <c r="L19" s="305"/>
      <c r="M19" s="305"/>
      <c r="N19" s="306"/>
      <c r="O19" s="305"/>
      <c r="P19" s="305">
        <v>2653.39</v>
      </c>
      <c r="Q19" s="305">
        <v>406.62</v>
      </c>
      <c r="Y19" s="305">
        <v>4910.1899999999996</v>
      </c>
      <c r="Z19" s="305">
        <v>288.33</v>
      </c>
      <c r="AA19" s="306">
        <v>0.10879999999999999</v>
      </c>
      <c r="AB19" s="305"/>
      <c r="AC19" s="305"/>
      <c r="AD19" s="305"/>
      <c r="AE19" s="306"/>
      <c r="AF19" s="305"/>
      <c r="AG19" s="305">
        <v>2653.39</v>
      </c>
      <c r="AH19" s="305">
        <v>406.62</v>
      </c>
    </row>
    <row r="20" spans="2:34" ht="14.25" customHeight="1" x14ac:dyDescent="0.2">
      <c r="B20" s="289"/>
      <c r="C20" s="304"/>
      <c r="D20" s="289"/>
      <c r="E20" s="304"/>
      <c r="F20" s="289"/>
      <c r="H20" s="305">
        <v>9614.67</v>
      </c>
      <c r="I20" s="305">
        <v>772.1</v>
      </c>
      <c r="J20" s="306">
        <v>0.16</v>
      </c>
      <c r="K20" s="305"/>
      <c r="L20" s="305"/>
      <c r="M20" s="305"/>
      <c r="N20" s="306"/>
      <c r="O20" s="305"/>
      <c r="P20" s="305">
        <v>3472.85</v>
      </c>
      <c r="Q20" s="305">
        <v>392.77</v>
      </c>
      <c r="Y20" s="305">
        <v>8629.2099999999991</v>
      </c>
      <c r="Z20" s="305">
        <v>692.96</v>
      </c>
      <c r="AA20" s="306">
        <v>0.16</v>
      </c>
      <c r="AB20" s="305"/>
      <c r="AC20" s="305"/>
      <c r="AD20" s="305"/>
      <c r="AE20" s="306"/>
      <c r="AF20" s="305"/>
      <c r="AG20" s="305">
        <v>3472.85</v>
      </c>
      <c r="AH20" s="305">
        <v>392.77</v>
      </c>
    </row>
    <row r="21" spans="2:34" ht="20.25" customHeight="1" x14ac:dyDescent="0.2">
      <c r="B21" s="309" t="s">
        <v>312</v>
      </c>
      <c r="C21" s="310">
        <f>C18*C19</f>
        <v>154.46734933333323</v>
      </c>
      <c r="D21" s="311"/>
      <c r="E21" s="311"/>
      <c r="F21" s="289"/>
      <c r="H21" s="305">
        <v>11176.63</v>
      </c>
      <c r="I21" s="305">
        <v>1022.01</v>
      </c>
      <c r="J21" s="306">
        <v>0.1792</v>
      </c>
      <c r="K21" s="305"/>
      <c r="L21" s="305"/>
      <c r="M21" s="305"/>
      <c r="N21" s="306"/>
      <c r="O21" s="305"/>
      <c r="P21" s="305">
        <v>3537.88</v>
      </c>
      <c r="Q21" s="305">
        <v>382.46</v>
      </c>
      <c r="Y21" s="305">
        <v>10031.08</v>
      </c>
      <c r="Z21" s="305">
        <v>917.26</v>
      </c>
      <c r="AA21" s="306">
        <v>0.1792</v>
      </c>
      <c r="AB21" s="305"/>
      <c r="AC21" s="305"/>
      <c r="AD21" s="305"/>
      <c r="AE21" s="306"/>
      <c r="AF21" s="305"/>
      <c r="AG21" s="305">
        <v>3537.88</v>
      </c>
      <c r="AH21" s="305">
        <v>382.46</v>
      </c>
    </row>
    <row r="22" spans="2:34" ht="17.25" customHeight="1" x14ac:dyDescent="0.25">
      <c r="B22" s="292" t="s">
        <v>313</v>
      </c>
      <c r="C22" s="288">
        <f>VLOOKUP(C15,TARIFA,2)</f>
        <v>321.26</v>
      </c>
      <c r="D22" s="289"/>
      <c r="E22" s="312"/>
      <c r="F22" s="289"/>
      <c r="H22" s="305">
        <v>13381.48</v>
      </c>
      <c r="I22" s="305">
        <v>1417.12</v>
      </c>
      <c r="J22" s="306">
        <v>0.21360000000000001</v>
      </c>
      <c r="K22" s="305"/>
      <c r="L22" s="305"/>
      <c r="M22" s="305"/>
      <c r="N22" s="306"/>
      <c r="O22" s="305"/>
      <c r="P22" s="305">
        <v>4446.16</v>
      </c>
      <c r="Q22" s="305">
        <v>354.23</v>
      </c>
      <c r="Y22" s="305">
        <v>12009.95</v>
      </c>
      <c r="Z22" s="305">
        <v>1271.8699999999999</v>
      </c>
      <c r="AA22" s="306">
        <v>0.21360000000000001</v>
      </c>
      <c r="AB22" s="305"/>
      <c r="AC22" s="305"/>
      <c r="AD22" s="305"/>
      <c r="AE22" s="306"/>
      <c r="AF22" s="305"/>
      <c r="AG22" s="305">
        <v>4446.16</v>
      </c>
      <c r="AH22" s="305">
        <v>354.23</v>
      </c>
    </row>
    <row r="23" spans="2:34" ht="14.25" customHeight="1" x14ac:dyDescent="0.2">
      <c r="B23" s="66"/>
      <c r="C23" s="313"/>
      <c r="D23" s="289"/>
      <c r="E23" s="304"/>
      <c r="F23" s="289"/>
      <c r="H23" s="305">
        <v>26988.51</v>
      </c>
      <c r="I23" s="305">
        <v>4323.58</v>
      </c>
      <c r="J23" s="306">
        <v>0.23519999999999999</v>
      </c>
      <c r="K23" s="305"/>
      <c r="L23" s="305"/>
      <c r="M23" s="305"/>
      <c r="N23" s="306"/>
      <c r="O23" s="305"/>
      <c r="P23" s="305">
        <v>4717.1899999999996</v>
      </c>
      <c r="Q23" s="305">
        <v>324.87</v>
      </c>
      <c r="Y23" s="305">
        <v>24222.32</v>
      </c>
      <c r="Z23" s="305">
        <v>3880.44</v>
      </c>
      <c r="AA23" s="306">
        <v>0.23519999999999999</v>
      </c>
      <c r="AB23" s="305"/>
      <c r="AC23" s="305"/>
      <c r="AD23" s="305"/>
      <c r="AE23" s="306"/>
      <c r="AF23" s="305"/>
      <c r="AG23" s="305">
        <v>4717.1899999999996</v>
      </c>
      <c r="AH23" s="305">
        <v>324.87</v>
      </c>
    </row>
    <row r="24" spans="2:34" ht="20.25" customHeight="1" x14ac:dyDescent="0.2">
      <c r="B24" s="66" t="s">
        <v>314</v>
      </c>
      <c r="C24" s="313">
        <f>+C21+C22</f>
        <v>475.72734933333322</v>
      </c>
      <c r="D24" s="289"/>
      <c r="E24" s="311"/>
      <c r="F24" s="314"/>
      <c r="H24" s="305">
        <v>42537.59</v>
      </c>
      <c r="I24" s="305">
        <v>7980.73</v>
      </c>
      <c r="J24" s="306">
        <v>0.3</v>
      </c>
      <c r="K24" s="305"/>
      <c r="L24" s="305"/>
      <c r="M24" s="305"/>
      <c r="N24" s="306"/>
      <c r="O24" s="305"/>
      <c r="P24" s="305">
        <v>5335.43</v>
      </c>
      <c r="Q24" s="305">
        <v>294.63</v>
      </c>
      <c r="Y24" s="305">
        <v>38177.699999999997</v>
      </c>
      <c r="Z24" s="305">
        <v>7162.74</v>
      </c>
      <c r="AA24" s="306">
        <v>0.3</v>
      </c>
      <c r="AB24" s="305"/>
      <c r="AC24" s="305"/>
      <c r="AD24" s="305"/>
      <c r="AE24" s="306"/>
      <c r="AF24" s="305"/>
      <c r="AG24" s="305">
        <v>5335.43</v>
      </c>
      <c r="AH24" s="305">
        <v>294.63</v>
      </c>
    </row>
    <row r="25" spans="2:34" ht="21.75" customHeight="1" x14ac:dyDescent="0.2">
      <c r="C25" s="315"/>
      <c r="D25" s="316"/>
      <c r="E25" s="300"/>
      <c r="F25" s="289"/>
      <c r="H25" s="305">
        <v>81211.259999999995</v>
      </c>
      <c r="I25" s="305">
        <v>19582.830000000002</v>
      </c>
      <c r="J25" s="306">
        <v>0.32</v>
      </c>
      <c r="K25" s="305"/>
      <c r="L25" s="305"/>
      <c r="M25" s="305"/>
      <c r="N25" s="317"/>
      <c r="O25" s="305"/>
      <c r="P25" s="305">
        <v>6224.68</v>
      </c>
      <c r="Q25" s="305">
        <v>253.54</v>
      </c>
      <c r="Y25" s="305">
        <v>72887.509999999995</v>
      </c>
      <c r="Z25" s="305">
        <v>17575.689999999999</v>
      </c>
      <c r="AA25" s="306">
        <v>0.32</v>
      </c>
      <c r="AB25" s="305"/>
      <c r="AC25" s="305"/>
      <c r="AD25" s="305"/>
      <c r="AE25" s="317"/>
      <c r="AF25" s="305"/>
      <c r="AG25" s="305">
        <v>6224.68</v>
      </c>
      <c r="AH25" s="305">
        <v>253.54</v>
      </c>
    </row>
    <row r="26" spans="2:34" ht="21.75" customHeight="1" x14ac:dyDescent="0.25">
      <c r="B26" s="292" t="s">
        <v>315</v>
      </c>
      <c r="C26" s="288">
        <f>VLOOKUP(C15,SUBSIDIO,2)</f>
        <v>253.54</v>
      </c>
      <c r="D26" s="289"/>
      <c r="E26" s="318"/>
      <c r="F26" s="66"/>
      <c r="H26" s="305">
        <v>108281.68</v>
      </c>
      <c r="I26" s="305">
        <v>28245.360000000001</v>
      </c>
      <c r="J26" s="306">
        <v>0.34</v>
      </c>
      <c r="K26" s="305"/>
      <c r="L26" s="305"/>
      <c r="M26" s="305"/>
      <c r="N26" s="305"/>
      <c r="O26" s="305"/>
      <c r="P26" s="305">
        <v>7113.91</v>
      </c>
      <c r="Q26" s="305">
        <v>217.61</v>
      </c>
      <c r="Y26" s="305">
        <v>97183.34</v>
      </c>
      <c r="Z26" s="305">
        <v>25350.35</v>
      </c>
      <c r="AA26" s="306">
        <v>0.34</v>
      </c>
      <c r="AB26" s="305"/>
      <c r="AC26" s="305"/>
      <c r="AD26" s="305"/>
      <c r="AE26" s="305"/>
      <c r="AF26" s="305"/>
      <c r="AG26" s="305">
        <v>7113.91</v>
      </c>
      <c r="AH26" s="305">
        <v>217.61</v>
      </c>
    </row>
    <row r="27" spans="2:34" ht="14.25" x14ac:dyDescent="0.2">
      <c r="B27" s="289"/>
      <c r="C27" s="295"/>
      <c r="D27" s="289"/>
      <c r="E27" s="304"/>
      <c r="F27" s="319"/>
      <c r="H27" s="305">
        <v>324845.02</v>
      </c>
      <c r="I27" s="305">
        <v>101876.9</v>
      </c>
      <c r="J27" s="306">
        <v>0.35</v>
      </c>
      <c r="K27" s="305"/>
      <c r="L27" s="305"/>
      <c r="M27" s="305"/>
      <c r="N27" s="305"/>
      <c r="O27" s="305"/>
      <c r="P27" s="305">
        <v>7382.34</v>
      </c>
      <c r="Q27" s="305">
        <v>0</v>
      </c>
      <c r="Y27" s="305">
        <v>291550.01</v>
      </c>
      <c r="Z27" s="305">
        <v>91435.02</v>
      </c>
      <c r="AA27" s="306">
        <v>0.35</v>
      </c>
      <c r="AB27" s="305"/>
      <c r="AC27" s="305"/>
      <c r="AD27" s="305"/>
      <c r="AE27" s="305"/>
      <c r="AF27" s="305"/>
      <c r="AG27" s="305">
        <v>7382.34</v>
      </c>
      <c r="AH27" s="305">
        <v>0</v>
      </c>
    </row>
    <row r="28" spans="2:34" ht="21.75" customHeight="1" thickBot="1" x14ac:dyDescent="0.3">
      <c r="B28" s="287" t="s">
        <v>316</v>
      </c>
      <c r="C28" s="320">
        <f>IF(C24&gt;C26,C24-C26,0)</f>
        <v>222.18734933333323</v>
      </c>
      <c r="D28" s="289"/>
      <c r="E28" s="304"/>
      <c r="F28" s="289"/>
      <c r="H28" s="305"/>
      <c r="I28" s="305"/>
      <c r="J28" s="306"/>
      <c r="Y28" s="305"/>
      <c r="Z28" s="305"/>
      <c r="AA28" s="306"/>
    </row>
    <row r="29" spans="2:34" ht="20.25" customHeight="1" thickTop="1" thickBot="1" x14ac:dyDescent="0.25">
      <c r="C29" s="315"/>
      <c r="D29" s="289"/>
      <c r="E29" s="289"/>
      <c r="F29" s="289"/>
      <c r="H29" s="305"/>
      <c r="I29" s="305"/>
      <c r="J29" s="305"/>
      <c r="Y29" s="305"/>
      <c r="Z29" s="305"/>
      <c r="AA29" s="305"/>
    </row>
    <row r="30" spans="2:34" ht="20.25" customHeight="1" thickTop="1" thickBot="1" x14ac:dyDescent="0.3">
      <c r="B30" s="287" t="s">
        <v>317</v>
      </c>
      <c r="C30" s="321">
        <f>IF(C24&lt;C26,C26-C24,0)</f>
        <v>0</v>
      </c>
      <c r="D30" s="289"/>
      <c r="E30" s="289"/>
      <c r="F30" s="289"/>
      <c r="H30" s="305"/>
      <c r="I30" s="305"/>
      <c r="J30" s="305"/>
      <c r="Y30" s="305"/>
      <c r="Z30" s="305"/>
      <c r="AA30" s="305"/>
    </row>
    <row r="31" spans="2:34" ht="27.75" customHeight="1" thickBot="1" x14ac:dyDescent="0.25">
      <c r="B31" s="322" t="s">
        <v>318</v>
      </c>
      <c r="C31" s="323">
        <f>IF((C28/30.4*15)&gt;0,(C28/30.4*15),0)</f>
        <v>109.63191578947364</v>
      </c>
      <c r="D31" s="289"/>
      <c r="E31" s="289"/>
      <c r="F31" s="289"/>
    </row>
    <row r="32" spans="2:34" ht="20.25" customHeight="1" thickBot="1" x14ac:dyDescent="0.25">
      <c r="B32" s="322" t="s">
        <v>319</v>
      </c>
      <c r="C32" s="323">
        <f>IF((C30/30.4*15)&gt;0,(C30/30.4*15),0)</f>
        <v>0</v>
      </c>
      <c r="D32" s="289"/>
      <c r="E32" s="289"/>
      <c r="F32" s="289"/>
    </row>
    <row r="33" spans="2:6" ht="20.25" customHeight="1" x14ac:dyDescent="0.2">
      <c r="B33" s="66"/>
      <c r="C33" s="66"/>
      <c r="D33" s="289"/>
      <c r="E33" s="289"/>
      <c r="F33" s="289"/>
    </row>
    <row r="34" spans="2:6" ht="20.25" customHeight="1" x14ac:dyDescent="0.25">
      <c r="B34" s="324" t="s">
        <v>320</v>
      </c>
      <c r="C34" s="66"/>
      <c r="D34" s="289"/>
      <c r="E34" s="289"/>
      <c r="F34" s="289"/>
    </row>
    <row r="35" spans="2:6" ht="10.5" customHeight="1" x14ac:dyDescent="0.2">
      <c r="B35" s="272"/>
      <c r="C35" s="272"/>
      <c r="D35" s="272"/>
      <c r="E35" s="272"/>
      <c r="F35" s="272"/>
    </row>
    <row r="36" spans="2:6" ht="18" customHeight="1" x14ac:dyDescent="0.25">
      <c r="B36" s="325" t="s">
        <v>321</v>
      </c>
      <c r="C36" s="326"/>
      <c r="D36" s="272"/>
      <c r="E36" s="272"/>
      <c r="F36" s="272"/>
    </row>
    <row r="37" spans="2:6" ht="17.25" customHeight="1" x14ac:dyDescent="0.25">
      <c r="B37" s="325" t="s">
        <v>497</v>
      </c>
      <c r="C37" s="326"/>
      <c r="D37" s="272"/>
      <c r="E37" s="272"/>
      <c r="F37" s="272"/>
    </row>
    <row r="38" spans="2:6" ht="12.75" x14ac:dyDescent="0.2">
      <c r="B38" s="272"/>
      <c r="C38" s="272"/>
      <c r="D38" s="272"/>
      <c r="E38" s="272"/>
      <c r="F38" s="1"/>
    </row>
    <row r="39" spans="2:6" ht="12.75" x14ac:dyDescent="0.2">
      <c r="B39" s="272"/>
      <c r="C39" s="272"/>
      <c r="D39" s="272"/>
      <c r="E39" s="272"/>
      <c r="F39" s="327"/>
    </row>
    <row r="40" spans="2:6" ht="12.75" x14ac:dyDescent="0.2">
      <c r="B40" s="272"/>
      <c r="C40" s="272"/>
      <c r="D40" s="272"/>
      <c r="E40" s="272"/>
      <c r="F40" s="1"/>
    </row>
  </sheetData>
  <sheetProtection password="CF7A" sheet="1" objects="1" scenarios="1"/>
  <mergeCells count="2">
    <mergeCell ref="Y11:AF11"/>
    <mergeCell ref="H11:O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Concentrado General</vt:lpstr>
      <vt:lpstr>REGIDORES</vt:lpstr>
      <vt:lpstr>PERMANENTES</vt:lpstr>
      <vt:lpstr>SUPERNUMERARIO</vt:lpstr>
      <vt:lpstr>SEG.PUB.MPAL Y PROTECCION CIVIL</vt:lpstr>
      <vt:lpstr>JUBILADOS</vt:lpstr>
      <vt:lpstr>Determinacion ISR 2021</vt:lpstr>
      <vt:lpstr>JUBILADOS!Área_de_impresión</vt:lpstr>
      <vt:lpstr>PERMANENTES!Área_de_impresión</vt:lpstr>
      <vt:lpstr>REGIDORES!Área_de_impresión</vt:lpstr>
      <vt:lpstr>'SEG.PUB.MPAL Y PROTECCION CIVIL'!Área_de_impresión</vt:lpstr>
      <vt:lpstr>SUPERNUMERARIO!Área_de_impresión</vt:lpstr>
      <vt:lpstr>SUBSIDIO</vt:lpstr>
      <vt:lpstr>TARIFA</vt:lpstr>
    </vt:vector>
  </TitlesOfParts>
  <Company>FAMILIAR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</dc:creator>
  <cp:lastModifiedBy>Tesoreria</cp:lastModifiedBy>
  <cp:lastPrinted>2021-01-28T16:14:46Z</cp:lastPrinted>
  <dcterms:created xsi:type="dcterms:W3CDTF">2000-05-05T04:08:27Z</dcterms:created>
  <dcterms:modified xsi:type="dcterms:W3CDTF">2021-02-24T19:38:25Z</dcterms:modified>
</cp:coreProperties>
</file>