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AROLINA\Desktop\Carolina\MINUTARIOS\Álvaro\AGENDA FUNCIONARIO\"/>
    </mc:Choice>
  </mc:AlternateContent>
  <bookViews>
    <workbookView xWindow="0" yWindow="0" windowWidth="24000" windowHeight="9645" tabRatio="690" activeTab="4"/>
  </bookViews>
  <sheets>
    <sheet name="Enero" sheetId="1" r:id="rId1"/>
    <sheet name="Febrero" sheetId="6" r:id="rId2"/>
    <sheet name="Marzo" sheetId="7" r:id="rId3"/>
    <sheet name="Abril" sheetId="8" r:id="rId4"/>
    <sheet name="Mayo" sheetId="9" r:id="rId5"/>
    <sheet name="Junio" sheetId="10" r:id="rId6"/>
    <sheet name="Julio" sheetId="11" r:id="rId7"/>
    <sheet name="Agosto" sheetId="12" r:id="rId8"/>
    <sheet name="Septiembre" sheetId="13" r:id="rId9"/>
    <sheet name="Octubre" sheetId="14" r:id="rId10"/>
    <sheet name="Noviembre" sheetId="15" r:id="rId11"/>
    <sheet name="Diciembre" sheetId="16" r:id="rId12"/>
  </sheets>
  <definedNames>
    <definedName name="AbrDom1">DATE(Año_Calendario,4,1)-WEEKDAY(DATE(Año_Calendario,4,1))+1</definedName>
    <definedName name="AgoDom1">DATE(Año_Calendario,8,1)-WEEKDAY(DATE(Año_Calendario,8,1))+1</definedName>
    <definedName name="Año_Calendario">Enero!$Q$6</definedName>
    <definedName name="_xlnm.Print_Area" localSheetId="3">Abril!$D$7:$P$59</definedName>
    <definedName name="_xlnm.Print_Area" localSheetId="7">Agosto!$C$5:$O$54</definedName>
    <definedName name="_xlnm.Print_Area" localSheetId="11">Diciembre!$D$4:$P$53</definedName>
    <definedName name="_xlnm.Print_Area" localSheetId="0">Enero!$D$5:$P$59</definedName>
    <definedName name="_xlnm.Print_Area" localSheetId="1">Febrero!$D$6:$O$55</definedName>
    <definedName name="_xlnm.Print_Area" localSheetId="6">Julio!$C$5:$O$54</definedName>
    <definedName name="_xlnm.Print_Area" localSheetId="5">Junio!$D$5:$P$54</definedName>
    <definedName name="_xlnm.Print_Area" localSheetId="2">Marzo!$D$6:$P$62</definedName>
    <definedName name="_xlnm.Print_Area" localSheetId="4">Mayo!$D$5:$P$54</definedName>
    <definedName name="_xlnm.Print_Area" localSheetId="10">Noviembre!$D$5:$P$54</definedName>
    <definedName name="_xlnm.Print_Area" localSheetId="9">Octubre!$C$4:$O$53</definedName>
    <definedName name="_xlnm.Print_Area" localSheetId="8">Septiembre!$C$4:$O$53</definedName>
    <definedName name="DíasDeTareas" localSheetId="3">Abril!#REF!</definedName>
    <definedName name="DíasDeTareas" localSheetId="7">Agosto!#REF!</definedName>
    <definedName name="DíasDeTareas" localSheetId="11">Diciembre!#REF!</definedName>
    <definedName name="DíasDeTareas" localSheetId="1">Febrero!#REF!</definedName>
    <definedName name="DíasDeTareas" localSheetId="6">Julio!#REF!</definedName>
    <definedName name="DíasDeTareas" localSheetId="5">Junio!#REF!</definedName>
    <definedName name="DíasDeTareas" localSheetId="2">Marzo!#REF!</definedName>
    <definedName name="DíasDeTareas" localSheetId="4">Mayo!#REF!</definedName>
    <definedName name="DíasDeTareas" localSheetId="10">Noviembre!#REF!</definedName>
    <definedName name="DíasDeTareas" localSheetId="9">Octubre!#REF!</definedName>
    <definedName name="DíasDeTareas" localSheetId="8">Septiembre!#REF!</definedName>
    <definedName name="DíasDeTareas">Enero!#REF!</definedName>
    <definedName name="DicDom1">DATE(Año_Calendario,12,1)-WEEKDAY(DATE(Año_Calendario,12,1))+1</definedName>
    <definedName name="FebDom1">DATE(Año_Calendario,2,1)-WEEKDAY(DATE(Año_Calendario,2,1))+1</definedName>
    <definedName name="JanSun1">DATE(Año_Calendario,1,1)-WEEKDAY(DATE(Año_Calendario,1,1))+1</definedName>
    <definedName name="JulDom1">DATE(Año_Calendario,7,1)-WEEKDAY(DATE(Año_Calendario,7,1))+1</definedName>
    <definedName name="JunDom1">DATE(Año_Calendario,6,1)-WEEKDAY(DATE(Año_Calendario,6,1))+1</definedName>
    <definedName name="MarDom1">DATE(Año_Calendario,3,1)-WEEKDAY(DATE(Año_Calendario,3,1))+1</definedName>
    <definedName name="MayDom1">DATE(Año_Calendario,5,1)-WEEKDAY(DATE(Año_Calendario,5,1))+1</definedName>
    <definedName name="NovDom1">DATE(Año_Calendario,11,1)-WEEKDAY(DATE(Año_Calendario,11,1))+1</definedName>
    <definedName name="OctDom1">DATE(Año_Calendario,10,1)-WEEKDAY(DATE(Año_Calendario,10,1))+1</definedName>
    <definedName name="SepDom1">DATE(Año_Calendario,9,1)-WEEKDAY(DATE(Año_Calendario,9,1))+1</definedName>
    <definedName name="TablaFechasImportantes" localSheetId="3">Abril!#REF!</definedName>
    <definedName name="TablaFechasImportantes" localSheetId="7">Agosto!#REF!</definedName>
    <definedName name="TablaFechasImportantes" localSheetId="11">Diciembre!#REF!</definedName>
    <definedName name="TablaFechasImportantes" localSheetId="1">Febrero!#REF!</definedName>
    <definedName name="TablaFechasImportantes" localSheetId="6">Julio!#REF!</definedName>
    <definedName name="TablaFechasImportantes" localSheetId="5">Junio!#REF!</definedName>
    <definedName name="TablaFechasImportantes" localSheetId="2">Marzo!#REF!</definedName>
    <definedName name="TablaFechasImportantes" localSheetId="4">Mayo!#REF!</definedName>
    <definedName name="TablaFechasImportantes" localSheetId="10">Noviembre!#REF!</definedName>
    <definedName name="TablaFechasImportantes" localSheetId="9">Octubre!#REF!</definedName>
    <definedName name="TablaFechasImportantes" localSheetId="8">Septiembre!#REF!</definedName>
    <definedName name="TablaFechasImportantes">Enero!#REF!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12" l="1"/>
  <c r="H8" i="12"/>
  <c r="G9" i="12"/>
  <c r="H9" i="12"/>
  <c r="G10" i="12"/>
  <c r="H10" i="12"/>
  <c r="H9" i="8"/>
  <c r="I9" i="8"/>
  <c r="J9" i="8"/>
  <c r="K9" i="8"/>
  <c r="H10" i="8"/>
  <c r="I10" i="8"/>
  <c r="J10" i="8"/>
  <c r="K10" i="8"/>
  <c r="H12" i="8"/>
  <c r="I12" i="8"/>
  <c r="J12" i="8"/>
  <c r="K12" i="8"/>
  <c r="H13" i="8"/>
  <c r="I13" i="8"/>
  <c r="J13" i="8"/>
  <c r="K13" i="8"/>
  <c r="H14" i="8"/>
  <c r="I14" i="8"/>
  <c r="J14" i="8"/>
  <c r="K14" i="8"/>
  <c r="L15" i="8" l="1"/>
  <c r="K15" i="8"/>
  <c r="J15" i="8"/>
  <c r="I15" i="8"/>
  <c r="H15" i="8"/>
  <c r="G15" i="8"/>
  <c r="F15" i="8"/>
  <c r="L14" i="8"/>
  <c r="G14" i="8"/>
  <c r="F14" i="8"/>
  <c r="L13" i="8"/>
  <c r="G13" i="8"/>
  <c r="F13" i="8"/>
  <c r="L12" i="8"/>
  <c r="G12" i="8"/>
  <c r="F12" i="8"/>
  <c r="L10" i="8"/>
  <c r="G10" i="8"/>
  <c r="F10" i="8"/>
  <c r="L9" i="8"/>
  <c r="G9" i="8"/>
  <c r="F9" i="8"/>
  <c r="L12" i="16"/>
  <c r="K12" i="16"/>
  <c r="J12" i="16"/>
  <c r="I12" i="16"/>
  <c r="H12" i="16"/>
  <c r="G12" i="16"/>
  <c r="F12" i="16"/>
  <c r="L11" i="16"/>
  <c r="K11" i="16"/>
  <c r="J11" i="16"/>
  <c r="I11" i="16"/>
  <c r="H11" i="16"/>
  <c r="G11" i="16"/>
  <c r="F11" i="16"/>
  <c r="L10" i="16"/>
  <c r="K10" i="16"/>
  <c r="J10" i="16"/>
  <c r="I10" i="16"/>
  <c r="H10" i="16"/>
  <c r="G10" i="16"/>
  <c r="F10" i="16"/>
  <c r="L9" i="16"/>
  <c r="K9" i="16"/>
  <c r="J9" i="16"/>
  <c r="I9" i="16"/>
  <c r="H9" i="16"/>
  <c r="G9" i="16"/>
  <c r="F9" i="16"/>
  <c r="L8" i="16"/>
  <c r="K8" i="16"/>
  <c r="J8" i="16"/>
  <c r="I8" i="16"/>
  <c r="H8" i="16"/>
  <c r="G8" i="16"/>
  <c r="F8" i="16"/>
  <c r="L7" i="16"/>
  <c r="K7" i="16"/>
  <c r="J7" i="16"/>
  <c r="I7" i="16"/>
  <c r="H7" i="16"/>
  <c r="G7" i="16"/>
  <c r="F7" i="16"/>
  <c r="L13" i="15"/>
  <c r="K13" i="15"/>
  <c r="J13" i="15"/>
  <c r="I13" i="15"/>
  <c r="H13" i="15"/>
  <c r="G13" i="15"/>
  <c r="F13" i="15"/>
  <c r="L12" i="15"/>
  <c r="K12" i="15"/>
  <c r="J12" i="15"/>
  <c r="I12" i="15"/>
  <c r="H12" i="15"/>
  <c r="G12" i="15"/>
  <c r="F12" i="15"/>
  <c r="L11" i="15"/>
  <c r="K11" i="15"/>
  <c r="J11" i="15"/>
  <c r="I11" i="15"/>
  <c r="H11" i="15"/>
  <c r="G11" i="15"/>
  <c r="F11" i="15"/>
  <c r="L10" i="15"/>
  <c r="K10" i="15"/>
  <c r="J10" i="15"/>
  <c r="I10" i="15"/>
  <c r="H10" i="15"/>
  <c r="G10" i="15"/>
  <c r="F10" i="15"/>
  <c r="L9" i="15"/>
  <c r="K9" i="15"/>
  <c r="J9" i="15"/>
  <c r="I9" i="15"/>
  <c r="H9" i="15"/>
  <c r="G9" i="15"/>
  <c r="F9" i="15"/>
  <c r="L8" i="15"/>
  <c r="K8" i="15"/>
  <c r="J8" i="15"/>
  <c r="I8" i="15"/>
  <c r="H8" i="15"/>
  <c r="G8" i="15"/>
  <c r="F8" i="15"/>
  <c r="K12" i="14"/>
  <c r="J12" i="14"/>
  <c r="I12" i="14"/>
  <c r="H12" i="14"/>
  <c r="G12" i="14"/>
  <c r="F12" i="14"/>
  <c r="E12" i="14"/>
  <c r="K11" i="14"/>
  <c r="J11" i="14"/>
  <c r="I11" i="14"/>
  <c r="H11" i="14"/>
  <c r="G11" i="14"/>
  <c r="F11" i="14"/>
  <c r="E11" i="14"/>
  <c r="K10" i="14"/>
  <c r="J10" i="14"/>
  <c r="I10" i="14"/>
  <c r="H10" i="14"/>
  <c r="G10" i="14"/>
  <c r="F10" i="14"/>
  <c r="E10" i="14"/>
  <c r="K9" i="14"/>
  <c r="J9" i="14"/>
  <c r="I9" i="14"/>
  <c r="H9" i="14"/>
  <c r="G9" i="14"/>
  <c r="F9" i="14"/>
  <c r="E9" i="14"/>
  <c r="K8" i="14"/>
  <c r="J8" i="14"/>
  <c r="I8" i="14"/>
  <c r="H8" i="14"/>
  <c r="G8" i="14"/>
  <c r="F8" i="14"/>
  <c r="E8" i="14"/>
  <c r="K7" i="14"/>
  <c r="J7" i="14"/>
  <c r="I7" i="14"/>
  <c r="H7" i="14"/>
  <c r="G7" i="14"/>
  <c r="F7" i="14"/>
  <c r="E7" i="14"/>
  <c r="K12" i="13"/>
  <c r="J12" i="13"/>
  <c r="I12" i="13"/>
  <c r="H12" i="13"/>
  <c r="G12" i="13"/>
  <c r="F12" i="13"/>
  <c r="E12" i="13"/>
  <c r="K11" i="13"/>
  <c r="J11" i="13"/>
  <c r="I11" i="13"/>
  <c r="H11" i="13"/>
  <c r="G11" i="13"/>
  <c r="F11" i="13"/>
  <c r="E11" i="13"/>
  <c r="K10" i="13"/>
  <c r="J10" i="13"/>
  <c r="I10" i="13"/>
  <c r="H10" i="13"/>
  <c r="G10" i="13"/>
  <c r="F10" i="13"/>
  <c r="E10" i="13"/>
  <c r="K9" i="13"/>
  <c r="J9" i="13"/>
  <c r="I9" i="13"/>
  <c r="H9" i="13"/>
  <c r="G9" i="13"/>
  <c r="F9" i="13"/>
  <c r="E9" i="13"/>
  <c r="K8" i="13"/>
  <c r="J8" i="13"/>
  <c r="I8" i="13"/>
  <c r="H8" i="13"/>
  <c r="G8" i="13"/>
  <c r="F8" i="13"/>
  <c r="E8" i="13"/>
  <c r="K7" i="13"/>
  <c r="J7" i="13"/>
  <c r="I7" i="13"/>
  <c r="H7" i="13"/>
  <c r="G7" i="13"/>
  <c r="F7" i="13"/>
  <c r="E7" i="13"/>
  <c r="K13" i="12"/>
  <c r="J13" i="12"/>
  <c r="I13" i="12"/>
  <c r="H13" i="12"/>
  <c r="G13" i="12"/>
  <c r="F13" i="12"/>
  <c r="E13" i="12"/>
  <c r="K12" i="12"/>
  <c r="J12" i="12"/>
  <c r="I12" i="12"/>
  <c r="H12" i="12"/>
  <c r="G12" i="12"/>
  <c r="F12" i="12"/>
  <c r="E12" i="12"/>
  <c r="K11" i="12"/>
  <c r="J11" i="12"/>
  <c r="I11" i="12"/>
  <c r="H11" i="12"/>
  <c r="G11" i="12"/>
  <c r="F11" i="12"/>
  <c r="E11" i="12"/>
  <c r="K10" i="12"/>
  <c r="J10" i="12"/>
  <c r="I10" i="12"/>
  <c r="F10" i="12"/>
  <c r="E10" i="12"/>
  <c r="K9" i="12"/>
  <c r="J9" i="12"/>
  <c r="I9" i="12"/>
  <c r="F9" i="12"/>
  <c r="E9" i="12"/>
  <c r="K8" i="12"/>
  <c r="J8" i="12"/>
  <c r="I8" i="12"/>
  <c r="F8" i="12"/>
  <c r="E8" i="12"/>
  <c r="K13" i="11"/>
  <c r="J13" i="11"/>
  <c r="I13" i="11"/>
  <c r="H13" i="11"/>
  <c r="G13" i="11"/>
  <c r="F13" i="11"/>
  <c r="E13" i="11"/>
  <c r="K12" i="11"/>
  <c r="J12" i="11"/>
  <c r="I12" i="11"/>
  <c r="H12" i="11"/>
  <c r="G12" i="11"/>
  <c r="F12" i="11"/>
  <c r="E12" i="11"/>
  <c r="K11" i="11"/>
  <c r="J11" i="11"/>
  <c r="I11" i="11"/>
  <c r="H11" i="11"/>
  <c r="G11" i="11"/>
  <c r="F11" i="11"/>
  <c r="E11" i="11"/>
  <c r="K10" i="11"/>
  <c r="J10" i="11"/>
  <c r="I10" i="11"/>
  <c r="H10" i="11"/>
  <c r="G10" i="11"/>
  <c r="F10" i="11"/>
  <c r="E10" i="11"/>
  <c r="K9" i="11"/>
  <c r="J9" i="11"/>
  <c r="I9" i="11"/>
  <c r="H9" i="11"/>
  <c r="G9" i="11"/>
  <c r="F9" i="11"/>
  <c r="E9" i="11"/>
  <c r="K8" i="11"/>
  <c r="J8" i="11"/>
  <c r="I8" i="11"/>
  <c r="H8" i="11"/>
  <c r="G8" i="11"/>
  <c r="F8" i="11"/>
  <c r="E8" i="11"/>
  <c r="L13" i="10"/>
  <c r="K13" i="10"/>
  <c r="J13" i="10"/>
  <c r="I13" i="10"/>
  <c r="H13" i="10"/>
  <c r="G13" i="10"/>
  <c r="F13" i="10"/>
  <c r="L12" i="10"/>
  <c r="K12" i="10"/>
  <c r="J12" i="10"/>
  <c r="I12" i="10"/>
  <c r="H12" i="10"/>
  <c r="G12" i="10"/>
  <c r="F12" i="10"/>
  <c r="L11" i="10"/>
  <c r="K11" i="10"/>
  <c r="J11" i="10"/>
  <c r="I11" i="10"/>
  <c r="H11" i="10"/>
  <c r="G11" i="10"/>
  <c r="F11" i="10"/>
  <c r="L10" i="10"/>
  <c r="K10" i="10"/>
  <c r="J10" i="10"/>
  <c r="I10" i="10"/>
  <c r="H10" i="10"/>
  <c r="G10" i="10"/>
  <c r="F10" i="10"/>
  <c r="L9" i="10"/>
  <c r="K9" i="10"/>
  <c r="J9" i="10"/>
  <c r="I9" i="10"/>
  <c r="H9" i="10"/>
  <c r="G9" i="10"/>
  <c r="F9" i="10"/>
  <c r="L8" i="10"/>
  <c r="K8" i="10"/>
  <c r="J8" i="10"/>
  <c r="I8" i="10"/>
  <c r="H8" i="10"/>
  <c r="G8" i="10"/>
  <c r="F8" i="10"/>
  <c r="L14" i="9"/>
  <c r="K14" i="9"/>
  <c r="J14" i="9"/>
  <c r="I14" i="9"/>
  <c r="H14" i="9"/>
  <c r="G14" i="9"/>
  <c r="F14" i="9"/>
  <c r="L12" i="9"/>
  <c r="K12" i="9"/>
  <c r="J12" i="9"/>
  <c r="I12" i="9"/>
  <c r="H12" i="9"/>
  <c r="G12" i="9"/>
  <c r="F12" i="9"/>
  <c r="L10" i="9"/>
  <c r="K10" i="9"/>
  <c r="J10" i="9"/>
  <c r="I10" i="9"/>
  <c r="H10" i="9"/>
  <c r="G10" i="9"/>
  <c r="F10" i="9"/>
  <c r="L9" i="9"/>
  <c r="K9" i="9"/>
  <c r="J9" i="9"/>
  <c r="I9" i="9"/>
  <c r="H9" i="9"/>
  <c r="G9" i="9"/>
  <c r="F9" i="9"/>
  <c r="L8" i="9"/>
  <c r="K8" i="9"/>
  <c r="J8" i="9"/>
  <c r="I8" i="9"/>
  <c r="H8" i="9"/>
  <c r="G8" i="9"/>
  <c r="F8" i="9"/>
  <c r="L14" i="7"/>
  <c r="K14" i="7"/>
  <c r="J14" i="7"/>
  <c r="I14" i="7"/>
  <c r="H14" i="7"/>
  <c r="G14" i="7"/>
  <c r="F14" i="7"/>
  <c r="L13" i="7"/>
  <c r="K13" i="7"/>
  <c r="J13" i="7"/>
  <c r="I13" i="7"/>
  <c r="H13" i="7"/>
  <c r="G13" i="7"/>
  <c r="F13" i="7"/>
  <c r="L12" i="7"/>
  <c r="K12" i="7"/>
  <c r="J12" i="7"/>
  <c r="I12" i="7"/>
  <c r="H12" i="7"/>
  <c r="G12" i="7"/>
  <c r="F12" i="7"/>
  <c r="L11" i="7"/>
  <c r="K11" i="7"/>
  <c r="J11" i="7"/>
  <c r="I11" i="7"/>
  <c r="H11" i="7"/>
  <c r="G11" i="7"/>
  <c r="F11" i="7"/>
  <c r="L10" i="7"/>
  <c r="K10" i="7"/>
  <c r="J10" i="7"/>
  <c r="I10" i="7"/>
  <c r="H10" i="7"/>
  <c r="G10" i="7"/>
  <c r="F10" i="7"/>
  <c r="L9" i="7"/>
  <c r="K9" i="7"/>
  <c r="J9" i="7"/>
  <c r="I9" i="7"/>
  <c r="H9" i="7"/>
  <c r="G9" i="7"/>
  <c r="F9" i="7"/>
  <c r="L14" i="6"/>
  <c r="K14" i="6"/>
  <c r="J14" i="6"/>
  <c r="I14" i="6"/>
  <c r="H14" i="6"/>
  <c r="G14" i="6"/>
  <c r="F14" i="6"/>
  <c r="L13" i="6"/>
  <c r="K13" i="6"/>
  <c r="J13" i="6"/>
  <c r="I13" i="6"/>
  <c r="H13" i="6"/>
  <c r="G13" i="6"/>
  <c r="F13" i="6"/>
  <c r="L12" i="6"/>
  <c r="K12" i="6"/>
  <c r="J12" i="6"/>
  <c r="I12" i="6"/>
  <c r="H12" i="6"/>
  <c r="G12" i="6"/>
  <c r="F12" i="6"/>
  <c r="L11" i="6"/>
  <c r="K11" i="6"/>
  <c r="J11" i="6"/>
  <c r="I11" i="6"/>
  <c r="H11" i="6"/>
  <c r="G11" i="6"/>
  <c r="F11" i="6"/>
  <c r="L10" i="6"/>
  <c r="K10" i="6"/>
  <c r="J10" i="6"/>
  <c r="I10" i="6"/>
  <c r="H10" i="6"/>
  <c r="G10" i="6"/>
  <c r="F10" i="6"/>
  <c r="L9" i="6"/>
  <c r="K9" i="6"/>
  <c r="J9" i="6"/>
  <c r="I9" i="6"/>
  <c r="H9" i="6"/>
  <c r="G9" i="6"/>
  <c r="F9" i="6"/>
  <c r="K8" i="1" l="1"/>
  <c r="L14" i="1" l="1"/>
  <c r="K14" i="1"/>
  <c r="J14" i="1"/>
  <c r="I14" i="1"/>
  <c r="H14" i="1"/>
  <c r="G14" i="1"/>
  <c r="F14" i="1"/>
  <c r="L13" i="1"/>
  <c r="K13" i="1"/>
  <c r="J13" i="1"/>
  <c r="I13" i="1"/>
  <c r="H13" i="1"/>
  <c r="G13" i="1"/>
  <c r="F13" i="1"/>
  <c r="L12" i="1"/>
  <c r="K12" i="1"/>
  <c r="J12" i="1"/>
  <c r="I12" i="1"/>
  <c r="H12" i="1"/>
  <c r="G12" i="1"/>
  <c r="F12" i="1"/>
  <c r="L11" i="1"/>
  <c r="K11" i="1"/>
  <c r="J11" i="1"/>
  <c r="I11" i="1"/>
  <c r="H11" i="1"/>
  <c r="G11" i="1"/>
  <c r="F11" i="1"/>
  <c r="L9" i="1"/>
  <c r="K9" i="1"/>
  <c r="J9" i="1"/>
  <c r="I9" i="1"/>
  <c r="H9" i="1"/>
  <c r="G9" i="1"/>
  <c r="F9" i="1"/>
  <c r="L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<sst xmlns="http://schemas.openxmlformats.org/spreadsheetml/2006/main" count="492" uniqueCount="166">
  <si>
    <t>S</t>
  </si>
  <si>
    <t>M</t>
  </si>
  <si>
    <t>8:00</t>
  </si>
  <si>
    <t>9:00</t>
  </si>
  <si>
    <t>2:00</t>
  </si>
  <si>
    <t>10:00</t>
  </si>
  <si>
    <t>4:00</t>
  </si>
  <si>
    <t>ENERO</t>
  </si>
  <si>
    <t>L</t>
  </si>
  <si>
    <t>X</t>
  </si>
  <si>
    <t>J</t>
  </si>
  <si>
    <t>V</t>
  </si>
  <si>
    <t>D</t>
  </si>
  <si>
    <t>DICIEMBRE</t>
  </si>
  <si>
    <t>HORARIO SEMANAL</t>
  </si>
  <si>
    <t>LUN</t>
  </si>
  <si>
    <t>MAR</t>
  </si>
  <si>
    <t>MIÉ</t>
  </si>
  <si>
    <t>JUE</t>
  </si>
  <si>
    <t>VIE</t>
  </si>
  <si>
    <t>Francés</t>
  </si>
  <si>
    <t>Historia del arte</t>
  </si>
  <si>
    <t>Matemáticas</t>
  </si>
  <si>
    <t>Inglés</t>
  </si>
  <si>
    <t>Programación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</si>
  <si>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</si>
  <si>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</si>
  <si>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</si>
  <si>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</si>
  <si>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</si>
  <si>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</si>
  <si>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</si>
  <si>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</si>
  <si>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</si>
  <si>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</si>
  <si>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DÍA</t>
  </si>
  <si>
    <t>ACTIVIDAD</t>
  </si>
  <si>
    <t>HORA</t>
  </si>
  <si>
    <t>LUGAR</t>
  </si>
  <si>
    <t>ESCUELA DE CONSERVACIÓN Y RESTAURACIÓN DE OCCIDENTE</t>
  </si>
  <si>
    <t>AGENDA DE ACTIVIDADES</t>
  </si>
  <si>
    <t>Aula Magna</t>
  </si>
  <si>
    <t>Coordinación de Desarrollo Social - Presentación de Becas Erasmus a profesores y directivos de la ECRO</t>
  </si>
  <si>
    <t>Consejo Académico - Primera Extraordinaria</t>
  </si>
  <si>
    <t>Reunión con profesores - Entrega de equipos de Conacyt</t>
  </si>
  <si>
    <t>Comisión del RIPPA - Evaluación candidatos</t>
  </si>
  <si>
    <t>9:00 a 16:00</t>
  </si>
  <si>
    <t>10:00 a 11:00</t>
  </si>
  <si>
    <t>Casa de la Cultura de San Martín</t>
  </si>
  <si>
    <t>Colegio de profesores</t>
  </si>
  <si>
    <t>DIRECTOR ACADÉMICO</t>
  </si>
  <si>
    <t>14:00 horas</t>
  </si>
  <si>
    <t>Dirección General</t>
  </si>
  <si>
    <t>Comisión del RIPPA - Emisión de Convocatoria</t>
  </si>
  <si>
    <t>11:00 horas</t>
  </si>
  <si>
    <t>Comité de Ética - Informe anual 2019 y plan de trabajo 2020</t>
  </si>
  <si>
    <t>Reunión con profesor de la ENSAV La Cambre, de Bruselas, Bélgica</t>
  </si>
  <si>
    <t>10:00 horas</t>
  </si>
  <si>
    <t>13:00 horas</t>
  </si>
  <si>
    <t>Asistencia por videoconferencia</t>
  </si>
  <si>
    <t>Comité editorial Revista CR - Primera reunión extraordinaria</t>
  </si>
  <si>
    <t>12:00 horas</t>
  </si>
  <si>
    <t>Reunión con Jesús Castillo / Director de C7 - Producción de serie de programas sobre la ECRO.</t>
  </si>
  <si>
    <t>Participación en el Primer Simulacro de Evacuación</t>
  </si>
  <si>
    <t>Instalaciones de la ECRO</t>
  </si>
  <si>
    <t>Comisión del RIPPA - Revisión de documentos y evaluación curricular</t>
  </si>
  <si>
    <t>08:30 horas</t>
  </si>
  <si>
    <t>Junta Directiva de la ECRO - Primera extraordinaria</t>
  </si>
  <si>
    <t>Comisión del RIPPA - Dictaminación y resultados</t>
  </si>
  <si>
    <t xml:space="preserve">Reunión con Integrantes del area de getsión integral de proyectos SCJ y pobladores de San Martín Hidalgo, sobre el Tendido de Cristos </t>
  </si>
  <si>
    <t>17:00 horas</t>
  </si>
  <si>
    <t>Comité de Compras y enajenaciones - Primera ordinaria</t>
  </si>
  <si>
    <t>Comité de Compras y enajenaciones - Primera Extraordinaria</t>
  </si>
  <si>
    <t>11:30 horas</t>
  </si>
  <si>
    <t>Reunión con el Área de Patrimonio Inmaterial de la SCJ - Mtra. Guadalaupe Arredondo</t>
  </si>
  <si>
    <t>Patio de los Angeles</t>
  </si>
  <si>
    <t>Comité de titulación - Sesión correspondiente a enero</t>
  </si>
  <si>
    <t>Comité editorial Revista CR - Primera reunión ordinaria</t>
  </si>
  <si>
    <t>09:30 a 12:30 horas</t>
  </si>
  <si>
    <t>Sesión inaugural de la International Museums Academy México, organizada por la SCJ y el British Council</t>
  </si>
  <si>
    <t>Sala de cine del Instituto Cultural Cabañas</t>
  </si>
  <si>
    <t>Reunión con Iván Vásquez Colunga, encargado del Área de Difusión de Secretaría de Cultura para la presentación del proyecto de restauración de los murales d ela Casa de la Cultura Jalisciense</t>
  </si>
  <si>
    <t>Edificio Arroniz</t>
  </si>
  <si>
    <t>Reunión del cuerpo docente y área académica con el área administrativa d ela ECRO para conocer los lineamientos de elaboración y calendario de entrega del Presupuesto 2021</t>
  </si>
  <si>
    <t>9:00 horas</t>
  </si>
  <si>
    <t>Reunión de retroalimentación de profesores: apreciación estudiantil de materias: Fotografía y STR Metales</t>
  </si>
  <si>
    <t>2:00 a 4:00</t>
  </si>
  <si>
    <t>Dirección Académica</t>
  </si>
  <si>
    <t>Reunión de retroalimentación de profesores: apreciación estudiantil de materias: Seminario de Tesis y STR de Escultura Policromada</t>
  </si>
  <si>
    <t>Examen profesional de Verónica Roque</t>
  </si>
  <si>
    <t>Aula MAgna</t>
  </si>
  <si>
    <t>Reunión de retroalimentación de profesores: apreciación estudiantil de materias: Conservación I</t>
  </si>
  <si>
    <t>15:00 horas</t>
  </si>
  <si>
    <t>13:30 horas</t>
  </si>
  <si>
    <t>Reunión de retroalimentación de profesores: apreciación estudiantil de materias: Joyería</t>
  </si>
  <si>
    <t>Reunión de retroalimentación de profesores: apreciación estudiantil de materias: Teoría de la Restauración I</t>
  </si>
  <si>
    <t>Reunión de retroalimentación de profesores: apreciación estudiantil de materias: Teoría d ela Restauración II</t>
  </si>
  <si>
    <t>Recepción del la Pintura de Santa Ana con la Virgen Niña, de Sanabria (1716), procedente del Museo Regional de Querétaro.</t>
  </si>
  <si>
    <t>Reunión de retroalimentación de profesores: apreciación estudiantil de materias: Técnicas pictóricas</t>
  </si>
  <si>
    <t>14:30 horas</t>
  </si>
  <si>
    <t>Reunión de retroalimentación de profesores: apreciación estudiantil de materias: Pintura de caballete y dibujo</t>
  </si>
  <si>
    <t>Reunión con la Dra. Amparo Ruano, sobre pedagogía y revisión curricular</t>
  </si>
  <si>
    <t>Reunión Congreso Comité Académico "Retos y Desafíos de la formación de restauradores"</t>
  </si>
  <si>
    <t>Comité de Compras y enajenaciones - Segunda Extraordinaria</t>
  </si>
  <si>
    <t>Comité de titulación - Reunión correspondiente al mes de febrero</t>
  </si>
  <si>
    <t>8:30 horas</t>
  </si>
  <si>
    <t>Reunión de retroalimentación de profesores: apreciación estudiantil de materias: Seminario Taller de Pintura de caballete I</t>
  </si>
  <si>
    <t>Reunión de retroalimentación de profesores: apreciación estudiantil de materias: Biología general</t>
  </si>
  <si>
    <t>Conferencia sobre Micromecenazgo</t>
  </si>
  <si>
    <t>Programas optativos - Reunión con alumnos de Octavo semestre</t>
  </si>
  <si>
    <t>Reunión con le profesor Marco Chávez</t>
  </si>
  <si>
    <t>Reunión con Dirección General y Administrativa: seguimiento de asuntos generales de la ECRO</t>
  </si>
  <si>
    <t>Aula Magna ECRO</t>
  </si>
  <si>
    <t>Reunión de retroalimentación de profesores. Apreciación estudiantil de materias: STR de Pintura Mural I</t>
  </si>
  <si>
    <t>Reunión con profesores - Tema: Registro de asistencia</t>
  </si>
  <si>
    <t>Junta Directiva - Primera Sesión Ordinaria 20202</t>
  </si>
  <si>
    <t>Reunión de retroalimentación de profesores. Apreciación estudiantil de materias: Laboratorio de Ciencia Aplicada</t>
  </si>
  <si>
    <t>Reunión del Comité Editorial d ela Revista CR - Conservación Restauración de la CNCPC del INAH</t>
  </si>
  <si>
    <t>En línea</t>
  </si>
  <si>
    <t>Videoconferencia en línea</t>
  </si>
  <si>
    <t>Envío de Plan de trabajo en Home Office a Dircción General</t>
  </si>
  <si>
    <t>Envío de correos para puesta al día de tesisitas avanzados</t>
  </si>
  <si>
    <t>Comité de titulación - Correo de cancelación de la reunión correspondiente al mes de marzo</t>
  </si>
  <si>
    <t>Programas optativos - Correo para contacto directo con alumnos en programas externos a la ECRO</t>
  </si>
  <si>
    <t>Premios INAH - Mensaje de email a los egresados en posibilidades de participar en la convocatoria 2020</t>
  </si>
  <si>
    <t>Comité de Titulación - Envío de dictámenes a tesistas</t>
  </si>
  <si>
    <t>20:00 horas</t>
  </si>
  <si>
    <t xml:space="preserve">Profesores - Envío de comunicado por fin de actividades </t>
  </si>
  <si>
    <t>Profesores - Envío de comunicado de escenarios para la conclusión del semestre y solicitud de información sobre el avance de sus materias</t>
  </si>
  <si>
    <t>Reunión para revisión del Presupuesto 2020 por recorte presupuestal</t>
  </si>
  <si>
    <t>19:00 horas</t>
  </si>
  <si>
    <t>Seguimiento de actividades y pendientes del Área de Asuntos Escolares</t>
  </si>
  <si>
    <t>15:00horas</t>
  </si>
  <si>
    <t>Seguimiento de actividades y pendientes del Área de Difusión</t>
  </si>
  <si>
    <t>Seguimiento a convocatoria a pemios INAH, difusión y elaboración de cartas de postulación</t>
  </si>
  <si>
    <t>Comité de ética - Seguimiento para difusión de información por el "Día de la Integridad"</t>
  </si>
  <si>
    <t>Reunión con la Secretaría de Cultura de Jalisco - Seguimiento de actividades académicas y asuntos pendientes del organismo</t>
  </si>
  <si>
    <t xml:space="preserve">Seguimiento a actividades de movilidad estudiantil entre la Facultad de Hábitat de la UASLP y la ECRO. </t>
  </si>
  <si>
    <t>16:00 horas</t>
  </si>
  <si>
    <t>Dirección de Organismos Públicos Descentralizados - Capacitación para el uso de la Plataforma zoom.com para videoconferencias</t>
  </si>
  <si>
    <t xml:space="preserve">Curso de Escritra académica a profesores de la ECRO - Organización </t>
  </si>
  <si>
    <t>Programas optativos - Solictud de información a los tutores de alumnos en programas optativos externos a la ECRO</t>
  </si>
  <si>
    <t>Reunión del Comité Académico del Coloquio "Retos y Desafíos de la formación de restauradores"</t>
  </si>
  <si>
    <r>
      <t xml:space="preserve">Recepción y revisión de informes de trabajo en </t>
    </r>
    <r>
      <rPr>
        <i/>
        <sz val="10"/>
        <color theme="1"/>
        <rFont val="Arial"/>
        <family val="2"/>
        <scheme val="minor"/>
      </rPr>
      <t>home office</t>
    </r>
    <r>
      <rPr>
        <sz val="10"/>
        <color theme="1"/>
        <rFont val="Arial"/>
        <family val="2"/>
        <scheme val="minor"/>
      </rPr>
      <t xml:space="preserve"> de áreas de asuntos escolares y biblioteca</t>
    </r>
  </si>
  <si>
    <t>Reunión de la Direcciones General, Académica y Administrativa para valorar escenarios para conlcusión del semestre ante contingencia sanitaria</t>
  </si>
  <si>
    <t>Correo electrónico</t>
  </si>
  <si>
    <t>Emisión de comunicado a profesores y alumnos por el reinicio de actividades académicas a distancia</t>
  </si>
  <si>
    <t>Reunión del Comité Editorial de la Revista CR - Conservación Restauración de la CNCPC del INAH</t>
  </si>
  <si>
    <t>Reunión con alumnos de Octavo semestre - Tema: optativos de décimo semestre</t>
  </si>
  <si>
    <t>Reunión con profesores, administrativos y alumnos sobre el avance de la contingencia y las perspectivas para el fin del semestre.</t>
  </si>
  <si>
    <t>Grabación de recorrido virtual o visita guiada por el edificio de la ECRO / Área de comunicación y difusión de la SCJ</t>
  </si>
  <si>
    <t xml:space="preserve">Reunión con profesores: Información sobre el cierre del semestre, exámenes de admisión e inicio del sigguiente periodo escolar. </t>
  </si>
  <si>
    <t>Reunión Informativa con comunidad estudiantil - Sobre contingencia, cierer de curso y prospectiva</t>
  </si>
  <si>
    <t>Cmisión de reglamentos - Reunión semanla ordinaria</t>
  </si>
  <si>
    <t>10:30 horas</t>
  </si>
  <si>
    <t>Comité de titulación - Reunión de mayo</t>
  </si>
  <si>
    <t>Junta Directiva de la ECRO</t>
  </si>
  <si>
    <t>Reunión con el Área de Comunicación de SCJ - Tema: difusión de la Convocatoria a la Licenciatura, de la Escuela y la disciplina de la restauración.</t>
  </si>
  <si>
    <t>Junta Directiva de la ECRO - Segunda sesión extraordinaria</t>
  </si>
  <si>
    <t>Curso de escrituta académica. Para profesores de tiempo completo de la ECRO.</t>
  </si>
  <si>
    <t xml:space="preserve">10:00 horas </t>
  </si>
  <si>
    <t>Comité Académico del Coloquio de Restauración - XX Aniversario de la ECRO</t>
  </si>
  <si>
    <t>Comisión de reglamentos. Sesión ordinaria de revisión del Reglamento escolar</t>
  </si>
  <si>
    <t>Reunión entre el área administrativa y los profesores de la ECRO para el procedimiento de compras.</t>
  </si>
  <si>
    <t>Edificio ECRO</t>
  </si>
  <si>
    <t>Asistencia al conversatorio: El papel del patrimonio cultural y los conservadores restauradores en tiempos del Covid-19. Con la participación d eprofesioales y estduaintes de la restauraciónen instituciones nacionales e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</si>
</sst>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"/>
  </numFmts>
  <fonts count="30" x14ac:knownFonts="1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name val="Arial"/>
      <family val="2"/>
      <scheme val="minor"/>
    </font>
    <font>
      <sz val="10"/>
      <color indexed="63"/>
      <name val="Arial"/>
      <family val="4"/>
      <scheme val="minor"/>
    </font>
    <font>
      <b/>
      <sz val="28"/>
      <color theme="1" tint="0.34998626667073579"/>
      <name val="Arial"/>
      <family val="2"/>
      <scheme val="minor"/>
    </font>
    <font>
      <sz val="10"/>
      <color theme="1"/>
      <name val="Arial"/>
      <family val="2"/>
      <scheme val="major"/>
    </font>
    <font>
      <b/>
      <sz val="10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sz val="10"/>
      <color theme="0"/>
      <name val="Arial"/>
      <family val="2"/>
      <scheme val="minor"/>
    </font>
    <font>
      <b/>
      <sz val="8.5"/>
      <color theme="1"/>
      <name val="Arial"/>
      <family val="2"/>
      <scheme val="minor"/>
    </font>
    <font>
      <sz val="8.5"/>
      <color theme="1"/>
      <name val="Arial"/>
      <family val="2"/>
      <scheme val="minor"/>
    </font>
    <font>
      <b/>
      <sz val="8.5"/>
      <color theme="1"/>
      <name val="Arial"/>
      <family val="2"/>
      <scheme val="major"/>
    </font>
    <font>
      <sz val="10.5"/>
      <color theme="1" tint="0.249977111117893"/>
      <name val="Arial"/>
      <family val="2"/>
      <scheme val="minor"/>
    </font>
    <font>
      <b/>
      <sz val="10.5"/>
      <name val="Arial"/>
      <family val="2"/>
      <scheme val="minor"/>
    </font>
    <font>
      <b/>
      <sz val="24"/>
      <color theme="4"/>
      <name val="Arial"/>
      <family val="2"/>
      <scheme val="major"/>
    </font>
    <font>
      <b/>
      <sz val="11"/>
      <color theme="1"/>
      <name val="Arial"/>
      <family val="2"/>
      <scheme val="minor"/>
    </font>
    <font>
      <b/>
      <sz val="24"/>
      <name val="Arial"/>
      <family val="2"/>
      <scheme val="major"/>
    </font>
    <font>
      <sz val="10"/>
      <name val="Arial"/>
      <family val="2"/>
      <scheme val="minor"/>
    </font>
    <font>
      <b/>
      <sz val="17"/>
      <name val="Arial"/>
      <family val="2"/>
      <scheme val="major"/>
    </font>
    <font>
      <b/>
      <sz val="17"/>
      <name val="Arial"/>
      <family val="2"/>
      <scheme val="minor"/>
    </font>
    <font>
      <sz val="10"/>
      <name val="Arial"/>
      <family val="2"/>
      <scheme val="major"/>
    </font>
    <font>
      <sz val="10.5"/>
      <name val="Arial"/>
      <family val="2"/>
      <scheme val="minor"/>
    </font>
    <font>
      <b/>
      <sz val="10"/>
      <name val="Arial"/>
      <family val="2"/>
      <scheme val="minor"/>
    </font>
    <font>
      <b/>
      <sz val="8.5"/>
      <name val="Arial"/>
      <family val="2"/>
      <scheme val="minor"/>
    </font>
    <font>
      <sz val="8.5"/>
      <name val="Arial"/>
      <family val="2"/>
      <scheme val="minor"/>
    </font>
    <font>
      <b/>
      <sz val="8.5"/>
      <name val="Arial"/>
      <family val="2"/>
      <scheme val="major"/>
    </font>
    <font>
      <sz val="9"/>
      <color theme="1"/>
      <name val="Arial"/>
      <family val="2"/>
      <scheme val="minor"/>
    </font>
    <font>
      <i/>
      <sz val="10"/>
      <color theme="1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39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0"/>
      </right>
      <top/>
      <bottom/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/>
      <diagonal/>
    </border>
    <border>
      <left/>
      <right style="thin">
        <color theme="4" tint="0.7999816888943144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 style="thin">
        <color theme="4" tint="0.79995117038483843"/>
      </bottom>
      <diagonal/>
    </border>
    <border>
      <left style="thin">
        <color theme="0"/>
      </left>
      <right/>
      <top/>
      <bottom style="thin">
        <color theme="4" tint="0.79995117038483843"/>
      </bottom>
      <diagonal/>
    </border>
    <border>
      <left/>
      <right style="thin">
        <color theme="0"/>
      </right>
      <top/>
      <bottom style="thin">
        <color theme="4" tint="0.79995117038483843"/>
      </bottom>
      <diagonal/>
    </border>
    <border>
      <left/>
      <right/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/>
      <diagonal/>
    </border>
    <border>
      <left style="thin">
        <color theme="4" tint="0.7999816888943144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4" tint="0.7999816888943144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4" tint="0.79992065187536243"/>
      </right>
      <top/>
      <bottom style="thin">
        <color theme="0"/>
      </bottom>
      <diagonal/>
    </border>
    <border>
      <left/>
      <right style="thin">
        <color theme="4" tint="0.79992065187536243"/>
      </right>
      <top style="thin">
        <color theme="0"/>
      </top>
      <bottom/>
      <diagonal/>
    </border>
    <border>
      <left style="thin">
        <color theme="4" tint="0.79992065187536243"/>
      </left>
      <right/>
      <top/>
      <bottom/>
      <diagonal/>
    </border>
    <border>
      <left style="thin">
        <color theme="4" tint="0.79992065187536243"/>
      </left>
      <right/>
      <top style="thin">
        <color theme="4" tint="0.79989013336588644"/>
      </top>
      <bottom/>
      <diagonal/>
    </border>
    <border>
      <left/>
      <right/>
      <top style="thin">
        <color theme="4" tint="0.79989013336588644"/>
      </top>
      <bottom/>
      <diagonal/>
    </border>
    <border>
      <left/>
      <right style="thin">
        <color theme="4" tint="0.79989013336588644"/>
      </right>
      <top style="thin">
        <color theme="4" tint="0.79989013336588644"/>
      </top>
      <bottom/>
      <diagonal/>
    </border>
    <border>
      <left style="thin">
        <color theme="4" tint="0.79998168889431442"/>
      </left>
      <right/>
      <top style="thin">
        <color theme="4" tint="0.79995117038483843"/>
      </top>
      <bottom/>
      <diagonal/>
    </border>
    <border>
      <left/>
      <right/>
      <top style="thin">
        <color theme="4" tint="0.79995117038483843"/>
      </top>
      <bottom/>
      <diagonal/>
    </border>
    <border>
      <left/>
      <right style="thin">
        <color theme="4" tint="0.79992065187536243"/>
      </right>
      <top style="thin">
        <color theme="4" tint="0.79995117038483843"/>
      </top>
      <bottom/>
      <diagonal/>
    </border>
    <border>
      <left style="thin">
        <color theme="4" tint="0.79998168889431442"/>
      </left>
      <right/>
      <top/>
      <bottom style="thin">
        <color theme="4" tint="0.79995117038483843"/>
      </bottom>
      <diagonal/>
    </border>
    <border>
      <left style="thin">
        <color theme="0"/>
      </left>
      <right/>
      <top style="thin">
        <color theme="4" tint="0.79995117038483843"/>
      </top>
      <bottom/>
      <diagonal/>
    </border>
    <border>
      <left/>
      <right style="thin">
        <color theme="0"/>
      </right>
      <top style="thin">
        <color theme="4" tint="0.7999511703848384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 tint="0.79989013336588644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4" tint="0.79992065187536243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2" borderId="1" applyNumberFormat="0" applyAlignment="0" applyProtection="0"/>
    <xf numFmtId="0" fontId="5" fillId="3" borderId="0" applyNumberFormat="0" applyBorder="0" applyAlignment="0" applyProtection="0"/>
    <xf numFmtId="0" fontId="6" fillId="0" borderId="0" applyNumberFormat="0" applyFill="0" applyAlignment="0" applyProtection="0"/>
  </cellStyleXfs>
  <cellXfs count="174">
    <xf numFmtId="0" fontId="0" fillId="0" borderId="0" xfId="0"/>
    <xf numFmtId="0" fontId="0" fillId="0" borderId="0" xfId="0" applyFont="1"/>
    <xf numFmtId="0" fontId="7" fillId="0" borderId="0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left" indent="1"/>
    </xf>
    <xf numFmtId="0" fontId="0" fillId="0" borderId="5" xfId="0" applyFont="1" applyBorder="1"/>
    <xf numFmtId="0" fontId="0" fillId="0" borderId="12" xfId="0" applyFont="1" applyBorder="1"/>
    <xf numFmtId="0" fontId="12" fillId="5" borderId="13" xfId="0" applyFont="1" applyFill="1" applyBorder="1" applyAlignment="1">
      <alignment horizontal="left" vertical="top" indent="1"/>
    </xf>
    <xf numFmtId="0" fontId="12" fillId="5" borderId="7" xfId="0" applyFont="1" applyFill="1" applyBorder="1" applyAlignment="1">
      <alignment horizontal="left" vertical="top" indent="1"/>
    </xf>
    <xf numFmtId="49" fontId="11" fillId="5" borderId="4" xfId="0" applyNumberFormat="1" applyFont="1" applyFill="1" applyBorder="1" applyAlignment="1">
      <alignment horizontal="left" indent="1"/>
    </xf>
    <xf numFmtId="49" fontId="11" fillId="5" borderId="16" xfId="0" applyNumberFormat="1" applyFont="1" applyFill="1" applyBorder="1" applyAlignment="1">
      <alignment horizontal="left" indent="1"/>
    </xf>
    <xf numFmtId="164" fontId="14" fillId="0" borderId="0" xfId="0" applyNumberFormat="1" applyFont="1" applyFill="1" applyBorder="1" applyAlignment="1">
      <alignment horizontal="center" vertical="center" wrapText="1"/>
    </xf>
    <xf numFmtId="0" fontId="0" fillId="0" borderId="26" xfId="0" applyFont="1" applyBorder="1"/>
    <xf numFmtId="0" fontId="0" fillId="0" borderId="27" xfId="0" applyFont="1" applyBorder="1"/>
    <xf numFmtId="164" fontId="15" fillId="0" borderId="10" xfId="0" applyNumberFormat="1" applyFont="1" applyFill="1" applyBorder="1" applyAlignment="1">
      <alignment horizontal="left" vertical="center" wrapText="1" indent="1"/>
    </xf>
    <xf numFmtId="0" fontId="0" fillId="0" borderId="11" xfId="0" applyFont="1" applyBorder="1"/>
    <xf numFmtId="0" fontId="16" fillId="0" borderId="3" xfId="0" applyFont="1" applyFill="1" applyBorder="1" applyAlignment="1">
      <alignment horizontal="center" vertical="center" textRotation="90"/>
    </xf>
    <xf numFmtId="0" fontId="19" fillId="0" borderId="26" xfId="0" applyFont="1" applyBorder="1"/>
    <xf numFmtId="0" fontId="19" fillId="0" borderId="27" xfId="0" applyFont="1" applyBorder="1"/>
    <xf numFmtId="0" fontId="21" fillId="0" borderId="24" xfId="0" applyFont="1" applyFill="1" applyBorder="1" applyAlignment="1">
      <alignment vertical="center"/>
    </xf>
    <xf numFmtId="0" fontId="19" fillId="0" borderId="0" xfId="0" applyFont="1"/>
    <xf numFmtId="0" fontId="22" fillId="0" borderId="0" xfId="0" applyFont="1" applyFill="1" applyBorder="1" applyAlignment="1">
      <alignment horizontal="center" vertical="center"/>
    </xf>
    <xf numFmtId="0" fontId="19" fillId="0" borderId="12" xfId="0" applyFont="1" applyBorder="1"/>
    <xf numFmtId="164" fontId="23" fillId="0" borderId="0" xfId="0" applyNumberFormat="1" applyFont="1" applyFill="1" applyBorder="1" applyAlignment="1">
      <alignment horizontal="center" vertical="center" wrapText="1"/>
    </xf>
    <xf numFmtId="0" fontId="19" fillId="0" borderId="5" xfId="0" applyFont="1" applyBorder="1"/>
    <xf numFmtId="49" fontId="25" fillId="6" borderId="4" xfId="0" applyNumberFormat="1" applyFont="1" applyFill="1" applyBorder="1" applyAlignment="1">
      <alignment horizontal="left" indent="1"/>
    </xf>
    <xf numFmtId="0" fontId="26" fillId="6" borderId="13" xfId="0" applyFont="1" applyFill="1" applyBorder="1" applyAlignment="1">
      <alignment horizontal="left" vertical="top" indent="1"/>
    </xf>
    <xf numFmtId="49" fontId="25" fillId="6" borderId="16" xfId="0" applyNumberFormat="1" applyFont="1" applyFill="1" applyBorder="1" applyAlignment="1">
      <alignment horizontal="left" indent="1"/>
    </xf>
    <xf numFmtId="0" fontId="26" fillId="6" borderId="7" xfId="0" applyFont="1" applyFill="1" applyBorder="1" applyAlignment="1">
      <alignment horizontal="left" vertical="top" indent="1"/>
    </xf>
    <xf numFmtId="0" fontId="24" fillId="0" borderId="0" xfId="0" applyFont="1"/>
    <xf numFmtId="0" fontId="19" fillId="0" borderId="0" xfId="0" applyFont="1" applyBorder="1"/>
    <xf numFmtId="0" fontId="19" fillId="0" borderId="10" xfId="0" applyFont="1" applyBorder="1"/>
    <xf numFmtId="0" fontId="0" fillId="0" borderId="31" xfId="0" applyBorder="1" applyAlignment="1">
      <alignment horizontal="center" vertical="top" wrapText="1"/>
    </xf>
    <xf numFmtId="0" fontId="0" fillId="0" borderId="31" xfId="0" applyBorder="1" applyAlignment="1">
      <alignment vertical="top" wrapText="1" indent="1"/>
    </xf>
    <xf numFmtId="0" fontId="0" fillId="7" borderId="31" xfId="0" applyFill="1" applyBorder="1" applyAlignment="1">
      <alignment horizontal="center" vertical="top" wrapText="1"/>
    </xf>
    <xf numFmtId="0" fontId="0" fillId="7" borderId="31" xfId="0" applyFill="1" applyBorder="1" applyAlignment="1">
      <alignment vertical="top" wrapText="1" indent="1"/>
    </xf>
    <xf numFmtId="20" fontId="0" fillId="7" borderId="31" xfId="0" applyNumberFormat="1" applyFill="1" applyBorder="1" applyAlignment="1">
      <alignment vertical="top" wrapText="1" indent="1"/>
    </xf>
    <xf numFmtId="20" fontId="0" fillId="0" borderId="31" xfId="0" applyNumberFormat="1" applyBorder="1" applyAlignment="1">
      <alignment vertical="top" wrapText="1" indent="1"/>
    </xf>
    <xf numFmtId="0" fontId="21" fillId="0" borderId="32" xfId="0" applyFont="1" applyFill="1" applyBorder="1" applyAlignment="1">
      <alignment vertical="center"/>
    </xf>
    <xf numFmtId="0" fontId="8" fillId="0" borderId="0" xfId="0" applyFont="1"/>
    <xf numFmtId="164" fontId="15" fillId="0" borderId="0" xfId="0" applyNumberFormat="1" applyFont="1" applyFill="1" applyBorder="1" applyAlignment="1">
      <alignment horizontal="left" vertical="center" wrapText="1" indent="1"/>
    </xf>
    <xf numFmtId="20" fontId="0" fillId="7" borderId="31" xfId="0" applyNumberFormat="1" applyFill="1" applyBorder="1" applyAlignment="1">
      <alignment horizontal="center" vertical="top" wrapText="1"/>
    </xf>
    <xf numFmtId="164" fontId="14" fillId="6" borderId="0" xfId="0" applyNumberFormat="1" applyFont="1" applyFill="1" applyBorder="1" applyAlignment="1">
      <alignment horizontal="center" vertical="center" wrapText="1"/>
    </xf>
    <xf numFmtId="0" fontId="0" fillId="7" borderId="37" xfId="0" applyFill="1" applyBorder="1" applyAlignment="1">
      <alignment horizontal="center" vertical="top"/>
    </xf>
    <xf numFmtId="0" fontId="0" fillId="7" borderId="38" xfId="0" applyFill="1" applyBorder="1" applyAlignment="1">
      <alignment horizontal="center" vertical="top"/>
    </xf>
    <xf numFmtId="0" fontId="0" fillId="0" borderId="31" xfId="0" applyBorder="1" applyAlignment="1">
      <alignment horizontal="center" vertical="center" wrapText="1"/>
    </xf>
    <xf numFmtId="0" fontId="0" fillId="0" borderId="31" xfId="0" applyBorder="1" applyAlignment="1">
      <alignment vertical="center" wrapText="1"/>
    </xf>
    <xf numFmtId="20" fontId="0" fillId="0" borderId="31" xfId="0" applyNumberFormat="1" applyBorder="1" applyAlignment="1">
      <alignment horizontal="center" vertical="center" wrapText="1"/>
    </xf>
    <xf numFmtId="0" fontId="0" fillId="0" borderId="31" xfId="0" applyBorder="1" applyAlignment="1">
      <alignment vertical="top"/>
    </xf>
    <xf numFmtId="0" fontId="17" fillId="8" borderId="38" xfId="0" applyFont="1" applyFill="1" applyBorder="1" applyAlignment="1">
      <alignment horizontal="center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6" borderId="38" xfId="0" applyFont="1" applyFill="1" applyBorder="1" applyAlignment="1">
      <alignment horizontal="left" vertical="center" wrapText="1"/>
    </xf>
    <xf numFmtId="20" fontId="1" fillId="6" borderId="38" xfId="0" applyNumberFormat="1" applyFont="1" applyFill="1" applyBorder="1" applyAlignment="1">
      <alignment horizontal="center" vertical="center" wrapText="1"/>
    </xf>
    <xf numFmtId="20" fontId="0" fillId="7" borderId="31" xfId="0" applyNumberFormat="1" applyFill="1" applyBorder="1" applyAlignment="1">
      <alignment horizontal="center" vertical="center" wrapText="1"/>
    </xf>
    <xf numFmtId="49" fontId="25" fillId="6" borderId="6" xfId="0" applyNumberFormat="1" applyFont="1" applyFill="1" applyBorder="1" applyAlignment="1">
      <alignment horizontal="left" indent="1"/>
    </xf>
    <xf numFmtId="49" fontId="25" fillId="6" borderId="2" xfId="0" applyNumberFormat="1" applyFont="1" applyFill="1" applyBorder="1" applyAlignment="1">
      <alignment horizontal="left" indent="1"/>
    </xf>
    <xf numFmtId="49" fontId="25" fillId="6" borderId="0" xfId="0" applyNumberFormat="1" applyFont="1" applyFill="1" applyBorder="1" applyAlignment="1">
      <alignment horizontal="left" indent="1"/>
    </xf>
    <xf numFmtId="164" fontId="23" fillId="6" borderId="0" xfId="0" applyNumberFormat="1" applyFont="1" applyFill="1" applyBorder="1" applyAlignment="1">
      <alignment horizontal="center" vertical="center" wrapText="1"/>
    </xf>
    <xf numFmtId="0" fontId="17" fillId="8" borderId="31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left" vertical="top" indent="1"/>
    </xf>
    <xf numFmtId="0" fontId="26" fillId="6" borderId="6" xfId="0" applyFont="1" applyFill="1" applyBorder="1" applyAlignment="1">
      <alignment horizontal="left" vertical="top" indent="1"/>
    </xf>
    <xf numFmtId="0" fontId="26" fillId="6" borderId="2" xfId="0" applyFont="1" applyFill="1" applyBorder="1" applyAlignment="1">
      <alignment horizontal="left" vertical="top" indent="1"/>
    </xf>
    <xf numFmtId="164" fontId="26" fillId="6" borderId="6" xfId="0" applyNumberFormat="1" applyFont="1" applyFill="1" applyBorder="1" applyAlignment="1">
      <alignment horizontal="left" vertical="top" indent="1"/>
    </xf>
    <xf numFmtId="164" fontId="26" fillId="6" borderId="12" xfId="0" applyNumberFormat="1" applyFont="1" applyFill="1" applyBorder="1" applyAlignment="1">
      <alignment horizontal="left" vertical="top" indent="1"/>
    </xf>
    <xf numFmtId="0" fontId="0" fillId="7" borderId="31" xfId="0" applyFill="1" applyBorder="1" applyAlignment="1">
      <alignment horizontal="center" vertical="center" wrapText="1"/>
    </xf>
    <xf numFmtId="0" fontId="27" fillId="6" borderId="6" xfId="0" applyFont="1" applyFill="1" applyBorder="1" applyAlignment="1">
      <alignment horizontal="left" vertical="top" indent="1"/>
    </xf>
    <xf numFmtId="0" fontId="27" fillId="6" borderId="12" xfId="0" applyFont="1" applyFill="1" applyBorder="1" applyAlignment="1">
      <alignment horizontal="left" vertical="top" indent="1"/>
    </xf>
    <xf numFmtId="0" fontId="0" fillId="7" borderId="37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top" wrapText="1"/>
    </xf>
    <xf numFmtId="0" fontId="0" fillId="7" borderId="38" xfId="0" applyFill="1" applyBorder="1" applyAlignment="1">
      <alignment horizontal="center" vertical="top" wrapText="1"/>
    </xf>
    <xf numFmtId="20" fontId="0" fillId="7" borderId="37" xfId="0" applyNumberFormat="1" applyFill="1" applyBorder="1" applyAlignment="1">
      <alignment horizontal="center" vertical="top" wrapText="1"/>
    </xf>
    <xf numFmtId="20" fontId="0" fillId="7" borderId="37" xfId="0" applyNumberFormat="1" applyFill="1" applyBorder="1" applyAlignment="1">
      <alignment horizontal="center" vertical="top" wrapText="1"/>
    </xf>
    <xf numFmtId="0" fontId="0" fillId="7" borderId="37" xfId="0" applyFill="1" applyBorder="1" applyAlignment="1">
      <alignment horizontal="center" vertical="top" wrapText="1"/>
    </xf>
    <xf numFmtId="0" fontId="0" fillId="7" borderId="37" xfId="0" applyFill="1" applyBorder="1" applyAlignment="1">
      <alignment horizontal="center" vertical="center"/>
    </xf>
    <xf numFmtId="20" fontId="0" fillId="0" borderId="31" xfId="0" applyNumberFormat="1" applyBorder="1" applyAlignment="1">
      <alignment horizontal="center" vertical="top" wrapText="1"/>
    </xf>
    <xf numFmtId="0" fontId="0" fillId="7" borderId="31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top"/>
    </xf>
    <xf numFmtId="0" fontId="0" fillId="0" borderId="37" xfId="0" applyBorder="1" applyAlignment="1">
      <alignment horizontal="center" vertical="center" wrapText="1"/>
    </xf>
    <xf numFmtId="20" fontId="0" fillId="0" borderId="37" xfId="0" applyNumberForma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textRotation="90"/>
    </xf>
    <xf numFmtId="0" fontId="0" fillId="0" borderId="0" xfId="0" applyFont="1" applyBorder="1"/>
    <xf numFmtId="0" fontId="28" fillId="7" borderId="31" xfId="0" applyFont="1" applyFill="1" applyBorder="1" applyAlignment="1">
      <alignment vertical="top" wrapText="1"/>
    </xf>
    <xf numFmtId="0" fontId="0" fillId="7" borderId="31" xfId="0" applyFill="1" applyBorder="1" applyAlignment="1">
      <alignment vertical="top" wrapText="1"/>
    </xf>
    <xf numFmtId="0" fontId="17" fillId="9" borderId="31" xfId="0" applyFont="1" applyFill="1" applyBorder="1" applyAlignment="1">
      <alignment horizontal="center" vertical="center" wrapText="1"/>
    </xf>
    <xf numFmtId="49" fontId="27" fillId="6" borderId="6" xfId="0" applyNumberFormat="1" applyFont="1" applyFill="1" applyBorder="1" applyAlignment="1">
      <alignment horizontal="left" indent="1"/>
    </xf>
    <xf numFmtId="49" fontId="27" fillId="6" borderId="12" xfId="0" applyNumberFormat="1" applyFont="1" applyFill="1" applyBorder="1" applyAlignment="1">
      <alignment horizontal="left" indent="1"/>
    </xf>
    <xf numFmtId="0" fontId="26" fillId="6" borderId="14" xfId="0" applyFont="1" applyFill="1" applyBorder="1" applyAlignment="1">
      <alignment horizontal="left" vertical="top" indent="1"/>
    </xf>
    <xf numFmtId="0" fontId="26" fillId="6" borderId="19" xfId="0" applyFont="1" applyFill="1" applyBorder="1" applyAlignment="1">
      <alignment horizontal="left" vertical="top" indent="1"/>
    </xf>
    <xf numFmtId="49" fontId="25" fillId="6" borderId="6" xfId="0" applyNumberFormat="1" applyFont="1" applyFill="1" applyBorder="1" applyAlignment="1">
      <alignment horizontal="left" vertical="center" indent="1"/>
    </xf>
    <xf numFmtId="49" fontId="25" fillId="6" borderId="12" xfId="0" applyNumberFormat="1" applyFont="1" applyFill="1" applyBorder="1" applyAlignment="1">
      <alignment horizontal="left" vertical="center" indent="1"/>
    </xf>
    <xf numFmtId="164" fontId="26" fillId="6" borderId="8" xfId="0" applyNumberFormat="1" applyFont="1" applyFill="1" applyBorder="1" applyAlignment="1">
      <alignment horizontal="left" vertical="top" indent="1"/>
    </xf>
    <xf numFmtId="164" fontId="26" fillId="6" borderId="11" xfId="0" applyNumberFormat="1" applyFont="1" applyFill="1" applyBorder="1" applyAlignment="1">
      <alignment horizontal="left" vertical="top" indent="1"/>
    </xf>
    <xf numFmtId="164" fontId="26" fillId="6" borderId="14" xfId="0" applyNumberFormat="1" applyFont="1" applyFill="1" applyBorder="1" applyAlignment="1">
      <alignment horizontal="left" vertical="top" indent="1"/>
    </xf>
    <xf numFmtId="164" fontId="26" fillId="6" borderId="19" xfId="0" applyNumberFormat="1" applyFont="1" applyFill="1" applyBorder="1" applyAlignment="1">
      <alignment horizontal="left" vertical="top" indent="1"/>
    </xf>
    <xf numFmtId="49" fontId="25" fillId="6" borderId="6" xfId="0" applyNumberFormat="1" applyFont="1" applyFill="1" applyBorder="1" applyAlignment="1">
      <alignment horizontal="left" indent="1"/>
    </xf>
    <xf numFmtId="49" fontId="25" fillId="6" borderId="12" xfId="0" applyNumberFormat="1" applyFont="1" applyFill="1" applyBorder="1" applyAlignment="1">
      <alignment horizontal="left" indent="1"/>
    </xf>
    <xf numFmtId="164" fontId="26" fillId="6" borderId="33" xfId="0" applyNumberFormat="1" applyFont="1" applyFill="1" applyBorder="1" applyAlignment="1">
      <alignment horizontal="left" vertical="top" indent="1"/>
    </xf>
    <xf numFmtId="49" fontId="25" fillId="6" borderId="0" xfId="0" applyNumberFormat="1" applyFont="1" applyFill="1" applyBorder="1" applyAlignment="1">
      <alignment horizontal="left" vertical="center" indent="1"/>
    </xf>
    <xf numFmtId="0" fontId="18" fillId="0" borderId="25" xfId="0" applyFont="1" applyFill="1" applyBorder="1" applyAlignment="1">
      <alignment horizontal="center" vertical="center" textRotation="90"/>
    </xf>
    <xf numFmtId="0" fontId="18" fillId="0" borderId="3" xfId="0" applyFont="1" applyFill="1" applyBorder="1" applyAlignment="1">
      <alignment horizontal="center" vertical="center" textRotation="90"/>
    </xf>
    <xf numFmtId="0" fontId="18" fillId="0" borderId="28" xfId="0" applyFont="1" applyFill="1" applyBorder="1" applyAlignment="1">
      <alignment horizontal="center" vertical="center" textRotation="90"/>
    </xf>
    <xf numFmtId="49" fontId="25" fillId="6" borderId="2" xfId="0" applyNumberFormat="1" applyFont="1" applyFill="1" applyBorder="1" applyAlignment="1">
      <alignment horizontal="left" indent="1"/>
    </xf>
    <xf numFmtId="0" fontId="26" fillId="6" borderId="15" xfId="0" applyFont="1" applyFill="1" applyBorder="1" applyAlignment="1">
      <alignment horizontal="left" vertical="top" indent="1"/>
    </xf>
    <xf numFmtId="0" fontId="26" fillId="6" borderId="8" xfId="0" applyFont="1" applyFill="1" applyBorder="1" applyAlignment="1">
      <alignment horizontal="left" vertical="top" indent="1"/>
    </xf>
    <xf numFmtId="0" fontId="26" fillId="6" borderId="9" xfId="0" applyFont="1" applyFill="1" applyBorder="1" applyAlignment="1">
      <alignment horizontal="left" vertical="top" indent="1"/>
    </xf>
    <xf numFmtId="49" fontId="25" fillId="6" borderId="0" xfId="0" applyNumberFormat="1" applyFont="1" applyFill="1" applyBorder="1" applyAlignment="1">
      <alignment horizontal="left" indent="1"/>
    </xf>
    <xf numFmtId="0" fontId="27" fillId="6" borderId="14" xfId="0" applyFont="1" applyFill="1" applyBorder="1" applyAlignment="1">
      <alignment horizontal="left" vertical="top" indent="1"/>
    </xf>
    <xf numFmtId="0" fontId="27" fillId="6" borderId="19" xfId="0" applyFont="1" applyFill="1" applyBorder="1" applyAlignment="1">
      <alignment horizontal="left" vertical="top" indent="1"/>
    </xf>
    <xf numFmtId="49" fontId="25" fillId="6" borderId="17" xfId="0" applyNumberFormat="1" applyFont="1" applyFill="1" applyBorder="1" applyAlignment="1">
      <alignment horizontal="left" indent="1"/>
    </xf>
    <xf numFmtId="49" fontId="25" fillId="6" borderId="18" xfId="0" applyNumberFormat="1" applyFont="1" applyFill="1" applyBorder="1" applyAlignment="1">
      <alignment horizontal="left" indent="1"/>
    </xf>
    <xf numFmtId="0" fontId="20" fillId="0" borderId="22" xfId="0" applyFont="1" applyBorder="1" applyAlignment="1">
      <alignment horizontal="left" vertical="center" indent="2"/>
    </xf>
    <xf numFmtId="0" fontId="20" fillId="0" borderId="23" xfId="0" applyFont="1" applyBorder="1" applyAlignment="1">
      <alignment horizontal="left" vertical="center" indent="2"/>
    </xf>
    <xf numFmtId="0" fontId="20" fillId="0" borderId="21" xfId="0" applyFont="1" applyBorder="1" applyAlignment="1">
      <alignment horizontal="left" vertical="center" indent="2"/>
    </xf>
    <xf numFmtId="0" fontId="20" fillId="0" borderId="0" xfId="0" applyFont="1" applyBorder="1" applyAlignment="1">
      <alignment horizontal="left" vertical="center" indent="2"/>
    </xf>
    <xf numFmtId="0" fontId="21" fillId="0" borderId="24" xfId="0" applyFont="1" applyFill="1" applyBorder="1" applyAlignment="1">
      <alignment vertical="center"/>
    </xf>
    <xf numFmtId="0" fontId="21" fillId="0" borderId="32" xfId="0" applyFont="1" applyFill="1" applyBorder="1" applyAlignment="1">
      <alignment vertical="center"/>
    </xf>
    <xf numFmtId="49" fontId="25" fillId="6" borderId="29" xfId="0" applyNumberFormat="1" applyFont="1" applyFill="1" applyBorder="1" applyAlignment="1">
      <alignment horizontal="left" indent="1"/>
    </xf>
    <xf numFmtId="49" fontId="25" fillId="6" borderId="30" xfId="0" applyNumberFormat="1" applyFont="1" applyFill="1" applyBorder="1" applyAlignment="1">
      <alignment horizontal="left" indent="1"/>
    </xf>
    <xf numFmtId="49" fontId="25" fillId="6" borderId="34" xfId="0" applyNumberFormat="1" applyFont="1" applyFill="1" applyBorder="1" applyAlignment="1">
      <alignment horizontal="left" indent="1"/>
    </xf>
    <xf numFmtId="20" fontId="0" fillId="7" borderId="37" xfId="0" applyNumberFormat="1" applyFill="1" applyBorder="1" applyAlignment="1">
      <alignment horizontal="center" vertical="top" wrapText="1"/>
    </xf>
    <xf numFmtId="20" fontId="0" fillId="7" borderId="38" xfId="0" applyNumberFormat="1" applyFill="1" applyBorder="1" applyAlignment="1">
      <alignment horizontal="center" vertical="top" wrapText="1"/>
    </xf>
    <xf numFmtId="0" fontId="0" fillId="7" borderId="37" xfId="0" applyFill="1" applyBorder="1" applyAlignment="1">
      <alignment horizontal="center" vertical="top" wrapText="1"/>
    </xf>
    <xf numFmtId="0" fontId="0" fillId="7" borderId="38" xfId="0" applyFill="1" applyBorder="1" applyAlignment="1">
      <alignment horizontal="center" vertical="top" wrapText="1"/>
    </xf>
    <xf numFmtId="0" fontId="0" fillId="0" borderId="37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wrapText="1"/>
    </xf>
    <xf numFmtId="0" fontId="0" fillId="0" borderId="38" xfId="0" applyFont="1" applyBorder="1" applyAlignment="1">
      <alignment horizontal="center" wrapText="1"/>
    </xf>
    <xf numFmtId="20" fontId="0" fillId="6" borderId="37" xfId="0" applyNumberFormat="1" applyFill="1" applyBorder="1" applyAlignment="1">
      <alignment horizontal="center" vertical="top" wrapText="1"/>
    </xf>
    <xf numFmtId="20" fontId="0" fillId="6" borderId="38" xfId="0" applyNumberFormat="1" applyFill="1" applyBorder="1" applyAlignment="1">
      <alignment horizontal="center" vertical="top" wrapText="1"/>
    </xf>
    <xf numFmtId="0" fontId="0" fillId="6" borderId="37" xfId="0" applyFill="1" applyBorder="1" applyAlignment="1">
      <alignment horizontal="center" vertical="top" wrapText="1"/>
    </xf>
    <xf numFmtId="0" fontId="0" fillId="6" borderId="38" xfId="0" applyFill="1" applyBorder="1" applyAlignment="1">
      <alignment horizontal="center" vertical="top" wrapText="1"/>
    </xf>
    <xf numFmtId="20" fontId="0" fillId="0" borderId="37" xfId="0" applyNumberFormat="1" applyBorder="1" applyAlignment="1">
      <alignment horizontal="center" vertical="top" wrapText="1"/>
    </xf>
    <xf numFmtId="0" fontId="0" fillId="0" borderId="38" xfId="0" applyBorder="1" applyAlignment="1">
      <alignment horizontal="center" vertical="top" wrapText="1"/>
    </xf>
    <xf numFmtId="0" fontId="0" fillId="0" borderId="37" xfId="0" applyBorder="1" applyAlignment="1">
      <alignment horizontal="center" vertical="top" wrapText="1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17" fillId="9" borderId="37" xfId="0" applyFont="1" applyFill="1" applyBorder="1" applyAlignment="1">
      <alignment horizontal="center" vertical="center" wrapText="1"/>
    </xf>
    <xf numFmtId="0" fontId="17" fillId="9" borderId="38" xfId="0" applyFont="1" applyFill="1" applyBorder="1" applyAlignment="1">
      <alignment horizontal="center" vertical="center" wrapText="1"/>
    </xf>
    <xf numFmtId="0" fontId="0" fillId="7" borderId="37" xfId="0" applyFill="1" applyBorder="1" applyAlignment="1">
      <alignment horizontal="center" vertical="center"/>
    </xf>
    <xf numFmtId="0" fontId="0" fillId="7" borderId="38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7" borderId="37" xfId="0" applyFill="1" applyBorder="1" applyAlignment="1">
      <alignment horizontal="center" vertical="center" wrapText="1"/>
    </xf>
    <xf numFmtId="0" fontId="0" fillId="7" borderId="38" xfId="0" applyFill="1" applyBorder="1" applyAlignment="1">
      <alignment horizontal="center" vertical="center" wrapText="1"/>
    </xf>
    <xf numFmtId="20" fontId="0" fillId="7" borderId="37" xfId="0" applyNumberFormat="1" applyFill="1" applyBorder="1" applyAlignment="1">
      <alignment horizontal="center" vertical="center" wrapText="1"/>
    </xf>
    <xf numFmtId="20" fontId="0" fillId="0" borderId="37" xfId="0" applyNumberFormat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left" vertical="top" indent="1"/>
    </xf>
    <xf numFmtId="0" fontId="12" fillId="5" borderId="9" xfId="0" applyFont="1" applyFill="1" applyBorder="1" applyAlignment="1">
      <alignment horizontal="left" vertical="top" indent="1"/>
    </xf>
    <xf numFmtId="164" fontId="12" fillId="5" borderId="8" xfId="0" applyNumberFormat="1" applyFont="1" applyFill="1" applyBorder="1" applyAlignment="1">
      <alignment horizontal="left" vertical="top" indent="1"/>
    </xf>
    <xf numFmtId="164" fontId="12" fillId="5" borderId="11" xfId="0" applyNumberFormat="1" applyFont="1" applyFill="1" applyBorder="1" applyAlignment="1">
      <alignment horizontal="left" vertical="top" indent="1"/>
    </xf>
    <xf numFmtId="0" fontId="12" fillId="5" borderId="14" xfId="0" applyFont="1" applyFill="1" applyBorder="1" applyAlignment="1">
      <alignment horizontal="left" vertical="top" indent="1"/>
    </xf>
    <xf numFmtId="0" fontId="12" fillId="5" borderId="15" xfId="0" applyFont="1" applyFill="1" applyBorder="1" applyAlignment="1">
      <alignment horizontal="left" vertical="top" indent="1"/>
    </xf>
    <xf numFmtId="0" fontId="12" fillId="5" borderId="19" xfId="0" applyFont="1" applyFill="1" applyBorder="1" applyAlignment="1">
      <alignment horizontal="left" vertical="top" indent="1"/>
    </xf>
    <xf numFmtId="49" fontId="11" fillId="5" borderId="6" xfId="0" applyNumberFormat="1" applyFont="1" applyFill="1" applyBorder="1" applyAlignment="1">
      <alignment horizontal="left" indent="1"/>
    </xf>
    <xf numFmtId="49" fontId="11" fillId="5" borderId="2" xfId="0" applyNumberFormat="1" applyFont="1" applyFill="1" applyBorder="1" applyAlignment="1">
      <alignment horizontal="left" indent="1"/>
    </xf>
    <xf numFmtId="49" fontId="11" fillId="5" borderId="6" xfId="0" applyNumberFormat="1" applyFont="1" applyFill="1" applyBorder="1" applyAlignment="1">
      <alignment horizontal="left" vertical="center" indent="1"/>
    </xf>
    <xf numFmtId="49" fontId="11" fillId="5" borderId="12" xfId="0" applyNumberFormat="1" applyFont="1" applyFill="1" applyBorder="1" applyAlignment="1">
      <alignment horizontal="left" vertical="center" indent="1"/>
    </xf>
    <xf numFmtId="164" fontId="12" fillId="5" borderId="14" xfId="0" applyNumberFormat="1" applyFont="1" applyFill="1" applyBorder="1" applyAlignment="1">
      <alignment horizontal="left" vertical="top" indent="1"/>
    </xf>
    <xf numFmtId="164" fontId="12" fillId="5" borderId="19" xfId="0" applyNumberFormat="1" applyFont="1" applyFill="1" applyBorder="1" applyAlignment="1">
      <alignment horizontal="left" vertical="top" indent="1"/>
    </xf>
    <xf numFmtId="49" fontId="11" fillId="5" borderId="12" xfId="0" applyNumberFormat="1" applyFont="1" applyFill="1" applyBorder="1" applyAlignment="1">
      <alignment horizontal="left" indent="1"/>
    </xf>
    <xf numFmtId="49" fontId="13" fillId="5" borderId="6" xfId="0" applyNumberFormat="1" applyFont="1" applyFill="1" applyBorder="1" applyAlignment="1">
      <alignment horizontal="left" indent="1"/>
    </xf>
    <xf numFmtId="49" fontId="13" fillId="5" borderId="12" xfId="0" applyNumberFormat="1" applyFont="1" applyFill="1" applyBorder="1" applyAlignment="1">
      <alignment horizontal="left" indent="1"/>
    </xf>
    <xf numFmtId="0" fontId="13" fillId="5" borderId="14" xfId="0" applyFont="1" applyFill="1" applyBorder="1" applyAlignment="1">
      <alignment horizontal="left" vertical="top" indent="1"/>
    </xf>
    <xf numFmtId="0" fontId="13" fillId="5" borderId="19" xfId="0" applyFont="1" applyFill="1" applyBorder="1" applyAlignment="1">
      <alignment horizontal="left" vertical="top" indent="1"/>
    </xf>
    <xf numFmtId="49" fontId="11" fillId="5" borderId="17" xfId="0" applyNumberFormat="1" applyFont="1" applyFill="1" applyBorder="1" applyAlignment="1">
      <alignment horizontal="left" indent="1"/>
    </xf>
    <xf numFmtId="49" fontId="11" fillId="5" borderId="18" xfId="0" applyNumberFormat="1" applyFont="1" applyFill="1" applyBorder="1" applyAlignment="1">
      <alignment horizontal="left" indent="1"/>
    </xf>
    <xf numFmtId="49" fontId="11" fillId="5" borderId="20" xfId="0" applyNumberFormat="1" applyFont="1" applyFill="1" applyBorder="1" applyAlignment="1">
      <alignment horizontal="left" indent="1"/>
    </xf>
    <xf numFmtId="0" fontId="9" fillId="0" borderId="3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0" fillId="4" borderId="6" xfId="0" applyFont="1" applyFill="1" applyBorder="1" applyAlignment="1">
      <alignment horizontal="left" indent="1"/>
    </xf>
    <xf numFmtId="0" fontId="10" fillId="4" borderId="2" xfId="0" applyFont="1" applyFill="1" applyBorder="1" applyAlignment="1">
      <alignment horizontal="left" indent="1"/>
    </xf>
    <xf numFmtId="0" fontId="10" fillId="4" borderId="12" xfId="0" applyFont="1" applyFill="1" applyBorder="1" applyAlignment="1">
      <alignment horizontal="left" indent="1"/>
    </xf>
  </cellXfs>
  <cellStyles count="5">
    <cellStyle name="40% - Accent1 2" xfId="3"/>
    <cellStyle name="Accent1 2" xfId="2"/>
    <cellStyle name="Heading 1 2" xfId="4"/>
    <cellStyle name="Normal" xfId="0" builtinId="0" customBuiltin="1"/>
    <cellStyle name="Normal 2" xfId="1"/>
  </cellStyles>
  <dxfs count="49"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top style="double">
          <color theme="6" tint="-0.24994659260841701"/>
        </top>
      </border>
    </dxf>
    <dxf>
      <font>
        <color theme="0"/>
      </font>
      <fill>
        <patternFill patternType="solid">
          <fgColor theme="4"/>
          <bgColor theme="7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  <vertical/>
        <horizontal style="dashDotDot">
          <color theme="9" tint="0.59996337778862885"/>
        </horizontal>
      </border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b/>
        <color theme="9" tint="-0.249977111117893"/>
      </font>
      <border>
        <bottom style="thin">
          <color theme="9"/>
        </bottom>
      </border>
    </dxf>
    <dxf>
      <font>
        <color theme="9" tint="-0.249977111117893"/>
      </font>
      <fill>
        <patternFill>
          <bgColor theme="0"/>
        </patternFill>
      </fill>
      <border>
        <top style="thin">
          <color theme="9"/>
        </top>
        <bottom style="thin">
          <color theme="9"/>
        </bottom>
      </border>
    </dxf>
  </dxfs>
  <tableStyles count="2" defaultTableStyle="TableStyleMedium2" defaultPivotStyle="PivotStyleLight16">
    <tableStyle name="TableStyleLight7 2" pivot="0" count="7">
      <tableStyleElement type="wholeTable" dxfId="48"/>
      <tableStyleElement type="headerRow" dxfId="47"/>
      <tableStyleElement type="totalRow" dxfId="46"/>
      <tableStyleElement type="firstColumn" dxfId="45"/>
      <tableStyleElement type="lastColumn" dxfId="44"/>
      <tableStyleElement type="firstRowStripe" dxfId="43"/>
      <tableStyleElement type="firstColumnStripe" dxfId="42"/>
    </tableStyle>
    <tableStyle name="TableStyleLight9 2" pivot="0" count="4">
      <tableStyleElement type="wholeTable" dxfId="41"/>
      <tableStyleElement type="headerRow" dxfId="40"/>
      <tableStyleElement type="totalRow" dxfId="39"/>
      <tableStyleElement type="firstColumn" dxfId="38"/>
    </tableStyle>
  </tableStyles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6" fmlaLink="$Q$6" max="2999" min="1900" page="10" val="202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38100</xdr:colOff>
      <xdr:row>5</xdr:row>
      <xdr:rowOff>28575</xdr:rowOff>
    </xdr:from>
    <xdr:to>
      <xdr:col>21</xdr:col>
      <xdr:colOff>552450</xdr:colOff>
      <xdr:row>6</xdr:row>
      <xdr:rowOff>238124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639300" y="171450"/>
          <a:ext cx="2286000" cy="419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 b="1">
              <a:solidFill>
                <a:sysClr val="windowText" lastClr="000000"/>
              </a:solidFill>
            </a:rPr>
            <a:t>Haga clic en el control de número para cambiar</a:t>
          </a:r>
          <a:r>
            <a:rPr lang="en-US" sz="1000" b="1" baseline="0">
              <a:solidFill>
                <a:sysClr val="windowText" lastClr="000000"/>
              </a:solidFill>
            </a:rPr>
            <a:t> el año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5</xdr:row>
          <xdr:rowOff>85725</xdr:rowOff>
        </xdr:from>
        <xdr:to>
          <xdr:col>18</xdr:col>
          <xdr:colOff>0</xdr:colOff>
          <xdr:row>6</xdr:row>
          <xdr:rowOff>161925</xdr:rowOff>
        </xdr:to>
        <xdr:sp macro="" textlink="">
          <xdr:nvSpPr>
            <xdr:cNvPr id="1025" name="Spinner 1" descr="Spinner control. Use spinner to change calendar year or type desired year in cell L2 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xdr:twoCellAnchor>
    <xdr:from>
      <xdr:col>4</xdr:col>
      <xdr:colOff>76200</xdr:colOff>
      <xdr:row>15</xdr:row>
      <xdr:rowOff>200025</xdr:rowOff>
    </xdr:from>
    <xdr:to>
      <xdr:col>12</xdr:col>
      <xdr:colOff>390525</xdr:colOff>
      <xdr:row>23</xdr:row>
      <xdr:rowOff>123825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71675" y="3286125"/>
          <a:ext cx="4295775" cy="1524000"/>
        </a:xfrm>
        <a:prstGeom prst="rect">
          <a:avLst/>
        </a:prstGeom>
        <a:solidFill>
          <a:schemeClr val="lt1"/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 fontAlgn="base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Actividades diarias de acuerdo al </a:t>
          </a:r>
          <a:r>
            <a:rPr lang="es-MX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Manual de Organización y Procedimientos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Escuela de conservación y Restauración de Occidente  (ref.: MOP pág. 21)</a:t>
          </a:r>
        </a:p>
        <a:p>
          <a:pPr algn="ctr" rtl="0" fontAlgn="base"/>
          <a:endParaRPr lang="es-MX">
            <a:effectLst/>
          </a:endParaRPr>
        </a:p>
        <a:p>
          <a:pPr algn="ctr" rtl="0" fontAlgn="base"/>
          <a:r>
            <a:rPr lang="es-MX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Nota: se señalan las actividades sobresalientes inherentes al cargo. *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 editAs="oneCell">
    <xdr:from>
      <xdr:col>0</xdr:col>
      <xdr:colOff>76200</xdr:colOff>
      <xdr:row>0</xdr:row>
      <xdr:rowOff>28575</xdr:rowOff>
    </xdr:from>
    <xdr:to>
      <xdr:col>5</xdr:col>
      <xdr:colOff>98587</xdr:colOff>
      <xdr:row>4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8575"/>
          <a:ext cx="2489362" cy="8763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13</xdr:row>
      <xdr:rowOff>0</xdr:rowOff>
    </xdr:from>
    <xdr:to>
      <xdr:col>12</xdr:col>
      <xdr:colOff>38100</xdr:colOff>
      <xdr:row>19</xdr:row>
      <xdr:rowOff>152400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314450" y="2876550"/>
          <a:ext cx="4467225" cy="1524000"/>
        </a:xfrm>
        <a:prstGeom prst="rect">
          <a:avLst/>
        </a:prstGeom>
        <a:solidFill>
          <a:schemeClr val="lt1"/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 fontAlgn="base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Actividades diarias de acuerdo </a:t>
          </a:r>
          <a:r>
            <a:rPr lang="es-MX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al Manual de Organización y Procedimientos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Escuela de conservación y Restauración de Occidente  (ref.: MOP pág. 21)</a:t>
          </a:r>
        </a:p>
        <a:p>
          <a:pPr algn="ctr" rtl="0" fontAlgn="base"/>
          <a:endParaRPr lang="es-MX">
            <a:effectLst/>
          </a:endParaRPr>
        </a:p>
        <a:p>
          <a:pPr algn="ctr" rtl="0" fontAlgn="base"/>
          <a:r>
            <a:rPr lang="es-MX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Nota: se señalan las actividades sobresalientes inherentes al cargo. *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327187</xdr:colOff>
      <xdr:row>4</xdr:row>
      <xdr:rowOff>104775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89362" cy="8763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1</xdr:rowOff>
    </xdr:from>
    <xdr:to>
      <xdr:col>13</xdr:col>
      <xdr:colOff>38100</xdr:colOff>
      <xdr:row>17</xdr:row>
      <xdr:rowOff>180976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1895475" y="3524251"/>
          <a:ext cx="4467225" cy="1219200"/>
        </a:xfrm>
        <a:prstGeom prst="rect">
          <a:avLst/>
        </a:prstGeom>
        <a:solidFill>
          <a:schemeClr val="lt1"/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 fontAlgn="base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Actividades diarias de acuerdo </a:t>
          </a:r>
          <a:r>
            <a:rPr lang="es-MX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al Manual de Organización y Procedimientos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Escuela de conservación y Restauración de Occidente  (ref.: MOP pág. 21)</a:t>
          </a:r>
        </a:p>
        <a:p>
          <a:pPr algn="ctr" rtl="0" fontAlgn="base"/>
          <a:endParaRPr lang="es-MX">
            <a:effectLst/>
          </a:endParaRPr>
        </a:p>
        <a:p>
          <a:pPr algn="ctr" rtl="0" fontAlgn="base"/>
          <a:r>
            <a:rPr lang="es-MX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Nota: se señalan las actividades sobresalientes inherentes al cargo. *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593887</xdr:colOff>
      <xdr:row>4</xdr:row>
      <xdr:rowOff>38100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89362" cy="8763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13</xdr:row>
      <xdr:rowOff>0</xdr:rowOff>
    </xdr:from>
    <xdr:to>
      <xdr:col>13</xdr:col>
      <xdr:colOff>38100</xdr:colOff>
      <xdr:row>19</xdr:row>
      <xdr:rowOff>152400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1895475" y="2876550"/>
          <a:ext cx="4467225" cy="1524000"/>
        </a:xfrm>
        <a:prstGeom prst="rect">
          <a:avLst/>
        </a:prstGeom>
        <a:solidFill>
          <a:schemeClr val="lt1"/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 fontAlgn="base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Actividades diarias de acuerdo </a:t>
          </a:r>
          <a:r>
            <a:rPr lang="es-MX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al Manual de Organización y Procedimientos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Escuela de conservación y Restauración de Occidente  (ref.: MOP pág. 21)</a:t>
          </a:r>
        </a:p>
        <a:p>
          <a:pPr algn="ctr" rtl="0" fontAlgn="base"/>
          <a:endParaRPr lang="es-MX">
            <a:effectLst/>
          </a:endParaRPr>
        </a:p>
        <a:p>
          <a:pPr algn="ctr" rtl="0" fontAlgn="base"/>
          <a:r>
            <a:rPr lang="es-MX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Nota: se señalan las actividades sobresalientes inherentes al cargo. *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593887</xdr:colOff>
      <xdr:row>4</xdr:row>
      <xdr:rowOff>104775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89362" cy="876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152399</xdr:colOff>
      <xdr:row>16</xdr:row>
      <xdr:rowOff>0</xdr:rowOff>
    </xdr:from>
    <xdr:to>
      <xdr:col>13</xdr:col>
      <xdr:colOff>38099</xdr:colOff>
      <xdr:row>21</xdr:row>
      <xdr:rowOff>95250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628774" y="3524250"/>
          <a:ext cx="4467225" cy="1238250"/>
        </a:xfrm>
        <a:prstGeom prst="rect">
          <a:avLst/>
        </a:prstGeom>
        <a:solidFill>
          <a:schemeClr val="lt1"/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 fontAlgn="base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Actividades diarias de acuerdo al </a:t>
          </a:r>
          <a:r>
            <a:rPr lang="es-MX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Manual de Organización y Procedimientos</a:t>
          </a:r>
          <a:r>
            <a:rPr lang="es-MX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s-MX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MOP)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Escuela de conservación y Restauración de Occidente  (ref.: MOP pág. 21)</a:t>
          </a:r>
        </a:p>
        <a:p>
          <a:pPr algn="ctr" rtl="0" fontAlgn="base"/>
          <a:endParaRPr lang="es-MX">
            <a:effectLst/>
          </a:endParaRPr>
        </a:p>
        <a:p>
          <a:pPr algn="ctr" rtl="0" fontAlgn="base"/>
          <a:r>
            <a:rPr lang="es-MX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Nota: se señalan las actividades sobresalientes inherentes al cargo. *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 editAs="oneCell">
    <xdr:from>
      <xdr:col>0</xdr:col>
      <xdr:colOff>142875</xdr:colOff>
      <xdr:row>0</xdr:row>
      <xdr:rowOff>28575</xdr:rowOff>
    </xdr:from>
    <xdr:to>
      <xdr:col>5</xdr:col>
      <xdr:colOff>155737</xdr:colOff>
      <xdr:row>4</xdr:row>
      <xdr:rowOff>66675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28575"/>
          <a:ext cx="2489362" cy="876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0</xdr:rowOff>
    </xdr:from>
    <xdr:to>
      <xdr:col>13</xdr:col>
      <xdr:colOff>38100</xdr:colOff>
      <xdr:row>29</xdr:row>
      <xdr:rowOff>152400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895475" y="3524250"/>
          <a:ext cx="4467225" cy="1524000"/>
        </a:xfrm>
        <a:prstGeom prst="rect">
          <a:avLst/>
        </a:prstGeom>
        <a:solidFill>
          <a:schemeClr val="lt1"/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 fontAlgn="base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Actividades diarias de acuerdo al </a:t>
          </a:r>
          <a:r>
            <a:rPr lang="es-MX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Manual de Organización y Procedimientos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Escuela de conservación y Restauración de Occidente  (ref.: MOP pág. 21)</a:t>
          </a:r>
        </a:p>
        <a:p>
          <a:pPr algn="ctr" rtl="0" fontAlgn="base"/>
          <a:endParaRPr lang="es-MX">
            <a:effectLst/>
          </a:endParaRPr>
        </a:p>
        <a:p>
          <a:pPr algn="ctr" rtl="0" fontAlgn="base"/>
          <a:r>
            <a:rPr lang="es-MX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Nota: se señalan las actividades sobresalientes inherentes al cargo. *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593887</xdr:colOff>
      <xdr:row>4</xdr:row>
      <xdr:rowOff>38100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89362" cy="876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17</xdr:row>
      <xdr:rowOff>85725</xdr:rowOff>
    </xdr:from>
    <xdr:to>
      <xdr:col>13</xdr:col>
      <xdr:colOff>28575</xdr:colOff>
      <xdr:row>26</xdr:row>
      <xdr:rowOff>9525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885950" y="3590925"/>
          <a:ext cx="4467225" cy="1524000"/>
        </a:xfrm>
        <a:prstGeom prst="rect">
          <a:avLst/>
        </a:prstGeom>
        <a:solidFill>
          <a:schemeClr val="lt1"/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 fontAlgn="base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Actividades diarias de acuerdo al </a:t>
          </a:r>
          <a:r>
            <a:rPr lang="es-MX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Manual de Organización y Procedimientos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Escuela de conservación y Restauración de Occidente  (ref.: MOP pág. 21)</a:t>
          </a:r>
        </a:p>
        <a:p>
          <a:pPr algn="ctr" rtl="0" fontAlgn="base"/>
          <a:endParaRPr lang="es-MX">
            <a:effectLst/>
          </a:endParaRPr>
        </a:p>
        <a:p>
          <a:pPr algn="ctr" rtl="0" fontAlgn="base"/>
          <a:r>
            <a:rPr lang="es-MX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Nota: se señalan las actividades sobresalientes inherentes al cargo. *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 editAs="oneCell">
    <xdr:from>
      <xdr:col>0</xdr:col>
      <xdr:colOff>142875</xdr:colOff>
      <xdr:row>0</xdr:row>
      <xdr:rowOff>104775</xdr:rowOff>
    </xdr:from>
    <xdr:to>
      <xdr:col>4</xdr:col>
      <xdr:colOff>736762</xdr:colOff>
      <xdr:row>4</xdr:row>
      <xdr:rowOff>142875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04775"/>
          <a:ext cx="2489362" cy="876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13</xdr:col>
      <xdr:colOff>38100</xdr:colOff>
      <xdr:row>22</xdr:row>
      <xdr:rowOff>152400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895475" y="3105150"/>
          <a:ext cx="4467225" cy="1524000"/>
        </a:xfrm>
        <a:prstGeom prst="rect">
          <a:avLst/>
        </a:prstGeom>
        <a:solidFill>
          <a:schemeClr val="lt1"/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 fontAlgn="base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Actividades diarias de acuerdo </a:t>
          </a:r>
          <a:r>
            <a:rPr lang="es-MX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al Manual de Organización y Procedimientos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Escuela de conservación y Restauración de Occidente  (ref.: MOP pág. 21)</a:t>
          </a:r>
        </a:p>
        <a:p>
          <a:pPr algn="ctr" rtl="0" fontAlgn="base"/>
          <a:endParaRPr lang="es-MX">
            <a:effectLst/>
          </a:endParaRPr>
        </a:p>
        <a:p>
          <a:pPr algn="ctr" rtl="0" fontAlgn="base"/>
          <a:r>
            <a:rPr lang="es-MX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Nota: se señalan las actividades sobresalientes inherentes al cargo. *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 editAs="oneCell">
    <xdr:from>
      <xdr:col>0</xdr:col>
      <xdr:colOff>180975</xdr:colOff>
      <xdr:row>0</xdr:row>
      <xdr:rowOff>47625</xdr:rowOff>
    </xdr:from>
    <xdr:to>
      <xdr:col>4</xdr:col>
      <xdr:colOff>774862</xdr:colOff>
      <xdr:row>4</xdr:row>
      <xdr:rowOff>85725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47625"/>
          <a:ext cx="2489362" cy="8763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13</xdr:col>
      <xdr:colOff>38100</xdr:colOff>
      <xdr:row>20</xdr:row>
      <xdr:rowOff>152400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895475" y="2876550"/>
          <a:ext cx="4467225" cy="1524000"/>
        </a:xfrm>
        <a:prstGeom prst="rect">
          <a:avLst/>
        </a:prstGeom>
        <a:solidFill>
          <a:schemeClr val="lt1"/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 fontAlgn="base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Actividades diarias de acuerdo </a:t>
          </a:r>
          <a:r>
            <a:rPr lang="es-MX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al Manual de Organización y Procedimientos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Escuela de conservación y Restauración de Occidente  (ref.: MOP pág. 21)</a:t>
          </a:r>
        </a:p>
        <a:p>
          <a:pPr algn="ctr" rtl="0" fontAlgn="base"/>
          <a:endParaRPr lang="es-MX">
            <a:effectLst/>
          </a:endParaRPr>
        </a:p>
        <a:p>
          <a:pPr algn="ctr" rtl="0" fontAlgn="base"/>
          <a:r>
            <a:rPr lang="es-MX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Nota: se señalan las actividades sobresalientes inherentes al cargo. *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 editAs="oneCell">
    <xdr:from>
      <xdr:col>1</xdr:col>
      <xdr:colOff>85725</xdr:colOff>
      <xdr:row>0</xdr:row>
      <xdr:rowOff>123825</xdr:rowOff>
    </xdr:from>
    <xdr:to>
      <xdr:col>5</xdr:col>
      <xdr:colOff>412912</xdr:colOff>
      <xdr:row>5</xdr:row>
      <xdr:rowOff>19050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123825"/>
          <a:ext cx="2489362" cy="8763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0</xdr:rowOff>
    </xdr:from>
    <xdr:to>
      <xdr:col>12</xdr:col>
      <xdr:colOff>38100</xdr:colOff>
      <xdr:row>20</xdr:row>
      <xdr:rowOff>152400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314450" y="3086100"/>
          <a:ext cx="4467225" cy="1524000"/>
        </a:xfrm>
        <a:prstGeom prst="rect">
          <a:avLst/>
        </a:prstGeom>
        <a:solidFill>
          <a:schemeClr val="lt1"/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 fontAlgn="base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Actividades diarias de acuerdo </a:t>
          </a:r>
          <a:r>
            <a:rPr lang="es-MX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al Manual de Organización y Procedimientos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Escuela de conservación y Restauración de Occidente  (ref.: MOP pág. 21)</a:t>
          </a:r>
        </a:p>
        <a:p>
          <a:pPr algn="ctr" rtl="0" fontAlgn="base"/>
          <a:endParaRPr lang="es-MX">
            <a:effectLst/>
          </a:endParaRPr>
        </a:p>
        <a:p>
          <a:pPr algn="ctr" rtl="0" fontAlgn="base"/>
          <a:r>
            <a:rPr lang="es-MX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Nota: se señalan las actividades sobresalientes inherentes al cargo. *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327187</xdr:colOff>
      <xdr:row>4</xdr:row>
      <xdr:rowOff>38100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89362" cy="8763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0</xdr:rowOff>
    </xdr:from>
    <xdr:to>
      <xdr:col>12</xdr:col>
      <xdr:colOff>38100</xdr:colOff>
      <xdr:row>20</xdr:row>
      <xdr:rowOff>152400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314450" y="3086100"/>
          <a:ext cx="4467225" cy="1524000"/>
        </a:xfrm>
        <a:prstGeom prst="rect">
          <a:avLst/>
        </a:prstGeom>
        <a:solidFill>
          <a:schemeClr val="lt1"/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 fontAlgn="base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Actividades diarias de acuerdo </a:t>
          </a:r>
          <a:r>
            <a:rPr lang="es-MX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al Manual de Organización y Procedimientos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Escuela de conservación y Restauración de Occidente  (ref.: MOP pág. 21)</a:t>
          </a:r>
        </a:p>
        <a:p>
          <a:pPr algn="ctr" rtl="0" fontAlgn="base"/>
          <a:endParaRPr lang="es-MX">
            <a:effectLst/>
          </a:endParaRPr>
        </a:p>
        <a:p>
          <a:pPr algn="ctr" rtl="0" fontAlgn="base"/>
          <a:r>
            <a:rPr lang="es-MX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Nota: se señalan las actividades sobresalientes inherentes al cargo. *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327187</xdr:colOff>
      <xdr:row>4</xdr:row>
      <xdr:rowOff>38100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89362" cy="8763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13</xdr:row>
      <xdr:rowOff>0</xdr:rowOff>
    </xdr:from>
    <xdr:to>
      <xdr:col>12</xdr:col>
      <xdr:colOff>38100</xdr:colOff>
      <xdr:row>19</xdr:row>
      <xdr:rowOff>152400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1314450" y="2876550"/>
          <a:ext cx="4467225" cy="1524000"/>
        </a:xfrm>
        <a:prstGeom prst="rect">
          <a:avLst/>
        </a:prstGeom>
        <a:solidFill>
          <a:schemeClr val="lt1"/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 fontAlgn="base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Actividades diarias de acuerdo </a:t>
          </a:r>
          <a:r>
            <a:rPr lang="es-MX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al Manual de Organización y Procedimientos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Escuela de conservación y Restauración de Occidente  (ref.: MOP pág. 21)</a:t>
          </a:r>
        </a:p>
        <a:p>
          <a:pPr algn="ctr" rtl="0" fontAlgn="base"/>
          <a:endParaRPr lang="es-MX">
            <a:effectLst/>
          </a:endParaRPr>
        </a:p>
        <a:p>
          <a:pPr algn="ctr" rtl="0" fontAlgn="base"/>
          <a:r>
            <a:rPr lang="es-MX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Nota: se señalan las actividades sobresalientes inherentes al cargo. *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327187</xdr:colOff>
      <xdr:row>4</xdr:row>
      <xdr:rowOff>104775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89362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10_college_cal">
  <a:themeElements>
    <a:clrScheme name="Assignment Calenda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9B5D4"/>
      </a:accent1>
      <a:accent2>
        <a:srgbClr val="FFCCCC"/>
      </a:accent2>
      <a:accent3>
        <a:srgbClr val="4DBB68"/>
      </a:accent3>
      <a:accent4>
        <a:srgbClr val="FFFB59"/>
      </a:accent4>
      <a:accent5>
        <a:srgbClr val="FF9900"/>
      </a:accent5>
      <a:accent6>
        <a:srgbClr val="AC75D5"/>
      </a:accent6>
      <a:hlink>
        <a:srgbClr val="57B5D4"/>
      </a:hlink>
      <a:folHlink>
        <a:srgbClr val="BA4F8B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0.499984740745262"/>
    <pageSetUpPr fitToPage="1"/>
  </sheetPr>
  <dimension ref="D2:Q42"/>
  <sheetViews>
    <sheetView showGridLines="0" topLeftCell="B10" zoomScaleNormal="100" zoomScalePageLayoutView="84" workbookViewId="0">
      <selection activeCell="O27" sqref="O27"/>
    </sheetView>
  </sheetViews>
  <sheetFormatPr baseColWidth="10" defaultColWidth="8.7109375" defaultRowHeight="16.5" customHeight="1" x14ac:dyDescent="0.2"/>
  <cols>
    <col min="1" max="1" width="4.5703125" style="19" customWidth="1"/>
    <col min="2" max="3" width="8.7109375" style="19"/>
    <col min="4" max="4" width="2.28515625" style="19" customWidth="1"/>
    <col min="5" max="5" width="12.7109375" style="19" customWidth="1"/>
    <col min="6" max="13" width="6.7109375" style="19" customWidth="1"/>
    <col min="14" max="14" width="7.28515625" style="19" customWidth="1"/>
    <col min="15" max="15" width="50.7109375" style="19" customWidth="1"/>
    <col min="16" max="16" width="16.5703125" style="19" customWidth="1"/>
    <col min="17" max="17" width="23.85546875" style="19" customWidth="1"/>
    <col min="18" max="18" width="2.28515625" style="19" customWidth="1"/>
    <col min="19" max="25" width="8.85546875" style="19" customWidth="1"/>
    <col min="26" max="16384" width="8.7109375" style="19"/>
  </cols>
  <sheetData>
    <row r="2" spans="4:17" ht="16.5" customHeight="1" x14ac:dyDescent="0.2">
      <c r="N2" s="28" t="s">
        <v>39</v>
      </c>
    </row>
    <row r="3" spans="4:17" ht="16.5" customHeight="1" x14ac:dyDescent="0.2">
      <c r="N3" s="28" t="s">
        <v>50</v>
      </c>
    </row>
    <row r="5" spans="4:17" ht="11.25" customHeight="1" x14ac:dyDescent="0.2"/>
    <row r="6" spans="4:17" ht="18" customHeight="1" x14ac:dyDescent="0.2">
      <c r="D6" s="23"/>
      <c r="E6" s="97" t="s">
        <v>7</v>
      </c>
      <c r="F6" s="16"/>
      <c r="G6" s="16"/>
      <c r="H6" s="16"/>
      <c r="I6" s="16"/>
      <c r="J6" s="16"/>
      <c r="K6" s="16"/>
      <c r="L6" s="16"/>
      <c r="M6" s="17"/>
      <c r="N6" s="109" t="s">
        <v>40</v>
      </c>
      <c r="O6" s="110">
        <v>2013</v>
      </c>
      <c r="P6" s="110"/>
      <c r="Q6" s="113">
        <v>2020</v>
      </c>
    </row>
    <row r="7" spans="4:17" ht="21" customHeight="1" x14ac:dyDescent="0.2">
      <c r="D7" s="23"/>
      <c r="E7" s="98"/>
      <c r="F7" s="20" t="s">
        <v>8</v>
      </c>
      <c r="G7" s="20" t="s">
        <v>1</v>
      </c>
      <c r="H7" s="20" t="s">
        <v>9</v>
      </c>
      <c r="I7" s="20" t="s">
        <v>10</v>
      </c>
      <c r="J7" s="20" t="s">
        <v>11</v>
      </c>
      <c r="K7" s="20" t="s">
        <v>0</v>
      </c>
      <c r="L7" s="20" t="s">
        <v>12</v>
      </c>
      <c r="M7" s="21"/>
      <c r="N7" s="111"/>
      <c r="O7" s="112"/>
      <c r="P7" s="112"/>
      <c r="Q7" s="114"/>
    </row>
    <row r="8" spans="4:17" ht="18" customHeight="1" x14ac:dyDescent="0.2">
      <c r="D8" s="23"/>
      <c r="E8" s="98"/>
      <c r="F8" s="22">
        <f>IF(DAY(JanSun1)=1,JanSun1-6,JanSun1+1)</f>
        <v>43829</v>
      </c>
      <c r="G8" s="22">
        <f>IF(DAY(JanSun1)=1,JanSun1-5,JanSun1+2)</f>
        <v>43830</v>
      </c>
      <c r="H8" s="22">
        <f>IF(DAY(JanSun1)=1,JanSun1-4,JanSun1+3)</f>
        <v>43831</v>
      </c>
      <c r="I8" s="22">
        <f>IF(DAY(JanSun1)=1,JanSun1-3,JanSun1+4)</f>
        <v>43832</v>
      </c>
      <c r="J8" s="22">
        <f>IF(DAY(JanSun1)=1,JanSun1-2,JanSun1+5)</f>
        <v>43833</v>
      </c>
      <c r="K8" s="22">
        <f>IF(DAY(JanSun1)=1,JanSun1-1,JanSun1+6)</f>
        <v>43834</v>
      </c>
      <c r="L8" s="22">
        <f>IF(DAY(JanSun1)=1,JanSun1,JanSun1+7)</f>
        <v>43835</v>
      </c>
      <c r="M8" s="29"/>
      <c r="N8" s="82" t="s">
        <v>35</v>
      </c>
      <c r="O8" s="82" t="s">
        <v>36</v>
      </c>
      <c r="P8" s="82" t="s">
        <v>37</v>
      </c>
      <c r="Q8" s="82" t="s">
        <v>38</v>
      </c>
    </row>
    <row r="9" spans="4:17" ht="18" customHeight="1" x14ac:dyDescent="0.2">
      <c r="D9" s="23"/>
      <c r="E9" s="98"/>
      <c r="F9" s="22">
        <f>IF(DAY(JanSun1)=1,JanSun1+1,JanSun1+8)</f>
        <v>43836</v>
      </c>
      <c r="G9" s="56">
        <f>IF(DAY(JanSun1)=1,JanSun1+2,JanSun1+9)</f>
        <v>43837</v>
      </c>
      <c r="H9" s="22">
        <f>IF(DAY(JanSun1)=1,JanSun1+3,JanSun1+10)</f>
        <v>43838</v>
      </c>
      <c r="I9" s="22">
        <f>IF(DAY(JanSun1)=1,JanSun1+4,JanSun1+11)</f>
        <v>43839</v>
      </c>
      <c r="J9" s="22">
        <f>IF(DAY(JanSun1)=1,JanSun1+5,JanSun1+12)</f>
        <v>43840</v>
      </c>
      <c r="K9" s="22">
        <f>IF(DAY(JanSun1)=1,JanSun1+6,JanSun1+13)</f>
        <v>43841</v>
      </c>
      <c r="L9" s="22">
        <f>IF(DAY(JanSun1)=1,JanSun1+7,JanSun1+14)</f>
        <v>43842</v>
      </c>
      <c r="M9" s="29"/>
      <c r="N9" s="82"/>
      <c r="O9" s="82"/>
      <c r="P9" s="82"/>
      <c r="Q9" s="82"/>
    </row>
    <row r="10" spans="4:17" ht="18" customHeight="1" x14ac:dyDescent="0.2">
      <c r="D10" s="23"/>
      <c r="E10" s="98"/>
      <c r="F10" s="22"/>
      <c r="G10" s="56"/>
      <c r="H10" s="22"/>
      <c r="I10" s="22"/>
      <c r="J10" s="22"/>
      <c r="K10" s="22"/>
      <c r="L10" s="22"/>
      <c r="M10" s="29"/>
      <c r="N10" s="63">
        <v>8</v>
      </c>
      <c r="O10" s="63" t="s">
        <v>53</v>
      </c>
      <c r="P10" s="63" t="s">
        <v>51</v>
      </c>
      <c r="Q10" s="63" t="s">
        <v>52</v>
      </c>
    </row>
    <row r="11" spans="4:17" ht="28.5" customHeight="1" x14ac:dyDescent="0.2">
      <c r="D11" s="23"/>
      <c r="E11" s="98"/>
      <c r="F11" s="22">
        <f>IF(DAY(JanSun1)=1,JanSun1+8,JanSun1+15)</f>
        <v>43843</v>
      </c>
      <c r="G11" s="22">
        <f>IF(DAY(JanSun1)=1,JanSun1+9,JanSun1+16)</f>
        <v>43844</v>
      </c>
      <c r="H11" s="56">
        <f>IF(DAY(JanSun1)=1,JanSun1+10,JanSun1+17)</f>
        <v>43845</v>
      </c>
      <c r="I11" s="22">
        <f>IF(DAY(JanSun1)=1,JanSun1+11,JanSun1+18)</f>
        <v>43846</v>
      </c>
      <c r="J11" s="22">
        <f>IF(DAY(JanSun1)=1,JanSun1+12,JanSun1+19)</f>
        <v>43847</v>
      </c>
      <c r="K11" s="22">
        <f>IF(DAY(JanSun1)=1,JanSun1+13,JanSun1+20)</f>
        <v>43848</v>
      </c>
      <c r="L11" s="22">
        <f>IF(DAY(JanSun1)=1,JanSun1+14,JanSun1+21)</f>
        <v>43849</v>
      </c>
      <c r="M11" s="29"/>
      <c r="N11" s="44">
        <v>10</v>
      </c>
      <c r="O11" s="44" t="s">
        <v>42</v>
      </c>
      <c r="P11" s="44" t="s">
        <v>54</v>
      </c>
      <c r="Q11" s="44" t="s">
        <v>41</v>
      </c>
    </row>
    <row r="12" spans="4:17" ht="18" customHeight="1" x14ac:dyDescent="0.2">
      <c r="D12" s="23"/>
      <c r="E12" s="98"/>
      <c r="F12" s="22">
        <f>IF(DAY(JanSun1)=1,JanSun1+15,JanSun1+22)</f>
        <v>43850</v>
      </c>
      <c r="G12" s="22">
        <f>IF(DAY(JanSun1)=1,JanSun1+16,JanSun1+23)</f>
        <v>43851</v>
      </c>
      <c r="H12" s="22">
        <f>IF(DAY(JanSun1)=1,JanSun1+17,JanSun1+24)</f>
        <v>43852</v>
      </c>
      <c r="I12" s="22">
        <f>IF(DAY(JanSun1)=1,JanSun1+18,JanSun1+25)</f>
        <v>43853</v>
      </c>
      <c r="J12" s="22">
        <f>IF(DAY(JanSun1)=1,JanSun1+19,JanSun1+26)</f>
        <v>43854</v>
      </c>
      <c r="K12" s="22">
        <f>IF(DAY(JanSun1)=1,JanSun1+20,JanSun1+27)</f>
        <v>43855</v>
      </c>
      <c r="L12" s="22">
        <f>IF(DAY(JanSun1)=1,JanSun1+21,JanSun1+28)</f>
        <v>43856</v>
      </c>
      <c r="M12" s="29"/>
      <c r="N12" s="63">
        <v>14</v>
      </c>
      <c r="O12" s="63" t="s">
        <v>55</v>
      </c>
      <c r="P12" s="63" t="s">
        <v>54</v>
      </c>
      <c r="Q12" s="44" t="s">
        <v>41</v>
      </c>
    </row>
    <row r="13" spans="4:17" ht="24" customHeight="1" x14ac:dyDescent="0.2">
      <c r="D13" s="23"/>
      <c r="E13" s="98"/>
      <c r="F13" s="22">
        <f>IF(DAY(JanSun1)=1,JanSun1+22,JanSun1+29)</f>
        <v>43857</v>
      </c>
      <c r="G13" s="22">
        <f>IF(DAY(JanSun1)=1,JanSun1+23,JanSun1+30)</f>
        <v>43858</v>
      </c>
      <c r="H13" s="22">
        <f>IF(DAY(JanSun1)=1,JanSun1+24,JanSun1+31)</f>
        <v>43859</v>
      </c>
      <c r="I13" s="56">
        <f>IF(DAY(JanSun1)=1,JanSun1+25,JanSun1+32)</f>
        <v>43860</v>
      </c>
      <c r="J13" s="22">
        <f>IF(DAY(JanSun1)=1,JanSun1+26,JanSun1+33)</f>
        <v>43861</v>
      </c>
      <c r="K13" s="22">
        <f>IF(DAY(JanSun1)=1,JanSun1+27,JanSun1+34)</f>
        <v>43862</v>
      </c>
      <c r="L13" s="22">
        <f>IF(DAY(JanSun1)=1,JanSun1+28,JanSun1+35)</f>
        <v>43863</v>
      </c>
      <c r="M13" s="29"/>
      <c r="N13" s="44">
        <v>15</v>
      </c>
      <c r="O13" s="44" t="s">
        <v>56</v>
      </c>
      <c r="P13" s="44" t="s">
        <v>57</v>
      </c>
      <c r="Q13" s="44" t="s">
        <v>52</v>
      </c>
    </row>
    <row r="14" spans="4:17" ht="27" customHeight="1" x14ac:dyDescent="0.2">
      <c r="D14" s="23"/>
      <c r="E14" s="98"/>
      <c r="F14" s="22">
        <f>IF(DAY(JanSun1)=1,JanSun1+29,JanSun1+36)</f>
        <v>43864</v>
      </c>
      <c r="G14" s="22">
        <f>IF(DAY(JanSun1)=1,JanSun1+30,JanSun1+37)</f>
        <v>43865</v>
      </c>
      <c r="H14" s="22">
        <f>IF(DAY(JanSun1)=1,JanSun1+31,JanSun1+38)</f>
        <v>43866</v>
      </c>
      <c r="I14" s="22">
        <f>IF(DAY(JanSun1)=1,JanSun1+32,JanSun1+39)</f>
        <v>43867</v>
      </c>
      <c r="J14" s="22">
        <f>IF(DAY(JanSun1)=1,JanSun1+33,JanSun1+40)</f>
        <v>43868</v>
      </c>
      <c r="K14" s="22">
        <f>IF(DAY(JanSun1)=1,JanSun1+34,JanSun1+41)</f>
        <v>43869</v>
      </c>
      <c r="L14" s="22">
        <f>IF(DAY(JanSun1)=1,JanSun1+35,JanSun1+42)</f>
        <v>43870</v>
      </c>
      <c r="M14" s="29"/>
      <c r="N14" s="63">
        <v>15</v>
      </c>
      <c r="O14" s="63" t="s">
        <v>60</v>
      </c>
      <c r="P14" s="63" t="s">
        <v>58</v>
      </c>
      <c r="Q14" s="63" t="s">
        <v>59</v>
      </c>
    </row>
    <row r="15" spans="4:17" ht="18" customHeight="1" x14ac:dyDescent="0.2">
      <c r="D15" s="23"/>
      <c r="E15" s="99"/>
      <c r="F15" s="13"/>
      <c r="G15" s="13"/>
      <c r="H15" s="13"/>
      <c r="I15" s="13"/>
      <c r="J15" s="13"/>
      <c r="K15" s="13"/>
      <c r="L15" s="13"/>
      <c r="M15" s="30"/>
      <c r="N15" s="44">
        <v>16</v>
      </c>
      <c r="O15" s="44" t="s">
        <v>43</v>
      </c>
      <c r="P15" s="46" t="s">
        <v>57</v>
      </c>
      <c r="Q15" s="44" t="s">
        <v>41</v>
      </c>
    </row>
    <row r="16" spans="4:17" ht="26.25" customHeight="1" x14ac:dyDescent="0.2">
      <c r="D16" s="23"/>
      <c r="E16" s="24"/>
      <c r="F16" s="115"/>
      <c r="G16" s="116"/>
      <c r="H16" s="115"/>
      <c r="I16" s="116"/>
      <c r="J16" s="93"/>
      <c r="K16" s="100"/>
      <c r="L16" s="93"/>
      <c r="M16" s="104"/>
      <c r="N16" s="63">
        <v>16</v>
      </c>
      <c r="O16" s="63" t="s">
        <v>62</v>
      </c>
      <c r="P16" s="63" t="s">
        <v>61</v>
      </c>
      <c r="Q16" s="63" t="s">
        <v>52</v>
      </c>
    </row>
    <row r="17" spans="4:17" ht="18" customHeight="1" x14ac:dyDescent="0.2">
      <c r="D17" s="23"/>
      <c r="E17" s="25"/>
      <c r="F17" s="85"/>
      <c r="G17" s="101"/>
      <c r="H17" s="85"/>
      <c r="I17" s="101"/>
      <c r="J17" s="85"/>
      <c r="K17" s="101"/>
      <c r="L17" s="91"/>
      <c r="M17" s="95"/>
      <c r="N17" s="44">
        <v>17</v>
      </c>
      <c r="O17" s="44" t="s">
        <v>44</v>
      </c>
      <c r="P17" s="44" t="s">
        <v>61</v>
      </c>
      <c r="Q17" s="44" t="s">
        <v>41</v>
      </c>
    </row>
    <row r="18" spans="4:17" ht="18" customHeight="1" x14ac:dyDescent="0.2">
      <c r="E18" s="24"/>
      <c r="F18" s="107"/>
      <c r="G18" s="108"/>
      <c r="H18" s="107"/>
      <c r="I18" s="108"/>
      <c r="J18" s="93"/>
      <c r="K18" s="100"/>
      <c r="L18" s="87"/>
      <c r="M18" s="96"/>
      <c r="N18" s="63">
        <v>20</v>
      </c>
      <c r="O18" s="63" t="s">
        <v>63</v>
      </c>
      <c r="P18" s="52" t="s">
        <v>54</v>
      </c>
      <c r="Q18" s="63" t="s">
        <v>64</v>
      </c>
    </row>
    <row r="19" spans="4:17" ht="30.75" customHeight="1" x14ac:dyDescent="0.2">
      <c r="E19" s="25"/>
      <c r="F19" s="85"/>
      <c r="G19" s="101"/>
      <c r="H19" s="85"/>
      <c r="I19" s="101"/>
      <c r="J19" s="85"/>
      <c r="K19" s="101"/>
      <c r="L19" s="91"/>
      <c r="M19" s="95"/>
      <c r="N19" s="44">
        <v>20</v>
      </c>
      <c r="O19" s="44" t="s">
        <v>65</v>
      </c>
      <c r="P19" s="46" t="s">
        <v>57</v>
      </c>
      <c r="Q19" s="44" t="s">
        <v>41</v>
      </c>
    </row>
    <row r="20" spans="4:17" ht="18" customHeight="1" x14ac:dyDescent="0.2">
      <c r="E20" s="26"/>
      <c r="F20" s="107"/>
      <c r="G20" s="108"/>
      <c r="H20" s="107"/>
      <c r="I20" s="108"/>
      <c r="J20" s="107"/>
      <c r="K20" s="108"/>
      <c r="L20" s="107"/>
      <c r="M20" s="117"/>
      <c r="N20" s="63">
        <v>21</v>
      </c>
      <c r="O20" s="63" t="s">
        <v>45</v>
      </c>
      <c r="P20" s="63" t="s">
        <v>46</v>
      </c>
      <c r="Q20" s="63" t="s">
        <v>41</v>
      </c>
    </row>
    <row r="21" spans="4:17" ht="18" customHeight="1" x14ac:dyDescent="0.2">
      <c r="E21" s="24"/>
      <c r="F21" s="53"/>
      <c r="G21" s="54"/>
      <c r="H21" s="53"/>
      <c r="I21" s="54"/>
      <c r="J21" s="53"/>
      <c r="K21" s="54"/>
      <c r="L21" s="53"/>
      <c r="M21" s="55"/>
      <c r="N21" s="44">
        <v>22</v>
      </c>
      <c r="O21" s="44" t="s">
        <v>49</v>
      </c>
      <c r="P21" s="46" t="s">
        <v>66</v>
      </c>
      <c r="Q21" s="44" t="s">
        <v>41</v>
      </c>
    </row>
    <row r="22" spans="4:17" ht="18" customHeight="1" x14ac:dyDescent="0.2">
      <c r="E22" s="25"/>
      <c r="F22" s="85"/>
      <c r="G22" s="101"/>
      <c r="H22" s="85"/>
      <c r="I22" s="101"/>
      <c r="J22" s="85"/>
      <c r="K22" s="101"/>
      <c r="L22" s="91"/>
      <c r="M22" s="95"/>
      <c r="N22" s="63">
        <v>22</v>
      </c>
      <c r="O22" s="63" t="s">
        <v>45</v>
      </c>
      <c r="P22" s="52" t="s">
        <v>47</v>
      </c>
      <c r="Q22" s="63" t="s">
        <v>41</v>
      </c>
    </row>
    <row r="23" spans="4:17" ht="18" customHeight="1" x14ac:dyDescent="0.2">
      <c r="E23" s="24"/>
      <c r="F23" s="107"/>
      <c r="G23" s="108"/>
      <c r="H23" s="107"/>
      <c r="I23" s="108"/>
      <c r="J23" s="93"/>
      <c r="K23" s="100"/>
      <c r="L23" s="93"/>
      <c r="M23" s="104"/>
      <c r="N23" s="44">
        <v>22</v>
      </c>
      <c r="O23" s="44" t="s">
        <v>67</v>
      </c>
      <c r="P23" s="46" t="s">
        <v>61</v>
      </c>
      <c r="Q23" s="44" t="s">
        <v>41</v>
      </c>
    </row>
    <row r="24" spans="4:17" ht="43.5" customHeight="1" x14ac:dyDescent="0.2">
      <c r="E24" s="25"/>
      <c r="F24" s="85"/>
      <c r="G24" s="101"/>
      <c r="H24" s="85"/>
      <c r="I24" s="101"/>
      <c r="J24" s="85"/>
      <c r="K24" s="101"/>
      <c r="L24" s="105"/>
      <c r="M24" s="106"/>
      <c r="N24" s="63">
        <v>23</v>
      </c>
      <c r="O24" s="63" t="s">
        <v>69</v>
      </c>
      <c r="P24" s="52" t="s">
        <v>70</v>
      </c>
      <c r="Q24" s="63" t="s">
        <v>48</v>
      </c>
    </row>
    <row r="25" spans="4:17" ht="18" customHeight="1" x14ac:dyDescent="0.2">
      <c r="E25" s="58"/>
      <c r="F25" s="59"/>
      <c r="G25" s="60"/>
      <c r="H25" s="59"/>
      <c r="I25" s="60"/>
      <c r="J25" s="59"/>
      <c r="K25" s="60"/>
      <c r="L25" s="64"/>
      <c r="M25" s="65"/>
      <c r="N25" s="44">
        <v>24</v>
      </c>
      <c r="O25" s="44" t="s">
        <v>68</v>
      </c>
      <c r="P25" s="46" t="s">
        <v>61</v>
      </c>
      <c r="Q25" s="44" t="s">
        <v>41</v>
      </c>
    </row>
    <row r="26" spans="4:17" ht="18" customHeight="1" x14ac:dyDescent="0.2">
      <c r="E26" s="24"/>
      <c r="F26" s="107"/>
      <c r="G26" s="108"/>
      <c r="H26" s="107"/>
      <c r="I26" s="108"/>
      <c r="J26" s="93"/>
      <c r="K26" s="100"/>
      <c r="L26" s="93"/>
      <c r="M26" s="94"/>
      <c r="N26" s="63">
        <v>27</v>
      </c>
      <c r="O26" s="63" t="s">
        <v>71</v>
      </c>
      <c r="P26" s="52" t="s">
        <v>57</v>
      </c>
      <c r="Q26" s="63" t="s">
        <v>41</v>
      </c>
    </row>
    <row r="27" spans="4:17" ht="26.25" customHeight="1" x14ac:dyDescent="0.2">
      <c r="E27" s="25"/>
      <c r="F27" s="85"/>
      <c r="G27" s="101"/>
      <c r="H27" s="85"/>
      <c r="I27" s="101"/>
      <c r="J27" s="85"/>
      <c r="K27" s="101"/>
      <c r="L27" s="91"/>
      <c r="M27" s="92"/>
      <c r="N27" s="44">
        <v>29</v>
      </c>
      <c r="O27" s="44" t="s">
        <v>72</v>
      </c>
      <c r="P27" s="46" t="s">
        <v>73</v>
      </c>
      <c r="Q27" s="44" t="s">
        <v>41</v>
      </c>
    </row>
    <row r="28" spans="4:17" ht="30" customHeight="1" x14ac:dyDescent="0.2">
      <c r="E28" s="58"/>
      <c r="F28" s="59"/>
      <c r="G28" s="60"/>
      <c r="H28" s="59"/>
      <c r="I28" s="60"/>
      <c r="J28" s="59"/>
      <c r="K28" s="60"/>
      <c r="L28" s="61"/>
      <c r="M28" s="62"/>
      <c r="N28" s="63">
        <v>30</v>
      </c>
      <c r="O28" s="63" t="s">
        <v>74</v>
      </c>
      <c r="P28" s="52" t="s">
        <v>73</v>
      </c>
      <c r="Q28" s="63" t="s">
        <v>75</v>
      </c>
    </row>
    <row r="29" spans="4:17" ht="18" customHeight="1" x14ac:dyDescent="0.2">
      <c r="E29" s="58"/>
      <c r="F29" s="59"/>
      <c r="G29" s="60"/>
      <c r="H29" s="59"/>
      <c r="I29" s="60"/>
      <c r="J29" s="59"/>
      <c r="K29" s="60"/>
      <c r="L29" s="61"/>
      <c r="M29" s="62"/>
      <c r="N29" s="44">
        <v>31</v>
      </c>
      <c r="O29" s="44" t="s">
        <v>76</v>
      </c>
      <c r="P29" s="46" t="s">
        <v>61</v>
      </c>
      <c r="Q29" s="44" t="s">
        <v>41</v>
      </c>
    </row>
    <row r="30" spans="4:17" ht="18" customHeight="1" x14ac:dyDescent="0.2">
      <c r="E30" s="24"/>
      <c r="F30" s="107"/>
      <c r="G30" s="108"/>
      <c r="H30" s="107"/>
      <c r="I30" s="108"/>
      <c r="J30" s="93"/>
      <c r="K30" s="100"/>
      <c r="L30" s="93"/>
      <c r="M30" s="94"/>
      <c r="N30" s="63">
        <v>31</v>
      </c>
      <c r="O30" s="63" t="s">
        <v>77</v>
      </c>
      <c r="P30" s="52" t="s">
        <v>58</v>
      </c>
      <c r="Q30" s="63" t="s">
        <v>41</v>
      </c>
    </row>
    <row r="31" spans="4:17" ht="18" customHeight="1" x14ac:dyDescent="0.2">
      <c r="E31" s="25"/>
      <c r="F31" s="85"/>
      <c r="G31" s="101"/>
      <c r="H31" s="85"/>
      <c r="I31" s="101"/>
      <c r="J31" s="85"/>
      <c r="K31" s="101"/>
      <c r="L31" s="91"/>
      <c r="M31" s="92"/>
    </row>
    <row r="32" spans="4:17" ht="18" customHeight="1" x14ac:dyDescent="0.2">
      <c r="E32" s="24"/>
      <c r="F32" s="107"/>
      <c r="G32" s="108"/>
      <c r="H32" s="107"/>
      <c r="I32" s="108"/>
      <c r="J32" s="93"/>
      <c r="K32" s="100"/>
      <c r="L32" s="93"/>
      <c r="M32" s="94"/>
    </row>
    <row r="33" spans="5:13" ht="18" customHeight="1" x14ac:dyDescent="0.2">
      <c r="E33" s="25"/>
      <c r="F33" s="85"/>
      <c r="G33" s="101"/>
      <c r="H33" s="85"/>
      <c r="I33" s="101"/>
      <c r="J33" s="85"/>
      <c r="K33" s="101"/>
      <c r="L33" s="91"/>
      <c r="M33" s="92"/>
    </row>
    <row r="34" spans="5:13" ht="18" customHeight="1" x14ac:dyDescent="0.2">
      <c r="E34" s="24"/>
      <c r="F34" s="107"/>
      <c r="G34" s="108"/>
      <c r="H34" s="107"/>
      <c r="I34" s="108"/>
      <c r="J34" s="93"/>
      <c r="K34" s="100"/>
      <c r="L34" s="93"/>
      <c r="M34" s="94"/>
    </row>
    <row r="35" spans="5:13" ht="18" customHeight="1" x14ac:dyDescent="0.2">
      <c r="E35" s="25"/>
      <c r="F35" s="85"/>
      <c r="G35" s="101"/>
      <c r="H35" s="85"/>
      <c r="I35" s="101"/>
      <c r="J35" s="85"/>
      <c r="K35" s="101"/>
      <c r="L35" s="85"/>
      <c r="M35" s="86"/>
    </row>
    <row r="36" spans="5:13" ht="18" customHeight="1" x14ac:dyDescent="0.2">
      <c r="E36" s="24"/>
      <c r="F36" s="107"/>
      <c r="G36" s="108"/>
      <c r="H36" s="107"/>
      <c r="I36" s="108"/>
      <c r="J36" s="93"/>
      <c r="K36" s="100"/>
      <c r="L36" s="83"/>
      <c r="M36" s="84"/>
    </row>
    <row r="37" spans="5:13" ht="18" customHeight="1" x14ac:dyDescent="0.2">
      <c r="E37" s="25"/>
      <c r="F37" s="85"/>
      <c r="G37" s="101"/>
      <c r="H37" s="85"/>
      <c r="I37" s="101"/>
      <c r="J37" s="85"/>
      <c r="K37" s="101"/>
      <c r="L37" s="85"/>
      <c r="M37" s="86"/>
    </row>
    <row r="38" spans="5:13" ht="18" customHeight="1" x14ac:dyDescent="0.2">
      <c r="E38" s="24"/>
      <c r="F38" s="107"/>
      <c r="G38" s="108"/>
      <c r="H38" s="107"/>
      <c r="I38" s="108"/>
      <c r="J38" s="93"/>
      <c r="K38" s="100"/>
      <c r="L38" s="87"/>
      <c r="M38" s="88"/>
    </row>
    <row r="39" spans="5:13" ht="18" customHeight="1" x14ac:dyDescent="0.2">
      <c r="E39" s="27"/>
      <c r="F39" s="102"/>
      <c r="G39" s="103"/>
      <c r="H39" s="102"/>
      <c r="I39" s="103"/>
      <c r="J39" s="102"/>
      <c r="K39" s="103"/>
      <c r="L39" s="89"/>
      <c r="M39" s="90"/>
    </row>
    <row r="40" spans="5:13" ht="18" customHeight="1" x14ac:dyDescent="0.2"/>
    <row r="41" spans="5:13" ht="18" customHeight="1" x14ac:dyDescent="0.2"/>
    <row r="42" spans="5:13" ht="18" customHeight="1" x14ac:dyDescent="0.2"/>
  </sheetData>
  <mergeCells count="87">
    <mergeCell ref="P8:P9"/>
    <mergeCell ref="F17:G17"/>
    <mergeCell ref="F16:G16"/>
    <mergeCell ref="F27:G27"/>
    <mergeCell ref="F26:G26"/>
    <mergeCell ref="F24:G24"/>
    <mergeCell ref="F23:G23"/>
    <mergeCell ref="F22:G22"/>
    <mergeCell ref="N8:N9"/>
    <mergeCell ref="H27:I27"/>
    <mergeCell ref="H26:I26"/>
    <mergeCell ref="H24:I24"/>
    <mergeCell ref="H23:I23"/>
    <mergeCell ref="H22:I22"/>
    <mergeCell ref="J22:K22"/>
    <mergeCell ref="J24:K24"/>
    <mergeCell ref="N6:P7"/>
    <mergeCell ref="Q6:Q7"/>
    <mergeCell ref="F18:G18"/>
    <mergeCell ref="F19:G19"/>
    <mergeCell ref="F20:G20"/>
    <mergeCell ref="H20:I20"/>
    <mergeCell ref="H19:I19"/>
    <mergeCell ref="H18:I18"/>
    <mergeCell ref="H17:I17"/>
    <mergeCell ref="H16:I16"/>
    <mergeCell ref="J19:K19"/>
    <mergeCell ref="L19:M19"/>
    <mergeCell ref="J20:K20"/>
    <mergeCell ref="L20:M20"/>
    <mergeCell ref="J16:K16"/>
    <mergeCell ref="L16:M16"/>
    <mergeCell ref="F35:G35"/>
    <mergeCell ref="F36:G36"/>
    <mergeCell ref="F37:G37"/>
    <mergeCell ref="F38:G38"/>
    <mergeCell ref="F39:G39"/>
    <mergeCell ref="F30:G30"/>
    <mergeCell ref="F31:G31"/>
    <mergeCell ref="F32:G32"/>
    <mergeCell ref="F33:G33"/>
    <mergeCell ref="F34:G34"/>
    <mergeCell ref="L22:M22"/>
    <mergeCell ref="L23:M23"/>
    <mergeCell ref="L24:M24"/>
    <mergeCell ref="H39:I39"/>
    <mergeCell ref="H38:I38"/>
    <mergeCell ref="H37:I37"/>
    <mergeCell ref="H36:I36"/>
    <mergeCell ref="H35:I35"/>
    <mergeCell ref="H34:I34"/>
    <mergeCell ref="H33:I33"/>
    <mergeCell ref="H32:I32"/>
    <mergeCell ref="H31:I31"/>
    <mergeCell ref="H30:I30"/>
    <mergeCell ref="E6:E15"/>
    <mergeCell ref="J36:K36"/>
    <mergeCell ref="J37:K37"/>
    <mergeCell ref="J38:K38"/>
    <mergeCell ref="J39:K39"/>
    <mergeCell ref="J31:K31"/>
    <mergeCell ref="J32:K32"/>
    <mergeCell ref="J33:K33"/>
    <mergeCell ref="J34:K34"/>
    <mergeCell ref="J35:K35"/>
    <mergeCell ref="J26:K26"/>
    <mergeCell ref="J27:K27"/>
    <mergeCell ref="J30:K30"/>
    <mergeCell ref="J17:K17"/>
    <mergeCell ref="J18:K18"/>
    <mergeCell ref="J23:K23"/>
    <mergeCell ref="Q8:Q9"/>
    <mergeCell ref="L36:M36"/>
    <mergeCell ref="L37:M37"/>
    <mergeCell ref="L38:M38"/>
    <mergeCell ref="L39:M39"/>
    <mergeCell ref="L31:M31"/>
    <mergeCell ref="L32:M32"/>
    <mergeCell ref="L33:M33"/>
    <mergeCell ref="L34:M34"/>
    <mergeCell ref="L35:M35"/>
    <mergeCell ref="L27:M27"/>
    <mergeCell ref="L30:M30"/>
    <mergeCell ref="L17:M17"/>
    <mergeCell ref="L18:M18"/>
    <mergeCell ref="L26:M26"/>
    <mergeCell ref="O8:O9"/>
  </mergeCells>
  <phoneticPr fontId="2" type="noConversion"/>
  <conditionalFormatting sqref="F8:K8">
    <cfRule type="expression" dxfId="37" priority="4" stopIfTrue="1">
      <formula>DAY(F8)&gt;8</formula>
    </cfRule>
  </conditionalFormatting>
  <conditionalFormatting sqref="F13:L15">
    <cfRule type="expression" dxfId="36" priority="3" stopIfTrue="1">
      <formula>AND(DAY(F13)&gt;=1,DAY(F13)&lt;=15)</formula>
    </cfRule>
  </conditionalFormatting>
  <conditionalFormatting sqref="F8:L14">
    <cfRule type="expression" dxfId="35" priority="15">
      <formula>VLOOKUP(DAY(F8),DíasDeTareas,1,FALSE)=DAY(F8)</formula>
    </cfRule>
  </conditionalFormatting>
  <conditionalFormatting sqref="E16:M39">
    <cfRule type="expression" dxfId="34" priority="1">
      <formula>E16&lt;&gt;""</formula>
    </cfRule>
  </conditionalFormatting>
  <dataValidations count="1">
    <dataValidation allowBlank="1" showInputMessage="1" showErrorMessage="1" errorTitle="Invalid Year" error="Enter a year from 1900 to 9999, or use the scroll bar to find a year." sqref="Q6"/>
  </dataValidations>
  <printOptions horizontalCentered="1"/>
  <pageMargins left="0.5" right="0.5" top="0.5" bottom="0.5" header="0.3" footer="0.3"/>
  <pageSetup scale="6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print="0" autoPict="0" altText="Spinner control. Use spinner to change calendar year or type desired year in cell L2 ">
                <anchor moveWithCells="1">
                  <from>
                    <xdr:col>17</xdr:col>
                    <xdr:colOff>28575</xdr:colOff>
                    <xdr:row>5</xdr:row>
                    <xdr:rowOff>85725</xdr:rowOff>
                  </from>
                  <to>
                    <xdr:col>18</xdr:col>
                    <xdr:colOff>0</xdr:colOff>
                    <xdr:row>6</xdr:row>
                    <xdr:rowOff>161925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  <pageSetUpPr fitToPage="1"/>
  </sheetPr>
  <dimension ref="C2:AQ36"/>
  <sheetViews>
    <sheetView showGridLines="0" zoomScaleNormal="100" zoomScalePageLayoutView="84" workbookViewId="0">
      <selection activeCell="N3" sqref="N3"/>
    </sheetView>
  </sheetViews>
  <sheetFormatPr baseColWidth="10" defaultColWidth="8.7109375" defaultRowHeight="16.5" customHeight="1" x14ac:dyDescent="0.2"/>
  <cols>
    <col min="1" max="2" width="8.7109375" style="1"/>
    <col min="3" max="3" width="2.28515625" style="1" customWidth="1"/>
    <col min="4" max="4" width="12.7109375" style="1" customWidth="1"/>
    <col min="5" max="12" width="6.7109375" style="1" customWidth="1"/>
    <col min="13" max="13" width="7.28515625" style="1" customWidth="1"/>
    <col min="14" max="14" width="12" customWidth="1"/>
    <col min="15" max="15" width="44.28515625" style="1" customWidth="1"/>
    <col min="16" max="16" width="10.7109375" style="1" customWidth="1"/>
    <col min="17" max="17" width="9.140625" customWidth="1"/>
    <col min="18" max="24" width="8.85546875" customWidth="1"/>
    <col min="44" max="16384" width="8.7109375" style="1"/>
  </cols>
  <sheetData>
    <row r="2" spans="3:17" ht="16.5" customHeight="1" x14ac:dyDescent="0.2">
      <c r="N2" s="38" t="s">
        <v>39</v>
      </c>
    </row>
    <row r="3" spans="3:17" ht="16.5" customHeight="1" x14ac:dyDescent="0.2">
      <c r="N3" s="28" t="s">
        <v>50</v>
      </c>
    </row>
    <row r="4" spans="3:17" ht="11.25" customHeight="1" x14ac:dyDescent="0.2"/>
    <row r="5" spans="3:17" ht="18" customHeight="1" x14ac:dyDescent="0.2">
      <c r="C5" s="4"/>
      <c r="D5" s="97" t="s">
        <v>26</v>
      </c>
      <c r="E5" s="11"/>
      <c r="F5" s="11"/>
      <c r="G5" s="11"/>
      <c r="H5" s="11"/>
      <c r="I5" s="11"/>
      <c r="J5" s="11"/>
      <c r="K5" s="11"/>
      <c r="L5" s="12"/>
      <c r="N5" s="133" t="s">
        <v>40</v>
      </c>
      <c r="O5" s="134"/>
      <c r="P5" s="134"/>
      <c r="Q5" s="18">
        <v>2020</v>
      </c>
    </row>
    <row r="6" spans="3:17" ht="21" customHeight="1" x14ac:dyDescent="0.2">
      <c r="C6" s="4"/>
      <c r="D6" s="98"/>
      <c r="E6" s="2" t="s">
        <v>8</v>
      </c>
      <c r="F6" s="2" t="s">
        <v>1</v>
      </c>
      <c r="G6" s="2" t="s">
        <v>9</v>
      </c>
      <c r="H6" s="2" t="s">
        <v>10</v>
      </c>
      <c r="I6" s="2" t="s">
        <v>11</v>
      </c>
      <c r="J6" s="2" t="s">
        <v>0</v>
      </c>
      <c r="K6" s="2" t="s">
        <v>12</v>
      </c>
      <c r="L6" s="5"/>
      <c r="N6" s="135"/>
      <c r="O6" s="136"/>
      <c r="P6" s="136"/>
      <c r="Q6" s="37"/>
    </row>
    <row r="7" spans="3:17" ht="18" customHeight="1" x14ac:dyDescent="0.2">
      <c r="C7" s="4"/>
      <c r="D7" s="98"/>
      <c r="E7" s="10">
        <f>IF(DAY(OctDom1)=1,OctDom1-6,OctDom1+1)</f>
        <v>44102</v>
      </c>
      <c r="F7" s="41">
        <f>IF(DAY(OctDom1)=1,OctDom1-5,OctDom1+2)</f>
        <v>44103</v>
      </c>
      <c r="G7" s="41">
        <f>IF(DAY(OctDom1)=1,OctDom1-4,OctDom1+3)</f>
        <v>44104</v>
      </c>
      <c r="H7" s="41">
        <f>IF(DAY(OctDom1)=1,OctDom1-3,OctDom1+4)</f>
        <v>44105</v>
      </c>
      <c r="I7" s="41">
        <f>IF(DAY(OctDom1)=1,OctDom1-2,OctDom1+5)</f>
        <v>44106</v>
      </c>
      <c r="J7" s="41">
        <f>IF(DAY(OctDom1)=1,OctDom1-1,OctDom1+6)</f>
        <v>44107</v>
      </c>
      <c r="K7" s="10">
        <f>IF(DAY(OctDom1)=1,OctDom1,OctDom1+7)</f>
        <v>44108</v>
      </c>
      <c r="L7" s="5"/>
      <c r="N7" s="137" t="s">
        <v>35</v>
      </c>
      <c r="O7" s="137" t="s">
        <v>36</v>
      </c>
      <c r="P7" s="137" t="s">
        <v>37</v>
      </c>
      <c r="Q7" s="137" t="s">
        <v>38</v>
      </c>
    </row>
    <row r="8" spans="3:17" ht="18" customHeight="1" x14ac:dyDescent="0.2">
      <c r="C8" s="4"/>
      <c r="D8" s="98"/>
      <c r="E8" s="10">
        <f>IF(DAY(OctDom1)=1,OctDom1+1,OctDom1+8)</f>
        <v>44109</v>
      </c>
      <c r="F8" s="41">
        <f>IF(DAY(OctDom1)=1,OctDom1+2,OctDom1+9)</f>
        <v>44110</v>
      </c>
      <c r="G8" s="41">
        <f>IF(DAY(OctDom1)=1,OctDom1+3,OctDom1+10)</f>
        <v>44111</v>
      </c>
      <c r="H8" s="41">
        <f>IF(DAY(OctDom1)=1,OctDom1+4,OctDom1+11)</f>
        <v>44112</v>
      </c>
      <c r="I8" s="41">
        <f>IF(DAY(OctDom1)=1,OctDom1+5,OctDom1+12)</f>
        <v>44113</v>
      </c>
      <c r="J8" s="41">
        <f>IF(DAY(OctDom1)=1,OctDom1+6,OctDom1+13)</f>
        <v>44114</v>
      </c>
      <c r="K8" s="10">
        <f>IF(DAY(OctDom1)=1,OctDom1+7,OctDom1+14)</f>
        <v>44115</v>
      </c>
      <c r="L8" s="5"/>
      <c r="N8" s="138"/>
      <c r="O8" s="138"/>
      <c r="P8" s="138"/>
      <c r="Q8" s="138"/>
    </row>
    <row r="9" spans="3:17" ht="18" customHeight="1" x14ac:dyDescent="0.2">
      <c r="C9" s="4"/>
      <c r="D9" s="98"/>
      <c r="E9" s="10">
        <f>IF(DAY(OctDom1)=1,OctDom1+8,OctDom1+15)</f>
        <v>44116</v>
      </c>
      <c r="F9" s="41">
        <f>IF(DAY(OctDom1)=1,OctDom1+9,OctDom1+16)</f>
        <v>44117</v>
      </c>
      <c r="G9" s="41">
        <f>IF(DAY(OctDom1)=1,OctDom1+10,OctDom1+17)</f>
        <v>44118</v>
      </c>
      <c r="H9" s="41">
        <f>IF(DAY(OctDom1)=1,OctDom1+11,OctDom1+18)</f>
        <v>44119</v>
      </c>
      <c r="I9" s="41">
        <f>IF(DAY(OctDom1)=1,OctDom1+12,OctDom1+19)</f>
        <v>44120</v>
      </c>
      <c r="J9" s="41">
        <f>IF(DAY(OctDom1)=1,OctDom1+13,OctDom1+20)</f>
        <v>44121</v>
      </c>
      <c r="K9" s="10">
        <f>IF(DAY(OctDom1)=1,OctDom1+14,OctDom1+21)</f>
        <v>44122</v>
      </c>
      <c r="L9" s="5"/>
      <c r="N9" s="49"/>
      <c r="O9" s="50"/>
      <c r="P9" s="51"/>
      <c r="Q9" s="49"/>
    </row>
    <row r="10" spans="3:17" ht="18" customHeight="1" x14ac:dyDescent="0.2">
      <c r="C10" s="4"/>
      <c r="D10" s="98"/>
      <c r="E10" s="10">
        <f>IF(DAY(OctDom1)=1,OctDom1+15,OctDom1+22)</f>
        <v>44123</v>
      </c>
      <c r="F10" s="41">
        <f>IF(DAY(OctDom1)=1,OctDom1+16,OctDom1+23)</f>
        <v>44124</v>
      </c>
      <c r="G10" s="41">
        <f>IF(DAY(OctDom1)=1,OctDom1+17,OctDom1+24)</f>
        <v>44125</v>
      </c>
      <c r="H10" s="41">
        <f>IF(DAY(OctDom1)=1,OctDom1+18,OctDom1+25)</f>
        <v>44126</v>
      </c>
      <c r="I10" s="41">
        <f>IF(DAY(OctDom1)=1,OctDom1+19,OctDom1+26)</f>
        <v>44127</v>
      </c>
      <c r="J10" s="41">
        <f>IF(DAY(OctDom1)=1,OctDom1+20,OctDom1+27)</f>
        <v>44128</v>
      </c>
      <c r="K10" s="10">
        <f>IF(DAY(OctDom1)=1,OctDom1+21,OctDom1+28)</f>
        <v>44129</v>
      </c>
      <c r="L10" s="5"/>
      <c r="N10" s="48"/>
      <c r="O10" s="48"/>
      <c r="P10" s="48"/>
      <c r="Q10" s="48"/>
    </row>
    <row r="11" spans="3:17" ht="18.75" customHeight="1" x14ac:dyDescent="0.2">
      <c r="C11" s="4"/>
      <c r="D11" s="98"/>
      <c r="E11" s="10">
        <f>IF(DAY(OctDom1)=1,OctDom1+22,OctDom1+29)</f>
        <v>44130</v>
      </c>
      <c r="F11" s="41">
        <f>IF(DAY(OctDom1)=1,OctDom1+23,OctDom1+30)</f>
        <v>44131</v>
      </c>
      <c r="G11" s="41">
        <f>IF(DAY(OctDom1)=1,OctDom1+24,OctDom1+31)</f>
        <v>44132</v>
      </c>
      <c r="H11" s="41">
        <f>IF(DAY(OctDom1)=1,OctDom1+25,OctDom1+32)</f>
        <v>44133</v>
      </c>
      <c r="I11" s="41">
        <f>IF(DAY(OctDom1)=1,OctDom1+26,OctDom1+33)</f>
        <v>44134</v>
      </c>
      <c r="J11" s="41">
        <f>IF(DAY(OctDom1)=1,OctDom1+27,OctDom1+34)</f>
        <v>44135</v>
      </c>
      <c r="K11" s="10">
        <f>IF(DAY(OctDom1)=1,OctDom1+28,OctDom1+35)</f>
        <v>44136</v>
      </c>
      <c r="L11" s="5"/>
      <c r="N11" s="31"/>
      <c r="O11" s="32"/>
      <c r="P11" s="46"/>
      <c r="Q11" s="32"/>
    </row>
    <row r="12" spans="3:17" ht="18" customHeight="1" x14ac:dyDescent="0.2">
      <c r="C12" s="4"/>
      <c r="D12" s="98"/>
      <c r="E12" s="10">
        <f>IF(DAY(OctDom1)=1,OctDom1+29,OctDom1+36)</f>
        <v>44137</v>
      </c>
      <c r="F12" s="10">
        <f>IF(DAY(OctDom1)=1,OctDom1+30,OctDom1+37)</f>
        <v>44138</v>
      </c>
      <c r="G12" s="10">
        <f>IF(DAY(OctDom1)=1,OctDom1+31,OctDom1+38)</f>
        <v>44139</v>
      </c>
      <c r="H12" s="10">
        <f>IF(DAY(OctDom1)=1,OctDom1+32,OctDom1+39)</f>
        <v>44140</v>
      </c>
      <c r="I12" s="10">
        <f>IF(DAY(OctDom1)=1,OctDom1+33,OctDom1+40)</f>
        <v>44141</v>
      </c>
      <c r="J12" s="10">
        <f>IF(DAY(OctDom1)=1,OctDom1+34,OctDom1+41)</f>
        <v>44142</v>
      </c>
      <c r="K12" s="10">
        <f>IF(DAY(OctDom1)=1,OctDom1+35,OctDom1+42)</f>
        <v>44143</v>
      </c>
      <c r="L12" s="5"/>
      <c r="N12" s="57"/>
      <c r="O12" s="57"/>
      <c r="P12" s="57"/>
      <c r="Q12" s="57"/>
    </row>
    <row r="13" spans="3:17" ht="16.5" customHeight="1" x14ac:dyDescent="0.2">
      <c r="C13" s="4"/>
      <c r="D13" s="99"/>
      <c r="E13" s="13"/>
      <c r="F13" s="13"/>
      <c r="G13" s="13"/>
      <c r="H13" s="13"/>
      <c r="I13" s="13"/>
      <c r="J13" s="13"/>
      <c r="K13" s="13"/>
      <c r="L13" s="14"/>
      <c r="N13" s="31"/>
      <c r="O13" s="32"/>
      <c r="P13" s="46"/>
      <c r="Q13" s="32"/>
    </row>
    <row r="14" spans="3:17" ht="18" customHeight="1" x14ac:dyDescent="0.2">
      <c r="C14" s="4"/>
      <c r="N14" s="57"/>
      <c r="O14" s="57"/>
      <c r="P14" s="57"/>
      <c r="Q14" s="57"/>
    </row>
    <row r="15" spans="3:17" ht="19.5" customHeight="1" x14ac:dyDescent="0.2">
      <c r="C15" s="4"/>
      <c r="N15" s="31"/>
      <c r="O15" s="32"/>
      <c r="P15" s="46"/>
      <c r="Q15" s="32"/>
    </row>
    <row r="16" spans="3:17" ht="17.25" customHeight="1" x14ac:dyDescent="0.2">
      <c r="N16" s="57"/>
      <c r="O16" s="57"/>
      <c r="P16" s="57"/>
      <c r="Q16" s="57"/>
    </row>
    <row r="17" spans="14:17" ht="21" customHeight="1" x14ac:dyDescent="0.2">
      <c r="N17" s="31"/>
      <c r="O17" s="32"/>
      <c r="P17" s="46"/>
      <c r="Q17" s="32"/>
    </row>
    <row r="18" spans="14:17" ht="21" customHeight="1" x14ac:dyDescent="0.2">
      <c r="N18" s="57"/>
      <c r="O18" s="57"/>
      <c r="P18" s="57"/>
      <c r="Q18" s="57"/>
    </row>
    <row r="19" spans="14:17" ht="18" customHeight="1" x14ac:dyDescent="0.2">
      <c r="N19" s="31"/>
      <c r="O19" s="32"/>
      <c r="P19" s="46"/>
      <c r="Q19" s="32"/>
    </row>
    <row r="20" spans="14:17" ht="18" customHeight="1" x14ac:dyDescent="0.2">
      <c r="N20" s="57"/>
      <c r="O20" s="57"/>
      <c r="P20" s="57"/>
      <c r="Q20" s="57"/>
    </row>
    <row r="21" spans="14:17" ht="18" customHeight="1" x14ac:dyDescent="0.2">
      <c r="N21" s="31"/>
      <c r="O21" s="32"/>
      <c r="P21" s="46"/>
      <c r="Q21" s="32"/>
    </row>
    <row r="22" spans="14:17" ht="18" customHeight="1" x14ac:dyDescent="0.2">
      <c r="N22" s="57"/>
      <c r="O22" s="57"/>
      <c r="P22" s="57"/>
      <c r="Q22" s="57"/>
    </row>
    <row r="23" spans="14:17" ht="18" customHeight="1" x14ac:dyDescent="0.2"/>
    <row r="24" spans="14:17" ht="18" customHeight="1" x14ac:dyDescent="0.2"/>
    <row r="25" spans="14:17" ht="18" customHeight="1" x14ac:dyDescent="0.2"/>
    <row r="26" spans="14:17" ht="18" customHeight="1" x14ac:dyDescent="0.2"/>
    <row r="27" spans="14:17" ht="18" customHeight="1" x14ac:dyDescent="0.2"/>
    <row r="28" spans="14:17" ht="18" customHeight="1" x14ac:dyDescent="0.2"/>
    <row r="29" spans="14:17" ht="18" customHeight="1" x14ac:dyDescent="0.2"/>
    <row r="30" spans="14:17" ht="18" customHeight="1" x14ac:dyDescent="0.2"/>
    <row r="31" spans="14:17" ht="18" customHeight="1" x14ac:dyDescent="0.2"/>
    <row r="32" spans="14:17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</sheetData>
  <mergeCells count="6">
    <mergeCell ref="Q7:Q8"/>
    <mergeCell ref="D5:D13"/>
    <mergeCell ref="N5:P6"/>
    <mergeCell ref="N7:N8"/>
    <mergeCell ref="O7:O8"/>
    <mergeCell ref="P7:P8"/>
  </mergeCells>
  <conditionalFormatting sqref="E7:J7">
    <cfRule type="expression" dxfId="8" priority="3" stopIfTrue="1">
      <formula>DAY(E7)&gt;8</formula>
    </cfRule>
  </conditionalFormatting>
  <conditionalFormatting sqref="E11:K13">
    <cfRule type="expression" dxfId="7" priority="2" stopIfTrue="1">
      <formula>AND(DAY(E11)&gt;=1,DAY(E11)&lt;=15)</formula>
    </cfRule>
  </conditionalFormatting>
  <conditionalFormatting sqref="E7:K12">
    <cfRule type="expression" dxfId="6" priority="4">
      <formula>VLOOKUP(DAY(E7),DíasDeTareas,1,FALSE)=DAY(E7)</formula>
    </cfRule>
  </conditionalFormatting>
  <dataValidations count="1">
    <dataValidation allowBlank="1" showInputMessage="1" showErrorMessage="1" errorTitle="Invalid Year" error="Enter a year from 1900 to 9999, or use the scroll bar to find a year." sqref="Q5"/>
  </dataValidations>
  <printOptions horizontalCentered="1"/>
  <pageMargins left="0.5" right="0.5" top="0.5" bottom="0.5" header="0.3" footer="0.3"/>
  <pageSetup scale="63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  <pageSetUpPr fitToPage="1"/>
  </sheetPr>
  <dimension ref="D2:AR37"/>
  <sheetViews>
    <sheetView showGridLines="0" zoomScaleNormal="100" zoomScalePageLayoutView="84" workbookViewId="0">
      <selection activeCell="O3" sqref="O3"/>
    </sheetView>
  </sheetViews>
  <sheetFormatPr baseColWidth="10" defaultColWidth="8.7109375" defaultRowHeight="16.5" customHeight="1" x14ac:dyDescent="0.2"/>
  <cols>
    <col min="1" max="3" width="8.7109375" style="1"/>
    <col min="4" max="4" width="2.28515625" style="1" customWidth="1"/>
    <col min="5" max="5" width="12.7109375" style="1" customWidth="1"/>
    <col min="6" max="13" width="6.7109375" style="1" customWidth="1"/>
    <col min="14" max="14" width="7.28515625" style="1" customWidth="1"/>
    <col min="15" max="15" width="7.85546875" customWidth="1"/>
    <col min="16" max="16" width="42" style="1" customWidth="1"/>
    <col min="17" max="17" width="10.7109375" style="1" customWidth="1"/>
    <col min="18" max="18" width="11.42578125" customWidth="1"/>
    <col min="19" max="25" width="8.85546875" customWidth="1"/>
    <col min="45" max="16384" width="8.7109375" style="1"/>
  </cols>
  <sheetData>
    <row r="2" spans="4:18" ht="16.5" customHeight="1" x14ac:dyDescent="0.2">
      <c r="O2" s="38" t="s">
        <v>39</v>
      </c>
    </row>
    <row r="3" spans="4:18" ht="16.5" customHeight="1" x14ac:dyDescent="0.2">
      <c r="O3" s="28" t="s">
        <v>50</v>
      </c>
    </row>
    <row r="5" spans="4:18" ht="11.25" customHeight="1" x14ac:dyDescent="0.2"/>
    <row r="6" spans="4:18" ht="18" customHeight="1" x14ac:dyDescent="0.2">
      <c r="D6" s="4"/>
      <c r="E6" s="97" t="s">
        <v>25</v>
      </c>
      <c r="F6" s="11"/>
      <c r="G6" s="11"/>
      <c r="H6" s="11"/>
      <c r="I6" s="11"/>
      <c r="J6" s="11"/>
      <c r="K6" s="11"/>
      <c r="L6" s="11"/>
      <c r="M6" s="12"/>
      <c r="O6" s="133" t="s">
        <v>40</v>
      </c>
      <c r="P6" s="134"/>
      <c r="Q6" s="134"/>
      <c r="R6" s="18">
        <v>2020</v>
      </c>
    </row>
    <row r="7" spans="4:18" ht="21" customHeight="1" x14ac:dyDescent="0.2">
      <c r="D7" s="4"/>
      <c r="E7" s="98"/>
      <c r="F7" s="2" t="s">
        <v>8</v>
      </c>
      <c r="G7" s="2" t="s">
        <v>1</v>
      </c>
      <c r="H7" s="2" t="s">
        <v>9</v>
      </c>
      <c r="I7" s="2" t="s">
        <v>10</v>
      </c>
      <c r="J7" s="2" t="s">
        <v>11</v>
      </c>
      <c r="K7" s="2" t="s">
        <v>0</v>
      </c>
      <c r="L7" s="2" t="s">
        <v>12</v>
      </c>
      <c r="M7" s="5"/>
      <c r="O7" s="135"/>
      <c r="P7" s="136"/>
      <c r="Q7" s="136"/>
      <c r="R7" s="37"/>
    </row>
    <row r="8" spans="4:18" ht="18" customHeight="1" x14ac:dyDescent="0.2">
      <c r="D8" s="4"/>
      <c r="E8" s="98"/>
      <c r="F8" s="41">
        <f>IF(DAY(NovDom1)=1,NovDom1-6,NovDom1+1)</f>
        <v>44130</v>
      </c>
      <c r="G8" s="41">
        <f>IF(DAY(NovDom1)=1,NovDom1-5,NovDom1+2)</f>
        <v>44131</v>
      </c>
      <c r="H8" s="41">
        <f>IF(DAY(NovDom1)=1,NovDom1-4,NovDom1+3)</f>
        <v>44132</v>
      </c>
      <c r="I8" s="41">
        <f>IF(DAY(NovDom1)=1,NovDom1-3,NovDom1+4)</f>
        <v>44133</v>
      </c>
      <c r="J8" s="41">
        <f>IF(DAY(NovDom1)=1,NovDom1-2,NovDom1+5)</f>
        <v>44134</v>
      </c>
      <c r="K8" s="41">
        <f>IF(DAY(NovDom1)=1,NovDom1-1,NovDom1+6)</f>
        <v>44135</v>
      </c>
      <c r="L8" s="41">
        <f>IF(DAY(NovDom1)=1,NovDom1,NovDom1+7)</f>
        <v>44136</v>
      </c>
      <c r="M8" s="5"/>
      <c r="O8" s="137" t="s">
        <v>35</v>
      </c>
      <c r="P8" s="137" t="s">
        <v>36</v>
      </c>
      <c r="Q8" s="137" t="s">
        <v>37</v>
      </c>
      <c r="R8" s="137" t="s">
        <v>38</v>
      </c>
    </row>
    <row r="9" spans="4:18" ht="18" customHeight="1" x14ac:dyDescent="0.2">
      <c r="D9" s="4"/>
      <c r="E9" s="98"/>
      <c r="F9" s="41">
        <f>IF(DAY(NovDom1)=1,NovDom1+1,NovDom1+8)</f>
        <v>44137</v>
      </c>
      <c r="G9" s="41">
        <f>IF(DAY(NovDom1)=1,NovDom1+2,NovDom1+9)</f>
        <v>44138</v>
      </c>
      <c r="H9" s="41">
        <f>IF(DAY(NovDom1)=1,NovDom1+3,NovDom1+10)</f>
        <v>44139</v>
      </c>
      <c r="I9" s="41">
        <f>IF(DAY(NovDom1)=1,NovDom1+4,NovDom1+11)</f>
        <v>44140</v>
      </c>
      <c r="J9" s="41">
        <f>IF(DAY(NovDom1)=1,NovDom1+5,NovDom1+12)</f>
        <v>44141</v>
      </c>
      <c r="K9" s="41">
        <f>IF(DAY(NovDom1)=1,NovDom1+6,NovDom1+13)</f>
        <v>44142</v>
      </c>
      <c r="L9" s="41">
        <f>IF(DAY(NovDom1)=1,NovDom1+7,NovDom1+14)</f>
        <v>44143</v>
      </c>
      <c r="M9" s="5"/>
      <c r="O9" s="138"/>
      <c r="P9" s="138"/>
      <c r="Q9" s="138"/>
      <c r="R9" s="138"/>
    </row>
    <row r="10" spans="4:18" ht="24.75" customHeight="1" x14ac:dyDescent="0.2">
      <c r="D10" s="4"/>
      <c r="E10" s="98"/>
      <c r="F10" s="41">
        <f>IF(DAY(NovDom1)=1,NovDom1+8,NovDom1+15)</f>
        <v>44144</v>
      </c>
      <c r="G10" s="41">
        <f>IF(DAY(NovDom1)=1,NovDom1+9,NovDom1+16)</f>
        <v>44145</v>
      </c>
      <c r="H10" s="41">
        <f>IF(DAY(NovDom1)=1,NovDom1+10,NovDom1+17)</f>
        <v>44146</v>
      </c>
      <c r="I10" s="41">
        <f>IF(DAY(NovDom1)=1,NovDom1+11,NovDom1+18)</f>
        <v>44147</v>
      </c>
      <c r="J10" s="41">
        <f>IF(DAY(NovDom1)=1,NovDom1+12,NovDom1+19)</f>
        <v>44148</v>
      </c>
      <c r="K10" s="41">
        <f>IF(DAY(NovDom1)=1,NovDom1+13,NovDom1+20)</f>
        <v>44149</v>
      </c>
      <c r="L10" s="41">
        <f>IF(DAY(NovDom1)=1,NovDom1+14,NovDom1+21)</f>
        <v>44150</v>
      </c>
      <c r="M10" s="5"/>
      <c r="O10" s="31"/>
      <c r="P10" s="32"/>
      <c r="Q10" s="46"/>
      <c r="R10" s="32"/>
    </row>
    <row r="11" spans="4:18" ht="25.5" customHeight="1" x14ac:dyDescent="0.2">
      <c r="D11" s="4"/>
      <c r="E11" s="98"/>
      <c r="F11" s="41">
        <f>IF(DAY(NovDom1)=1,NovDom1+15,NovDom1+22)</f>
        <v>44151</v>
      </c>
      <c r="G11" s="41">
        <f>IF(DAY(NovDom1)=1,NovDom1+16,NovDom1+23)</f>
        <v>44152</v>
      </c>
      <c r="H11" s="41">
        <f>IF(DAY(NovDom1)=1,NovDom1+17,NovDom1+24)</f>
        <v>44153</v>
      </c>
      <c r="I11" s="41">
        <f>IF(DAY(NovDom1)=1,NovDom1+18,NovDom1+25)</f>
        <v>44154</v>
      </c>
      <c r="J11" s="41">
        <f>IF(DAY(NovDom1)=1,NovDom1+19,NovDom1+26)</f>
        <v>44155</v>
      </c>
      <c r="K11" s="41">
        <f>IF(DAY(NovDom1)=1,NovDom1+20,NovDom1+27)</f>
        <v>44156</v>
      </c>
      <c r="L11" s="41">
        <f>IF(DAY(NovDom1)=1,NovDom1+21,NovDom1+28)</f>
        <v>44157</v>
      </c>
      <c r="M11" s="5"/>
      <c r="O11" s="33"/>
      <c r="P11" s="34"/>
      <c r="Q11" s="52"/>
      <c r="R11" s="34"/>
    </row>
    <row r="12" spans="4:18" ht="25.5" customHeight="1" x14ac:dyDescent="0.2">
      <c r="D12" s="4"/>
      <c r="E12" s="98"/>
      <c r="F12" s="10">
        <f>IF(DAY(NovDom1)=1,NovDom1+22,NovDom1+29)</f>
        <v>44158</v>
      </c>
      <c r="G12" s="10">
        <f>IF(DAY(NovDom1)=1,NovDom1+23,NovDom1+30)</f>
        <v>44159</v>
      </c>
      <c r="H12" s="10">
        <f>IF(DAY(NovDom1)=1,NovDom1+24,NovDom1+31)</f>
        <v>44160</v>
      </c>
      <c r="I12" s="10">
        <f>IF(DAY(NovDom1)=1,NovDom1+25,NovDom1+32)</f>
        <v>44161</v>
      </c>
      <c r="J12" s="10">
        <f>IF(DAY(NovDom1)=1,NovDom1+26,NovDom1+33)</f>
        <v>44162</v>
      </c>
      <c r="K12" s="10">
        <f>IF(DAY(NovDom1)=1,NovDom1+27,NovDom1+34)</f>
        <v>44163</v>
      </c>
      <c r="L12" s="10">
        <f>IF(DAY(NovDom1)=1,NovDom1+28,NovDom1+35)</f>
        <v>44164</v>
      </c>
      <c r="M12" s="5"/>
      <c r="O12" s="31"/>
      <c r="P12" s="32"/>
      <c r="Q12" s="46"/>
      <c r="R12" s="32"/>
    </row>
    <row r="13" spans="4:18" ht="18" customHeight="1" x14ac:dyDescent="0.2">
      <c r="D13" s="4"/>
      <c r="E13" s="98"/>
      <c r="F13" s="10">
        <f>IF(DAY(NovDom1)=1,NovDom1+29,NovDom1+36)</f>
        <v>44165</v>
      </c>
      <c r="G13" s="10">
        <f>IF(DAY(NovDom1)=1,NovDom1+30,NovDom1+37)</f>
        <v>44166</v>
      </c>
      <c r="H13" s="10">
        <f>IF(DAY(NovDom1)=1,NovDom1+31,NovDom1+38)</f>
        <v>44167</v>
      </c>
      <c r="I13" s="10">
        <f>IF(DAY(NovDom1)=1,NovDom1+32,NovDom1+39)</f>
        <v>44168</v>
      </c>
      <c r="J13" s="10">
        <f>IF(DAY(NovDom1)=1,NovDom1+33,NovDom1+40)</f>
        <v>44169</v>
      </c>
      <c r="K13" s="10">
        <f>IF(DAY(NovDom1)=1,NovDom1+34,NovDom1+41)</f>
        <v>44170</v>
      </c>
      <c r="L13" s="10">
        <f>IF(DAY(NovDom1)=1,NovDom1+35,NovDom1+42)</f>
        <v>44171</v>
      </c>
      <c r="M13" s="5"/>
      <c r="O13" s="33"/>
      <c r="P13" s="34"/>
      <c r="Q13" s="52"/>
      <c r="R13" s="34"/>
    </row>
    <row r="14" spans="4:18" ht="23.25" customHeight="1" x14ac:dyDescent="0.2">
      <c r="D14" s="4"/>
      <c r="E14" s="99"/>
      <c r="F14" s="13"/>
      <c r="G14" s="13"/>
      <c r="H14" s="13"/>
      <c r="I14" s="13"/>
      <c r="J14" s="13"/>
      <c r="K14" s="13"/>
      <c r="L14" s="13"/>
      <c r="M14" s="14"/>
      <c r="O14" s="31"/>
      <c r="P14" s="32"/>
      <c r="Q14" s="46"/>
      <c r="R14" s="32"/>
    </row>
    <row r="15" spans="4:18" ht="26.25" customHeight="1" x14ac:dyDescent="0.2">
      <c r="D15" s="4"/>
      <c r="O15" s="33"/>
      <c r="P15" s="34"/>
      <c r="Q15" s="52"/>
      <c r="R15" s="34"/>
    </row>
    <row r="16" spans="4:18" ht="29.25" customHeight="1" x14ac:dyDescent="0.2">
      <c r="D16" s="4"/>
      <c r="O16" s="31"/>
      <c r="P16" s="32"/>
      <c r="Q16" s="46"/>
      <c r="R16" s="32"/>
    </row>
    <row r="17" spans="15:18" ht="26.25" customHeight="1" x14ac:dyDescent="0.2">
      <c r="O17" s="33"/>
      <c r="P17" s="34"/>
      <c r="Q17" s="52"/>
      <c r="R17" s="34"/>
    </row>
    <row r="18" spans="15:18" ht="18" customHeight="1" x14ac:dyDescent="0.2">
      <c r="O18" s="31"/>
      <c r="P18" s="32"/>
      <c r="Q18" s="46"/>
      <c r="R18" s="32"/>
    </row>
    <row r="19" spans="15:18" ht="18" customHeight="1" x14ac:dyDescent="0.2">
      <c r="O19" s="33"/>
      <c r="P19" s="34"/>
      <c r="Q19" s="52"/>
      <c r="R19" s="34"/>
    </row>
    <row r="20" spans="15:18" ht="18" customHeight="1" x14ac:dyDescent="0.2">
      <c r="O20" s="31"/>
      <c r="P20" s="32"/>
      <c r="Q20" s="46"/>
      <c r="R20" s="32"/>
    </row>
    <row r="21" spans="15:18" ht="18" customHeight="1" x14ac:dyDescent="0.2"/>
    <row r="22" spans="15:18" ht="18" customHeight="1" x14ac:dyDescent="0.2"/>
    <row r="23" spans="15:18" ht="18" customHeight="1" x14ac:dyDescent="0.2"/>
    <row r="24" spans="15:18" ht="18" customHeight="1" x14ac:dyDescent="0.2"/>
    <row r="25" spans="15:18" ht="18" customHeight="1" x14ac:dyDescent="0.2"/>
    <row r="26" spans="15:18" ht="18" customHeight="1" x14ac:dyDescent="0.2"/>
    <row r="27" spans="15:18" ht="18" customHeight="1" x14ac:dyDescent="0.2"/>
    <row r="28" spans="15:18" ht="18" customHeight="1" x14ac:dyDescent="0.2"/>
    <row r="29" spans="15:18" ht="18" customHeight="1" x14ac:dyDescent="0.2"/>
    <row r="30" spans="15:18" ht="18" customHeight="1" x14ac:dyDescent="0.2"/>
    <row r="31" spans="15:18" ht="18" customHeight="1" x14ac:dyDescent="0.2"/>
    <row r="32" spans="15:18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</sheetData>
  <mergeCells count="6">
    <mergeCell ref="R8:R9"/>
    <mergeCell ref="E6:E14"/>
    <mergeCell ref="O6:Q7"/>
    <mergeCell ref="O8:O9"/>
    <mergeCell ref="P8:P9"/>
    <mergeCell ref="Q8:Q9"/>
  </mergeCells>
  <conditionalFormatting sqref="F8:K8">
    <cfRule type="expression" dxfId="5" priority="3" stopIfTrue="1">
      <formula>DAY(F8)&gt;8</formula>
    </cfRule>
  </conditionalFormatting>
  <conditionalFormatting sqref="F12:L14">
    <cfRule type="expression" dxfId="4" priority="2" stopIfTrue="1">
      <formula>AND(DAY(F12)&gt;=1,DAY(F12)&lt;=15)</formula>
    </cfRule>
  </conditionalFormatting>
  <conditionalFormatting sqref="F8:L13">
    <cfRule type="expression" dxfId="3" priority="4">
      <formula>VLOOKUP(DAY(F8),DíasDeTareas,1,FALSE)=DAY(F8)</formula>
    </cfRule>
  </conditionalFormatting>
  <dataValidations count="1">
    <dataValidation allowBlank="1" showInputMessage="1" showErrorMessage="1" errorTitle="Invalid Year" error="Enter a year from 1900 to 9999, or use the scroll bar to find a year." sqref="R6"/>
  </dataValidations>
  <printOptions horizontalCentered="1"/>
  <pageMargins left="0.5" right="0.5" top="0.5" bottom="0.5" header="0.3" footer="0.3"/>
  <pageSetup scale="63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  <pageSetUpPr fitToPage="1"/>
  </sheetPr>
  <dimension ref="D2:AR36"/>
  <sheetViews>
    <sheetView showGridLines="0" zoomScaleNormal="100" zoomScalePageLayoutView="84" workbookViewId="0">
      <selection activeCell="P25" sqref="P25"/>
    </sheetView>
  </sheetViews>
  <sheetFormatPr baseColWidth="10" defaultColWidth="8.7109375" defaultRowHeight="16.5" customHeight="1" x14ac:dyDescent="0.2"/>
  <cols>
    <col min="1" max="3" width="8.7109375" style="1"/>
    <col min="4" max="4" width="2.28515625" style="1" customWidth="1"/>
    <col min="5" max="5" width="12.7109375" style="1" customWidth="1"/>
    <col min="6" max="13" width="6.7109375" style="1" customWidth="1"/>
    <col min="14" max="14" width="7.28515625" style="1" customWidth="1"/>
    <col min="15" max="15" width="11.28515625" customWidth="1"/>
    <col min="16" max="16" width="44.7109375" style="1" customWidth="1"/>
    <col min="17" max="17" width="10.7109375" style="1" customWidth="1"/>
    <col min="18" max="18" width="10.7109375" customWidth="1"/>
    <col min="19" max="25" width="8.85546875" customWidth="1"/>
    <col min="45" max="16384" width="8.7109375" style="1"/>
  </cols>
  <sheetData>
    <row r="2" spans="4:18" ht="16.5" customHeight="1" x14ac:dyDescent="0.2">
      <c r="O2" s="38" t="s">
        <v>39</v>
      </c>
    </row>
    <row r="3" spans="4:18" ht="16.5" customHeight="1" x14ac:dyDescent="0.2">
      <c r="E3" s="38"/>
      <c r="O3" s="28" t="s">
        <v>50</v>
      </c>
    </row>
    <row r="4" spans="4:18" ht="11.25" customHeight="1" x14ac:dyDescent="0.2"/>
    <row r="5" spans="4:18" ht="18" customHeight="1" x14ac:dyDescent="0.2">
      <c r="D5" s="4"/>
      <c r="E5" s="97" t="s">
        <v>13</v>
      </c>
      <c r="F5" s="11"/>
      <c r="G5" s="11"/>
      <c r="H5" s="11"/>
      <c r="I5" s="11"/>
      <c r="J5" s="11"/>
      <c r="K5" s="11"/>
      <c r="L5" s="11"/>
      <c r="M5" s="12"/>
      <c r="O5" s="133" t="s">
        <v>40</v>
      </c>
      <c r="P5" s="134"/>
      <c r="Q5" s="134"/>
      <c r="R5" s="18">
        <v>2020</v>
      </c>
    </row>
    <row r="6" spans="4:18" ht="21" customHeight="1" x14ac:dyDescent="0.2">
      <c r="D6" s="4"/>
      <c r="E6" s="98"/>
      <c r="F6" s="2" t="s">
        <v>8</v>
      </c>
      <c r="G6" s="2" t="s">
        <v>1</v>
      </c>
      <c r="H6" s="2" t="s">
        <v>9</v>
      </c>
      <c r="I6" s="2" t="s">
        <v>10</v>
      </c>
      <c r="J6" s="2" t="s">
        <v>11</v>
      </c>
      <c r="K6" s="2" t="s">
        <v>0</v>
      </c>
      <c r="L6" s="2" t="s">
        <v>12</v>
      </c>
      <c r="M6" s="5"/>
      <c r="O6" s="135"/>
      <c r="P6" s="136"/>
      <c r="Q6" s="136"/>
      <c r="R6" s="37"/>
    </row>
    <row r="7" spans="4:18" ht="18" customHeight="1" x14ac:dyDescent="0.2">
      <c r="D7" s="4"/>
      <c r="E7" s="98"/>
      <c r="F7" s="10">
        <f>IF(DAY(DicDom1)=1,DicDom1-6,DicDom1+1)</f>
        <v>44165</v>
      </c>
      <c r="G7" s="10">
        <f>IF(DAY(DicDom1)=1,DicDom1-5,DicDom1+2)</f>
        <v>44166</v>
      </c>
      <c r="H7" s="10">
        <f>IF(DAY(DicDom1)=1,DicDom1-4,DicDom1+3)</f>
        <v>44167</v>
      </c>
      <c r="I7" s="10">
        <f>IF(DAY(DicDom1)=1,DicDom1-3,DicDom1+4)</f>
        <v>44168</v>
      </c>
      <c r="J7" s="10">
        <f>IF(DAY(DicDom1)=1,DicDom1-2,DicDom1+5)</f>
        <v>44169</v>
      </c>
      <c r="K7" s="10">
        <f>IF(DAY(DicDom1)=1,DicDom1-1,DicDom1+6)</f>
        <v>44170</v>
      </c>
      <c r="L7" s="10">
        <f>IF(DAY(DicDom1)=1,DicDom1,DicDom1+7)</f>
        <v>44171</v>
      </c>
      <c r="M7" s="5"/>
      <c r="O7" s="137" t="s">
        <v>35</v>
      </c>
      <c r="P7" s="137" t="s">
        <v>36</v>
      </c>
      <c r="Q7" s="137" t="s">
        <v>37</v>
      </c>
      <c r="R7" s="137" t="s">
        <v>38</v>
      </c>
    </row>
    <row r="8" spans="4:18" ht="18" customHeight="1" x14ac:dyDescent="0.2">
      <c r="D8" s="4"/>
      <c r="E8" s="98"/>
      <c r="F8" s="10">
        <f>IF(DAY(DicDom1)=1,DicDom1+1,DicDom1+8)</f>
        <v>44172</v>
      </c>
      <c r="G8" s="10">
        <f>IF(DAY(DicDom1)=1,DicDom1+2,DicDom1+9)</f>
        <v>44173</v>
      </c>
      <c r="H8" s="10">
        <f>IF(DAY(DicDom1)=1,DicDom1+3,DicDom1+10)</f>
        <v>44174</v>
      </c>
      <c r="I8" s="10">
        <f>IF(DAY(DicDom1)=1,DicDom1+4,DicDom1+11)</f>
        <v>44175</v>
      </c>
      <c r="J8" s="10">
        <f>IF(DAY(DicDom1)=1,DicDom1+5,DicDom1+12)</f>
        <v>44176</v>
      </c>
      <c r="K8" s="10">
        <f>IF(DAY(DicDom1)=1,DicDom1+6,DicDom1+13)</f>
        <v>44177</v>
      </c>
      <c r="L8" s="10">
        <f>IF(DAY(DicDom1)=1,DicDom1+7,DicDom1+14)</f>
        <v>44178</v>
      </c>
      <c r="M8" s="5"/>
      <c r="O8" s="138"/>
      <c r="P8" s="138"/>
      <c r="Q8" s="138"/>
      <c r="R8" s="138"/>
    </row>
    <row r="9" spans="4:18" ht="18" customHeight="1" x14ac:dyDescent="0.2">
      <c r="D9" s="4"/>
      <c r="E9" s="98"/>
      <c r="F9" s="10">
        <f>IF(DAY(DicDom1)=1,DicDom1+8,DicDom1+15)</f>
        <v>44179</v>
      </c>
      <c r="G9" s="10">
        <f>IF(DAY(DicDom1)=1,DicDom1+9,DicDom1+16)</f>
        <v>44180</v>
      </c>
      <c r="H9" s="10">
        <f>IF(DAY(DicDom1)=1,DicDom1+10,DicDom1+17)</f>
        <v>44181</v>
      </c>
      <c r="I9" s="10">
        <f>IF(DAY(DicDom1)=1,DicDom1+11,DicDom1+18)</f>
        <v>44182</v>
      </c>
      <c r="J9" s="10">
        <f>IF(DAY(DicDom1)=1,DicDom1+12,DicDom1+19)</f>
        <v>44183</v>
      </c>
      <c r="K9" s="10">
        <f>IF(DAY(DicDom1)=1,DicDom1+13,DicDom1+20)</f>
        <v>44184</v>
      </c>
      <c r="L9" s="10">
        <f>IF(DAY(DicDom1)=1,DicDom1+14,DicDom1+21)</f>
        <v>44185</v>
      </c>
      <c r="M9" s="5"/>
      <c r="O9" s="31"/>
      <c r="P9" s="32"/>
      <c r="Q9" s="32"/>
      <c r="R9" s="32"/>
    </row>
    <row r="10" spans="4:18" ht="18" customHeight="1" x14ac:dyDescent="0.2">
      <c r="D10" s="4"/>
      <c r="E10" s="98"/>
      <c r="F10" s="10">
        <f>IF(DAY(DicDom1)=1,DicDom1+15,DicDom1+22)</f>
        <v>44186</v>
      </c>
      <c r="G10" s="10">
        <f>IF(DAY(DicDom1)=1,DicDom1+16,DicDom1+23)</f>
        <v>44187</v>
      </c>
      <c r="H10" s="10">
        <f>IF(DAY(DicDom1)=1,DicDom1+17,DicDom1+24)</f>
        <v>44188</v>
      </c>
      <c r="I10" s="10">
        <f>IF(DAY(DicDom1)=1,DicDom1+18,DicDom1+25)</f>
        <v>44189</v>
      </c>
      <c r="J10" s="10">
        <f>IF(DAY(DicDom1)=1,DicDom1+19,DicDom1+26)</f>
        <v>44190</v>
      </c>
      <c r="K10" s="10">
        <f>IF(DAY(DicDom1)=1,DicDom1+20,DicDom1+27)</f>
        <v>44191</v>
      </c>
      <c r="L10" s="10">
        <f>IF(DAY(DicDom1)=1,DicDom1+21,DicDom1+28)</f>
        <v>44192</v>
      </c>
      <c r="M10" s="5"/>
      <c r="O10" s="33"/>
      <c r="P10" s="34"/>
      <c r="Q10" s="34"/>
      <c r="R10" s="34"/>
    </row>
    <row r="11" spans="4:18" ht="18.75" customHeight="1" x14ac:dyDescent="0.2">
      <c r="D11" s="4"/>
      <c r="E11" s="98"/>
      <c r="F11" s="10">
        <f>IF(DAY(DicDom1)=1,DicDom1+22,DicDom1+29)</f>
        <v>44193</v>
      </c>
      <c r="G11" s="10">
        <f>IF(DAY(DicDom1)=1,DicDom1+23,DicDom1+30)</f>
        <v>44194</v>
      </c>
      <c r="H11" s="10">
        <f>IF(DAY(DicDom1)=1,DicDom1+24,DicDom1+31)</f>
        <v>44195</v>
      </c>
      <c r="I11" s="10">
        <f>IF(DAY(DicDom1)=1,DicDom1+25,DicDom1+32)</f>
        <v>44196</v>
      </c>
      <c r="J11" s="10">
        <f>IF(DAY(DicDom1)=1,DicDom1+26,DicDom1+33)</f>
        <v>44197</v>
      </c>
      <c r="K11" s="10">
        <f>IF(DAY(DicDom1)=1,DicDom1+27,DicDom1+34)</f>
        <v>44198</v>
      </c>
      <c r="L11" s="10">
        <f>IF(DAY(DicDom1)=1,DicDom1+28,DicDom1+35)</f>
        <v>44199</v>
      </c>
      <c r="M11" s="5"/>
      <c r="O11" s="31"/>
      <c r="P11" s="32"/>
      <c r="Q11" s="32"/>
      <c r="R11" s="32"/>
    </row>
    <row r="12" spans="4:18" ht="18" customHeight="1" x14ac:dyDescent="0.2">
      <c r="D12" s="4"/>
      <c r="E12" s="98"/>
      <c r="F12" s="10">
        <f>IF(DAY(DicDom1)=1,DicDom1+29,DicDom1+36)</f>
        <v>44200</v>
      </c>
      <c r="G12" s="10">
        <f>IF(DAY(DicDom1)=1,DicDom1+30,DicDom1+37)</f>
        <v>44201</v>
      </c>
      <c r="H12" s="10">
        <f>IF(DAY(DicDom1)=1,DicDom1+31,DicDom1+38)</f>
        <v>44202</v>
      </c>
      <c r="I12" s="10">
        <f>IF(DAY(DicDom1)=1,DicDom1+32,DicDom1+39)</f>
        <v>44203</v>
      </c>
      <c r="J12" s="10">
        <f>IF(DAY(DicDom1)=1,DicDom1+33,DicDom1+40)</f>
        <v>44204</v>
      </c>
      <c r="K12" s="10">
        <f>IF(DAY(DicDom1)=1,DicDom1+34,DicDom1+41)</f>
        <v>44205</v>
      </c>
      <c r="L12" s="10">
        <f>IF(DAY(DicDom1)=1,DicDom1+35,DicDom1+42)</f>
        <v>44206</v>
      </c>
      <c r="M12" s="5"/>
      <c r="O12" s="33"/>
      <c r="P12" s="34"/>
      <c r="Q12" s="34"/>
      <c r="R12" s="34"/>
    </row>
    <row r="13" spans="4:18" ht="18" customHeight="1" x14ac:dyDescent="0.2">
      <c r="D13" s="4"/>
      <c r="E13" s="99"/>
      <c r="F13" s="13"/>
      <c r="G13" s="13"/>
      <c r="H13" s="13"/>
      <c r="I13" s="13"/>
      <c r="J13" s="13"/>
      <c r="K13" s="13"/>
      <c r="L13" s="13"/>
      <c r="M13" s="14"/>
      <c r="O13" s="31"/>
      <c r="P13" s="32"/>
      <c r="Q13" s="32"/>
      <c r="R13" s="32"/>
    </row>
    <row r="14" spans="4:18" ht="18" customHeight="1" x14ac:dyDescent="0.2">
      <c r="D14" s="4"/>
      <c r="O14" s="33"/>
      <c r="P14" s="34"/>
      <c r="Q14" s="34"/>
      <c r="R14" s="34"/>
    </row>
    <row r="15" spans="4:18" ht="18" customHeight="1" x14ac:dyDescent="0.2">
      <c r="D15" s="4"/>
      <c r="O15" s="31"/>
      <c r="P15" s="32"/>
      <c r="Q15" s="32"/>
      <c r="R15" s="32"/>
    </row>
    <row r="16" spans="4:18" ht="18" customHeight="1" x14ac:dyDescent="0.2">
      <c r="O16" s="33"/>
      <c r="P16" s="34"/>
      <c r="Q16" s="35"/>
      <c r="R16" s="34"/>
    </row>
    <row r="17" spans="15:18" ht="18" customHeight="1" x14ac:dyDescent="0.2">
      <c r="O17" s="31"/>
      <c r="P17" s="32"/>
      <c r="Q17" s="32"/>
      <c r="R17" s="32"/>
    </row>
    <row r="18" spans="15:18" ht="18" customHeight="1" x14ac:dyDescent="0.2">
      <c r="O18" s="33"/>
      <c r="P18" s="34"/>
      <c r="Q18" s="34"/>
      <c r="R18" s="34"/>
    </row>
    <row r="19" spans="15:18" ht="18" customHeight="1" x14ac:dyDescent="0.2">
      <c r="O19" s="31"/>
      <c r="P19" s="32"/>
      <c r="Q19" s="36"/>
      <c r="R19" s="32"/>
    </row>
    <row r="20" spans="15:18" ht="18" customHeight="1" x14ac:dyDescent="0.2"/>
    <row r="21" spans="15:18" ht="18" customHeight="1" x14ac:dyDescent="0.2"/>
    <row r="22" spans="15:18" ht="18" customHeight="1" x14ac:dyDescent="0.2"/>
    <row r="23" spans="15:18" ht="18" customHeight="1" x14ac:dyDescent="0.2"/>
    <row r="24" spans="15:18" ht="18" customHeight="1" x14ac:dyDescent="0.2"/>
    <row r="25" spans="15:18" ht="18" customHeight="1" x14ac:dyDescent="0.2"/>
    <row r="26" spans="15:18" ht="18" customHeight="1" x14ac:dyDescent="0.2"/>
    <row r="27" spans="15:18" ht="18" customHeight="1" x14ac:dyDescent="0.2"/>
    <row r="28" spans="15:18" ht="18" customHeight="1" x14ac:dyDescent="0.2"/>
    <row r="29" spans="15:18" ht="18" customHeight="1" x14ac:dyDescent="0.2"/>
    <row r="30" spans="15:18" ht="18" customHeight="1" x14ac:dyDescent="0.2"/>
    <row r="31" spans="15:18" ht="18" customHeight="1" x14ac:dyDescent="0.2"/>
    <row r="32" spans="15:18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</sheetData>
  <mergeCells count="6">
    <mergeCell ref="R7:R8"/>
    <mergeCell ref="E5:E13"/>
    <mergeCell ref="O5:Q6"/>
    <mergeCell ref="O7:O8"/>
    <mergeCell ref="P7:P8"/>
    <mergeCell ref="Q7:Q8"/>
  </mergeCells>
  <conditionalFormatting sqref="F7:K7">
    <cfRule type="expression" dxfId="2" priority="3" stopIfTrue="1">
      <formula>DAY(F7)&gt;8</formula>
    </cfRule>
  </conditionalFormatting>
  <conditionalFormatting sqref="F11:L13">
    <cfRule type="expression" dxfId="1" priority="2" stopIfTrue="1">
      <formula>AND(DAY(F11)&gt;=1,DAY(F11)&lt;=15)</formula>
    </cfRule>
  </conditionalFormatting>
  <conditionalFormatting sqref="F7:L12">
    <cfRule type="expression" dxfId="0" priority="4">
      <formula>VLOOKUP(DAY(F7),DíasDeTareas,1,FALSE)=DAY(F7)</formula>
    </cfRule>
  </conditionalFormatting>
  <dataValidations count="1">
    <dataValidation allowBlank="1" showInputMessage="1" showErrorMessage="1" errorTitle="Invalid Year" error="Enter a year from 1900 to 9999, or use the scroll bar to find a year." sqref="R5"/>
  </dataValidations>
  <printOptions horizontalCentered="1"/>
  <pageMargins left="0.5" right="0.5" top="0.5" bottom="0.5" header="0.3" footer="0.3"/>
  <pageSetup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  <pageSetUpPr fitToPage="1"/>
  </sheetPr>
  <dimension ref="D2:AQ38"/>
  <sheetViews>
    <sheetView showGridLines="0" topLeftCell="E13" zoomScaleNormal="100" zoomScalePageLayoutView="84" workbookViewId="0">
      <selection activeCell="P28" sqref="P28"/>
    </sheetView>
  </sheetViews>
  <sheetFormatPr baseColWidth="10" defaultColWidth="8.7109375" defaultRowHeight="16.5" customHeight="1" x14ac:dyDescent="0.2"/>
  <cols>
    <col min="1" max="1" width="4.7109375" style="1" customWidth="1"/>
    <col min="2" max="3" width="8.7109375" style="1"/>
    <col min="4" max="4" width="2.28515625" style="1" customWidth="1"/>
    <col min="5" max="5" width="12.7109375" style="1" customWidth="1"/>
    <col min="6" max="13" width="6.7109375" style="1" customWidth="1"/>
    <col min="14" max="14" width="7.28515625" style="1" customWidth="1"/>
    <col min="15" max="15" width="11.140625" style="1" customWidth="1"/>
    <col min="16" max="16" width="67.85546875" style="1" customWidth="1"/>
    <col min="17" max="17" width="12.28515625" customWidth="1"/>
    <col min="18" max="18" width="24.28515625" customWidth="1"/>
    <col min="19" max="24" width="8.85546875" customWidth="1"/>
    <col min="44" max="16384" width="8.7109375" style="1"/>
  </cols>
  <sheetData>
    <row r="2" spans="4:18" ht="16.5" customHeight="1" x14ac:dyDescent="0.2">
      <c r="O2" s="38" t="s">
        <v>39</v>
      </c>
    </row>
    <row r="3" spans="4:18" ht="16.5" customHeight="1" x14ac:dyDescent="0.2">
      <c r="O3" s="28" t="s">
        <v>50</v>
      </c>
    </row>
    <row r="6" spans="4:18" ht="11.25" customHeight="1" x14ac:dyDescent="0.2"/>
    <row r="7" spans="4:18" ht="18" customHeight="1" x14ac:dyDescent="0.2">
      <c r="D7" s="4"/>
      <c r="E7" s="97" t="s">
        <v>34</v>
      </c>
      <c r="F7" s="11"/>
      <c r="G7" s="11"/>
      <c r="H7" s="11"/>
      <c r="I7" s="11"/>
      <c r="J7" s="11"/>
      <c r="K7" s="11"/>
      <c r="L7" s="11"/>
      <c r="M7" s="12"/>
      <c r="O7" s="133" t="s">
        <v>40</v>
      </c>
      <c r="P7" s="134"/>
      <c r="Q7" s="134"/>
      <c r="R7" s="18">
        <v>2020</v>
      </c>
    </row>
    <row r="8" spans="4:18" ht="21" customHeight="1" x14ac:dyDescent="0.2">
      <c r="D8" s="4"/>
      <c r="E8" s="98"/>
      <c r="F8" s="2" t="s">
        <v>8</v>
      </c>
      <c r="G8" s="2" t="s">
        <v>1</v>
      </c>
      <c r="H8" s="2" t="s">
        <v>9</v>
      </c>
      <c r="I8" s="2" t="s">
        <v>10</v>
      </c>
      <c r="J8" s="2" t="s">
        <v>11</v>
      </c>
      <c r="K8" s="2" t="s">
        <v>0</v>
      </c>
      <c r="L8" s="2" t="s">
        <v>12</v>
      </c>
      <c r="M8" s="5"/>
      <c r="O8" s="135"/>
      <c r="P8" s="136"/>
      <c r="Q8" s="136"/>
      <c r="R8" s="37"/>
    </row>
    <row r="9" spans="4:18" ht="18" customHeight="1" x14ac:dyDescent="0.2">
      <c r="D9" s="4"/>
      <c r="E9" s="98"/>
      <c r="F9" s="10">
        <f>IF(DAY(FebDom1)=1,FebDom1-6,FebDom1+1)</f>
        <v>43857</v>
      </c>
      <c r="G9" s="10">
        <f>IF(DAY(FebDom1)=1,FebDom1-5,FebDom1+2)</f>
        <v>43858</v>
      </c>
      <c r="H9" s="10">
        <f>IF(DAY(FebDom1)=1,FebDom1-4,FebDom1+3)</f>
        <v>43859</v>
      </c>
      <c r="I9" s="10">
        <f>IF(DAY(FebDom1)=1,FebDom1-3,FebDom1+4)</f>
        <v>43860</v>
      </c>
      <c r="J9" s="10">
        <f>IF(DAY(FebDom1)=1,FebDom1-2,FebDom1+5)</f>
        <v>43861</v>
      </c>
      <c r="K9" s="10">
        <f>IF(DAY(FebDom1)=1,FebDom1-1,FebDom1+6)</f>
        <v>43862</v>
      </c>
      <c r="L9" s="10">
        <f>IF(DAY(FebDom1)=1,FebDom1,FebDom1+7)</f>
        <v>43863</v>
      </c>
      <c r="M9" s="5"/>
      <c r="O9" s="137" t="s">
        <v>35</v>
      </c>
      <c r="P9" s="137" t="s">
        <v>36</v>
      </c>
      <c r="Q9" s="137" t="s">
        <v>37</v>
      </c>
      <c r="R9" s="137" t="s">
        <v>38</v>
      </c>
    </row>
    <row r="10" spans="4:18" ht="18" customHeight="1" x14ac:dyDescent="0.2">
      <c r="D10" s="4"/>
      <c r="E10" s="98"/>
      <c r="F10" s="10">
        <f>IF(DAY(FebDom1)=1,FebDom1+1,FebDom1+8)</f>
        <v>43864</v>
      </c>
      <c r="G10" s="41">
        <f>IF(DAY(FebDom1)=1,FebDom1+2,FebDom1+9)</f>
        <v>43865</v>
      </c>
      <c r="H10" s="10">
        <f>IF(DAY(FebDom1)=1,FebDom1+3,FebDom1+10)</f>
        <v>43866</v>
      </c>
      <c r="I10" s="10">
        <f>IF(DAY(FebDom1)=1,FebDom1+4,FebDom1+11)</f>
        <v>43867</v>
      </c>
      <c r="J10" s="10">
        <f>IF(DAY(FebDom1)=1,FebDom1+5,FebDom1+12)</f>
        <v>43868</v>
      </c>
      <c r="K10" s="10">
        <f>IF(DAY(FebDom1)=1,FebDom1+6,FebDom1+13)</f>
        <v>43869</v>
      </c>
      <c r="L10" s="10">
        <f>IF(DAY(FebDom1)=1,FebDom1+7,FebDom1+14)</f>
        <v>43870</v>
      </c>
      <c r="M10" s="5"/>
      <c r="O10" s="138"/>
      <c r="P10" s="138"/>
      <c r="Q10" s="138"/>
      <c r="R10" s="138"/>
    </row>
    <row r="11" spans="4:18" ht="28.5" customHeight="1" x14ac:dyDescent="0.2">
      <c r="D11" s="4"/>
      <c r="E11" s="98"/>
      <c r="F11" s="10">
        <f>IF(DAY(FebDom1)=1,FebDom1+8,FebDom1+15)</f>
        <v>43871</v>
      </c>
      <c r="G11" s="10">
        <f>IF(DAY(FebDom1)=1,FebDom1+9,FebDom1+16)</f>
        <v>43872</v>
      </c>
      <c r="H11" s="10">
        <f>IF(DAY(FebDom1)=1,FebDom1+10,FebDom1+17)</f>
        <v>43873</v>
      </c>
      <c r="I11" s="41">
        <f>IF(DAY(FebDom1)=1,FebDom1+11,FebDom1+18)</f>
        <v>43874</v>
      </c>
      <c r="J11" s="10">
        <f>IF(DAY(FebDom1)=1,FebDom1+12,FebDom1+19)</f>
        <v>43875</v>
      </c>
      <c r="K11" s="10">
        <f>IF(DAY(FebDom1)=1,FebDom1+13,FebDom1+20)</f>
        <v>43876</v>
      </c>
      <c r="L11" s="10">
        <f>IF(DAY(FebDom1)=1,FebDom1+14,FebDom1+21)</f>
        <v>43877</v>
      </c>
      <c r="M11" s="5"/>
      <c r="O11" s="141">
        <v>3</v>
      </c>
      <c r="P11" s="132" t="s">
        <v>79</v>
      </c>
      <c r="Q11" s="130" t="s">
        <v>78</v>
      </c>
      <c r="R11" s="132" t="s">
        <v>80</v>
      </c>
    </row>
    <row r="12" spans="4:18" ht="27.75" hidden="1" customHeight="1" x14ac:dyDescent="0.2">
      <c r="D12" s="4"/>
      <c r="E12" s="98"/>
      <c r="F12" s="10">
        <f>IF(DAY(FebDom1)=1,FebDom1+15,FebDom1+22)</f>
        <v>43878</v>
      </c>
      <c r="G12" s="41">
        <f>IF(DAY(FebDom1)=1,FebDom1+16,FebDom1+23)</f>
        <v>43879</v>
      </c>
      <c r="H12" s="10">
        <f>IF(DAY(FebDom1)=1,FebDom1+17,FebDom1+24)</f>
        <v>43880</v>
      </c>
      <c r="I12" s="10">
        <f>IF(DAY(FebDom1)=1,FebDom1+18,FebDom1+25)</f>
        <v>43881</v>
      </c>
      <c r="J12" s="10">
        <f>IF(DAY(FebDom1)=1,FebDom1+19,FebDom1+26)</f>
        <v>43882</v>
      </c>
      <c r="K12" s="10">
        <f>IF(DAY(FebDom1)=1,FebDom1+20,FebDom1+27)</f>
        <v>43883</v>
      </c>
      <c r="L12" s="10">
        <f>IF(DAY(FebDom1)=1,FebDom1+21,FebDom1+28)</f>
        <v>43884</v>
      </c>
      <c r="M12" s="5"/>
      <c r="O12" s="142"/>
      <c r="P12" s="131"/>
      <c r="Q12" s="131"/>
      <c r="R12" s="131"/>
    </row>
    <row r="13" spans="4:18" ht="18.75" customHeight="1" x14ac:dyDescent="0.2">
      <c r="D13" s="4"/>
      <c r="E13" s="98"/>
      <c r="F13" s="10">
        <f>IF(DAY(FebDom1)=1,FebDom1+22,FebDom1+29)</f>
        <v>43885</v>
      </c>
      <c r="G13" s="10">
        <f>IF(DAY(FebDom1)=1,FebDom1+23,FebDom1+30)</f>
        <v>43886</v>
      </c>
      <c r="H13" s="41">
        <f>IF(DAY(FebDom1)=1,FebDom1+24,FebDom1+31)</f>
        <v>43887</v>
      </c>
      <c r="I13" s="10">
        <f>IF(DAY(FebDom1)=1,FebDom1+25,FebDom1+32)</f>
        <v>43888</v>
      </c>
      <c r="J13" s="10">
        <f>IF(DAY(FebDom1)=1,FebDom1+26,FebDom1+33)</f>
        <v>43889</v>
      </c>
      <c r="K13" s="10">
        <f>IF(DAY(FebDom1)=1,FebDom1+27,FebDom1+34)</f>
        <v>43890</v>
      </c>
      <c r="L13" s="10">
        <f>IF(DAY(FebDom1)=1,FebDom1+28,FebDom1+35)</f>
        <v>43891</v>
      </c>
      <c r="M13" s="5"/>
      <c r="O13" s="143">
        <v>4</v>
      </c>
      <c r="P13" s="120" t="s">
        <v>81</v>
      </c>
      <c r="Q13" s="118" t="s">
        <v>58</v>
      </c>
      <c r="R13" s="120" t="s">
        <v>82</v>
      </c>
    </row>
    <row r="14" spans="4:18" ht="18" customHeight="1" x14ac:dyDescent="0.2">
      <c r="D14" s="4"/>
      <c r="E14" s="98"/>
      <c r="F14" s="10">
        <f>IF(DAY(FebDom1)=1,FebDom1+29,FebDom1+36)</f>
        <v>43892</v>
      </c>
      <c r="G14" s="10">
        <f>IF(DAY(FebDom1)=1,FebDom1+30,FebDom1+37)</f>
        <v>43893</v>
      </c>
      <c r="H14" s="10">
        <f>IF(DAY(FebDom1)=1,FebDom1+31,FebDom1+38)</f>
        <v>43894</v>
      </c>
      <c r="I14" s="10">
        <f>IF(DAY(FebDom1)=1,FebDom1+32,FebDom1+39)</f>
        <v>43895</v>
      </c>
      <c r="J14" s="10">
        <f>IF(DAY(FebDom1)=1,FebDom1+33,FebDom1+40)</f>
        <v>43896</v>
      </c>
      <c r="K14" s="10">
        <f>IF(DAY(FebDom1)=1,FebDom1+34,FebDom1+41)</f>
        <v>43897</v>
      </c>
      <c r="L14" s="10">
        <f>IF(DAY(FebDom1)=1,FebDom1+35,FebDom1+42)</f>
        <v>43898</v>
      </c>
      <c r="M14" s="5"/>
      <c r="O14" s="144"/>
      <c r="P14" s="121"/>
      <c r="Q14" s="119"/>
      <c r="R14" s="121"/>
    </row>
    <row r="15" spans="4:18" ht="18" customHeight="1" x14ac:dyDescent="0.2">
      <c r="D15" s="4"/>
      <c r="E15" s="99"/>
      <c r="F15" s="13"/>
      <c r="G15" s="13"/>
      <c r="H15" s="13"/>
      <c r="I15" s="13"/>
      <c r="J15" s="13"/>
      <c r="K15" s="13"/>
      <c r="L15" s="13"/>
      <c r="M15" s="14"/>
      <c r="O15" s="122">
        <v>5</v>
      </c>
      <c r="P15" s="124" t="s">
        <v>83</v>
      </c>
      <c r="Q15" s="126" t="s">
        <v>84</v>
      </c>
      <c r="R15" s="128" t="s">
        <v>41</v>
      </c>
    </row>
    <row r="16" spans="4:18" ht="18" customHeight="1" x14ac:dyDescent="0.2">
      <c r="D16" s="4"/>
      <c r="O16" s="123"/>
      <c r="P16" s="125"/>
      <c r="Q16" s="127"/>
      <c r="R16" s="129"/>
    </row>
    <row r="17" spans="4:18" ht="18" customHeight="1" x14ac:dyDescent="0.2">
      <c r="D17" s="4"/>
      <c r="O17" s="139">
        <v>10</v>
      </c>
      <c r="P17" s="120" t="s">
        <v>103</v>
      </c>
      <c r="Q17" s="69" t="s">
        <v>73</v>
      </c>
      <c r="R17" s="42" t="s">
        <v>41</v>
      </c>
    </row>
    <row r="18" spans="4:18" ht="2.25" customHeight="1" x14ac:dyDescent="0.2">
      <c r="O18" s="140"/>
      <c r="P18" s="121"/>
      <c r="Q18" s="68"/>
      <c r="R18" s="43"/>
    </row>
    <row r="19" spans="4:18" ht="31.5" customHeight="1" x14ac:dyDescent="0.2">
      <c r="O19" s="31">
        <v>11</v>
      </c>
      <c r="P19" s="31" t="s">
        <v>85</v>
      </c>
      <c r="Q19" s="31" t="s">
        <v>86</v>
      </c>
      <c r="R19" s="31" t="s">
        <v>87</v>
      </c>
    </row>
    <row r="20" spans="4:18" ht="31.5" customHeight="1" x14ac:dyDescent="0.2">
      <c r="O20" s="66">
        <v>12</v>
      </c>
      <c r="P20" s="67" t="s">
        <v>88</v>
      </c>
      <c r="Q20" s="69" t="s">
        <v>86</v>
      </c>
      <c r="R20" s="42" t="s">
        <v>87</v>
      </c>
    </row>
    <row r="21" spans="4:18" ht="18" customHeight="1" x14ac:dyDescent="0.2">
      <c r="O21" s="31">
        <v>13</v>
      </c>
      <c r="P21" s="31" t="s">
        <v>89</v>
      </c>
      <c r="Q21" s="73" t="s">
        <v>51</v>
      </c>
      <c r="R21" s="31" t="s">
        <v>90</v>
      </c>
    </row>
    <row r="22" spans="4:18" ht="25.5" customHeight="1" x14ac:dyDescent="0.2">
      <c r="O22" s="66">
        <v>14</v>
      </c>
      <c r="P22" s="67" t="s">
        <v>91</v>
      </c>
      <c r="Q22" s="69" t="s">
        <v>92</v>
      </c>
      <c r="R22" s="42" t="s">
        <v>87</v>
      </c>
    </row>
    <row r="23" spans="4:18" ht="25.5" customHeight="1" x14ac:dyDescent="0.2">
      <c r="O23" s="31">
        <v>17</v>
      </c>
      <c r="P23" s="31" t="s">
        <v>95</v>
      </c>
      <c r="Q23" s="31" t="s">
        <v>93</v>
      </c>
      <c r="R23" s="31" t="s">
        <v>87</v>
      </c>
    </row>
    <row r="24" spans="4:18" ht="31.5" customHeight="1" x14ac:dyDescent="0.2">
      <c r="O24" s="66">
        <v>18</v>
      </c>
      <c r="P24" s="67" t="s">
        <v>94</v>
      </c>
      <c r="Q24" s="69" t="s">
        <v>99</v>
      </c>
      <c r="R24" s="42" t="s">
        <v>87</v>
      </c>
    </row>
    <row r="25" spans="4:18" ht="27.75" customHeight="1" x14ac:dyDescent="0.2">
      <c r="O25" s="31">
        <v>19</v>
      </c>
      <c r="P25" s="31" t="s">
        <v>96</v>
      </c>
      <c r="Q25" s="31" t="s">
        <v>92</v>
      </c>
      <c r="R25" s="31" t="s">
        <v>87</v>
      </c>
    </row>
    <row r="26" spans="4:18" ht="31.5" customHeight="1" x14ac:dyDescent="0.2">
      <c r="O26" s="66">
        <v>20</v>
      </c>
      <c r="P26" s="67" t="s">
        <v>97</v>
      </c>
      <c r="Q26" s="69" t="s">
        <v>61</v>
      </c>
      <c r="R26" s="42" t="s">
        <v>87</v>
      </c>
    </row>
    <row r="27" spans="4:18" ht="31.5" customHeight="1" x14ac:dyDescent="0.2">
      <c r="O27" s="31">
        <v>21</v>
      </c>
      <c r="P27" s="31" t="s">
        <v>98</v>
      </c>
      <c r="Q27" s="31" t="s">
        <v>84</v>
      </c>
      <c r="R27" s="31" t="s">
        <v>87</v>
      </c>
    </row>
    <row r="28" spans="4:18" ht="37.5" customHeight="1" x14ac:dyDescent="0.2">
      <c r="O28" s="66">
        <v>24</v>
      </c>
      <c r="P28" s="67" t="s">
        <v>100</v>
      </c>
      <c r="Q28" s="69" t="s">
        <v>51</v>
      </c>
      <c r="R28" s="42" t="s">
        <v>87</v>
      </c>
    </row>
    <row r="29" spans="4:18" ht="37.5" customHeight="1" x14ac:dyDescent="0.2">
      <c r="O29" s="31">
        <v>25</v>
      </c>
      <c r="P29" s="31" t="s">
        <v>107</v>
      </c>
      <c r="Q29" s="31" t="s">
        <v>99</v>
      </c>
      <c r="R29" s="31" t="s">
        <v>87</v>
      </c>
    </row>
    <row r="30" spans="4:18" ht="36" customHeight="1" x14ac:dyDescent="0.2">
      <c r="O30" s="72">
        <v>26</v>
      </c>
      <c r="P30" s="71" t="s">
        <v>106</v>
      </c>
      <c r="Q30" s="70" t="s">
        <v>99</v>
      </c>
      <c r="R30" s="42" t="s">
        <v>87</v>
      </c>
    </row>
    <row r="31" spans="4:18" ht="18" customHeight="1" x14ac:dyDescent="0.2">
      <c r="O31" s="31">
        <v>26</v>
      </c>
      <c r="P31" s="31" t="s">
        <v>101</v>
      </c>
      <c r="Q31" s="31" t="s">
        <v>54</v>
      </c>
      <c r="R31" s="31" t="s">
        <v>52</v>
      </c>
    </row>
    <row r="32" spans="4:18" ht="30.75" customHeight="1" x14ac:dyDescent="0.2">
      <c r="O32" s="74">
        <v>27</v>
      </c>
      <c r="P32" s="33" t="s">
        <v>102</v>
      </c>
      <c r="Q32" s="40" t="s">
        <v>84</v>
      </c>
      <c r="R32" s="75" t="s">
        <v>41</v>
      </c>
    </row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</sheetData>
  <mergeCells count="20">
    <mergeCell ref="O17:O18"/>
    <mergeCell ref="P17:P18"/>
    <mergeCell ref="E7:E15"/>
    <mergeCell ref="P11:P12"/>
    <mergeCell ref="O11:O12"/>
    <mergeCell ref="P13:P14"/>
    <mergeCell ref="O13:O14"/>
    <mergeCell ref="Q11:Q12"/>
    <mergeCell ref="R11:R12"/>
    <mergeCell ref="O7:Q8"/>
    <mergeCell ref="O9:O10"/>
    <mergeCell ref="P9:P10"/>
    <mergeCell ref="Q9:Q10"/>
    <mergeCell ref="R9:R10"/>
    <mergeCell ref="Q13:Q14"/>
    <mergeCell ref="R13:R14"/>
    <mergeCell ref="O15:O16"/>
    <mergeCell ref="P15:P16"/>
    <mergeCell ref="Q15:Q16"/>
    <mergeCell ref="R15:R16"/>
  </mergeCells>
  <conditionalFormatting sqref="F9:K9">
    <cfRule type="expression" dxfId="33" priority="3" stopIfTrue="1">
      <formula>DAY(F9)&gt;8</formula>
    </cfRule>
  </conditionalFormatting>
  <conditionalFormatting sqref="F13:L15">
    <cfRule type="expression" dxfId="32" priority="2" stopIfTrue="1">
      <formula>AND(DAY(F13)&gt;=1,DAY(F13)&lt;=15)</formula>
    </cfRule>
  </conditionalFormatting>
  <conditionalFormatting sqref="F9:L14">
    <cfRule type="expression" dxfId="31" priority="4">
      <formula>VLOOKUP(DAY(F9),DíasDeTareas,1,FALSE)=DAY(F9)</formula>
    </cfRule>
  </conditionalFormatting>
  <dataValidations count="1">
    <dataValidation allowBlank="1" showInputMessage="1" showErrorMessage="1" errorTitle="Invalid Year" error="Enter a year from 1900 to 9999, or use the scroll bar to find a year." sqref="R7"/>
  </dataValidations>
  <printOptions horizontalCentered="1"/>
  <pageMargins left="0.5" right="0.5" top="0.5" bottom="0.5" header="0.3" footer="0.3"/>
  <pageSetup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  <pageSetUpPr fitToPage="1"/>
  </sheetPr>
  <dimension ref="D2:AR56"/>
  <sheetViews>
    <sheetView showGridLines="0" topLeftCell="B7" zoomScaleNormal="100" zoomScalePageLayoutView="84" workbookViewId="0">
      <selection activeCell="P11" sqref="P11:R12"/>
    </sheetView>
  </sheetViews>
  <sheetFormatPr baseColWidth="10" defaultColWidth="8.7109375" defaultRowHeight="16.5" customHeight="1" x14ac:dyDescent="0.2"/>
  <cols>
    <col min="1" max="3" width="8.7109375" style="1"/>
    <col min="4" max="4" width="2.28515625" style="1" customWidth="1"/>
    <col min="5" max="5" width="12.7109375" style="1" customWidth="1"/>
    <col min="6" max="13" width="6.7109375" style="1" customWidth="1"/>
    <col min="14" max="14" width="7.28515625" style="1" customWidth="1"/>
    <col min="15" max="15" width="9.5703125" customWidth="1"/>
    <col min="16" max="16" width="50.42578125" style="1" customWidth="1"/>
    <col min="17" max="17" width="10.7109375" style="1" customWidth="1"/>
    <col min="18" max="18" width="17.7109375" customWidth="1"/>
    <col min="19" max="25" width="8.85546875" customWidth="1"/>
    <col min="45" max="16384" width="8.7109375" style="1"/>
  </cols>
  <sheetData>
    <row r="2" spans="4:18" ht="16.5" customHeight="1" x14ac:dyDescent="0.2">
      <c r="O2" s="1"/>
    </row>
    <row r="3" spans="4:18" ht="16.5" customHeight="1" x14ac:dyDescent="0.2">
      <c r="O3" s="38" t="s">
        <v>39</v>
      </c>
    </row>
    <row r="4" spans="4:18" ht="16.5" customHeight="1" x14ac:dyDescent="0.2">
      <c r="O4" s="28" t="s">
        <v>50</v>
      </c>
    </row>
    <row r="5" spans="4:18" ht="16.5" customHeight="1" x14ac:dyDescent="0.2">
      <c r="O5" s="1"/>
    </row>
    <row r="6" spans="4:18" ht="11.25" customHeight="1" x14ac:dyDescent="0.2">
      <c r="O6" s="1"/>
    </row>
    <row r="7" spans="4:18" ht="18" customHeight="1" x14ac:dyDescent="0.2">
      <c r="D7" s="4"/>
      <c r="E7" s="97" t="s">
        <v>33</v>
      </c>
      <c r="F7" s="11"/>
      <c r="G7" s="11"/>
      <c r="H7" s="11"/>
      <c r="I7" s="11"/>
      <c r="J7" s="11"/>
      <c r="K7" s="11"/>
      <c r="L7" s="11"/>
      <c r="M7" s="12"/>
      <c r="O7" s="133" t="s">
        <v>40</v>
      </c>
      <c r="P7" s="134"/>
      <c r="Q7" s="134"/>
      <c r="R7" s="18">
        <v>2020</v>
      </c>
    </row>
    <row r="8" spans="4:18" ht="21" customHeight="1" x14ac:dyDescent="0.2">
      <c r="D8" s="4"/>
      <c r="E8" s="98"/>
      <c r="F8" s="2" t="s">
        <v>8</v>
      </c>
      <c r="G8" s="2" t="s">
        <v>1</v>
      </c>
      <c r="H8" s="2" t="s">
        <v>9</v>
      </c>
      <c r="I8" s="2" t="s">
        <v>10</v>
      </c>
      <c r="J8" s="2" t="s">
        <v>11</v>
      </c>
      <c r="K8" s="2" t="s">
        <v>0</v>
      </c>
      <c r="L8" s="2" t="s">
        <v>12</v>
      </c>
      <c r="M8" s="5"/>
      <c r="O8" s="135"/>
      <c r="P8" s="136"/>
      <c r="Q8" s="136"/>
      <c r="R8" s="37"/>
    </row>
    <row r="9" spans="4:18" ht="18" customHeight="1" x14ac:dyDescent="0.2">
      <c r="D9" s="4"/>
      <c r="E9" s="98"/>
      <c r="F9" s="10">
        <f>IF(DAY(MarDom1)=1,MarDom1-6,MarDom1+1)</f>
        <v>43885</v>
      </c>
      <c r="G9" s="10">
        <f>IF(DAY(MarDom1)=1,MarDom1-5,MarDom1+2)</f>
        <v>43886</v>
      </c>
      <c r="H9" s="10">
        <f>IF(DAY(MarDom1)=1,MarDom1-4,MarDom1+3)</f>
        <v>43887</v>
      </c>
      <c r="I9" s="10">
        <f>IF(DAY(MarDom1)=1,MarDom1-3,MarDom1+4)</f>
        <v>43888</v>
      </c>
      <c r="J9" s="10">
        <f>IF(DAY(MarDom1)=1,MarDom1-2,MarDom1+5)</f>
        <v>43889</v>
      </c>
      <c r="K9" s="10">
        <f>IF(DAY(MarDom1)=1,MarDom1-1,MarDom1+6)</f>
        <v>43890</v>
      </c>
      <c r="L9" s="10">
        <f>IF(DAY(MarDom1)=1,MarDom1,MarDom1+7)</f>
        <v>43891</v>
      </c>
      <c r="M9" s="5"/>
      <c r="O9" s="137" t="s">
        <v>35</v>
      </c>
      <c r="P9" s="137" t="s">
        <v>36</v>
      </c>
      <c r="Q9" s="137" t="s">
        <v>37</v>
      </c>
      <c r="R9" s="137" t="s">
        <v>38</v>
      </c>
    </row>
    <row r="10" spans="4:18" ht="18" customHeight="1" x14ac:dyDescent="0.2">
      <c r="D10" s="4"/>
      <c r="E10" s="98"/>
      <c r="F10" s="10">
        <f>IF(DAY(MarDom1)=1,MarDom1+1,MarDom1+8)</f>
        <v>43892</v>
      </c>
      <c r="G10" s="41">
        <f>IF(DAY(MarDom1)=1,MarDom1+2,MarDom1+9)</f>
        <v>43893</v>
      </c>
      <c r="H10" s="41">
        <f>IF(DAY(MarDom1)=1,MarDom1+3,MarDom1+10)</f>
        <v>43894</v>
      </c>
      <c r="I10" s="41">
        <f>IF(DAY(MarDom1)=1,MarDom1+4,MarDom1+11)</f>
        <v>43895</v>
      </c>
      <c r="J10" s="10">
        <f>IF(DAY(MarDom1)=1,MarDom1+5,MarDom1+12)</f>
        <v>43896</v>
      </c>
      <c r="K10" s="10">
        <f>IF(DAY(MarDom1)=1,MarDom1+6,MarDom1+13)</f>
        <v>43897</v>
      </c>
      <c r="L10" s="10">
        <f>IF(DAY(MarDom1)=1,MarDom1+7,MarDom1+14)</f>
        <v>43898</v>
      </c>
      <c r="M10" s="5"/>
      <c r="O10" s="138"/>
      <c r="P10" s="138"/>
      <c r="Q10" s="138"/>
      <c r="R10" s="138"/>
    </row>
    <row r="11" spans="4:18" ht="18" customHeight="1" x14ac:dyDescent="0.2">
      <c r="D11" s="4"/>
      <c r="E11" s="98"/>
      <c r="F11" s="10">
        <f>IF(DAY(MarDom1)=1,MarDom1+8,MarDom1+15)</f>
        <v>43899</v>
      </c>
      <c r="G11" s="41">
        <f>IF(DAY(MarDom1)=1,MarDom1+9,MarDom1+16)</f>
        <v>43900</v>
      </c>
      <c r="H11" s="41">
        <f>IF(DAY(MarDom1)=1,MarDom1+10,MarDom1+17)</f>
        <v>43901</v>
      </c>
      <c r="I11" s="41">
        <f>IF(DAY(MarDom1)=1,MarDom1+11,MarDom1+18)</f>
        <v>43902</v>
      </c>
      <c r="J11" s="10">
        <f>IF(DAY(MarDom1)=1,MarDom1+12,MarDom1+19)</f>
        <v>43903</v>
      </c>
      <c r="K11" s="10">
        <f>IF(DAY(MarDom1)=1,MarDom1+13,MarDom1+20)</f>
        <v>43904</v>
      </c>
      <c r="L11" s="10">
        <f>IF(DAY(MarDom1)=1,MarDom1+14,MarDom1+21)</f>
        <v>43905</v>
      </c>
      <c r="M11" s="5"/>
      <c r="O11" s="141">
        <v>2</v>
      </c>
      <c r="P11" s="141" t="s">
        <v>111</v>
      </c>
      <c r="Q11" s="146" t="s">
        <v>57</v>
      </c>
      <c r="R11" s="141" t="s">
        <v>52</v>
      </c>
    </row>
    <row r="12" spans="4:18" ht="18" customHeight="1" x14ac:dyDescent="0.2">
      <c r="D12" s="4"/>
      <c r="E12" s="98"/>
      <c r="F12" s="10">
        <f>IF(DAY(MarDom1)=1,MarDom1+15,MarDom1+22)</f>
        <v>43906</v>
      </c>
      <c r="G12" s="41">
        <f>IF(DAY(MarDom1)=1,MarDom1+16,MarDom1+23)</f>
        <v>43907</v>
      </c>
      <c r="H12" s="41">
        <f>IF(DAY(MarDom1)=1,MarDom1+17,MarDom1+24)</f>
        <v>43908</v>
      </c>
      <c r="I12" s="41">
        <f>IF(DAY(MarDom1)=1,MarDom1+18,MarDom1+25)</f>
        <v>43909</v>
      </c>
      <c r="J12" s="10">
        <f>IF(DAY(MarDom1)=1,MarDom1+19,MarDom1+26)</f>
        <v>43910</v>
      </c>
      <c r="K12" s="10">
        <f>IF(DAY(MarDom1)=1,MarDom1+20,MarDom1+27)</f>
        <v>43911</v>
      </c>
      <c r="L12" s="10">
        <f>IF(DAY(MarDom1)=1,MarDom1+21,MarDom1+28)</f>
        <v>43912</v>
      </c>
      <c r="M12" s="5"/>
      <c r="O12" s="142"/>
      <c r="P12" s="142"/>
      <c r="Q12" s="142"/>
      <c r="R12" s="142"/>
    </row>
    <row r="13" spans="4:18" ht="18.75" customHeight="1" x14ac:dyDescent="0.2">
      <c r="D13" s="4"/>
      <c r="E13" s="98"/>
      <c r="F13" s="10">
        <f>IF(DAY(MarDom1)=1,MarDom1+22,MarDom1+29)</f>
        <v>43913</v>
      </c>
      <c r="G13" s="41">
        <f>IF(DAY(MarDom1)=1,MarDom1+23,MarDom1+30)</f>
        <v>43914</v>
      </c>
      <c r="H13" s="41">
        <f>IF(DAY(MarDom1)=1,MarDom1+24,MarDom1+31)</f>
        <v>43915</v>
      </c>
      <c r="I13" s="41">
        <f>IF(DAY(MarDom1)=1,MarDom1+25,MarDom1+32)</f>
        <v>43916</v>
      </c>
      <c r="J13" s="10">
        <f>IF(DAY(MarDom1)=1,MarDom1+26,MarDom1+33)</f>
        <v>43917</v>
      </c>
      <c r="K13" s="10">
        <f>IF(DAY(MarDom1)=1,MarDom1+27,MarDom1+34)</f>
        <v>43918</v>
      </c>
      <c r="L13" s="10">
        <f>IF(DAY(MarDom1)=1,MarDom1+28,MarDom1+35)</f>
        <v>43919</v>
      </c>
      <c r="M13" s="5"/>
      <c r="O13" s="143">
        <v>2</v>
      </c>
      <c r="P13" s="143" t="s">
        <v>104</v>
      </c>
      <c r="Q13" s="145" t="s">
        <v>51</v>
      </c>
      <c r="R13" s="143" t="s">
        <v>112</v>
      </c>
    </row>
    <row r="14" spans="4:18" ht="18" customHeight="1" x14ac:dyDescent="0.2">
      <c r="D14" s="4"/>
      <c r="E14" s="98"/>
      <c r="F14" s="10">
        <f>IF(DAY(MarDom1)=1,MarDom1+29,MarDom1+36)</f>
        <v>43920</v>
      </c>
      <c r="G14" s="10">
        <f>IF(DAY(MarDom1)=1,MarDom1+30,MarDom1+37)</f>
        <v>43921</v>
      </c>
      <c r="H14" s="10">
        <f>IF(DAY(MarDom1)=1,MarDom1+31,MarDom1+38)</f>
        <v>43922</v>
      </c>
      <c r="I14" s="10">
        <f>IF(DAY(MarDom1)=1,MarDom1+32,MarDom1+39)</f>
        <v>43923</v>
      </c>
      <c r="J14" s="10">
        <f>IF(DAY(MarDom1)=1,MarDom1+33,MarDom1+40)</f>
        <v>43924</v>
      </c>
      <c r="K14" s="10">
        <f>IF(DAY(MarDom1)=1,MarDom1+34,MarDom1+41)</f>
        <v>43925</v>
      </c>
      <c r="L14" s="10">
        <f>IF(DAY(MarDom1)=1,MarDom1+35,MarDom1+42)</f>
        <v>43926</v>
      </c>
      <c r="M14" s="5"/>
      <c r="O14" s="144"/>
      <c r="P14" s="144"/>
      <c r="Q14" s="144"/>
      <c r="R14" s="144"/>
    </row>
    <row r="15" spans="4:18" ht="31.5" customHeight="1" x14ac:dyDescent="0.2">
      <c r="D15" s="4"/>
      <c r="E15" s="98"/>
      <c r="F15" s="10"/>
      <c r="G15" s="10"/>
      <c r="H15" s="10"/>
      <c r="I15" s="10"/>
      <c r="J15" s="10"/>
      <c r="K15" s="10"/>
      <c r="L15" s="10"/>
      <c r="M15" s="5"/>
      <c r="O15" s="76">
        <v>3</v>
      </c>
      <c r="P15" s="76" t="s">
        <v>113</v>
      </c>
      <c r="Q15" s="77" t="s">
        <v>92</v>
      </c>
      <c r="R15" s="76" t="s">
        <v>87</v>
      </c>
    </row>
    <row r="16" spans="4:18" ht="18" customHeight="1" x14ac:dyDescent="0.2">
      <c r="D16" s="4"/>
      <c r="E16" s="99"/>
      <c r="F16" s="13"/>
      <c r="G16" s="13"/>
      <c r="H16" s="13"/>
      <c r="I16" s="13"/>
      <c r="J16" s="13"/>
      <c r="K16" s="13"/>
      <c r="L16" s="13"/>
      <c r="M16" s="14"/>
      <c r="O16" s="143">
        <v>4</v>
      </c>
      <c r="P16" s="143" t="s">
        <v>114</v>
      </c>
      <c r="Q16" s="145" t="s">
        <v>105</v>
      </c>
      <c r="R16" s="143" t="s">
        <v>112</v>
      </c>
    </row>
    <row r="17" spans="4:44" ht="18" customHeight="1" x14ac:dyDescent="0.2">
      <c r="D17" s="4"/>
      <c r="F17"/>
      <c r="I17"/>
      <c r="J17"/>
      <c r="K17"/>
      <c r="L17"/>
      <c r="M17"/>
      <c r="N17"/>
      <c r="O17" s="144"/>
      <c r="P17" s="144"/>
      <c r="Q17" s="144"/>
      <c r="R17" s="144"/>
      <c r="AJ17" s="1"/>
      <c r="AK17" s="1"/>
      <c r="AL17" s="1"/>
      <c r="AM17" s="1"/>
      <c r="AN17" s="1"/>
      <c r="AO17" s="1"/>
      <c r="AP17" s="1"/>
      <c r="AQ17" s="1"/>
      <c r="AR17" s="1"/>
    </row>
    <row r="18" spans="4:44" ht="18" customHeight="1" x14ac:dyDescent="0.2">
      <c r="D18" s="4"/>
      <c r="F18"/>
      <c r="I18"/>
      <c r="J18"/>
      <c r="K18"/>
      <c r="L18"/>
      <c r="M18"/>
      <c r="N18"/>
      <c r="O18" s="76">
        <v>5</v>
      </c>
      <c r="P18" s="76" t="s">
        <v>108</v>
      </c>
      <c r="Q18" s="77" t="s">
        <v>57</v>
      </c>
      <c r="R18" s="76" t="s">
        <v>112</v>
      </c>
      <c r="AJ18" s="1"/>
      <c r="AK18" s="1"/>
      <c r="AL18" s="1"/>
      <c r="AM18" s="1"/>
      <c r="AN18" s="1"/>
      <c r="AO18" s="1"/>
      <c r="AP18" s="1"/>
      <c r="AQ18" s="1"/>
      <c r="AR18" s="1"/>
    </row>
    <row r="19" spans="4:44" ht="18" customHeight="1" x14ac:dyDescent="0.2">
      <c r="F19"/>
      <c r="I19"/>
      <c r="J19"/>
      <c r="K19"/>
      <c r="L19"/>
      <c r="M19"/>
      <c r="N19"/>
      <c r="O19" s="63">
        <v>6</v>
      </c>
      <c r="P19" s="63" t="s">
        <v>115</v>
      </c>
      <c r="Q19" s="52" t="s">
        <v>54</v>
      </c>
      <c r="R19" s="63" t="s">
        <v>112</v>
      </c>
      <c r="AJ19" s="1"/>
      <c r="AK19" s="1"/>
      <c r="AL19" s="1"/>
      <c r="AM19" s="1"/>
      <c r="AN19" s="1"/>
      <c r="AO19" s="1"/>
      <c r="AP19" s="1"/>
      <c r="AQ19" s="1"/>
      <c r="AR19" s="1"/>
    </row>
    <row r="20" spans="4:44" ht="33.75" customHeight="1" x14ac:dyDescent="0.2">
      <c r="F20"/>
      <c r="I20"/>
      <c r="J20"/>
      <c r="K20"/>
      <c r="L20"/>
      <c r="M20"/>
      <c r="N20"/>
      <c r="O20" s="76">
        <v>10</v>
      </c>
      <c r="P20" s="76" t="s">
        <v>109</v>
      </c>
      <c r="Q20" s="77" t="s">
        <v>92</v>
      </c>
      <c r="R20" s="76" t="s">
        <v>112</v>
      </c>
      <c r="AJ20" s="1"/>
      <c r="AK20" s="1"/>
      <c r="AL20" s="1"/>
      <c r="AM20" s="1"/>
      <c r="AN20" s="1"/>
      <c r="AO20" s="1"/>
      <c r="AP20" s="1"/>
      <c r="AQ20" s="1"/>
      <c r="AR20" s="1"/>
    </row>
    <row r="21" spans="4:44" ht="24.75" customHeight="1" x14ac:dyDescent="0.2">
      <c r="F21"/>
      <c r="I21"/>
      <c r="J21"/>
      <c r="K21"/>
      <c r="L21"/>
      <c r="M21"/>
      <c r="N21"/>
      <c r="O21" s="63">
        <v>12</v>
      </c>
      <c r="P21" s="63" t="s">
        <v>102</v>
      </c>
      <c r="Q21" s="52" t="s">
        <v>84</v>
      </c>
      <c r="R21" s="74" t="s">
        <v>112</v>
      </c>
      <c r="AJ21" s="1"/>
      <c r="AK21" s="1"/>
      <c r="AL21" s="1"/>
      <c r="AM21" s="1"/>
      <c r="AN21" s="1"/>
      <c r="AO21" s="1"/>
      <c r="AP21" s="1"/>
      <c r="AQ21" s="1"/>
      <c r="AR21" s="1"/>
    </row>
    <row r="22" spans="4:44" ht="24.75" customHeight="1" x14ac:dyDescent="0.2">
      <c r="F22"/>
      <c r="I22"/>
      <c r="J22"/>
      <c r="K22"/>
      <c r="L22"/>
      <c r="M22"/>
      <c r="N22"/>
      <c r="O22" s="44">
        <v>12</v>
      </c>
      <c r="P22" s="44" t="s">
        <v>116</v>
      </c>
      <c r="Q22" s="46" t="s">
        <v>93</v>
      </c>
      <c r="R22" s="44" t="s">
        <v>87</v>
      </c>
      <c r="AJ22" s="1"/>
      <c r="AK22" s="1"/>
      <c r="AL22" s="1"/>
      <c r="AM22" s="1"/>
      <c r="AN22" s="1"/>
      <c r="AO22" s="1"/>
      <c r="AP22" s="1"/>
      <c r="AQ22" s="1"/>
      <c r="AR22" s="1"/>
    </row>
    <row r="23" spans="4:44" ht="33" customHeight="1" x14ac:dyDescent="0.2">
      <c r="F23"/>
      <c r="I23"/>
      <c r="J23"/>
      <c r="K23"/>
      <c r="L23"/>
      <c r="M23"/>
      <c r="N23"/>
      <c r="O23" s="63">
        <v>17</v>
      </c>
      <c r="P23" s="63" t="s">
        <v>110</v>
      </c>
      <c r="Q23" s="52" t="s">
        <v>54</v>
      </c>
      <c r="R23" s="74" t="s">
        <v>52</v>
      </c>
      <c r="AJ23" s="1"/>
      <c r="AK23" s="1"/>
      <c r="AL23" s="1"/>
      <c r="AM23" s="1"/>
      <c r="AN23" s="1"/>
      <c r="AO23" s="1"/>
      <c r="AP23" s="1"/>
      <c r="AQ23" s="1"/>
      <c r="AR23" s="1"/>
    </row>
    <row r="24" spans="4:44" ht="33" customHeight="1" x14ac:dyDescent="0.2">
      <c r="F24"/>
      <c r="I24"/>
      <c r="J24"/>
      <c r="K24"/>
      <c r="L24"/>
      <c r="M24"/>
      <c r="N24"/>
      <c r="O24" s="44">
        <v>20</v>
      </c>
      <c r="P24" s="44" t="s">
        <v>120</v>
      </c>
      <c r="Q24" s="46" t="s">
        <v>61</v>
      </c>
      <c r="R24" s="44" t="s">
        <v>118</v>
      </c>
      <c r="AJ24" s="1"/>
      <c r="AK24" s="1"/>
      <c r="AL24" s="1"/>
      <c r="AM24" s="1"/>
      <c r="AN24" s="1"/>
      <c r="AO24" s="1"/>
      <c r="AP24" s="1"/>
      <c r="AQ24" s="1"/>
      <c r="AR24" s="1"/>
    </row>
    <row r="25" spans="4:44" ht="33" customHeight="1" x14ac:dyDescent="0.2">
      <c r="F25"/>
      <c r="I25"/>
      <c r="J25"/>
      <c r="K25"/>
      <c r="L25"/>
      <c r="M25"/>
      <c r="N25"/>
      <c r="O25" s="63">
        <v>24</v>
      </c>
      <c r="P25" s="63" t="s">
        <v>121</v>
      </c>
      <c r="Q25" s="52" t="s">
        <v>58</v>
      </c>
      <c r="R25" s="74" t="s">
        <v>118</v>
      </c>
      <c r="AJ25" s="1"/>
      <c r="AK25" s="1"/>
      <c r="AL25" s="1"/>
      <c r="AM25" s="1"/>
      <c r="AN25" s="1"/>
      <c r="AO25" s="1"/>
      <c r="AP25" s="1"/>
      <c r="AQ25" s="1"/>
      <c r="AR25" s="1"/>
    </row>
    <row r="26" spans="4:44" ht="33" customHeight="1" x14ac:dyDescent="0.2">
      <c r="F26"/>
      <c r="I26"/>
      <c r="J26"/>
      <c r="K26"/>
      <c r="L26"/>
      <c r="M26"/>
      <c r="N26"/>
      <c r="O26" s="44">
        <v>24</v>
      </c>
      <c r="P26" s="44" t="s">
        <v>122</v>
      </c>
      <c r="Q26" s="46" t="s">
        <v>58</v>
      </c>
      <c r="R26" s="44" t="s">
        <v>118</v>
      </c>
      <c r="AJ26" s="1"/>
      <c r="AK26" s="1"/>
      <c r="AL26" s="1"/>
      <c r="AM26" s="1"/>
      <c r="AN26" s="1"/>
      <c r="AO26" s="1"/>
      <c r="AP26" s="1"/>
      <c r="AQ26" s="1"/>
      <c r="AR26" s="1"/>
    </row>
    <row r="27" spans="4:44" ht="33" customHeight="1" x14ac:dyDescent="0.2">
      <c r="F27"/>
      <c r="I27"/>
      <c r="J27"/>
      <c r="K27"/>
      <c r="L27"/>
      <c r="M27"/>
      <c r="N27"/>
      <c r="O27" s="63">
        <v>24</v>
      </c>
      <c r="P27" s="63" t="s">
        <v>124</v>
      </c>
      <c r="Q27" s="52" t="s">
        <v>58</v>
      </c>
      <c r="R27" s="74" t="s">
        <v>118</v>
      </c>
      <c r="AJ27" s="1"/>
      <c r="AK27" s="1"/>
      <c r="AL27" s="1"/>
      <c r="AM27" s="1"/>
      <c r="AN27" s="1"/>
      <c r="AO27" s="1"/>
      <c r="AP27" s="1"/>
      <c r="AQ27" s="1"/>
      <c r="AR27" s="1"/>
    </row>
    <row r="28" spans="4:44" ht="33" customHeight="1" x14ac:dyDescent="0.2">
      <c r="F28"/>
      <c r="I28"/>
      <c r="J28"/>
      <c r="K28"/>
      <c r="L28"/>
      <c r="M28"/>
      <c r="N28"/>
      <c r="O28" s="44">
        <v>25</v>
      </c>
      <c r="P28" s="44" t="s">
        <v>123</v>
      </c>
      <c r="Q28" s="46" t="s">
        <v>51</v>
      </c>
      <c r="R28" s="44" t="s">
        <v>118</v>
      </c>
      <c r="AJ28" s="1"/>
      <c r="AK28" s="1"/>
      <c r="AL28" s="1"/>
      <c r="AM28" s="1"/>
      <c r="AN28" s="1"/>
      <c r="AO28" s="1"/>
      <c r="AP28" s="1"/>
      <c r="AQ28" s="1"/>
      <c r="AR28" s="1"/>
    </row>
    <row r="29" spans="4:44" ht="26.25" customHeight="1" x14ac:dyDescent="0.2">
      <c r="F29"/>
      <c r="I29"/>
      <c r="J29"/>
      <c r="K29"/>
      <c r="L29"/>
      <c r="M29"/>
      <c r="N29"/>
      <c r="O29" s="63">
        <v>27</v>
      </c>
      <c r="P29" s="63" t="s">
        <v>117</v>
      </c>
      <c r="Q29" s="52" t="s">
        <v>58</v>
      </c>
      <c r="R29" s="63" t="s">
        <v>119</v>
      </c>
      <c r="AJ29" s="1"/>
      <c r="AK29" s="1"/>
      <c r="AL29" s="1"/>
      <c r="AM29" s="1"/>
      <c r="AN29" s="1"/>
      <c r="AO29" s="1"/>
      <c r="AP29" s="1"/>
      <c r="AQ29" s="1"/>
      <c r="AR29" s="1"/>
    </row>
    <row r="30" spans="4:44" ht="18" customHeight="1" x14ac:dyDescent="0.2">
      <c r="F30"/>
      <c r="I30"/>
      <c r="J30"/>
      <c r="K30"/>
      <c r="L30"/>
      <c r="M30"/>
      <c r="N30"/>
      <c r="O30" s="44">
        <v>30</v>
      </c>
      <c r="P30" s="44" t="s">
        <v>125</v>
      </c>
      <c r="Q30" s="46" t="s">
        <v>126</v>
      </c>
      <c r="R30" s="44" t="s">
        <v>118</v>
      </c>
      <c r="AJ30" s="1"/>
      <c r="AK30" s="1"/>
      <c r="AL30" s="1"/>
      <c r="AM30" s="1"/>
      <c r="AN30" s="1"/>
      <c r="AO30" s="1"/>
      <c r="AP30" s="1"/>
      <c r="AQ30" s="1"/>
      <c r="AR30" s="1"/>
    </row>
    <row r="31" spans="4:44" ht="18" customHeight="1" x14ac:dyDescent="0.2">
      <c r="F31"/>
      <c r="I31"/>
      <c r="J31"/>
      <c r="K31"/>
      <c r="L31"/>
      <c r="M31"/>
      <c r="N31"/>
      <c r="P31"/>
      <c r="Q31"/>
      <c r="AJ31" s="1"/>
      <c r="AK31" s="1"/>
      <c r="AL31" s="1"/>
      <c r="AM31" s="1"/>
      <c r="AN31" s="1"/>
      <c r="AO31" s="1"/>
      <c r="AP31" s="1"/>
      <c r="AQ31" s="1"/>
      <c r="AR31" s="1"/>
    </row>
    <row r="32" spans="4:44" ht="18" customHeight="1" x14ac:dyDescent="0.2">
      <c r="F32"/>
      <c r="I32"/>
      <c r="J32"/>
      <c r="K32"/>
      <c r="L32"/>
      <c r="M32"/>
      <c r="N32"/>
      <c r="P32"/>
      <c r="Q32"/>
      <c r="AJ32" s="1"/>
      <c r="AK32" s="1"/>
      <c r="AL32" s="1"/>
      <c r="AM32" s="1"/>
      <c r="AN32" s="1"/>
      <c r="AO32" s="1"/>
      <c r="AP32" s="1"/>
      <c r="AQ32" s="1"/>
      <c r="AR32" s="1"/>
    </row>
    <row r="33" spans="6:44" ht="18" customHeight="1" x14ac:dyDescent="0.2">
      <c r="F33"/>
      <c r="I33"/>
      <c r="J33"/>
      <c r="K33"/>
      <c r="L33"/>
      <c r="M33"/>
      <c r="N33"/>
      <c r="P33"/>
      <c r="Q33"/>
      <c r="AJ33" s="1"/>
      <c r="AK33" s="1"/>
      <c r="AL33" s="1"/>
      <c r="AM33" s="1"/>
      <c r="AN33" s="1"/>
      <c r="AO33" s="1"/>
      <c r="AP33" s="1"/>
      <c r="AQ33" s="1"/>
      <c r="AR33" s="1"/>
    </row>
    <row r="34" spans="6:44" ht="18" customHeight="1" x14ac:dyDescent="0.2">
      <c r="F34"/>
      <c r="I34"/>
      <c r="J34"/>
      <c r="K34"/>
      <c r="L34"/>
      <c r="M34"/>
      <c r="N34"/>
      <c r="P34"/>
      <c r="Q34"/>
      <c r="AJ34" s="1"/>
      <c r="AK34" s="1"/>
      <c r="AL34" s="1"/>
      <c r="AM34" s="1"/>
      <c r="AN34" s="1"/>
      <c r="AO34" s="1"/>
      <c r="AP34" s="1"/>
      <c r="AQ34" s="1"/>
      <c r="AR34" s="1"/>
    </row>
    <row r="35" spans="6:44" ht="18" customHeight="1" x14ac:dyDescent="0.2">
      <c r="F35"/>
      <c r="I35"/>
      <c r="J35"/>
      <c r="K35"/>
      <c r="L35"/>
      <c r="M35"/>
      <c r="N35"/>
      <c r="P35"/>
      <c r="Q35"/>
      <c r="AJ35" s="1"/>
      <c r="AK35" s="1"/>
      <c r="AL35" s="1"/>
      <c r="AM35" s="1"/>
      <c r="AN35" s="1"/>
      <c r="AO35" s="1"/>
      <c r="AP35" s="1"/>
      <c r="AQ35" s="1"/>
      <c r="AR35" s="1"/>
    </row>
    <row r="36" spans="6:44" ht="18" customHeight="1" x14ac:dyDescent="0.2">
      <c r="F36"/>
      <c r="I36"/>
      <c r="J36"/>
      <c r="K36"/>
      <c r="L36"/>
      <c r="M36"/>
      <c r="N36"/>
      <c r="P36"/>
      <c r="Q36"/>
      <c r="AJ36" s="1"/>
      <c r="AK36" s="1"/>
      <c r="AL36" s="1"/>
      <c r="AM36" s="1"/>
      <c r="AN36" s="1"/>
      <c r="AO36" s="1"/>
      <c r="AP36" s="1"/>
      <c r="AQ36" s="1"/>
      <c r="AR36" s="1"/>
    </row>
    <row r="37" spans="6:44" ht="18" customHeight="1" x14ac:dyDescent="0.2">
      <c r="F37"/>
      <c r="I37"/>
      <c r="J37"/>
      <c r="K37"/>
      <c r="L37"/>
      <c r="M37"/>
      <c r="N37"/>
      <c r="P37"/>
      <c r="Q37"/>
      <c r="AJ37" s="1"/>
      <c r="AK37" s="1"/>
      <c r="AL37" s="1"/>
      <c r="AM37" s="1"/>
      <c r="AN37" s="1"/>
      <c r="AO37" s="1"/>
      <c r="AP37" s="1"/>
      <c r="AQ37" s="1"/>
      <c r="AR37" s="1"/>
    </row>
    <row r="38" spans="6:44" ht="18" customHeight="1" x14ac:dyDescent="0.2">
      <c r="F38"/>
      <c r="I38"/>
      <c r="J38"/>
      <c r="K38"/>
      <c r="L38"/>
      <c r="M38"/>
      <c r="N38"/>
      <c r="P38"/>
      <c r="Q38"/>
      <c r="AJ38" s="1"/>
      <c r="AK38" s="1"/>
      <c r="AL38" s="1"/>
      <c r="AM38" s="1"/>
      <c r="AN38" s="1"/>
      <c r="AO38" s="1"/>
      <c r="AP38" s="1"/>
      <c r="AQ38" s="1"/>
      <c r="AR38" s="1"/>
    </row>
    <row r="39" spans="6:44" ht="18" customHeight="1" x14ac:dyDescent="0.2">
      <c r="F39"/>
      <c r="I39"/>
      <c r="J39"/>
      <c r="K39"/>
      <c r="L39"/>
      <c r="M39"/>
      <c r="N39"/>
      <c r="P39"/>
      <c r="Q39"/>
      <c r="AJ39" s="1"/>
      <c r="AK39" s="1"/>
      <c r="AL39" s="1"/>
      <c r="AM39" s="1"/>
      <c r="AN39" s="1"/>
      <c r="AO39" s="1"/>
      <c r="AP39" s="1"/>
      <c r="AQ39" s="1"/>
      <c r="AR39" s="1"/>
    </row>
    <row r="40" spans="6:44" ht="18" customHeight="1" x14ac:dyDescent="0.2">
      <c r="F40"/>
      <c r="I40"/>
      <c r="J40"/>
      <c r="K40"/>
      <c r="L40"/>
      <c r="M40"/>
      <c r="N40"/>
      <c r="P40"/>
      <c r="Q40"/>
      <c r="AJ40" s="1"/>
      <c r="AK40" s="1"/>
      <c r="AL40" s="1"/>
      <c r="AM40" s="1"/>
      <c r="AN40" s="1"/>
      <c r="AO40" s="1"/>
      <c r="AP40" s="1"/>
      <c r="AQ40" s="1"/>
      <c r="AR40" s="1"/>
    </row>
    <row r="41" spans="6:44" ht="18" customHeight="1" x14ac:dyDescent="0.2">
      <c r="F41"/>
      <c r="I41"/>
      <c r="J41"/>
      <c r="K41"/>
      <c r="L41"/>
      <c r="M41"/>
      <c r="N41"/>
      <c r="P41"/>
      <c r="Q41"/>
      <c r="AJ41" s="1"/>
      <c r="AK41" s="1"/>
      <c r="AL41" s="1"/>
      <c r="AM41" s="1"/>
      <c r="AN41" s="1"/>
      <c r="AO41" s="1"/>
      <c r="AP41" s="1"/>
      <c r="AQ41" s="1"/>
      <c r="AR41" s="1"/>
    </row>
    <row r="42" spans="6:44" ht="18" customHeight="1" x14ac:dyDescent="0.2">
      <c r="F42"/>
      <c r="I42"/>
      <c r="J42"/>
      <c r="K42"/>
      <c r="L42"/>
      <c r="M42"/>
      <c r="N42"/>
      <c r="P42"/>
      <c r="Q42"/>
      <c r="AJ42" s="1"/>
      <c r="AK42" s="1"/>
      <c r="AL42" s="1"/>
      <c r="AM42" s="1"/>
      <c r="AN42" s="1"/>
      <c r="AO42" s="1"/>
      <c r="AP42" s="1"/>
      <c r="AQ42" s="1"/>
      <c r="AR42" s="1"/>
    </row>
    <row r="43" spans="6:44" ht="18" customHeight="1" x14ac:dyDescent="0.2">
      <c r="F43"/>
      <c r="I43"/>
      <c r="J43"/>
      <c r="K43"/>
      <c r="L43"/>
      <c r="M43"/>
      <c r="N43"/>
      <c r="P43"/>
      <c r="Q43"/>
      <c r="AJ43" s="1"/>
      <c r="AK43" s="1"/>
      <c r="AL43" s="1"/>
      <c r="AM43" s="1"/>
      <c r="AN43" s="1"/>
      <c r="AO43" s="1"/>
      <c r="AP43" s="1"/>
      <c r="AQ43" s="1"/>
      <c r="AR43" s="1"/>
    </row>
    <row r="44" spans="6:44" ht="18" customHeight="1" x14ac:dyDescent="0.2">
      <c r="F44"/>
      <c r="I44"/>
      <c r="J44"/>
      <c r="K44"/>
      <c r="L44"/>
      <c r="M44"/>
      <c r="N44"/>
      <c r="P44"/>
      <c r="Q44"/>
      <c r="AJ44" s="1"/>
      <c r="AK44" s="1"/>
      <c r="AL44" s="1"/>
      <c r="AM44" s="1"/>
      <c r="AN44" s="1"/>
      <c r="AO44" s="1"/>
      <c r="AP44" s="1"/>
      <c r="AQ44" s="1"/>
      <c r="AR44" s="1"/>
    </row>
    <row r="45" spans="6:44" ht="18" customHeight="1" x14ac:dyDescent="0.2">
      <c r="F45"/>
      <c r="I45"/>
      <c r="J45"/>
      <c r="K45"/>
      <c r="L45"/>
      <c r="M45"/>
      <c r="N45"/>
      <c r="P45"/>
      <c r="Q45"/>
      <c r="AJ45" s="1"/>
      <c r="AK45" s="1"/>
      <c r="AL45" s="1"/>
      <c r="AM45" s="1"/>
      <c r="AN45" s="1"/>
      <c r="AO45" s="1"/>
      <c r="AP45" s="1"/>
      <c r="AQ45" s="1"/>
      <c r="AR45" s="1"/>
    </row>
    <row r="46" spans="6:44" ht="16.5" customHeight="1" x14ac:dyDescent="0.2">
      <c r="F46"/>
      <c r="I46"/>
      <c r="J46"/>
      <c r="K46"/>
      <c r="L46"/>
      <c r="M46"/>
      <c r="N46"/>
      <c r="P46"/>
      <c r="Q46"/>
      <c r="AJ46" s="1"/>
      <c r="AK46" s="1"/>
      <c r="AL46" s="1"/>
      <c r="AM46" s="1"/>
      <c r="AN46" s="1"/>
      <c r="AO46" s="1"/>
      <c r="AP46" s="1"/>
      <c r="AQ46" s="1"/>
      <c r="AR46" s="1"/>
    </row>
    <row r="47" spans="6:44" ht="16.5" customHeight="1" x14ac:dyDescent="0.2">
      <c r="F47"/>
      <c r="I47"/>
      <c r="J47"/>
      <c r="K47"/>
      <c r="L47"/>
      <c r="M47"/>
      <c r="N47"/>
      <c r="P47"/>
      <c r="Q47"/>
      <c r="AJ47" s="1"/>
      <c r="AK47" s="1"/>
      <c r="AL47" s="1"/>
      <c r="AM47" s="1"/>
      <c r="AN47" s="1"/>
      <c r="AO47" s="1"/>
      <c r="AP47" s="1"/>
      <c r="AQ47" s="1"/>
      <c r="AR47" s="1"/>
    </row>
    <row r="48" spans="6:44" ht="16.5" customHeight="1" x14ac:dyDescent="0.2">
      <c r="F48"/>
      <c r="I48"/>
      <c r="J48"/>
      <c r="K48"/>
      <c r="L48"/>
      <c r="M48"/>
      <c r="N48"/>
      <c r="P48"/>
      <c r="Q48"/>
      <c r="AJ48" s="1"/>
      <c r="AK48" s="1"/>
      <c r="AL48" s="1"/>
      <c r="AM48" s="1"/>
      <c r="AN48" s="1"/>
      <c r="AO48" s="1"/>
      <c r="AP48" s="1"/>
      <c r="AQ48" s="1"/>
      <c r="AR48" s="1"/>
    </row>
    <row r="49" spans="6:44" ht="16.5" customHeight="1" x14ac:dyDescent="0.2">
      <c r="F49"/>
      <c r="I49"/>
      <c r="J49"/>
      <c r="K49"/>
      <c r="L49"/>
      <c r="M49"/>
      <c r="N49"/>
      <c r="P49"/>
      <c r="Q49"/>
      <c r="AJ49" s="1"/>
      <c r="AK49" s="1"/>
      <c r="AL49" s="1"/>
      <c r="AM49" s="1"/>
      <c r="AN49" s="1"/>
      <c r="AO49" s="1"/>
      <c r="AP49" s="1"/>
      <c r="AQ49" s="1"/>
      <c r="AR49" s="1"/>
    </row>
    <row r="50" spans="6:44" ht="16.5" customHeight="1" x14ac:dyDescent="0.2">
      <c r="F50"/>
      <c r="I50"/>
      <c r="J50"/>
      <c r="K50"/>
      <c r="L50"/>
      <c r="M50"/>
      <c r="N50"/>
      <c r="P50"/>
      <c r="Q50"/>
      <c r="AJ50" s="1"/>
      <c r="AK50" s="1"/>
      <c r="AL50" s="1"/>
      <c r="AM50" s="1"/>
      <c r="AN50" s="1"/>
      <c r="AO50" s="1"/>
      <c r="AP50" s="1"/>
      <c r="AQ50" s="1"/>
      <c r="AR50" s="1"/>
    </row>
    <row r="51" spans="6:44" ht="16.5" customHeight="1" x14ac:dyDescent="0.2">
      <c r="F51"/>
      <c r="I51"/>
      <c r="J51"/>
      <c r="K51"/>
      <c r="L51"/>
      <c r="M51"/>
      <c r="N51"/>
      <c r="P51"/>
      <c r="Q51"/>
      <c r="AJ51" s="1"/>
      <c r="AK51" s="1"/>
      <c r="AL51" s="1"/>
      <c r="AM51" s="1"/>
      <c r="AN51" s="1"/>
      <c r="AO51" s="1"/>
      <c r="AP51" s="1"/>
      <c r="AQ51" s="1"/>
      <c r="AR51" s="1"/>
    </row>
    <row r="52" spans="6:44" ht="16.5" customHeight="1" x14ac:dyDescent="0.2">
      <c r="F52"/>
      <c r="I52"/>
      <c r="J52"/>
      <c r="K52"/>
      <c r="L52"/>
      <c r="M52"/>
      <c r="N52"/>
      <c r="P52"/>
      <c r="Q52"/>
      <c r="AJ52" s="1"/>
      <c r="AK52" s="1"/>
      <c r="AL52" s="1"/>
      <c r="AM52" s="1"/>
      <c r="AN52" s="1"/>
      <c r="AO52" s="1"/>
      <c r="AP52" s="1"/>
      <c r="AQ52" s="1"/>
      <c r="AR52" s="1"/>
    </row>
    <row r="53" spans="6:44" ht="16.5" customHeight="1" x14ac:dyDescent="0.2">
      <c r="F53"/>
      <c r="I53"/>
      <c r="J53"/>
      <c r="K53"/>
      <c r="L53"/>
      <c r="M53"/>
      <c r="N53"/>
      <c r="P53"/>
      <c r="Q53"/>
      <c r="AJ53" s="1"/>
      <c r="AK53" s="1"/>
      <c r="AL53" s="1"/>
      <c r="AM53" s="1"/>
      <c r="AN53" s="1"/>
      <c r="AO53" s="1"/>
      <c r="AP53" s="1"/>
      <c r="AQ53" s="1"/>
      <c r="AR53" s="1"/>
    </row>
    <row r="54" spans="6:44" ht="16.5" customHeight="1" x14ac:dyDescent="0.2">
      <c r="F54"/>
      <c r="I54"/>
      <c r="J54"/>
      <c r="K54"/>
      <c r="L54"/>
      <c r="M54"/>
      <c r="N54"/>
      <c r="P54"/>
      <c r="Q54"/>
      <c r="AJ54" s="1"/>
      <c r="AK54" s="1"/>
      <c r="AL54" s="1"/>
      <c r="AM54" s="1"/>
      <c r="AN54" s="1"/>
      <c r="AO54" s="1"/>
      <c r="AP54" s="1"/>
      <c r="AQ54" s="1"/>
      <c r="AR54" s="1"/>
    </row>
    <row r="55" spans="6:44" ht="16.5" customHeight="1" x14ac:dyDescent="0.2">
      <c r="F55"/>
      <c r="I55"/>
      <c r="J55"/>
      <c r="K55"/>
      <c r="L55"/>
      <c r="M55"/>
      <c r="N55"/>
      <c r="P55"/>
      <c r="Q55"/>
      <c r="AJ55" s="1"/>
      <c r="AK55" s="1"/>
      <c r="AL55" s="1"/>
      <c r="AM55" s="1"/>
      <c r="AN55" s="1"/>
      <c r="AO55" s="1"/>
      <c r="AP55" s="1"/>
      <c r="AQ55" s="1"/>
      <c r="AR55" s="1"/>
    </row>
    <row r="56" spans="6:44" ht="16.5" customHeight="1" x14ac:dyDescent="0.2">
      <c r="F56"/>
      <c r="I56"/>
      <c r="J56"/>
      <c r="K56"/>
      <c r="L56"/>
      <c r="M56"/>
      <c r="N56"/>
      <c r="P56"/>
      <c r="Q56"/>
      <c r="AJ56" s="1"/>
      <c r="AK56" s="1"/>
      <c r="AL56" s="1"/>
      <c r="AM56" s="1"/>
      <c r="AN56" s="1"/>
      <c r="AO56" s="1"/>
      <c r="AP56" s="1"/>
      <c r="AQ56" s="1"/>
      <c r="AR56" s="1"/>
    </row>
  </sheetData>
  <mergeCells count="18">
    <mergeCell ref="E7:E16"/>
    <mergeCell ref="O7:Q8"/>
    <mergeCell ref="O9:O10"/>
    <mergeCell ref="P9:P10"/>
    <mergeCell ref="Q9:Q10"/>
    <mergeCell ref="P13:P14"/>
    <mergeCell ref="O13:O14"/>
    <mergeCell ref="Q13:Q14"/>
    <mergeCell ref="R9:R10"/>
    <mergeCell ref="P11:P12"/>
    <mergeCell ref="O11:O12"/>
    <mergeCell ref="Q11:Q12"/>
    <mergeCell ref="R11:R12"/>
    <mergeCell ref="R13:R14"/>
    <mergeCell ref="P16:P17"/>
    <mergeCell ref="O16:O17"/>
    <mergeCell ref="Q16:Q17"/>
    <mergeCell ref="R16:R17"/>
  </mergeCells>
  <conditionalFormatting sqref="F9:K9">
    <cfRule type="expression" dxfId="30" priority="3" stopIfTrue="1">
      <formula>DAY(F9)&gt;8</formula>
    </cfRule>
  </conditionalFormatting>
  <conditionalFormatting sqref="F13:L16">
    <cfRule type="expression" dxfId="29" priority="2" stopIfTrue="1">
      <formula>AND(DAY(F13)&gt;=1,DAY(F13)&lt;=15)</formula>
    </cfRule>
  </conditionalFormatting>
  <conditionalFormatting sqref="F9:L15">
    <cfRule type="expression" dxfId="28" priority="4">
      <formula>VLOOKUP(DAY(F9),DíasDeTareas,1,FALSE)=DAY(F9)</formula>
    </cfRule>
  </conditionalFormatting>
  <dataValidations count="1">
    <dataValidation allowBlank="1" showInputMessage="1" showErrorMessage="1" errorTitle="Invalid Year" error="Enter a year from 1900 to 9999, or use the scroll bar to find a year." sqref="R7"/>
  </dataValidations>
  <printOptions horizontalCentered="1"/>
  <pageMargins left="0.5" right="0.5" top="0.5" bottom="0.5" header="0.3" footer="0.3"/>
  <pageSetup scale="6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  <pageSetUpPr fitToPage="1"/>
  </sheetPr>
  <dimension ref="D2:AR53"/>
  <sheetViews>
    <sheetView showGridLines="0" topLeftCell="A9" zoomScale="110" zoomScaleNormal="110" zoomScalePageLayoutView="84" workbookViewId="0">
      <selection activeCell="P23" sqref="P23"/>
    </sheetView>
  </sheetViews>
  <sheetFormatPr baseColWidth="10" defaultColWidth="8.7109375" defaultRowHeight="16.5" customHeight="1" x14ac:dyDescent="0.2"/>
  <cols>
    <col min="1" max="3" width="8.7109375" style="1"/>
    <col min="4" max="4" width="2.28515625" style="1" customWidth="1"/>
    <col min="5" max="5" width="12.7109375" style="1" customWidth="1"/>
    <col min="6" max="13" width="6.7109375" style="1" customWidth="1"/>
    <col min="14" max="14" width="7.28515625" style="1" customWidth="1"/>
    <col min="15" max="15" width="7.85546875" customWidth="1"/>
    <col min="16" max="16" width="64" style="1" customWidth="1"/>
    <col min="17" max="17" width="13.140625" style="1" customWidth="1"/>
    <col min="18" max="18" width="20.85546875" customWidth="1"/>
    <col min="19" max="25" width="8.85546875" customWidth="1"/>
    <col min="45" max="16384" width="8.7109375" style="1"/>
  </cols>
  <sheetData>
    <row r="2" spans="4:18" ht="16.5" customHeight="1" x14ac:dyDescent="0.2">
      <c r="O2" s="1"/>
      <c r="P2"/>
    </row>
    <row r="3" spans="4:18" ht="16.5" customHeight="1" x14ac:dyDescent="0.2">
      <c r="O3" s="38" t="s">
        <v>39</v>
      </c>
    </row>
    <row r="4" spans="4:18" ht="16.5" customHeight="1" x14ac:dyDescent="0.2">
      <c r="O4" s="28" t="s">
        <v>50</v>
      </c>
    </row>
    <row r="5" spans="4:18" ht="16.5" customHeight="1" x14ac:dyDescent="0.2">
      <c r="O5" s="1"/>
    </row>
    <row r="6" spans="4:18" ht="16.5" customHeight="1" x14ac:dyDescent="0.2">
      <c r="O6" s="1"/>
    </row>
    <row r="7" spans="4:18" ht="18" customHeight="1" x14ac:dyDescent="0.2">
      <c r="D7" s="4"/>
      <c r="E7" s="97" t="s">
        <v>32</v>
      </c>
      <c r="F7" s="11"/>
      <c r="G7" s="11"/>
      <c r="H7" s="11"/>
      <c r="I7" s="11"/>
      <c r="J7" s="11"/>
      <c r="K7" s="11"/>
      <c r="L7" s="11"/>
      <c r="M7" s="12"/>
      <c r="O7" s="133" t="s">
        <v>40</v>
      </c>
      <c r="P7" s="134"/>
      <c r="Q7" s="134"/>
      <c r="R7" s="18">
        <v>2020</v>
      </c>
    </row>
    <row r="8" spans="4:18" ht="21" customHeight="1" x14ac:dyDescent="0.2">
      <c r="D8" s="4"/>
      <c r="E8" s="98"/>
      <c r="F8" s="2" t="s">
        <v>8</v>
      </c>
      <c r="G8" s="2" t="s">
        <v>1</v>
      </c>
      <c r="H8" s="2" t="s">
        <v>9</v>
      </c>
      <c r="I8" s="2" t="s">
        <v>10</v>
      </c>
      <c r="J8" s="2" t="s">
        <v>11</v>
      </c>
      <c r="K8" s="2" t="s">
        <v>0</v>
      </c>
      <c r="L8" s="2" t="s">
        <v>12</v>
      </c>
      <c r="M8" s="5"/>
      <c r="O8" s="135"/>
      <c r="P8" s="136"/>
      <c r="Q8" s="136"/>
      <c r="R8" s="37"/>
    </row>
    <row r="9" spans="4:18" ht="18" customHeight="1" x14ac:dyDescent="0.2">
      <c r="D9" s="4"/>
      <c r="E9" s="98"/>
      <c r="F9" s="41">
        <f>IF(DAY(AbrDom1)=1,AbrDom1-6,AbrDom1+1)</f>
        <v>43920</v>
      </c>
      <c r="G9" s="41">
        <f>IF(DAY(AbrDom1)=1,AbrDom1-5,AbrDom1+2)</f>
        <v>43921</v>
      </c>
      <c r="H9" s="41">
        <f>IF(DAY(AbrDom1)=1,AbrDom1-4,AbrDom1+3)</f>
        <v>43922</v>
      </c>
      <c r="I9" s="41">
        <f>IF(DAY(AbrDom1)=1,AbrDom1-3,AbrDom1+4)</f>
        <v>43923</v>
      </c>
      <c r="J9" s="41">
        <f>IF(DAY(AbrDom1)=1,AbrDom1-2,AbrDom1+5)</f>
        <v>43924</v>
      </c>
      <c r="K9" s="41">
        <f>IF(DAY(AbrDom1)=1,AbrDom1-1,AbrDom1+6)</f>
        <v>43925</v>
      </c>
      <c r="L9" s="41">
        <f>IF(DAY(AbrDom1)=1,AbrDom1,AbrDom1+7)</f>
        <v>43926</v>
      </c>
      <c r="M9" s="5"/>
      <c r="O9" s="137" t="s">
        <v>35</v>
      </c>
      <c r="P9" s="137" t="s">
        <v>36</v>
      </c>
      <c r="Q9" s="137" t="s">
        <v>37</v>
      </c>
      <c r="R9" s="137" t="s">
        <v>38</v>
      </c>
    </row>
    <row r="10" spans="4:18" ht="18" customHeight="1" x14ac:dyDescent="0.2">
      <c r="D10" s="4"/>
      <c r="E10" s="98"/>
      <c r="F10" s="41">
        <f>IF(DAY(AbrDom1)=1,AbrDom1+1,AbrDom1+8)</f>
        <v>43927</v>
      </c>
      <c r="G10" s="41">
        <f>IF(DAY(AbrDom1)=1,AbrDom1+2,AbrDom1+9)</f>
        <v>43928</v>
      </c>
      <c r="H10" s="41">
        <f>IF(DAY(AbrDom1)=1,AbrDom1+3,AbrDom1+10)</f>
        <v>43929</v>
      </c>
      <c r="I10" s="41">
        <f>IF(DAY(AbrDom1)=1,AbrDom1+4,AbrDom1+11)</f>
        <v>43930</v>
      </c>
      <c r="J10" s="41">
        <f>IF(DAY(AbrDom1)=1,AbrDom1+5,AbrDom1+12)</f>
        <v>43931</v>
      </c>
      <c r="K10" s="41">
        <f>IF(DAY(AbrDom1)=1,AbrDom1+6,AbrDom1+13)</f>
        <v>43932</v>
      </c>
      <c r="L10" s="41">
        <f>IF(DAY(AbrDom1)=1,AbrDom1+7,AbrDom1+14)</f>
        <v>43933</v>
      </c>
      <c r="M10" s="5"/>
      <c r="O10" s="138"/>
      <c r="P10" s="138"/>
      <c r="Q10" s="138"/>
      <c r="R10" s="138"/>
    </row>
    <row r="11" spans="4:18" ht="26.25" customHeight="1" x14ac:dyDescent="0.2">
      <c r="D11" s="4"/>
      <c r="E11" s="98"/>
      <c r="F11" s="41"/>
      <c r="G11" s="41"/>
      <c r="H11" s="41"/>
      <c r="I11" s="41"/>
      <c r="J11" s="41"/>
      <c r="K11" s="41"/>
      <c r="L11" s="41"/>
      <c r="M11" s="5"/>
      <c r="O11" s="33">
        <v>1</v>
      </c>
      <c r="P11" s="34" t="s">
        <v>141</v>
      </c>
      <c r="Q11" s="34" t="s">
        <v>84</v>
      </c>
      <c r="R11" s="34" t="s">
        <v>145</v>
      </c>
    </row>
    <row r="12" spans="4:18" ht="28.5" customHeight="1" x14ac:dyDescent="0.2">
      <c r="D12" s="4"/>
      <c r="E12" s="98"/>
      <c r="F12" s="41">
        <f>IF(DAY(AbrDom1)=1,AbrDom1+8,AbrDom1+15)</f>
        <v>43934</v>
      </c>
      <c r="G12" s="41">
        <f>IF(DAY(AbrDom1)=1,AbrDom1+9,AbrDom1+16)</f>
        <v>43935</v>
      </c>
      <c r="H12" s="41">
        <f>IF(DAY(AbrDom1)=1,AbrDom1+10,AbrDom1+17)</f>
        <v>43936</v>
      </c>
      <c r="I12" s="41">
        <f>IF(DAY(AbrDom1)=1,AbrDom1+11,AbrDom1+18)</f>
        <v>43937</v>
      </c>
      <c r="J12" s="41">
        <f>IF(DAY(AbrDom1)=1,AbrDom1+12,AbrDom1+19)</f>
        <v>43938</v>
      </c>
      <c r="K12" s="41">
        <f>IF(DAY(AbrDom1)=1,AbrDom1+13,AbrDom1+20)</f>
        <v>43939</v>
      </c>
      <c r="L12" s="41">
        <f>IF(DAY(AbrDom1)=1,AbrDom1+14,AbrDom1+21)</f>
        <v>43940</v>
      </c>
      <c r="M12" s="5"/>
      <c r="O12" s="31">
        <v>2</v>
      </c>
      <c r="P12" s="32" t="s">
        <v>142</v>
      </c>
      <c r="Q12" s="36" t="s">
        <v>84</v>
      </c>
      <c r="R12" s="32" t="s">
        <v>119</v>
      </c>
    </row>
    <row r="13" spans="4:18" ht="25.5" customHeight="1" x14ac:dyDescent="0.2">
      <c r="D13" s="4"/>
      <c r="E13" s="98"/>
      <c r="F13" s="41">
        <f>IF(DAY(AbrDom1)=1,AbrDom1+15,AbrDom1+22)</f>
        <v>43941</v>
      </c>
      <c r="G13" s="41">
        <f>IF(DAY(AbrDom1)=1,AbrDom1+16,AbrDom1+23)</f>
        <v>43942</v>
      </c>
      <c r="H13" s="41">
        <f>IF(DAY(AbrDom1)=1,AbrDom1+17,AbrDom1+24)</f>
        <v>43943</v>
      </c>
      <c r="I13" s="41">
        <f>IF(DAY(AbrDom1)=1,AbrDom1+18,AbrDom1+25)</f>
        <v>43944</v>
      </c>
      <c r="J13" s="41">
        <f>IF(DAY(AbrDom1)=1,AbrDom1+19,AbrDom1+26)</f>
        <v>43945</v>
      </c>
      <c r="K13" s="41">
        <f>IF(DAY(AbrDom1)=1,AbrDom1+20,AbrDom1+27)</f>
        <v>43946</v>
      </c>
      <c r="L13" s="41">
        <f>IF(DAY(AbrDom1)=1,AbrDom1+21,AbrDom1+28)</f>
        <v>43947</v>
      </c>
      <c r="M13" s="5"/>
      <c r="O13" s="33">
        <v>3</v>
      </c>
      <c r="P13" s="34" t="s">
        <v>143</v>
      </c>
      <c r="Q13" s="34" t="s">
        <v>51</v>
      </c>
      <c r="R13" s="34" t="s">
        <v>145</v>
      </c>
    </row>
    <row r="14" spans="4:18" ht="13.5" customHeight="1" x14ac:dyDescent="0.2">
      <c r="D14" s="4"/>
      <c r="E14" s="98"/>
      <c r="F14" s="41">
        <f>IF(DAY(AbrDom1)=1,AbrDom1+22,AbrDom1+29)</f>
        <v>43948</v>
      </c>
      <c r="G14" s="41">
        <f>IF(DAY(AbrDom1)=1,AbrDom1+23,AbrDom1+30)</f>
        <v>43949</v>
      </c>
      <c r="H14" s="41">
        <f>IF(DAY(AbrDom1)=1,AbrDom1+24,AbrDom1+31)</f>
        <v>43950</v>
      </c>
      <c r="I14" s="41">
        <f>IF(DAY(AbrDom1)=1,AbrDom1+25,AbrDom1+32)</f>
        <v>43951</v>
      </c>
      <c r="J14" s="41">
        <f>IF(DAY(AbrDom1)=1,AbrDom1+26,AbrDom1+33)</f>
        <v>43952</v>
      </c>
      <c r="K14" s="41">
        <f>IF(DAY(AbrDom1)=1,AbrDom1+27,AbrDom1+34)</f>
        <v>43953</v>
      </c>
      <c r="L14" s="41">
        <f>IF(DAY(AbrDom1)=1,AbrDom1+28,AbrDom1+35)</f>
        <v>43954</v>
      </c>
      <c r="M14" s="5"/>
      <c r="O14" s="31">
        <v>3</v>
      </c>
      <c r="P14" s="32" t="s">
        <v>127</v>
      </c>
      <c r="Q14" s="36" t="s">
        <v>58</v>
      </c>
      <c r="R14" s="32" t="s">
        <v>145</v>
      </c>
    </row>
    <row r="15" spans="4:18" ht="24.75" customHeight="1" x14ac:dyDescent="0.2">
      <c r="D15" s="4"/>
      <c r="E15" s="98"/>
      <c r="F15" s="10">
        <f>IF(DAY(AbrDom1)=1,AbrDom1+29,AbrDom1+36)</f>
        <v>43955</v>
      </c>
      <c r="G15" s="10">
        <f>IF(DAY(AbrDom1)=1,AbrDom1+30,AbrDom1+37)</f>
        <v>43956</v>
      </c>
      <c r="H15" s="10">
        <f>IF(DAY(AbrDom1)=1,AbrDom1+31,AbrDom1+38)</f>
        <v>43957</v>
      </c>
      <c r="I15" s="10">
        <f>IF(DAY(AbrDom1)=1,AbrDom1+32,AbrDom1+39)</f>
        <v>43958</v>
      </c>
      <c r="J15" s="10">
        <f>IF(DAY(AbrDom1)=1,AbrDom1+33,AbrDom1+40)</f>
        <v>43959</v>
      </c>
      <c r="K15" s="10">
        <f>IF(DAY(AbrDom1)=1,AbrDom1+34,AbrDom1+41)</f>
        <v>43960</v>
      </c>
      <c r="L15" s="10">
        <f>IF(DAY(AbrDom1)=1,AbrDom1+35,AbrDom1+42)</f>
        <v>43961</v>
      </c>
      <c r="M15" s="5"/>
      <c r="O15" s="31">
        <v>8</v>
      </c>
      <c r="P15" s="32" t="s">
        <v>144</v>
      </c>
      <c r="Q15" s="36" t="s">
        <v>61</v>
      </c>
      <c r="R15" s="32" t="s">
        <v>119</v>
      </c>
    </row>
    <row r="16" spans="4:18" ht="29.25" customHeight="1" x14ac:dyDescent="0.2">
      <c r="D16" s="4"/>
      <c r="E16" s="99"/>
      <c r="F16" s="13"/>
      <c r="G16" s="13"/>
      <c r="H16" s="13"/>
      <c r="I16" s="13"/>
      <c r="J16" s="13"/>
      <c r="K16" s="13"/>
      <c r="L16" s="13"/>
      <c r="M16" s="14"/>
      <c r="O16" s="33">
        <v>10</v>
      </c>
      <c r="P16" s="34" t="s">
        <v>128</v>
      </c>
      <c r="Q16" s="34" t="s">
        <v>51</v>
      </c>
      <c r="R16" s="34" t="s">
        <v>145</v>
      </c>
    </row>
    <row r="17" spans="4:44" ht="29.25" customHeight="1" x14ac:dyDescent="0.2">
      <c r="D17" s="4"/>
      <c r="E17" s="78"/>
      <c r="F17" s="39"/>
      <c r="G17" s="39"/>
      <c r="H17" s="39"/>
      <c r="I17" s="39"/>
      <c r="J17" s="39"/>
      <c r="K17" s="39"/>
      <c r="L17" s="39"/>
      <c r="M17" s="79"/>
      <c r="O17" s="31">
        <v>13</v>
      </c>
      <c r="P17" s="32" t="s">
        <v>135</v>
      </c>
      <c r="Q17" s="32" t="s">
        <v>54</v>
      </c>
      <c r="R17" s="32" t="s">
        <v>145</v>
      </c>
    </row>
    <row r="18" spans="4:44" ht="29.25" customHeight="1" x14ac:dyDescent="0.2">
      <c r="D18" s="4"/>
      <c r="F18"/>
      <c r="I18"/>
      <c r="J18"/>
      <c r="K18"/>
      <c r="L18"/>
      <c r="M18"/>
      <c r="N18"/>
      <c r="O18" s="33">
        <v>15</v>
      </c>
      <c r="P18" s="34" t="s">
        <v>129</v>
      </c>
      <c r="Q18" s="34" t="s">
        <v>61</v>
      </c>
      <c r="R18" s="34" t="s">
        <v>119</v>
      </c>
      <c r="AJ18" s="1"/>
      <c r="AK18" s="1"/>
      <c r="AL18" s="1"/>
      <c r="AM18" s="1"/>
      <c r="AN18" s="1"/>
      <c r="AO18" s="1"/>
      <c r="AP18" s="1"/>
      <c r="AQ18" s="1"/>
      <c r="AR18" s="1"/>
    </row>
    <row r="19" spans="4:44" ht="27" customHeight="1" x14ac:dyDescent="0.2">
      <c r="D19" s="4"/>
      <c r="F19"/>
      <c r="I19"/>
      <c r="J19"/>
      <c r="K19"/>
      <c r="L19"/>
      <c r="M19"/>
      <c r="N19"/>
      <c r="O19" s="31">
        <v>17</v>
      </c>
      <c r="P19" s="32" t="s">
        <v>146</v>
      </c>
      <c r="Q19" s="36" t="s">
        <v>130</v>
      </c>
      <c r="R19" s="32" t="s">
        <v>145</v>
      </c>
      <c r="AJ19" s="1"/>
      <c r="AK19" s="1"/>
      <c r="AL19" s="1"/>
      <c r="AM19" s="1"/>
      <c r="AN19" s="1"/>
      <c r="AO19" s="1"/>
      <c r="AP19" s="1"/>
      <c r="AQ19" s="1"/>
      <c r="AR19" s="1"/>
    </row>
    <row r="20" spans="4:44" ht="18" customHeight="1" x14ac:dyDescent="0.2">
      <c r="F20"/>
      <c r="I20"/>
      <c r="J20"/>
      <c r="K20"/>
      <c r="L20"/>
      <c r="M20"/>
      <c r="N20"/>
      <c r="O20" s="33">
        <v>20</v>
      </c>
      <c r="P20" s="34" t="s">
        <v>131</v>
      </c>
      <c r="Q20" s="35" t="s">
        <v>132</v>
      </c>
      <c r="R20" s="34" t="s">
        <v>145</v>
      </c>
      <c r="AJ20" s="1"/>
      <c r="AK20" s="1"/>
      <c r="AL20" s="1"/>
      <c r="AM20" s="1"/>
      <c r="AN20" s="1"/>
      <c r="AO20" s="1"/>
      <c r="AP20" s="1"/>
      <c r="AQ20" s="1"/>
      <c r="AR20" s="1"/>
    </row>
    <row r="21" spans="4:44" ht="18" customHeight="1" x14ac:dyDescent="0.2">
      <c r="F21"/>
      <c r="I21"/>
      <c r="J21"/>
      <c r="K21"/>
      <c r="L21"/>
      <c r="M21"/>
      <c r="N21"/>
      <c r="O21" s="31">
        <v>21</v>
      </c>
      <c r="P21" s="32" t="s">
        <v>133</v>
      </c>
      <c r="Q21" s="32" t="s">
        <v>92</v>
      </c>
      <c r="R21" s="32" t="s">
        <v>145</v>
      </c>
      <c r="AJ21" s="1"/>
      <c r="AK21" s="1"/>
      <c r="AL21" s="1"/>
      <c r="AM21" s="1"/>
      <c r="AN21" s="1"/>
      <c r="AO21" s="1"/>
      <c r="AP21" s="1"/>
      <c r="AQ21" s="1"/>
      <c r="AR21" s="1"/>
    </row>
    <row r="22" spans="4:44" ht="26.25" customHeight="1" x14ac:dyDescent="0.2">
      <c r="F22"/>
      <c r="I22"/>
      <c r="J22"/>
      <c r="K22"/>
      <c r="L22"/>
      <c r="M22"/>
      <c r="N22"/>
      <c r="O22" s="33">
        <v>22</v>
      </c>
      <c r="P22" s="34" t="s">
        <v>136</v>
      </c>
      <c r="Q22" s="35" t="s">
        <v>57</v>
      </c>
      <c r="R22" s="34" t="s">
        <v>119</v>
      </c>
      <c r="AJ22" s="1"/>
      <c r="AK22" s="1"/>
      <c r="AL22" s="1"/>
      <c r="AM22" s="1"/>
      <c r="AN22" s="1"/>
      <c r="AO22" s="1"/>
      <c r="AP22" s="1"/>
      <c r="AQ22" s="1"/>
      <c r="AR22" s="1"/>
    </row>
    <row r="23" spans="4:44" ht="26.25" customHeight="1" x14ac:dyDescent="0.2">
      <c r="F23"/>
      <c r="I23"/>
      <c r="J23"/>
      <c r="K23"/>
      <c r="L23"/>
      <c r="M23"/>
      <c r="N23"/>
      <c r="O23" s="31">
        <v>24</v>
      </c>
      <c r="P23" s="32" t="s">
        <v>147</v>
      </c>
      <c r="Q23" s="32" t="s">
        <v>54</v>
      </c>
      <c r="R23" s="32" t="s">
        <v>119</v>
      </c>
      <c r="AJ23" s="1"/>
      <c r="AK23" s="1"/>
      <c r="AL23" s="1"/>
      <c r="AM23" s="1"/>
      <c r="AN23" s="1"/>
      <c r="AO23" s="1"/>
      <c r="AP23" s="1"/>
      <c r="AQ23" s="1"/>
      <c r="AR23" s="1"/>
    </row>
    <row r="24" spans="4:44" ht="27" customHeight="1" x14ac:dyDescent="0.2">
      <c r="F24"/>
      <c r="I24"/>
      <c r="J24"/>
      <c r="K24"/>
      <c r="L24"/>
      <c r="M24"/>
      <c r="N24"/>
      <c r="O24" s="33">
        <v>27</v>
      </c>
      <c r="P24" s="34" t="s">
        <v>134</v>
      </c>
      <c r="Q24" s="35" t="s">
        <v>58</v>
      </c>
      <c r="R24" s="34" t="s">
        <v>145</v>
      </c>
      <c r="AJ24" s="1"/>
      <c r="AK24" s="1"/>
      <c r="AL24" s="1"/>
      <c r="AM24" s="1"/>
      <c r="AN24" s="1"/>
      <c r="AO24" s="1"/>
      <c r="AP24" s="1"/>
      <c r="AQ24" s="1"/>
      <c r="AR24" s="1"/>
    </row>
    <row r="25" spans="4:44" ht="30" customHeight="1" x14ac:dyDescent="0.2">
      <c r="F25"/>
      <c r="I25"/>
      <c r="J25"/>
      <c r="K25"/>
      <c r="L25"/>
      <c r="M25"/>
      <c r="N25"/>
      <c r="O25" s="31">
        <v>28</v>
      </c>
      <c r="P25" s="32" t="s">
        <v>137</v>
      </c>
      <c r="Q25" s="32" t="s">
        <v>138</v>
      </c>
      <c r="R25" s="32" t="s">
        <v>145</v>
      </c>
      <c r="AJ25" s="1"/>
      <c r="AK25" s="1"/>
      <c r="AL25" s="1"/>
      <c r="AM25" s="1"/>
      <c r="AN25" s="1"/>
      <c r="AO25" s="1"/>
      <c r="AP25" s="1"/>
      <c r="AQ25" s="1"/>
      <c r="AR25" s="1"/>
    </row>
    <row r="26" spans="4:44" ht="27" customHeight="1" x14ac:dyDescent="0.2">
      <c r="F26"/>
      <c r="I26"/>
      <c r="J26"/>
      <c r="K26"/>
      <c r="L26"/>
      <c r="M26"/>
      <c r="N26"/>
      <c r="O26" s="33">
        <v>30</v>
      </c>
      <c r="P26" s="34" t="s">
        <v>139</v>
      </c>
      <c r="Q26" s="35" t="s">
        <v>61</v>
      </c>
      <c r="R26" s="34" t="s">
        <v>119</v>
      </c>
      <c r="AJ26" s="1"/>
      <c r="AK26" s="1"/>
      <c r="AL26" s="1"/>
      <c r="AM26" s="1"/>
      <c r="AN26" s="1"/>
      <c r="AO26" s="1"/>
      <c r="AP26" s="1"/>
      <c r="AQ26" s="1"/>
      <c r="AR26" s="1"/>
    </row>
    <row r="27" spans="4:44" ht="18" customHeight="1" x14ac:dyDescent="0.2">
      <c r="F27"/>
      <c r="I27"/>
      <c r="J27"/>
      <c r="K27"/>
      <c r="L27"/>
      <c r="M27"/>
      <c r="N27"/>
      <c r="O27" s="31">
        <v>30</v>
      </c>
      <c r="P27" s="32" t="s">
        <v>140</v>
      </c>
      <c r="Q27" s="32" t="s">
        <v>58</v>
      </c>
      <c r="R27" s="32" t="s">
        <v>145</v>
      </c>
      <c r="AJ27" s="1"/>
      <c r="AK27" s="1"/>
      <c r="AL27" s="1"/>
      <c r="AM27" s="1"/>
      <c r="AN27" s="1"/>
      <c r="AO27" s="1"/>
      <c r="AP27" s="1"/>
      <c r="AQ27" s="1"/>
      <c r="AR27" s="1"/>
    </row>
    <row r="28" spans="4:44" ht="18" customHeight="1" x14ac:dyDescent="0.2">
      <c r="F28"/>
      <c r="I28"/>
      <c r="J28"/>
      <c r="K28"/>
      <c r="L28"/>
      <c r="M28"/>
      <c r="N28"/>
      <c r="P28"/>
      <c r="Q28"/>
      <c r="AJ28" s="1"/>
      <c r="AK28" s="1"/>
      <c r="AL28" s="1"/>
      <c r="AM28" s="1"/>
      <c r="AN28" s="1"/>
      <c r="AO28" s="1"/>
      <c r="AP28" s="1"/>
      <c r="AQ28" s="1"/>
      <c r="AR28" s="1"/>
    </row>
    <row r="29" spans="4:44" ht="18" customHeight="1" x14ac:dyDescent="0.2">
      <c r="F29"/>
      <c r="I29"/>
      <c r="J29"/>
      <c r="K29"/>
      <c r="L29"/>
      <c r="M29"/>
      <c r="N29"/>
      <c r="P29"/>
      <c r="Q29"/>
      <c r="AJ29" s="1"/>
      <c r="AK29" s="1"/>
      <c r="AL29" s="1"/>
      <c r="AM29" s="1"/>
      <c r="AN29" s="1"/>
      <c r="AO29" s="1"/>
      <c r="AP29" s="1"/>
      <c r="AQ29" s="1"/>
      <c r="AR29" s="1"/>
    </row>
    <row r="30" spans="4:44" ht="18" customHeight="1" x14ac:dyDescent="0.2">
      <c r="F30"/>
      <c r="I30"/>
      <c r="J30"/>
      <c r="K30"/>
      <c r="L30"/>
      <c r="M30"/>
      <c r="N30"/>
      <c r="P30"/>
      <c r="Q30"/>
      <c r="AJ30" s="1"/>
      <c r="AK30" s="1"/>
      <c r="AL30" s="1"/>
      <c r="AM30" s="1"/>
      <c r="AN30" s="1"/>
      <c r="AO30" s="1"/>
      <c r="AP30" s="1"/>
      <c r="AQ30" s="1"/>
      <c r="AR30" s="1"/>
    </row>
    <row r="31" spans="4:44" ht="18" customHeight="1" x14ac:dyDescent="0.2">
      <c r="F31"/>
      <c r="I31"/>
      <c r="J31"/>
      <c r="K31"/>
      <c r="L31"/>
      <c r="M31"/>
      <c r="N31"/>
      <c r="P31"/>
      <c r="Q31"/>
      <c r="AJ31" s="1"/>
      <c r="AK31" s="1"/>
      <c r="AL31" s="1"/>
      <c r="AM31" s="1"/>
      <c r="AN31" s="1"/>
      <c r="AO31" s="1"/>
      <c r="AP31" s="1"/>
      <c r="AQ31" s="1"/>
      <c r="AR31" s="1"/>
    </row>
    <row r="32" spans="4:44" ht="18" customHeight="1" x14ac:dyDescent="0.2">
      <c r="F32"/>
      <c r="I32"/>
      <c r="J32"/>
      <c r="K32"/>
      <c r="L32"/>
      <c r="M32"/>
      <c r="N32"/>
      <c r="P32"/>
      <c r="Q32"/>
      <c r="AJ32" s="1"/>
      <c r="AK32" s="1"/>
      <c r="AL32" s="1"/>
      <c r="AM32" s="1"/>
      <c r="AN32" s="1"/>
      <c r="AO32" s="1"/>
      <c r="AP32" s="1"/>
      <c r="AQ32" s="1"/>
      <c r="AR32" s="1"/>
    </row>
    <row r="33" spans="6:44" ht="18" customHeight="1" x14ac:dyDescent="0.2">
      <c r="F33"/>
      <c r="I33"/>
      <c r="J33"/>
      <c r="K33"/>
      <c r="L33"/>
      <c r="M33"/>
      <c r="N33"/>
      <c r="P33"/>
      <c r="Q33"/>
      <c r="AJ33" s="1"/>
      <c r="AK33" s="1"/>
      <c r="AL33" s="1"/>
      <c r="AM33" s="1"/>
      <c r="AN33" s="1"/>
      <c r="AO33" s="1"/>
      <c r="AP33" s="1"/>
      <c r="AQ33" s="1"/>
      <c r="AR33" s="1"/>
    </row>
    <row r="34" spans="6:44" ht="18" customHeight="1" x14ac:dyDescent="0.2">
      <c r="F34"/>
      <c r="I34"/>
      <c r="J34"/>
      <c r="K34"/>
      <c r="L34"/>
      <c r="M34"/>
      <c r="N34"/>
      <c r="P34"/>
      <c r="Q34"/>
      <c r="AJ34" s="1"/>
      <c r="AK34" s="1"/>
      <c r="AL34" s="1"/>
      <c r="AM34" s="1"/>
      <c r="AN34" s="1"/>
      <c r="AO34" s="1"/>
      <c r="AP34" s="1"/>
      <c r="AQ34" s="1"/>
      <c r="AR34" s="1"/>
    </row>
    <row r="35" spans="6:44" ht="18" customHeight="1" x14ac:dyDescent="0.2">
      <c r="F35"/>
      <c r="I35"/>
      <c r="J35"/>
      <c r="K35"/>
      <c r="L35"/>
      <c r="M35"/>
      <c r="N35"/>
      <c r="P35"/>
      <c r="Q35"/>
      <c r="AJ35" s="1"/>
      <c r="AK35" s="1"/>
      <c r="AL35" s="1"/>
      <c r="AM35" s="1"/>
      <c r="AN35" s="1"/>
      <c r="AO35" s="1"/>
      <c r="AP35" s="1"/>
      <c r="AQ35" s="1"/>
      <c r="AR35" s="1"/>
    </row>
    <row r="36" spans="6:44" ht="18" customHeight="1" x14ac:dyDescent="0.2">
      <c r="F36"/>
      <c r="I36"/>
      <c r="J36"/>
      <c r="K36"/>
      <c r="L36"/>
      <c r="M36"/>
      <c r="N36"/>
      <c r="P36"/>
      <c r="Q36"/>
      <c r="AJ36" s="1"/>
      <c r="AK36" s="1"/>
      <c r="AL36" s="1"/>
      <c r="AM36" s="1"/>
      <c r="AN36" s="1"/>
      <c r="AO36" s="1"/>
      <c r="AP36" s="1"/>
      <c r="AQ36" s="1"/>
      <c r="AR36" s="1"/>
    </row>
    <row r="37" spans="6:44" ht="18" customHeight="1" x14ac:dyDescent="0.2">
      <c r="F37"/>
      <c r="I37"/>
      <c r="J37"/>
      <c r="K37"/>
      <c r="L37"/>
      <c r="M37"/>
      <c r="N37"/>
      <c r="P37"/>
      <c r="Q37"/>
      <c r="AJ37" s="1"/>
      <c r="AK37" s="1"/>
      <c r="AL37" s="1"/>
      <c r="AM37" s="1"/>
      <c r="AN37" s="1"/>
      <c r="AO37" s="1"/>
      <c r="AP37" s="1"/>
      <c r="AQ37" s="1"/>
      <c r="AR37" s="1"/>
    </row>
    <row r="38" spans="6:44" ht="18" customHeight="1" x14ac:dyDescent="0.2">
      <c r="F38"/>
      <c r="I38"/>
      <c r="J38"/>
      <c r="K38"/>
      <c r="L38"/>
      <c r="M38"/>
      <c r="N38"/>
      <c r="P38"/>
      <c r="Q38"/>
      <c r="AJ38" s="1"/>
      <c r="AK38" s="1"/>
      <c r="AL38" s="1"/>
      <c r="AM38" s="1"/>
      <c r="AN38" s="1"/>
      <c r="AO38" s="1"/>
      <c r="AP38" s="1"/>
      <c r="AQ38" s="1"/>
      <c r="AR38" s="1"/>
    </row>
    <row r="39" spans="6:44" ht="18" customHeight="1" x14ac:dyDescent="0.2">
      <c r="F39"/>
      <c r="I39"/>
      <c r="J39"/>
      <c r="K39"/>
      <c r="L39"/>
      <c r="M39"/>
      <c r="N39"/>
      <c r="P39"/>
      <c r="Q39"/>
      <c r="AJ39" s="1"/>
      <c r="AK39" s="1"/>
      <c r="AL39" s="1"/>
      <c r="AM39" s="1"/>
      <c r="AN39" s="1"/>
      <c r="AO39" s="1"/>
      <c r="AP39" s="1"/>
      <c r="AQ39" s="1"/>
      <c r="AR39" s="1"/>
    </row>
    <row r="40" spans="6:44" ht="18" customHeight="1" x14ac:dyDescent="0.2">
      <c r="F40"/>
      <c r="I40"/>
      <c r="J40"/>
      <c r="K40"/>
      <c r="L40"/>
      <c r="M40"/>
      <c r="N40"/>
      <c r="P40"/>
      <c r="Q40"/>
      <c r="AJ40" s="1"/>
      <c r="AK40" s="1"/>
      <c r="AL40" s="1"/>
      <c r="AM40" s="1"/>
      <c r="AN40" s="1"/>
      <c r="AO40" s="1"/>
      <c r="AP40" s="1"/>
      <c r="AQ40" s="1"/>
      <c r="AR40" s="1"/>
    </row>
    <row r="41" spans="6:44" ht="18" customHeight="1" x14ac:dyDescent="0.2">
      <c r="F41"/>
      <c r="I41"/>
      <c r="J41"/>
      <c r="K41"/>
      <c r="L41"/>
      <c r="M41"/>
      <c r="N41"/>
      <c r="P41"/>
      <c r="Q41"/>
      <c r="AJ41" s="1"/>
      <c r="AK41" s="1"/>
      <c r="AL41" s="1"/>
      <c r="AM41" s="1"/>
      <c r="AN41" s="1"/>
      <c r="AO41" s="1"/>
      <c r="AP41" s="1"/>
      <c r="AQ41" s="1"/>
      <c r="AR41" s="1"/>
    </row>
    <row r="42" spans="6:44" ht="18" customHeight="1" x14ac:dyDescent="0.2">
      <c r="F42"/>
      <c r="I42"/>
      <c r="J42"/>
      <c r="K42"/>
      <c r="L42"/>
      <c r="M42"/>
      <c r="N42"/>
      <c r="P42"/>
      <c r="Q42"/>
      <c r="AJ42" s="1"/>
      <c r="AK42" s="1"/>
      <c r="AL42" s="1"/>
      <c r="AM42" s="1"/>
      <c r="AN42" s="1"/>
      <c r="AO42" s="1"/>
      <c r="AP42" s="1"/>
      <c r="AQ42" s="1"/>
      <c r="AR42" s="1"/>
    </row>
    <row r="43" spans="6:44" ht="16.5" customHeight="1" x14ac:dyDescent="0.2">
      <c r="F43"/>
      <c r="I43"/>
      <c r="J43"/>
      <c r="K43"/>
      <c r="L43"/>
      <c r="M43"/>
      <c r="N43"/>
      <c r="P43"/>
      <c r="Q43"/>
      <c r="AJ43" s="1"/>
      <c r="AK43" s="1"/>
      <c r="AL43" s="1"/>
      <c r="AM43" s="1"/>
      <c r="AN43" s="1"/>
      <c r="AO43" s="1"/>
      <c r="AP43" s="1"/>
      <c r="AQ43" s="1"/>
      <c r="AR43" s="1"/>
    </row>
    <row r="44" spans="6:44" ht="16.5" customHeight="1" x14ac:dyDescent="0.2">
      <c r="F44"/>
      <c r="I44"/>
      <c r="J44"/>
      <c r="K44"/>
      <c r="L44"/>
      <c r="M44"/>
      <c r="N44"/>
      <c r="P44"/>
      <c r="Q44"/>
      <c r="AJ44" s="1"/>
      <c r="AK44" s="1"/>
      <c r="AL44" s="1"/>
      <c r="AM44" s="1"/>
      <c r="AN44" s="1"/>
      <c r="AO44" s="1"/>
      <c r="AP44" s="1"/>
      <c r="AQ44" s="1"/>
      <c r="AR44" s="1"/>
    </row>
    <row r="45" spans="6:44" ht="16.5" customHeight="1" x14ac:dyDescent="0.2">
      <c r="F45"/>
      <c r="I45"/>
      <c r="J45"/>
      <c r="K45"/>
      <c r="L45"/>
      <c r="M45"/>
      <c r="N45"/>
      <c r="P45"/>
      <c r="Q45"/>
      <c r="AJ45" s="1"/>
      <c r="AK45" s="1"/>
      <c r="AL45" s="1"/>
      <c r="AM45" s="1"/>
      <c r="AN45" s="1"/>
      <c r="AO45" s="1"/>
      <c r="AP45" s="1"/>
      <c r="AQ45" s="1"/>
      <c r="AR45" s="1"/>
    </row>
    <row r="46" spans="6:44" ht="16.5" customHeight="1" x14ac:dyDescent="0.2">
      <c r="F46"/>
      <c r="I46"/>
      <c r="J46"/>
      <c r="K46"/>
      <c r="L46"/>
      <c r="M46"/>
      <c r="N46"/>
      <c r="P46"/>
      <c r="Q46"/>
      <c r="AJ46" s="1"/>
      <c r="AK46" s="1"/>
      <c r="AL46" s="1"/>
      <c r="AM46" s="1"/>
      <c r="AN46" s="1"/>
      <c r="AO46" s="1"/>
      <c r="AP46" s="1"/>
      <c r="AQ46" s="1"/>
      <c r="AR46" s="1"/>
    </row>
    <row r="47" spans="6:44" ht="16.5" customHeight="1" x14ac:dyDescent="0.2">
      <c r="F47"/>
      <c r="I47"/>
      <c r="J47"/>
      <c r="K47"/>
      <c r="L47"/>
      <c r="M47"/>
      <c r="N47"/>
      <c r="P47"/>
      <c r="Q47"/>
      <c r="AJ47" s="1"/>
      <c r="AK47" s="1"/>
      <c r="AL47" s="1"/>
      <c r="AM47" s="1"/>
      <c r="AN47" s="1"/>
      <c r="AO47" s="1"/>
      <c r="AP47" s="1"/>
      <c r="AQ47" s="1"/>
      <c r="AR47" s="1"/>
    </row>
    <row r="48" spans="6:44" ht="16.5" customHeight="1" x14ac:dyDescent="0.2">
      <c r="F48"/>
      <c r="I48"/>
      <c r="J48"/>
      <c r="K48"/>
      <c r="L48"/>
      <c r="M48"/>
      <c r="N48"/>
      <c r="P48"/>
      <c r="Q48"/>
      <c r="AJ48" s="1"/>
      <c r="AK48" s="1"/>
      <c r="AL48" s="1"/>
      <c r="AM48" s="1"/>
      <c r="AN48" s="1"/>
      <c r="AO48" s="1"/>
      <c r="AP48" s="1"/>
      <c r="AQ48" s="1"/>
      <c r="AR48" s="1"/>
    </row>
    <row r="49" spans="6:44" ht="16.5" customHeight="1" x14ac:dyDescent="0.2">
      <c r="F49"/>
      <c r="I49"/>
      <c r="J49"/>
      <c r="K49"/>
      <c r="L49"/>
      <c r="M49"/>
      <c r="N49"/>
      <c r="P49"/>
      <c r="Q49"/>
      <c r="AJ49" s="1"/>
      <c r="AK49" s="1"/>
      <c r="AL49" s="1"/>
      <c r="AM49" s="1"/>
      <c r="AN49" s="1"/>
      <c r="AO49" s="1"/>
      <c r="AP49" s="1"/>
      <c r="AQ49" s="1"/>
      <c r="AR49" s="1"/>
    </row>
    <row r="50" spans="6:44" ht="16.5" customHeight="1" x14ac:dyDescent="0.2">
      <c r="F50"/>
      <c r="I50"/>
      <c r="J50"/>
      <c r="K50"/>
      <c r="L50"/>
      <c r="M50"/>
      <c r="N50"/>
      <c r="P50"/>
      <c r="Q50"/>
      <c r="AJ50" s="1"/>
      <c r="AK50" s="1"/>
      <c r="AL50" s="1"/>
      <c r="AM50" s="1"/>
      <c r="AN50" s="1"/>
      <c r="AO50" s="1"/>
      <c r="AP50" s="1"/>
      <c r="AQ50" s="1"/>
      <c r="AR50" s="1"/>
    </row>
    <row r="51" spans="6:44" ht="16.5" customHeight="1" x14ac:dyDescent="0.2">
      <c r="F51"/>
      <c r="I51"/>
      <c r="J51"/>
      <c r="K51"/>
      <c r="L51"/>
      <c r="M51"/>
      <c r="N51"/>
      <c r="P51"/>
      <c r="Q51"/>
      <c r="AJ51" s="1"/>
      <c r="AK51" s="1"/>
      <c r="AL51" s="1"/>
      <c r="AM51" s="1"/>
      <c r="AN51" s="1"/>
      <c r="AO51" s="1"/>
      <c r="AP51" s="1"/>
      <c r="AQ51" s="1"/>
      <c r="AR51" s="1"/>
    </row>
    <row r="52" spans="6:44" ht="16.5" customHeight="1" x14ac:dyDescent="0.2">
      <c r="F52"/>
      <c r="I52"/>
      <c r="J52"/>
      <c r="K52"/>
      <c r="L52"/>
      <c r="M52"/>
      <c r="N52"/>
      <c r="P52"/>
      <c r="Q52"/>
      <c r="AJ52" s="1"/>
      <c r="AK52" s="1"/>
      <c r="AL52" s="1"/>
      <c r="AM52" s="1"/>
      <c r="AN52" s="1"/>
      <c r="AO52" s="1"/>
      <c r="AP52" s="1"/>
      <c r="AQ52" s="1"/>
      <c r="AR52" s="1"/>
    </row>
    <row r="53" spans="6:44" ht="16.5" customHeight="1" x14ac:dyDescent="0.2">
      <c r="F53"/>
      <c r="I53"/>
      <c r="J53"/>
      <c r="K53"/>
      <c r="L53"/>
      <c r="M53"/>
      <c r="N53"/>
      <c r="P53"/>
      <c r="Q53"/>
      <c r="AJ53" s="1"/>
      <c r="AK53" s="1"/>
      <c r="AL53" s="1"/>
      <c r="AM53" s="1"/>
      <c r="AN53" s="1"/>
      <c r="AO53" s="1"/>
      <c r="AP53" s="1"/>
      <c r="AQ53" s="1"/>
      <c r="AR53" s="1"/>
    </row>
  </sheetData>
  <mergeCells count="6">
    <mergeCell ref="R9:R10"/>
    <mergeCell ref="E7:E16"/>
    <mergeCell ref="O7:Q8"/>
    <mergeCell ref="O9:O10"/>
    <mergeCell ref="P9:P10"/>
    <mergeCell ref="Q9:Q10"/>
  </mergeCells>
  <conditionalFormatting sqref="F9:K9">
    <cfRule type="expression" dxfId="27" priority="3" stopIfTrue="1">
      <formula>DAY(F9)&gt;8</formula>
    </cfRule>
  </conditionalFormatting>
  <conditionalFormatting sqref="F14:L17">
    <cfRule type="expression" dxfId="26" priority="2" stopIfTrue="1">
      <formula>AND(DAY(F14)&gt;=1,DAY(F14)&lt;=15)</formula>
    </cfRule>
  </conditionalFormatting>
  <conditionalFormatting sqref="F9:L15">
    <cfRule type="expression" dxfId="25" priority="4">
      <formula>VLOOKUP(DAY(F9),DíasDeTareas,1,FALSE)=DAY(F9)</formula>
    </cfRule>
  </conditionalFormatting>
  <dataValidations count="1">
    <dataValidation allowBlank="1" showInputMessage="1" showErrorMessage="1" errorTitle="Invalid Year" error="Enter a year from 1900 to 9999, or use the scroll bar to find a year." sqref="R7"/>
  </dataValidations>
  <printOptions horizontalCentered="1"/>
  <pageMargins left="0.5" right="0.5" top="0.5" bottom="0.5" header="0.3" footer="0.3"/>
  <pageSetup scale="6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  <pageSetUpPr fitToPage="1"/>
  </sheetPr>
  <dimension ref="D2:AR37"/>
  <sheetViews>
    <sheetView showGridLines="0" tabSelected="1" topLeftCell="A7" zoomScaleNormal="100" zoomScalePageLayoutView="84" workbookViewId="0">
      <selection activeCell="K26" sqref="K26"/>
    </sheetView>
  </sheetViews>
  <sheetFormatPr baseColWidth="10" defaultColWidth="8.7109375" defaultRowHeight="16.5" customHeight="1" x14ac:dyDescent="0.2"/>
  <cols>
    <col min="1" max="3" width="8.7109375" style="1"/>
    <col min="4" max="4" width="2.28515625" style="1" customWidth="1"/>
    <col min="5" max="5" width="12.7109375" style="1" customWidth="1"/>
    <col min="6" max="13" width="6.7109375" style="1" customWidth="1"/>
    <col min="14" max="14" width="7.28515625" style="1" customWidth="1"/>
    <col min="15" max="15" width="8.85546875" customWidth="1"/>
    <col min="16" max="16" width="69" style="1" customWidth="1"/>
    <col min="17" max="17" width="13.42578125" style="1" customWidth="1"/>
    <col min="18" max="18" width="25.5703125" customWidth="1"/>
    <col min="19" max="25" width="8.85546875" customWidth="1"/>
    <col min="45" max="16384" width="8.7109375" style="1"/>
  </cols>
  <sheetData>
    <row r="2" spans="4:18" ht="16.5" customHeight="1" x14ac:dyDescent="0.2">
      <c r="O2" s="38" t="s">
        <v>39</v>
      </c>
    </row>
    <row r="3" spans="4:18" ht="16.5" customHeight="1" x14ac:dyDescent="0.2">
      <c r="O3" s="28" t="s">
        <v>50</v>
      </c>
    </row>
    <row r="5" spans="4:18" ht="11.25" customHeight="1" x14ac:dyDescent="0.2"/>
    <row r="6" spans="4:18" ht="18" customHeight="1" x14ac:dyDescent="0.2">
      <c r="D6" s="4"/>
      <c r="E6" s="97" t="s">
        <v>31</v>
      </c>
      <c r="F6" s="11"/>
      <c r="G6" s="11"/>
      <c r="H6" s="11"/>
      <c r="I6" s="11"/>
      <c r="J6" s="11"/>
      <c r="K6" s="11"/>
      <c r="L6" s="11"/>
      <c r="M6" s="12"/>
      <c r="O6" s="133" t="s">
        <v>40</v>
      </c>
      <c r="P6" s="134"/>
      <c r="Q6" s="134"/>
      <c r="R6" s="18">
        <v>2020</v>
      </c>
    </row>
    <row r="7" spans="4:18" ht="21" customHeight="1" x14ac:dyDescent="0.2">
      <c r="D7" s="4"/>
      <c r="E7" s="98"/>
      <c r="F7" s="2" t="s">
        <v>8</v>
      </c>
      <c r="G7" s="2" t="s">
        <v>1</v>
      </c>
      <c r="H7" s="2" t="s">
        <v>9</v>
      </c>
      <c r="I7" s="2" t="s">
        <v>10</v>
      </c>
      <c r="J7" s="2" t="s">
        <v>11</v>
      </c>
      <c r="K7" s="2" t="s">
        <v>0</v>
      </c>
      <c r="L7" s="2" t="s">
        <v>12</v>
      </c>
      <c r="M7" s="5"/>
      <c r="O7" s="135"/>
      <c r="P7" s="136"/>
      <c r="Q7" s="136"/>
      <c r="R7" s="37"/>
    </row>
    <row r="8" spans="4:18" ht="18" customHeight="1" x14ac:dyDescent="0.2">
      <c r="D8" s="4"/>
      <c r="E8" s="98"/>
      <c r="F8" s="10">
        <f>IF(DAY(MayDom1)=1,MayDom1-6,MayDom1+1)</f>
        <v>43948</v>
      </c>
      <c r="G8" s="41">
        <f>IF(DAY(MayDom1)=1,MayDom1-5,MayDom1+2)</f>
        <v>43949</v>
      </c>
      <c r="H8" s="41">
        <f>IF(DAY(MayDom1)=1,MayDom1-4,MayDom1+3)</f>
        <v>43950</v>
      </c>
      <c r="I8" s="41">
        <f>IF(DAY(MayDom1)=1,MayDom1-3,MayDom1+4)</f>
        <v>43951</v>
      </c>
      <c r="J8" s="41">
        <f>IF(DAY(MayDom1)=1,MayDom1-2,MayDom1+5)</f>
        <v>43952</v>
      </c>
      <c r="K8" s="10">
        <f>IF(DAY(MayDom1)=1,MayDom1-1,MayDom1+6)</f>
        <v>43953</v>
      </c>
      <c r="L8" s="10">
        <f>IF(DAY(MayDom1)=1,MayDom1,MayDom1+7)</f>
        <v>43954</v>
      </c>
      <c r="M8" s="5"/>
      <c r="O8" s="137" t="s">
        <v>35</v>
      </c>
      <c r="P8" s="137" t="s">
        <v>36</v>
      </c>
      <c r="Q8" s="137" t="s">
        <v>37</v>
      </c>
      <c r="R8" s="137" t="s">
        <v>38</v>
      </c>
    </row>
    <row r="9" spans="4:18" ht="18" customHeight="1" x14ac:dyDescent="0.2">
      <c r="D9" s="4"/>
      <c r="E9" s="98"/>
      <c r="F9" s="10">
        <f>IF(DAY(MayDom1)=1,MayDom1+1,MayDom1+8)</f>
        <v>43955</v>
      </c>
      <c r="G9" s="41">
        <f>IF(DAY(MayDom1)=1,MayDom1+2,MayDom1+9)</f>
        <v>43956</v>
      </c>
      <c r="H9" s="41">
        <f>IF(DAY(MayDom1)=1,MayDom1+3,MayDom1+10)</f>
        <v>43957</v>
      </c>
      <c r="I9" s="41">
        <f>IF(DAY(MayDom1)=1,MayDom1+4,MayDom1+11)</f>
        <v>43958</v>
      </c>
      <c r="J9" s="41">
        <f>IF(DAY(MayDom1)=1,MayDom1+5,MayDom1+12)</f>
        <v>43959</v>
      </c>
      <c r="K9" s="10">
        <f>IF(DAY(MayDom1)=1,MayDom1+6,MayDom1+13)</f>
        <v>43960</v>
      </c>
      <c r="L9" s="10">
        <f>IF(DAY(MayDom1)=1,MayDom1+7,MayDom1+14)</f>
        <v>43961</v>
      </c>
      <c r="M9" s="5"/>
      <c r="O9" s="138"/>
      <c r="P9" s="138"/>
      <c r="Q9" s="138"/>
      <c r="R9" s="138"/>
    </row>
    <row r="10" spans="4:18" ht="27.75" customHeight="1" x14ac:dyDescent="0.2">
      <c r="D10" s="4"/>
      <c r="E10" s="98"/>
      <c r="F10" s="10">
        <f>IF(DAY(MayDom1)=1,MayDom1+15,MayDom1+22)</f>
        <v>43969</v>
      </c>
      <c r="G10" s="41">
        <f>IF(DAY(MayDom1)=1,MayDom1+16,MayDom1+23)</f>
        <v>43970</v>
      </c>
      <c r="H10" s="41">
        <f>IF(DAY(MayDom1)=1,MayDom1+17,MayDom1+24)</f>
        <v>43971</v>
      </c>
      <c r="I10" s="41">
        <f>IF(DAY(MayDom1)=1,MayDom1+18,MayDom1+25)</f>
        <v>43972</v>
      </c>
      <c r="J10" s="41">
        <f>IF(DAY(MayDom1)=1,MayDom1+19,MayDom1+26)</f>
        <v>43973</v>
      </c>
      <c r="K10" s="10">
        <f>IF(DAY(MayDom1)=1,MayDom1+20,MayDom1+27)</f>
        <v>43974</v>
      </c>
      <c r="L10" s="10">
        <f>IF(DAY(MayDom1)=1,MayDom1+21,MayDom1+28)</f>
        <v>43975</v>
      </c>
      <c r="M10" s="5"/>
      <c r="O10" s="33">
        <v>4</v>
      </c>
      <c r="P10" s="80" t="s">
        <v>111</v>
      </c>
      <c r="Q10" s="34" t="s">
        <v>57</v>
      </c>
      <c r="R10" s="34" t="s">
        <v>119</v>
      </c>
    </row>
    <row r="11" spans="4:18" ht="24.75" customHeight="1" x14ac:dyDescent="0.2">
      <c r="D11" s="4"/>
      <c r="E11" s="98"/>
      <c r="F11" s="10"/>
      <c r="G11" s="41"/>
      <c r="H11" s="41"/>
      <c r="I11" s="41"/>
      <c r="J11" s="41"/>
      <c r="K11" s="10"/>
      <c r="L11" s="10"/>
      <c r="M11" s="5"/>
      <c r="O11" s="31">
        <v>6</v>
      </c>
      <c r="P11" s="32" t="s">
        <v>157</v>
      </c>
      <c r="Q11" s="36" t="s">
        <v>54</v>
      </c>
      <c r="R11" s="32" t="s">
        <v>119</v>
      </c>
    </row>
    <row r="12" spans="4:18" ht="15" customHeight="1" x14ac:dyDescent="0.2">
      <c r="D12" s="4"/>
      <c r="E12" s="98"/>
      <c r="F12" s="10">
        <f>IF(DAY(MayDom1)=1,MayDom1+22,MayDom1+29)</f>
        <v>43976</v>
      </c>
      <c r="G12" s="41">
        <f>IF(DAY(MayDom1)=1,MayDom1+23,MayDom1+30)</f>
        <v>43977</v>
      </c>
      <c r="H12" s="41">
        <f>IF(DAY(MayDom1)=1,MayDom1+24,MayDom1+31)</f>
        <v>43978</v>
      </c>
      <c r="I12" s="41">
        <f>IF(DAY(MayDom1)=1,MayDom1+25,MayDom1+32)</f>
        <v>43979</v>
      </c>
      <c r="J12" s="41">
        <f>IF(DAY(MayDom1)=1,MayDom1+26,MayDom1+33)</f>
        <v>43980</v>
      </c>
      <c r="K12" s="10">
        <f>IF(DAY(MayDom1)=1,MayDom1+27,MayDom1+34)</f>
        <v>43981</v>
      </c>
      <c r="L12" s="10">
        <f>IF(DAY(MayDom1)=1,MayDom1+28,MayDom1+35)</f>
        <v>43982</v>
      </c>
      <c r="M12" s="5"/>
      <c r="O12" s="33">
        <v>7</v>
      </c>
      <c r="P12" s="80" t="s">
        <v>158</v>
      </c>
      <c r="Q12" s="34" t="s">
        <v>54</v>
      </c>
      <c r="R12" s="34" t="s">
        <v>119</v>
      </c>
    </row>
    <row r="13" spans="4:18" ht="15.75" customHeight="1" x14ac:dyDescent="0.2">
      <c r="D13" s="4"/>
      <c r="E13" s="98"/>
      <c r="F13" s="10"/>
      <c r="G13" s="41"/>
      <c r="H13" s="41"/>
      <c r="I13" s="41"/>
      <c r="J13" s="41"/>
      <c r="K13" s="10"/>
      <c r="L13" s="10"/>
      <c r="M13" s="5"/>
      <c r="O13" s="31">
        <v>8</v>
      </c>
      <c r="P13" s="32" t="s">
        <v>159</v>
      </c>
      <c r="Q13" s="36" t="s">
        <v>160</v>
      </c>
      <c r="R13" s="32" t="s">
        <v>119</v>
      </c>
    </row>
    <row r="14" spans="4:18" ht="25.5" customHeight="1" x14ac:dyDescent="0.2">
      <c r="D14" s="4"/>
      <c r="E14" s="98"/>
      <c r="F14" s="10">
        <f>IF(DAY(MayDom1)=1,MayDom1+29,MayDom1+36)</f>
        <v>43983</v>
      </c>
      <c r="G14" s="10">
        <f>IF(DAY(MayDom1)=1,MayDom1+30,MayDom1+37)</f>
        <v>43984</v>
      </c>
      <c r="H14" s="10">
        <f>IF(DAY(MayDom1)=1,MayDom1+31,MayDom1+38)</f>
        <v>43985</v>
      </c>
      <c r="I14" s="10">
        <f>IF(DAY(MayDom1)=1,MayDom1+32,MayDom1+39)</f>
        <v>43986</v>
      </c>
      <c r="J14" s="10">
        <f>IF(DAY(MayDom1)=1,MayDom1+33,MayDom1+40)</f>
        <v>43987</v>
      </c>
      <c r="K14" s="10">
        <f>IF(DAY(MayDom1)=1,MayDom1+34,MayDom1+41)</f>
        <v>43988</v>
      </c>
      <c r="L14" s="10">
        <f>IF(DAY(MayDom1)=1,MayDom1+35,MayDom1+42)</f>
        <v>43989</v>
      </c>
      <c r="M14" s="5"/>
      <c r="O14" s="33">
        <v>11</v>
      </c>
      <c r="P14" s="81" t="s">
        <v>111</v>
      </c>
      <c r="Q14" s="35" t="s">
        <v>57</v>
      </c>
      <c r="R14" s="34" t="s">
        <v>119</v>
      </c>
    </row>
    <row r="15" spans="4:18" ht="26.25" customHeight="1" x14ac:dyDescent="0.2">
      <c r="D15" s="4"/>
      <c r="E15" s="99"/>
      <c r="F15" s="13"/>
      <c r="G15" s="13"/>
      <c r="H15" s="13"/>
      <c r="I15" s="13"/>
      <c r="J15" s="13"/>
      <c r="K15" s="13"/>
      <c r="L15" s="13"/>
      <c r="M15" s="14"/>
      <c r="O15" s="31">
        <v>12</v>
      </c>
      <c r="P15" s="32" t="s">
        <v>149</v>
      </c>
      <c r="Q15" s="36" t="s">
        <v>54</v>
      </c>
      <c r="R15" s="32" t="s">
        <v>119</v>
      </c>
    </row>
    <row r="16" spans="4:18" ht="16.5" customHeight="1" x14ac:dyDescent="0.2">
      <c r="D16" s="4"/>
      <c r="O16" s="33">
        <v>13</v>
      </c>
      <c r="P16" s="80" t="s">
        <v>148</v>
      </c>
      <c r="Q16" s="34" t="s">
        <v>51</v>
      </c>
      <c r="R16" s="34" t="s">
        <v>119</v>
      </c>
    </row>
    <row r="17" spans="4:18" ht="24.75" customHeight="1" x14ac:dyDescent="0.2">
      <c r="D17" s="4"/>
      <c r="O17" s="31">
        <v>18</v>
      </c>
      <c r="P17" s="32" t="s">
        <v>111</v>
      </c>
      <c r="Q17" s="36" t="s">
        <v>57</v>
      </c>
      <c r="R17" s="32" t="s">
        <v>119</v>
      </c>
    </row>
    <row r="18" spans="4:18" ht="18" customHeight="1" x14ac:dyDescent="0.2">
      <c r="O18" s="33">
        <v>18</v>
      </c>
      <c r="P18" s="81" t="s">
        <v>161</v>
      </c>
      <c r="Q18" s="35" t="s">
        <v>73</v>
      </c>
      <c r="R18" s="34" t="s">
        <v>119</v>
      </c>
    </row>
    <row r="19" spans="4:18" ht="18" customHeight="1" x14ac:dyDescent="0.2">
      <c r="O19" s="31">
        <v>19</v>
      </c>
      <c r="P19" s="32" t="s">
        <v>162</v>
      </c>
      <c r="Q19" s="36" t="s">
        <v>154</v>
      </c>
      <c r="R19" s="32" t="s">
        <v>119</v>
      </c>
    </row>
    <row r="20" spans="4:18" ht="26.25" customHeight="1" x14ac:dyDescent="0.2">
      <c r="O20" s="33">
        <v>19</v>
      </c>
      <c r="P20" s="34" t="s">
        <v>163</v>
      </c>
      <c r="Q20" s="34" t="s">
        <v>51</v>
      </c>
      <c r="R20" s="34" t="s">
        <v>119</v>
      </c>
    </row>
    <row r="21" spans="4:18" ht="24.75" customHeight="1" x14ac:dyDescent="0.2">
      <c r="O21" s="31">
        <v>20</v>
      </c>
      <c r="P21" s="32" t="s">
        <v>150</v>
      </c>
      <c r="Q21" s="36" t="s">
        <v>57</v>
      </c>
      <c r="R21" s="32" t="s">
        <v>164</v>
      </c>
    </row>
    <row r="22" spans="4:18" ht="27" customHeight="1" x14ac:dyDescent="0.2">
      <c r="O22" s="33">
        <v>26</v>
      </c>
      <c r="P22" s="80" t="s">
        <v>111</v>
      </c>
      <c r="Q22" s="34" t="s">
        <v>57</v>
      </c>
      <c r="R22" s="34" t="s">
        <v>119</v>
      </c>
    </row>
    <row r="23" spans="4:18" ht="18" customHeight="1" x14ac:dyDescent="0.2">
      <c r="O23" s="31">
        <v>26</v>
      </c>
      <c r="P23" s="32" t="s">
        <v>162</v>
      </c>
      <c r="Q23" s="36">
        <v>0.4375</v>
      </c>
      <c r="R23" s="32" t="s">
        <v>119</v>
      </c>
    </row>
    <row r="24" spans="4:18" ht="25.5" customHeight="1" x14ac:dyDescent="0.2">
      <c r="O24" s="33">
        <v>27</v>
      </c>
      <c r="P24" s="80" t="s">
        <v>151</v>
      </c>
      <c r="Q24" s="35" t="s">
        <v>57</v>
      </c>
      <c r="R24" s="34" t="s">
        <v>119</v>
      </c>
    </row>
    <row r="25" spans="4:18" ht="43.5" customHeight="1" x14ac:dyDescent="0.2">
      <c r="O25" s="31">
        <v>28</v>
      </c>
      <c r="P25" s="32" t="s">
        <v>165</v>
      </c>
      <c r="Q25" s="36" t="s">
        <v>61</v>
      </c>
      <c r="R25" s="32" t="s">
        <v>119</v>
      </c>
    </row>
    <row r="26" spans="4:18" ht="26.25" customHeight="1" x14ac:dyDescent="0.2">
      <c r="O26" s="31">
        <v>29</v>
      </c>
      <c r="P26" s="32" t="s">
        <v>147</v>
      </c>
      <c r="Q26" s="36" t="s">
        <v>54</v>
      </c>
      <c r="R26" s="32" t="s">
        <v>119</v>
      </c>
    </row>
    <row r="27" spans="4:18" ht="18" customHeight="1" x14ac:dyDescent="0.2"/>
    <row r="28" spans="4:18" ht="18" customHeight="1" x14ac:dyDescent="0.2"/>
    <row r="29" spans="4:18" ht="18" customHeight="1" x14ac:dyDescent="0.2"/>
    <row r="30" spans="4:18" ht="18" customHeight="1" x14ac:dyDescent="0.2"/>
    <row r="31" spans="4:18" ht="18" customHeight="1" x14ac:dyDescent="0.2"/>
    <row r="32" spans="4:18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</sheetData>
  <mergeCells count="6">
    <mergeCell ref="R8:R9"/>
    <mergeCell ref="E6:E15"/>
    <mergeCell ref="O6:Q7"/>
    <mergeCell ref="O8:O9"/>
    <mergeCell ref="P8:P9"/>
    <mergeCell ref="Q8:Q9"/>
  </mergeCells>
  <conditionalFormatting sqref="F8:K8">
    <cfRule type="expression" dxfId="24" priority="3" stopIfTrue="1">
      <formula>DAY(F8)&gt;8</formula>
    </cfRule>
  </conditionalFormatting>
  <conditionalFormatting sqref="F12:L15">
    <cfRule type="expression" dxfId="23" priority="2" stopIfTrue="1">
      <formula>AND(DAY(F12)&gt;=1,DAY(F12)&lt;=15)</formula>
    </cfRule>
  </conditionalFormatting>
  <conditionalFormatting sqref="F8:L14">
    <cfRule type="expression" dxfId="22" priority="4">
      <formula>VLOOKUP(DAY(F8),DíasDeTareas,1,FALSE)=DAY(F8)</formula>
    </cfRule>
  </conditionalFormatting>
  <dataValidations count="1">
    <dataValidation allowBlank="1" showInputMessage="1" showErrorMessage="1" errorTitle="Invalid Year" error="Enter a year from 1900 to 9999, or use the scroll bar to find a year." sqref="R6"/>
  </dataValidations>
  <printOptions horizontalCentered="1"/>
  <pageMargins left="0.5" right="0.5" top="0.5" bottom="0.5" header="0.3" footer="0.3"/>
  <pageSetup scale="6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  <pageSetUpPr fitToPage="1"/>
  </sheetPr>
  <dimension ref="D2:AR37"/>
  <sheetViews>
    <sheetView showGridLines="0" topLeftCell="B1" zoomScaleNormal="100" zoomScalePageLayoutView="84" workbookViewId="0">
      <selection activeCell="X12" sqref="X12"/>
    </sheetView>
  </sheetViews>
  <sheetFormatPr baseColWidth="10" defaultColWidth="8.7109375" defaultRowHeight="16.5" customHeight="1" x14ac:dyDescent="0.2"/>
  <cols>
    <col min="1" max="3" width="8.7109375" style="1"/>
    <col min="4" max="4" width="2.28515625" style="1" customWidth="1"/>
    <col min="5" max="5" width="12.7109375" style="1" customWidth="1"/>
    <col min="6" max="13" width="6.7109375" style="1" customWidth="1"/>
    <col min="14" max="14" width="7.28515625" style="1" customWidth="1"/>
    <col min="15" max="15" width="9" customWidth="1"/>
    <col min="16" max="16" width="40.28515625" style="1" customWidth="1"/>
    <col min="17" max="17" width="10.7109375" style="1" customWidth="1"/>
    <col min="18" max="18" width="22.140625" customWidth="1"/>
    <col min="19" max="25" width="8.85546875" customWidth="1"/>
    <col min="45" max="16384" width="8.7109375" style="1"/>
  </cols>
  <sheetData>
    <row r="2" spans="4:18" ht="16.5" customHeight="1" x14ac:dyDescent="0.2">
      <c r="O2" s="38" t="s">
        <v>39</v>
      </c>
    </row>
    <row r="3" spans="4:18" ht="16.5" customHeight="1" x14ac:dyDescent="0.2">
      <c r="O3" s="28" t="s">
        <v>50</v>
      </c>
    </row>
    <row r="5" spans="4:18" ht="11.25" customHeight="1" x14ac:dyDescent="0.2"/>
    <row r="6" spans="4:18" ht="18" customHeight="1" x14ac:dyDescent="0.2">
      <c r="D6" s="4"/>
      <c r="E6" s="97" t="s">
        <v>30</v>
      </c>
      <c r="F6" s="11"/>
      <c r="G6" s="11"/>
      <c r="H6" s="11"/>
      <c r="I6" s="11"/>
      <c r="J6" s="11"/>
      <c r="K6" s="11"/>
      <c r="L6" s="11"/>
      <c r="M6" s="12"/>
      <c r="O6" s="133" t="s">
        <v>40</v>
      </c>
      <c r="P6" s="134"/>
      <c r="Q6" s="134"/>
      <c r="R6" s="18">
        <v>2020</v>
      </c>
    </row>
    <row r="7" spans="4:18" ht="21" customHeight="1" x14ac:dyDescent="0.2">
      <c r="D7" s="4"/>
      <c r="E7" s="98"/>
      <c r="F7" s="2" t="s">
        <v>8</v>
      </c>
      <c r="G7" s="2" t="s">
        <v>1</v>
      </c>
      <c r="H7" s="2" t="s">
        <v>9</v>
      </c>
      <c r="I7" s="2" t="s">
        <v>10</v>
      </c>
      <c r="J7" s="2" t="s">
        <v>11</v>
      </c>
      <c r="K7" s="2" t="s">
        <v>0</v>
      </c>
      <c r="L7" s="2" t="s">
        <v>12</v>
      </c>
      <c r="M7" s="5"/>
      <c r="O7" s="135"/>
      <c r="P7" s="136"/>
      <c r="Q7" s="136"/>
      <c r="R7" s="37"/>
    </row>
    <row r="8" spans="4:18" ht="19.5" customHeight="1" x14ac:dyDescent="0.2">
      <c r="D8" s="4"/>
      <c r="E8" s="98"/>
      <c r="F8" s="10">
        <f>IF(DAY(JunDom1)=1,JunDom1-6,JunDom1+1)</f>
        <v>43983</v>
      </c>
      <c r="G8" s="10">
        <f>IF(DAY(JunDom1)=1,JunDom1-5,JunDom1+2)</f>
        <v>43984</v>
      </c>
      <c r="H8" s="10">
        <f>IF(DAY(JunDom1)=1,JunDom1-4,JunDom1+3)</f>
        <v>43985</v>
      </c>
      <c r="I8" s="10">
        <f>IF(DAY(JunDom1)=1,JunDom1-3,JunDom1+4)</f>
        <v>43986</v>
      </c>
      <c r="J8" s="10">
        <f>IF(DAY(JunDom1)=1,JunDom1-2,JunDom1+5)</f>
        <v>43987</v>
      </c>
      <c r="K8" s="10">
        <f>IF(DAY(JunDom1)=1,JunDom1-1,JunDom1+6)</f>
        <v>43988</v>
      </c>
      <c r="L8" s="10">
        <f>IF(DAY(JunDom1)=1,JunDom1,JunDom1+7)</f>
        <v>43989</v>
      </c>
      <c r="M8" s="5"/>
      <c r="O8" s="137" t="s">
        <v>35</v>
      </c>
      <c r="P8" s="137" t="s">
        <v>36</v>
      </c>
      <c r="Q8" s="137" t="s">
        <v>37</v>
      </c>
      <c r="R8" s="137" t="s">
        <v>38</v>
      </c>
    </row>
    <row r="9" spans="4:18" ht="18" customHeight="1" x14ac:dyDescent="0.2">
      <c r="D9" s="4"/>
      <c r="E9" s="98"/>
      <c r="F9" s="41">
        <f>IF(DAY(JunDom1)=1,JunDom1+1,JunDom1+8)</f>
        <v>43990</v>
      </c>
      <c r="G9" s="41">
        <f>IF(DAY(JunDom1)=1,JunDom1+2,JunDom1+9)</f>
        <v>43991</v>
      </c>
      <c r="H9" s="41">
        <f>IF(DAY(JunDom1)=1,JunDom1+3,JunDom1+10)</f>
        <v>43992</v>
      </c>
      <c r="I9" s="41">
        <f>IF(DAY(JunDom1)=1,JunDom1+4,JunDom1+11)</f>
        <v>43993</v>
      </c>
      <c r="J9" s="41">
        <f>IF(DAY(JunDom1)=1,JunDom1+5,JunDom1+12)</f>
        <v>43994</v>
      </c>
      <c r="K9" s="10">
        <f>IF(DAY(JunDom1)=1,JunDom1+6,JunDom1+13)</f>
        <v>43995</v>
      </c>
      <c r="L9" s="10">
        <f>IF(DAY(JunDom1)=1,JunDom1+7,JunDom1+14)</f>
        <v>43996</v>
      </c>
      <c r="M9" s="5"/>
      <c r="O9" s="138"/>
      <c r="P9" s="138"/>
      <c r="Q9" s="138"/>
      <c r="R9" s="138"/>
    </row>
    <row r="10" spans="4:18" ht="35.25" customHeight="1" x14ac:dyDescent="0.2">
      <c r="D10" s="4"/>
      <c r="E10" s="98"/>
      <c r="F10" s="41">
        <f>IF(DAY(JunDom1)=1,JunDom1+8,JunDom1+15)</f>
        <v>43997</v>
      </c>
      <c r="G10" s="41">
        <f>IF(DAY(JunDom1)=1,JunDom1+9,JunDom1+16)</f>
        <v>43998</v>
      </c>
      <c r="H10" s="41">
        <f>IF(DAY(JunDom1)=1,JunDom1+10,JunDom1+17)</f>
        <v>43999</v>
      </c>
      <c r="I10" s="41">
        <f>IF(DAY(JunDom1)=1,JunDom1+11,JunDom1+18)</f>
        <v>44000</v>
      </c>
      <c r="J10" s="41">
        <f>IF(DAY(JunDom1)=1,JunDom1+12,JunDom1+19)</f>
        <v>44001</v>
      </c>
      <c r="K10" s="10">
        <f>IF(DAY(JunDom1)=1,JunDom1+13,JunDom1+20)</f>
        <v>44002</v>
      </c>
      <c r="L10" s="10">
        <f>IF(DAY(JunDom1)=1,JunDom1+14,JunDom1+21)</f>
        <v>44003</v>
      </c>
      <c r="M10" s="5"/>
      <c r="O10" s="31">
        <v>1</v>
      </c>
      <c r="P10" s="80" t="s">
        <v>111</v>
      </c>
      <c r="Q10" s="32" t="s">
        <v>57</v>
      </c>
      <c r="R10" s="34" t="s">
        <v>119</v>
      </c>
    </row>
    <row r="11" spans="4:18" ht="24.75" customHeight="1" x14ac:dyDescent="0.2">
      <c r="D11" s="4"/>
      <c r="E11" s="98"/>
      <c r="F11" s="41">
        <f>IF(DAY(JunDom1)=1,JunDom1+15,JunDom1+22)</f>
        <v>44004</v>
      </c>
      <c r="G11" s="41">
        <f>IF(DAY(JunDom1)=1,JunDom1+16,JunDom1+23)</f>
        <v>44005</v>
      </c>
      <c r="H11" s="41">
        <f>IF(DAY(JunDom1)=1,JunDom1+17,JunDom1+24)</f>
        <v>44006</v>
      </c>
      <c r="I11" s="41">
        <f>IF(DAY(JunDom1)=1,JunDom1+18,JunDom1+25)</f>
        <v>44007</v>
      </c>
      <c r="J11" s="41">
        <f>IF(DAY(JunDom1)=1,JunDom1+19,JunDom1+26)</f>
        <v>44008</v>
      </c>
      <c r="K11" s="10">
        <f>IF(DAY(JunDom1)=1,JunDom1+20,JunDom1+27)</f>
        <v>44009</v>
      </c>
      <c r="L11" s="10">
        <f>IF(DAY(JunDom1)=1,JunDom1+21,JunDom1+28)</f>
        <v>44010</v>
      </c>
      <c r="M11" s="5"/>
      <c r="O11" s="33">
        <v>1</v>
      </c>
      <c r="P11" s="34" t="s">
        <v>152</v>
      </c>
      <c r="Q11" s="35" t="s">
        <v>58</v>
      </c>
      <c r="R11" s="34"/>
    </row>
    <row r="12" spans="4:18" ht="25.5" customHeight="1" x14ac:dyDescent="0.2">
      <c r="D12" s="4"/>
      <c r="E12" s="98"/>
      <c r="F12" s="41">
        <f>IF(DAY(JunDom1)=1,JunDom1+22,JunDom1+29)</f>
        <v>44011</v>
      </c>
      <c r="G12" s="41">
        <f>IF(DAY(JunDom1)=1,JunDom1+23,JunDom1+30)</f>
        <v>44012</v>
      </c>
      <c r="H12" s="41">
        <f>IF(DAY(JunDom1)=1,JunDom1+24,JunDom1+31)</f>
        <v>44013</v>
      </c>
      <c r="I12" s="41">
        <f>IF(DAY(JunDom1)=1,JunDom1+25,JunDom1+32)</f>
        <v>44014</v>
      </c>
      <c r="J12" s="41">
        <f>IF(DAY(JunDom1)=1,JunDom1+26,JunDom1+33)</f>
        <v>44015</v>
      </c>
      <c r="K12" s="10">
        <f>IF(DAY(JunDom1)=1,JunDom1+27,JunDom1+34)</f>
        <v>44016</v>
      </c>
      <c r="L12" s="10">
        <f>IF(DAY(JunDom1)=1,JunDom1+28,JunDom1+35)</f>
        <v>44017</v>
      </c>
      <c r="M12" s="5"/>
      <c r="O12" s="31">
        <v>2</v>
      </c>
      <c r="P12" s="32" t="s">
        <v>153</v>
      </c>
      <c r="Q12" s="36" t="s">
        <v>154</v>
      </c>
      <c r="R12" s="32"/>
    </row>
    <row r="13" spans="4:18" ht="24" customHeight="1" x14ac:dyDescent="0.2">
      <c r="D13" s="4"/>
      <c r="E13" s="98"/>
      <c r="F13" s="10">
        <f>IF(DAY(JunDom1)=1,JunDom1+29,JunDom1+36)</f>
        <v>44018</v>
      </c>
      <c r="G13" s="10">
        <f>IF(DAY(JunDom1)=1,JunDom1+30,JunDom1+37)</f>
        <v>44019</v>
      </c>
      <c r="H13" s="10">
        <f>IF(DAY(JunDom1)=1,JunDom1+31,JunDom1+38)</f>
        <v>44020</v>
      </c>
      <c r="I13" s="10">
        <f>IF(DAY(JunDom1)=1,JunDom1+32,JunDom1+39)</f>
        <v>44021</v>
      </c>
      <c r="J13" s="10">
        <f>IF(DAY(JunDom1)=1,JunDom1+33,JunDom1+40)</f>
        <v>44022</v>
      </c>
      <c r="K13" s="10">
        <f>IF(DAY(JunDom1)=1,JunDom1+34,JunDom1+41)</f>
        <v>44023</v>
      </c>
      <c r="L13" s="10">
        <f>IF(DAY(JunDom1)=1,JunDom1+35,JunDom1+42)</f>
        <v>44024</v>
      </c>
      <c r="M13" s="5"/>
      <c r="O13" s="33"/>
      <c r="P13" s="34"/>
      <c r="Q13" s="35"/>
      <c r="R13" s="34"/>
    </row>
    <row r="14" spans="4:18" ht="18" customHeight="1" x14ac:dyDescent="0.2">
      <c r="D14" s="4"/>
      <c r="E14" s="99"/>
      <c r="F14" s="13"/>
      <c r="G14" s="13"/>
      <c r="H14" s="13"/>
      <c r="I14" s="13"/>
      <c r="J14" s="13"/>
      <c r="K14" s="13"/>
      <c r="L14" s="13"/>
      <c r="M14" s="14"/>
      <c r="O14" s="31">
        <v>3</v>
      </c>
      <c r="P14" s="32" t="s">
        <v>155</v>
      </c>
      <c r="Q14" s="36" t="s">
        <v>57</v>
      </c>
      <c r="R14" s="32"/>
    </row>
    <row r="15" spans="4:18" ht="24" customHeight="1" x14ac:dyDescent="0.2">
      <c r="D15" s="4"/>
      <c r="O15" s="33"/>
      <c r="P15" s="34"/>
      <c r="Q15" s="35"/>
      <c r="R15" s="34"/>
    </row>
    <row r="16" spans="4:18" ht="18" customHeight="1" x14ac:dyDescent="0.2">
      <c r="D16" s="4"/>
      <c r="O16" s="31">
        <v>5</v>
      </c>
      <c r="P16" s="32" t="s">
        <v>156</v>
      </c>
      <c r="Q16" s="36" t="s">
        <v>54</v>
      </c>
      <c r="R16" s="32"/>
    </row>
    <row r="17" spans="15:18" ht="18" customHeight="1" x14ac:dyDescent="0.2">
      <c r="O17" s="33"/>
      <c r="P17" s="34"/>
      <c r="Q17" s="35"/>
      <c r="R17" s="34"/>
    </row>
    <row r="18" spans="15:18" ht="23.25" customHeight="1" x14ac:dyDescent="0.2">
      <c r="O18" s="31"/>
      <c r="P18" s="32"/>
      <c r="Q18" s="36"/>
      <c r="R18" s="32"/>
    </row>
    <row r="19" spans="15:18" ht="18" customHeight="1" x14ac:dyDescent="0.2">
      <c r="O19" s="33"/>
      <c r="P19" s="34"/>
      <c r="Q19" s="34"/>
      <c r="R19" s="34"/>
    </row>
    <row r="20" spans="15:18" ht="18" customHeight="1" x14ac:dyDescent="0.2">
      <c r="O20" s="31"/>
      <c r="P20" s="32"/>
      <c r="Q20" s="36"/>
      <c r="R20" s="32"/>
    </row>
    <row r="21" spans="15:18" ht="18" customHeight="1" x14ac:dyDescent="0.2"/>
    <row r="22" spans="15:18" ht="18" customHeight="1" x14ac:dyDescent="0.2"/>
    <row r="23" spans="15:18" ht="18" customHeight="1" x14ac:dyDescent="0.2"/>
    <row r="24" spans="15:18" ht="18" customHeight="1" x14ac:dyDescent="0.2"/>
    <row r="25" spans="15:18" ht="18" customHeight="1" x14ac:dyDescent="0.2"/>
    <row r="26" spans="15:18" ht="18" customHeight="1" x14ac:dyDescent="0.2"/>
    <row r="27" spans="15:18" ht="18" customHeight="1" x14ac:dyDescent="0.2"/>
    <row r="28" spans="15:18" ht="18" customHeight="1" x14ac:dyDescent="0.2"/>
    <row r="29" spans="15:18" ht="18" customHeight="1" x14ac:dyDescent="0.2"/>
    <row r="30" spans="15:18" ht="18" customHeight="1" x14ac:dyDescent="0.2"/>
    <row r="31" spans="15:18" ht="18" customHeight="1" x14ac:dyDescent="0.2"/>
    <row r="32" spans="15:18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</sheetData>
  <mergeCells count="6">
    <mergeCell ref="R8:R9"/>
    <mergeCell ref="E6:E14"/>
    <mergeCell ref="O6:Q7"/>
    <mergeCell ref="O8:O9"/>
    <mergeCell ref="P8:P9"/>
    <mergeCell ref="Q8:Q9"/>
  </mergeCells>
  <conditionalFormatting sqref="F8:K8">
    <cfRule type="expression" dxfId="21" priority="3" stopIfTrue="1">
      <formula>DAY(F8)&gt;8</formula>
    </cfRule>
  </conditionalFormatting>
  <conditionalFormatting sqref="F12:L14">
    <cfRule type="expression" dxfId="20" priority="2" stopIfTrue="1">
      <formula>AND(DAY(F12)&gt;=1,DAY(F12)&lt;=15)</formula>
    </cfRule>
  </conditionalFormatting>
  <conditionalFormatting sqref="F8:L13">
    <cfRule type="expression" dxfId="19" priority="4">
      <formula>VLOOKUP(DAY(F8),DíasDeTareas,1,FALSE)=DAY(F8)</formula>
    </cfRule>
  </conditionalFormatting>
  <dataValidations count="1">
    <dataValidation allowBlank="1" showInputMessage="1" showErrorMessage="1" errorTitle="Invalid Year" error="Enter a year from 1900 to 9999, or use the scroll bar to find a year." sqref="R6"/>
  </dataValidations>
  <printOptions horizontalCentered="1"/>
  <pageMargins left="0.5" right="0.5" top="0.5" bottom="0.5" header="0.3" footer="0.3"/>
  <pageSetup scale="6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  <pageSetUpPr fitToPage="1"/>
  </sheetPr>
  <dimension ref="C2:AQ37"/>
  <sheetViews>
    <sheetView showGridLines="0" zoomScaleNormal="100" zoomScalePageLayoutView="84" workbookViewId="0">
      <selection activeCell="N3" sqref="N3"/>
    </sheetView>
  </sheetViews>
  <sheetFormatPr baseColWidth="10" defaultColWidth="8.7109375" defaultRowHeight="16.5" customHeight="1" x14ac:dyDescent="0.2"/>
  <cols>
    <col min="1" max="2" width="8.7109375" style="1"/>
    <col min="3" max="3" width="2.28515625" style="1" customWidth="1"/>
    <col min="4" max="4" width="12.7109375" style="1" customWidth="1"/>
    <col min="5" max="12" width="6.7109375" style="1" customWidth="1"/>
    <col min="13" max="13" width="7.28515625" style="1" customWidth="1"/>
    <col min="14" max="14" width="9" customWidth="1"/>
    <col min="15" max="15" width="47.28515625" style="1" customWidth="1"/>
    <col min="16" max="16" width="10.7109375" style="1" customWidth="1"/>
    <col min="17" max="17" width="13.5703125" customWidth="1"/>
    <col min="18" max="24" width="8.85546875" customWidth="1"/>
    <col min="44" max="16384" width="8.7109375" style="1"/>
  </cols>
  <sheetData>
    <row r="2" spans="3:17" ht="16.5" customHeight="1" x14ac:dyDescent="0.2">
      <c r="N2" s="38" t="s">
        <v>39</v>
      </c>
    </row>
    <row r="3" spans="3:17" ht="16.5" customHeight="1" x14ac:dyDescent="0.2">
      <c r="N3" s="28" t="s">
        <v>50</v>
      </c>
    </row>
    <row r="5" spans="3:17" ht="11.25" customHeight="1" x14ac:dyDescent="0.2"/>
    <row r="6" spans="3:17" ht="18" customHeight="1" x14ac:dyDescent="0.2">
      <c r="C6" s="4"/>
      <c r="D6" s="97" t="s">
        <v>29</v>
      </c>
      <c r="E6" s="11"/>
      <c r="F6" s="11"/>
      <c r="G6" s="11"/>
      <c r="H6" s="11"/>
      <c r="I6" s="11"/>
      <c r="J6" s="11"/>
      <c r="K6" s="11"/>
      <c r="L6" s="12"/>
      <c r="N6" s="133" t="s">
        <v>40</v>
      </c>
      <c r="O6" s="134"/>
      <c r="P6" s="134"/>
      <c r="Q6" s="18">
        <v>2020</v>
      </c>
    </row>
    <row r="7" spans="3:17" ht="21" customHeight="1" x14ac:dyDescent="0.2">
      <c r="C7" s="4"/>
      <c r="D7" s="98"/>
      <c r="E7" s="2" t="s">
        <v>8</v>
      </c>
      <c r="F7" s="2" t="s">
        <v>1</v>
      </c>
      <c r="G7" s="2" t="s">
        <v>9</v>
      </c>
      <c r="H7" s="2" t="s">
        <v>10</v>
      </c>
      <c r="I7" s="2" t="s">
        <v>11</v>
      </c>
      <c r="J7" s="2" t="s">
        <v>0</v>
      </c>
      <c r="K7" s="2" t="s">
        <v>12</v>
      </c>
      <c r="L7" s="5"/>
      <c r="N7" s="135"/>
      <c r="O7" s="136"/>
      <c r="P7" s="136"/>
      <c r="Q7" s="37"/>
    </row>
    <row r="8" spans="3:17" ht="18" customHeight="1" x14ac:dyDescent="0.2">
      <c r="C8" s="4"/>
      <c r="D8" s="98"/>
      <c r="E8" s="41">
        <f>IF(DAY(JulDom1)=1,JulDom1-6,JulDom1+1)</f>
        <v>44011</v>
      </c>
      <c r="F8" s="41">
        <f>IF(DAY(JulDom1)=1,JulDom1-5,JulDom1+2)</f>
        <v>44012</v>
      </c>
      <c r="G8" s="41">
        <f>IF(DAY(JulDom1)=1,JulDom1-4,JulDom1+3)</f>
        <v>44013</v>
      </c>
      <c r="H8" s="41">
        <f>IF(DAY(JulDom1)=1,JulDom1-3,JulDom1+4)</f>
        <v>44014</v>
      </c>
      <c r="I8" s="41">
        <f>IF(DAY(JulDom1)=1,JulDom1-2,JulDom1+5)</f>
        <v>44015</v>
      </c>
      <c r="J8" s="10">
        <f>IF(DAY(JulDom1)=1,JulDom1-1,JulDom1+6)</f>
        <v>44016</v>
      </c>
      <c r="K8" s="10">
        <f>IF(DAY(JulDom1)=1,JulDom1,JulDom1+7)</f>
        <v>44017</v>
      </c>
      <c r="L8" s="5"/>
      <c r="N8" s="137" t="s">
        <v>35</v>
      </c>
      <c r="O8" s="137" t="s">
        <v>36</v>
      </c>
      <c r="P8" s="137" t="s">
        <v>37</v>
      </c>
      <c r="Q8" s="137" t="s">
        <v>38</v>
      </c>
    </row>
    <row r="9" spans="3:17" ht="18" customHeight="1" x14ac:dyDescent="0.2">
      <c r="C9" s="4"/>
      <c r="D9" s="98"/>
      <c r="E9" s="41">
        <f>IF(DAY(JulDom1)=1,JulDom1+1,JulDom1+8)</f>
        <v>44018</v>
      </c>
      <c r="F9" s="41">
        <f>IF(DAY(JulDom1)=1,JulDom1+2,JulDom1+9)</f>
        <v>44019</v>
      </c>
      <c r="G9" s="41">
        <f>IF(DAY(JulDom1)=1,JulDom1+3,JulDom1+10)</f>
        <v>44020</v>
      </c>
      <c r="H9" s="41">
        <f>IF(DAY(JulDom1)=1,JulDom1+4,JulDom1+11)</f>
        <v>44021</v>
      </c>
      <c r="I9" s="41">
        <f>IF(DAY(JulDom1)=1,JulDom1+5,JulDom1+12)</f>
        <v>44022</v>
      </c>
      <c r="J9" s="10">
        <f>IF(DAY(JulDom1)=1,JulDom1+6,JulDom1+13)</f>
        <v>44023</v>
      </c>
      <c r="K9" s="10">
        <f>IF(DAY(JulDom1)=1,JulDom1+7,JulDom1+14)</f>
        <v>44024</v>
      </c>
      <c r="L9" s="5"/>
      <c r="N9" s="138"/>
      <c r="O9" s="138"/>
      <c r="P9" s="138"/>
      <c r="Q9" s="138"/>
    </row>
    <row r="10" spans="3:17" ht="24" customHeight="1" x14ac:dyDescent="0.2">
      <c r="C10" s="4"/>
      <c r="D10" s="98"/>
      <c r="E10" s="41">
        <f>IF(DAY(JulDom1)=1,JulDom1+8,JulDom1+15)</f>
        <v>44025</v>
      </c>
      <c r="F10" s="41">
        <f>IF(DAY(JulDom1)=1,JulDom1+9,JulDom1+16)</f>
        <v>44026</v>
      </c>
      <c r="G10" s="41">
        <f>IF(DAY(JulDom1)=1,JulDom1+10,JulDom1+17)</f>
        <v>44027</v>
      </c>
      <c r="H10" s="41">
        <f>IF(DAY(JulDom1)=1,JulDom1+11,JulDom1+18)</f>
        <v>44028</v>
      </c>
      <c r="I10" s="41">
        <f>IF(DAY(JulDom1)=1,JulDom1+12,JulDom1+19)</f>
        <v>44029</v>
      </c>
      <c r="J10" s="10">
        <f>IF(DAY(JulDom1)=1,JulDom1+13,JulDom1+20)</f>
        <v>44030</v>
      </c>
      <c r="K10" s="10">
        <f>IF(DAY(JulDom1)=1,JulDom1+14,JulDom1+21)</f>
        <v>44031</v>
      </c>
      <c r="L10" s="5"/>
      <c r="N10" s="44"/>
      <c r="O10" s="45"/>
      <c r="P10" s="46"/>
      <c r="Q10" s="31"/>
    </row>
    <row r="11" spans="3:17" ht="25.5" customHeight="1" x14ac:dyDescent="0.2">
      <c r="C11" s="4"/>
      <c r="D11" s="98"/>
      <c r="E11" s="41">
        <f>IF(DAY(JulDom1)=1,JulDom1+15,JulDom1+22)</f>
        <v>44032</v>
      </c>
      <c r="F11" s="41">
        <f>IF(DAY(JulDom1)=1,JulDom1+16,JulDom1+23)</f>
        <v>44033</v>
      </c>
      <c r="G11" s="41">
        <f>IF(DAY(JulDom1)=1,JulDom1+17,JulDom1+24)</f>
        <v>44034</v>
      </c>
      <c r="H11" s="41">
        <f>IF(DAY(JulDom1)=1,JulDom1+18,JulDom1+25)</f>
        <v>44035</v>
      </c>
      <c r="I11" s="41">
        <f>IF(DAY(JulDom1)=1,JulDom1+19,JulDom1+26)</f>
        <v>44036</v>
      </c>
      <c r="J11" s="10">
        <f>IF(DAY(JulDom1)=1,JulDom1+20,JulDom1+27)</f>
        <v>44037</v>
      </c>
      <c r="K11" s="10">
        <f>IF(DAY(JulDom1)=1,JulDom1+21,JulDom1+28)</f>
        <v>44038</v>
      </c>
      <c r="L11" s="5"/>
      <c r="N11" s="33"/>
      <c r="O11" s="34"/>
      <c r="P11" s="35"/>
      <c r="Q11" s="31"/>
    </row>
    <row r="12" spans="3:17" ht="18.75" customHeight="1" x14ac:dyDescent="0.2">
      <c r="C12" s="4"/>
      <c r="D12" s="98"/>
      <c r="E12" s="10">
        <f>IF(DAY(JulDom1)=1,JulDom1+22,JulDom1+29)</f>
        <v>44039</v>
      </c>
      <c r="F12" s="10">
        <f>IF(DAY(JulDom1)=1,JulDom1+23,JulDom1+30)</f>
        <v>44040</v>
      </c>
      <c r="G12" s="10">
        <f>IF(DAY(JulDom1)=1,JulDom1+24,JulDom1+31)</f>
        <v>44041</v>
      </c>
      <c r="H12" s="10">
        <f>IF(DAY(JulDom1)=1,JulDom1+25,JulDom1+32)</f>
        <v>44042</v>
      </c>
      <c r="I12" s="10">
        <f>IF(DAY(JulDom1)=1,JulDom1+26,JulDom1+33)</f>
        <v>44043</v>
      </c>
      <c r="J12" s="10">
        <f>IF(DAY(JulDom1)=1,JulDom1+27,JulDom1+34)</f>
        <v>44044</v>
      </c>
      <c r="K12" s="10">
        <f>IF(DAY(JulDom1)=1,JulDom1+28,JulDom1+35)</f>
        <v>44045</v>
      </c>
      <c r="L12" s="5"/>
      <c r="N12" s="31"/>
      <c r="O12" s="32"/>
      <c r="P12" s="32"/>
      <c r="Q12" s="32"/>
    </row>
    <row r="13" spans="3:17" ht="18" customHeight="1" x14ac:dyDescent="0.2">
      <c r="C13" s="4"/>
      <c r="D13" s="98"/>
      <c r="E13" s="10">
        <f>IF(DAY(JulDom1)=1,JulDom1+29,JulDom1+36)</f>
        <v>44046</v>
      </c>
      <c r="F13" s="10">
        <f>IF(DAY(JulDom1)=1,JulDom1+30,JulDom1+37)</f>
        <v>44047</v>
      </c>
      <c r="G13" s="10">
        <f>IF(DAY(JulDom1)=1,JulDom1+31,JulDom1+38)</f>
        <v>44048</v>
      </c>
      <c r="H13" s="10">
        <f>IF(DAY(JulDom1)=1,JulDom1+32,JulDom1+39)</f>
        <v>44049</v>
      </c>
      <c r="I13" s="10">
        <f>IF(DAY(JulDom1)=1,JulDom1+33,JulDom1+40)</f>
        <v>44050</v>
      </c>
      <c r="J13" s="10">
        <f>IF(DAY(JulDom1)=1,JulDom1+34,JulDom1+41)</f>
        <v>44051</v>
      </c>
      <c r="K13" s="10">
        <f>IF(DAY(JulDom1)=1,JulDom1+35,JulDom1+42)</f>
        <v>44052</v>
      </c>
      <c r="L13" s="5"/>
      <c r="N13" s="33"/>
      <c r="O13" s="34"/>
      <c r="P13" s="34"/>
      <c r="Q13" s="34"/>
    </row>
    <row r="14" spans="3:17" ht="18" customHeight="1" x14ac:dyDescent="0.2">
      <c r="C14" s="4"/>
      <c r="D14" s="99"/>
      <c r="E14" s="13"/>
      <c r="F14" s="13"/>
      <c r="G14" s="13"/>
      <c r="H14" s="13"/>
      <c r="I14" s="13"/>
      <c r="J14" s="13"/>
      <c r="K14" s="13"/>
      <c r="L14" s="14"/>
      <c r="N14" s="31"/>
      <c r="O14" s="32"/>
      <c r="P14" s="32"/>
      <c r="Q14" s="32"/>
    </row>
    <row r="15" spans="3:17" ht="18" customHeight="1" x14ac:dyDescent="0.2">
      <c r="C15" s="4"/>
      <c r="N15" s="33"/>
      <c r="O15" s="34"/>
      <c r="P15" s="34"/>
      <c r="Q15" s="34"/>
    </row>
    <row r="16" spans="3:17" ht="18" customHeight="1" x14ac:dyDescent="0.2">
      <c r="C16" s="4"/>
      <c r="N16" s="31"/>
      <c r="O16" s="32"/>
      <c r="P16" s="32"/>
      <c r="Q16" s="32"/>
    </row>
    <row r="17" spans="14:17" ht="18" customHeight="1" x14ac:dyDescent="0.2">
      <c r="N17" s="33"/>
      <c r="O17" s="34"/>
      <c r="P17" s="35"/>
      <c r="Q17" s="34"/>
    </row>
    <row r="18" spans="14:17" ht="18" customHeight="1" x14ac:dyDescent="0.2">
      <c r="N18" s="31"/>
      <c r="O18" s="32"/>
      <c r="P18" s="32"/>
      <c r="Q18" s="32"/>
    </row>
    <row r="19" spans="14:17" ht="18" customHeight="1" x14ac:dyDescent="0.2">
      <c r="N19" s="33"/>
      <c r="O19" s="34"/>
      <c r="P19" s="34"/>
      <c r="Q19" s="34"/>
    </row>
    <row r="20" spans="14:17" ht="18" customHeight="1" x14ac:dyDescent="0.2">
      <c r="N20" s="31"/>
      <c r="O20" s="32"/>
      <c r="P20" s="36"/>
      <c r="Q20" s="32"/>
    </row>
    <row r="21" spans="14:17" ht="18" customHeight="1" x14ac:dyDescent="0.2"/>
    <row r="22" spans="14:17" ht="18" customHeight="1" x14ac:dyDescent="0.2"/>
    <row r="23" spans="14:17" ht="18" customHeight="1" x14ac:dyDescent="0.2"/>
    <row r="24" spans="14:17" ht="18" customHeight="1" x14ac:dyDescent="0.2"/>
    <row r="25" spans="14:17" ht="18" customHeight="1" x14ac:dyDescent="0.2"/>
    <row r="26" spans="14:17" ht="18" customHeight="1" x14ac:dyDescent="0.2"/>
    <row r="27" spans="14:17" ht="18" customHeight="1" x14ac:dyDescent="0.2"/>
    <row r="28" spans="14:17" ht="18" customHeight="1" x14ac:dyDescent="0.2"/>
    <row r="29" spans="14:17" ht="18" customHeight="1" x14ac:dyDescent="0.2"/>
    <row r="30" spans="14:17" ht="18" customHeight="1" x14ac:dyDescent="0.2"/>
    <row r="31" spans="14:17" ht="18" customHeight="1" x14ac:dyDescent="0.2"/>
    <row r="32" spans="14:17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</sheetData>
  <mergeCells count="6">
    <mergeCell ref="Q8:Q9"/>
    <mergeCell ref="D6:D14"/>
    <mergeCell ref="N6:P7"/>
    <mergeCell ref="N8:N9"/>
    <mergeCell ref="O8:O9"/>
    <mergeCell ref="P8:P9"/>
  </mergeCells>
  <conditionalFormatting sqref="E8:J8">
    <cfRule type="expression" dxfId="18" priority="3" stopIfTrue="1">
      <formula>DAY(E8)&gt;8</formula>
    </cfRule>
  </conditionalFormatting>
  <conditionalFormatting sqref="E12:K14">
    <cfRule type="expression" dxfId="17" priority="2" stopIfTrue="1">
      <formula>AND(DAY(E12)&gt;=1,DAY(E12)&lt;=15)</formula>
    </cfRule>
  </conditionalFormatting>
  <conditionalFormatting sqref="E8:K13">
    <cfRule type="expression" dxfId="16" priority="4">
      <formula>VLOOKUP(DAY(E8),DíasDeTareas,1,FALSE)=DAY(E8)</formula>
    </cfRule>
  </conditionalFormatting>
  <dataValidations count="1">
    <dataValidation allowBlank="1" showInputMessage="1" showErrorMessage="1" errorTitle="Invalid Year" error="Enter a year from 1900 to 9999, or use the scroll bar to find a year." sqref="Q6"/>
  </dataValidations>
  <printOptions horizontalCentered="1"/>
  <pageMargins left="0.5" right="0.5" top="0.5" bottom="0.5" header="0.3" footer="0.3"/>
  <pageSetup scale="6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  <pageSetUpPr fitToPage="1"/>
  </sheetPr>
  <dimension ref="C2:AQ37"/>
  <sheetViews>
    <sheetView showGridLines="0" zoomScaleNormal="100" zoomScalePageLayoutView="84" workbookViewId="0">
      <selection activeCell="N3" sqref="N3"/>
    </sheetView>
  </sheetViews>
  <sheetFormatPr baseColWidth="10" defaultColWidth="8.7109375" defaultRowHeight="16.5" customHeight="1" x14ac:dyDescent="0.2"/>
  <cols>
    <col min="1" max="2" width="8.7109375" style="1"/>
    <col min="3" max="3" width="2.28515625" style="1" customWidth="1"/>
    <col min="4" max="4" width="12.7109375" style="1" customWidth="1"/>
    <col min="5" max="12" width="6.7109375" style="1" customWidth="1"/>
    <col min="13" max="13" width="7.28515625" style="1" customWidth="1"/>
    <col min="14" max="14" width="7" customWidth="1"/>
    <col min="15" max="15" width="45.28515625" style="1" customWidth="1"/>
    <col min="16" max="16" width="10.7109375" style="1" customWidth="1"/>
    <col min="17" max="17" width="10.42578125" customWidth="1"/>
    <col min="18" max="24" width="8.85546875" customWidth="1"/>
    <col min="44" max="16384" width="8.7109375" style="1"/>
  </cols>
  <sheetData>
    <row r="2" spans="3:17" ht="16.5" customHeight="1" x14ac:dyDescent="0.2">
      <c r="N2" s="38" t="s">
        <v>39</v>
      </c>
    </row>
    <row r="3" spans="3:17" ht="16.5" customHeight="1" x14ac:dyDescent="0.2">
      <c r="N3" s="28" t="s">
        <v>50</v>
      </c>
    </row>
    <row r="5" spans="3:17" ht="11.25" customHeight="1" x14ac:dyDescent="0.2">
      <c r="C5" s="2"/>
      <c r="D5" s="2"/>
      <c r="E5" s="2"/>
      <c r="F5" s="2"/>
      <c r="G5" s="2"/>
      <c r="H5" s="2"/>
      <c r="I5" s="2"/>
    </row>
    <row r="6" spans="3:17" ht="18" customHeight="1" x14ac:dyDescent="0.2">
      <c r="C6" s="4"/>
      <c r="D6" s="97" t="s">
        <v>28</v>
      </c>
      <c r="E6" s="11"/>
      <c r="F6" s="11"/>
      <c r="G6" s="11"/>
      <c r="H6" s="11"/>
      <c r="I6" s="11"/>
      <c r="J6" s="11"/>
      <c r="K6" s="11"/>
      <c r="L6" s="12"/>
      <c r="N6" s="133" t="s">
        <v>40</v>
      </c>
      <c r="O6" s="134"/>
      <c r="P6" s="134"/>
      <c r="Q6" s="18">
        <v>2020</v>
      </c>
    </row>
    <row r="7" spans="3:17" ht="21" customHeight="1" x14ac:dyDescent="0.2">
      <c r="C7" s="4"/>
      <c r="D7" s="98"/>
      <c r="E7" s="2" t="s">
        <v>8</v>
      </c>
      <c r="F7" s="2" t="s">
        <v>1</v>
      </c>
      <c r="G7" s="2" t="s">
        <v>9</v>
      </c>
      <c r="H7" s="2" t="s">
        <v>10</v>
      </c>
      <c r="I7" s="2" t="s">
        <v>11</v>
      </c>
      <c r="J7" s="2" t="s">
        <v>0</v>
      </c>
      <c r="K7" s="2" t="s">
        <v>12</v>
      </c>
      <c r="L7" s="5"/>
      <c r="N7" s="135"/>
      <c r="O7" s="136"/>
      <c r="P7" s="136"/>
      <c r="Q7" s="37"/>
    </row>
    <row r="8" spans="3:17" ht="18" customHeight="1" x14ac:dyDescent="0.2">
      <c r="C8" s="4"/>
      <c r="D8" s="98"/>
      <c r="E8" s="10">
        <f>IF(DAY(AgoDom1)=1,AgoDom1-6,AgoDom1+1)</f>
        <v>44039</v>
      </c>
      <c r="F8" s="10">
        <f>IF(DAY(AgoDom1)=1,AgoDom1-5,AgoDom1+2)</f>
        <v>44040</v>
      </c>
      <c r="G8" s="41">
        <f>IF(DAY(AgoDom1)=1,AgoDom1-4,AgoDom1+3)</f>
        <v>44041</v>
      </c>
      <c r="H8" s="41">
        <f>IF(DAY(AgoDom1)=1,AgoDom1-3,AgoDom1+4)</f>
        <v>44042</v>
      </c>
      <c r="I8" s="10">
        <f>IF(DAY(AgoDom1)=1,AgoDom1-2,AgoDom1+5)</f>
        <v>44043</v>
      </c>
      <c r="J8" s="10">
        <f>IF(DAY(AgoDom1)=1,AgoDom1-1,AgoDom1+6)</f>
        <v>44044</v>
      </c>
      <c r="K8" s="10">
        <f>IF(DAY(AgoDom1)=1,AgoDom1,AgoDom1+7)</f>
        <v>44045</v>
      </c>
      <c r="L8" s="5"/>
      <c r="N8" s="137" t="s">
        <v>35</v>
      </c>
      <c r="O8" s="137" t="s">
        <v>36</v>
      </c>
      <c r="P8" s="137" t="s">
        <v>37</v>
      </c>
      <c r="Q8" s="137" t="s">
        <v>38</v>
      </c>
    </row>
    <row r="9" spans="3:17" ht="18" customHeight="1" x14ac:dyDescent="0.2">
      <c r="C9" s="4"/>
      <c r="D9" s="98"/>
      <c r="E9" s="10">
        <f>IF(DAY(AgoDom1)=1,AgoDom1+1,AgoDom1+8)</f>
        <v>44046</v>
      </c>
      <c r="F9" s="10">
        <f>IF(DAY(AgoDom1)=1,AgoDom1+2,AgoDom1+9)</f>
        <v>44047</v>
      </c>
      <c r="G9" s="41">
        <f>IF(DAY(AgoDom1)=1,AgoDom1+3,AgoDom1+10)</f>
        <v>44048</v>
      </c>
      <c r="H9" s="41">
        <f>IF(DAY(AgoDom1)=1,AgoDom1+4,AgoDom1+11)</f>
        <v>44049</v>
      </c>
      <c r="I9" s="10">
        <f>IF(DAY(AgoDom1)=1,AgoDom1+5,AgoDom1+12)</f>
        <v>44050</v>
      </c>
      <c r="J9" s="10">
        <f>IF(DAY(AgoDom1)=1,AgoDom1+6,AgoDom1+13)</f>
        <v>44051</v>
      </c>
      <c r="K9" s="10">
        <f>IF(DAY(AgoDom1)=1,AgoDom1+7,AgoDom1+14)</f>
        <v>44052</v>
      </c>
      <c r="L9" s="5"/>
      <c r="N9" s="138"/>
      <c r="O9" s="138"/>
      <c r="P9" s="138"/>
      <c r="Q9" s="138"/>
    </row>
    <row r="10" spans="3:17" ht="18" customHeight="1" x14ac:dyDescent="0.2">
      <c r="C10" s="4"/>
      <c r="D10" s="98"/>
      <c r="E10" s="10">
        <f>IF(DAY(AgoDom1)=1,AgoDom1+8,AgoDom1+15)</f>
        <v>44053</v>
      </c>
      <c r="F10" s="10">
        <f>IF(DAY(AgoDom1)=1,AgoDom1+9,AgoDom1+16)</f>
        <v>44054</v>
      </c>
      <c r="G10" s="41">
        <f>IF(DAY(AgoDom1)=1,AgoDom1+10,AgoDom1+17)</f>
        <v>44055</v>
      </c>
      <c r="H10" s="41">
        <f>IF(DAY(AgoDom1)=1,AgoDom1+11,AgoDom1+18)</f>
        <v>44056</v>
      </c>
      <c r="I10" s="10">
        <f>IF(DAY(AgoDom1)=1,AgoDom1+12,AgoDom1+19)</f>
        <v>44057</v>
      </c>
      <c r="J10" s="10">
        <f>IF(DAY(AgoDom1)=1,AgoDom1+13,AgoDom1+20)</f>
        <v>44058</v>
      </c>
      <c r="K10" s="10">
        <f>IF(DAY(AgoDom1)=1,AgoDom1+14,AgoDom1+21)</f>
        <v>44059</v>
      </c>
      <c r="L10" s="5"/>
      <c r="N10" s="31"/>
      <c r="O10" s="32"/>
      <c r="P10" s="32"/>
      <c r="Q10" s="32"/>
    </row>
    <row r="11" spans="3:17" ht="18" customHeight="1" x14ac:dyDescent="0.2">
      <c r="C11" s="4"/>
      <c r="D11" s="98"/>
      <c r="E11" s="10">
        <f>IF(DAY(AgoDom1)=1,AgoDom1+15,AgoDom1+22)</f>
        <v>44060</v>
      </c>
      <c r="F11" s="10">
        <f>IF(DAY(AgoDom1)=1,AgoDom1+16,AgoDom1+23)</f>
        <v>44061</v>
      </c>
      <c r="G11" s="10">
        <f>IF(DAY(AgoDom1)=1,AgoDom1+17,AgoDom1+24)</f>
        <v>44062</v>
      </c>
      <c r="H11" s="10">
        <f>IF(DAY(AgoDom1)=1,AgoDom1+18,AgoDom1+25)</f>
        <v>44063</v>
      </c>
      <c r="I11" s="10">
        <f>IF(DAY(AgoDom1)=1,AgoDom1+19,AgoDom1+26)</f>
        <v>44064</v>
      </c>
      <c r="J11" s="10">
        <f>IF(DAY(AgoDom1)=1,AgoDom1+20,AgoDom1+27)</f>
        <v>44065</v>
      </c>
      <c r="K11" s="10">
        <f>IF(DAY(AgoDom1)=1,AgoDom1+21,AgoDom1+28)</f>
        <v>44066</v>
      </c>
      <c r="L11" s="5"/>
      <c r="N11" s="33"/>
      <c r="O11" s="34"/>
      <c r="P11" s="35"/>
      <c r="Q11" s="34"/>
    </row>
    <row r="12" spans="3:17" ht="24" customHeight="1" x14ac:dyDescent="0.2">
      <c r="C12" s="4"/>
      <c r="D12" s="98"/>
      <c r="E12" s="10">
        <f>IF(DAY(AgoDom1)=1,AgoDom1+22,AgoDom1+29)</f>
        <v>44067</v>
      </c>
      <c r="F12" s="10">
        <f>IF(DAY(AgoDom1)=1,AgoDom1+23,AgoDom1+30)</f>
        <v>44068</v>
      </c>
      <c r="G12" s="10">
        <f>IF(DAY(AgoDom1)=1,AgoDom1+24,AgoDom1+31)</f>
        <v>44069</v>
      </c>
      <c r="H12" s="10">
        <f>IF(DAY(AgoDom1)=1,AgoDom1+25,AgoDom1+32)</f>
        <v>44070</v>
      </c>
      <c r="I12" s="10">
        <f>IF(DAY(AgoDom1)=1,AgoDom1+26,AgoDom1+33)</f>
        <v>44071</v>
      </c>
      <c r="J12" s="10">
        <f>IF(DAY(AgoDom1)=1,AgoDom1+27,AgoDom1+34)</f>
        <v>44072</v>
      </c>
      <c r="K12" s="10">
        <f>IF(DAY(AgoDom1)=1,AgoDom1+28,AgoDom1+35)</f>
        <v>44073</v>
      </c>
      <c r="L12" s="5"/>
      <c r="N12" s="31"/>
      <c r="O12" s="32"/>
      <c r="P12" s="36"/>
      <c r="Q12" s="32"/>
    </row>
    <row r="13" spans="3:17" ht="18" customHeight="1" x14ac:dyDescent="0.2">
      <c r="C13" s="4"/>
      <c r="D13" s="98"/>
      <c r="E13" s="10">
        <f>IF(DAY(AgoDom1)=1,AgoDom1+29,AgoDom1+36)</f>
        <v>44074</v>
      </c>
      <c r="F13" s="10">
        <f>IF(DAY(AgoDom1)=1,AgoDom1+30,AgoDom1+37)</f>
        <v>44075</v>
      </c>
      <c r="G13" s="10">
        <f>IF(DAY(AgoDom1)=1,AgoDom1+31,AgoDom1+38)</f>
        <v>44076</v>
      </c>
      <c r="H13" s="10">
        <f>IF(DAY(AgoDom1)=1,AgoDom1+32,AgoDom1+39)</f>
        <v>44077</v>
      </c>
      <c r="I13" s="10">
        <f>IF(DAY(AgoDom1)=1,AgoDom1+33,AgoDom1+40)</f>
        <v>44078</v>
      </c>
      <c r="J13" s="10">
        <f>IF(DAY(AgoDom1)=1,AgoDom1+34,AgoDom1+41)</f>
        <v>44079</v>
      </c>
      <c r="K13" s="10">
        <f>IF(DAY(AgoDom1)=1,AgoDom1+35,AgoDom1+42)</f>
        <v>44080</v>
      </c>
      <c r="L13" s="5"/>
      <c r="N13" s="33"/>
      <c r="O13" s="34"/>
      <c r="P13" s="34"/>
      <c r="Q13" s="34"/>
    </row>
    <row r="14" spans="3:17" ht="18" customHeight="1" x14ac:dyDescent="0.2">
      <c r="C14" s="4"/>
      <c r="D14" s="99"/>
      <c r="E14" s="13"/>
      <c r="F14" s="13"/>
      <c r="G14" s="13"/>
      <c r="H14" s="13"/>
      <c r="I14" s="13"/>
      <c r="J14" s="13"/>
      <c r="K14" s="13"/>
      <c r="L14" s="14"/>
      <c r="N14" s="31"/>
      <c r="O14" s="32"/>
      <c r="P14" s="32"/>
      <c r="Q14" s="32"/>
    </row>
    <row r="15" spans="3:17" ht="18" customHeight="1" x14ac:dyDescent="0.2">
      <c r="C15" s="4"/>
      <c r="N15" s="33"/>
      <c r="O15" s="34"/>
      <c r="P15" s="34"/>
      <c r="Q15" s="34"/>
    </row>
    <row r="16" spans="3:17" ht="18" customHeight="1" x14ac:dyDescent="0.2">
      <c r="C16" s="4"/>
      <c r="N16" s="31"/>
      <c r="O16" s="32"/>
      <c r="P16" s="32"/>
      <c r="Q16" s="32"/>
    </row>
    <row r="17" spans="14:17" ht="18" customHeight="1" x14ac:dyDescent="0.2">
      <c r="N17" s="33"/>
      <c r="O17" s="34"/>
      <c r="P17" s="35"/>
      <c r="Q17" s="34"/>
    </row>
    <row r="18" spans="14:17" ht="18" customHeight="1" x14ac:dyDescent="0.2">
      <c r="N18" s="31"/>
      <c r="O18" s="32"/>
      <c r="P18" s="32"/>
      <c r="Q18" s="32"/>
    </row>
    <row r="19" spans="14:17" ht="18" customHeight="1" x14ac:dyDescent="0.2">
      <c r="N19" s="33"/>
      <c r="O19" s="34"/>
      <c r="P19" s="34"/>
      <c r="Q19" s="34"/>
    </row>
    <row r="20" spans="14:17" ht="18" customHeight="1" x14ac:dyDescent="0.2">
      <c r="N20" s="31"/>
      <c r="O20" s="32"/>
      <c r="P20" s="36"/>
      <c r="Q20" s="32"/>
    </row>
    <row r="21" spans="14:17" ht="18" customHeight="1" x14ac:dyDescent="0.2"/>
    <row r="22" spans="14:17" ht="18" customHeight="1" x14ac:dyDescent="0.2"/>
    <row r="23" spans="14:17" ht="18" customHeight="1" x14ac:dyDescent="0.2"/>
    <row r="24" spans="14:17" ht="18" customHeight="1" x14ac:dyDescent="0.2"/>
    <row r="25" spans="14:17" ht="18" customHeight="1" x14ac:dyDescent="0.2"/>
    <row r="26" spans="14:17" ht="18" customHeight="1" x14ac:dyDescent="0.2"/>
    <row r="27" spans="14:17" ht="18" customHeight="1" x14ac:dyDescent="0.2"/>
    <row r="28" spans="14:17" ht="18" customHeight="1" x14ac:dyDescent="0.2"/>
    <row r="29" spans="14:17" ht="18" customHeight="1" x14ac:dyDescent="0.2"/>
    <row r="30" spans="14:17" ht="18" customHeight="1" x14ac:dyDescent="0.2"/>
    <row r="31" spans="14:17" ht="18" customHeight="1" x14ac:dyDescent="0.2"/>
    <row r="32" spans="14:17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</sheetData>
  <mergeCells count="6">
    <mergeCell ref="Q8:Q9"/>
    <mergeCell ref="D6:D14"/>
    <mergeCell ref="N6:P7"/>
    <mergeCell ref="N8:N9"/>
    <mergeCell ref="O8:O9"/>
    <mergeCell ref="P8:P9"/>
  </mergeCells>
  <conditionalFormatting sqref="E8:J8">
    <cfRule type="expression" dxfId="15" priority="3" stopIfTrue="1">
      <formula>DAY(E8)&gt;8</formula>
    </cfRule>
  </conditionalFormatting>
  <conditionalFormatting sqref="E12:K14">
    <cfRule type="expression" dxfId="14" priority="2" stopIfTrue="1">
      <formula>AND(DAY(E12)&gt;=1,DAY(E12)&lt;=15)</formula>
    </cfRule>
  </conditionalFormatting>
  <conditionalFormatting sqref="E8:K13">
    <cfRule type="expression" dxfId="13" priority="4">
      <formula>VLOOKUP(DAY(E8),DíasDeTareas,1,FALSE)=DAY(E8)</formula>
    </cfRule>
  </conditionalFormatting>
  <dataValidations count="1">
    <dataValidation allowBlank="1" showInputMessage="1" showErrorMessage="1" errorTitle="Invalid Year" error="Enter a year from 1900 to 9999, or use the scroll bar to find a year." sqref="Q6"/>
  </dataValidations>
  <printOptions horizontalCentered="1"/>
  <pageMargins left="0.5" right="0.5" top="0.5" bottom="0.5" header="0.3" footer="0.3"/>
  <pageSetup scale="6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  <pageSetUpPr fitToPage="1"/>
  </sheetPr>
  <dimension ref="C2:AQ77"/>
  <sheetViews>
    <sheetView showGridLines="0" zoomScaleNormal="100" zoomScalePageLayoutView="84" workbookViewId="0">
      <selection activeCell="N3" sqref="N3"/>
    </sheetView>
  </sheetViews>
  <sheetFormatPr baseColWidth="10" defaultColWidth="8.7109375" defaultRowHeight="16.5" customHeight="1" x14ac:dyDescent="0.2"/>
  <cols>
    <col min="1" max="2" width="8.7109375" style="1"/>
    <col min="3" max="3" width="2.28515625" style="1" customWidth="1"/>
    <col min="4" max="4" width="12.7109375" style="1" customWidth="1"/>
    <col min="5" max="12" width="6.7109375" style="1" customWidth="1"/>
    <col min="13" max="13" width="7.28515625" style="1" customWidth="1"/>
    <col min="14" max="14" width="9.7109375" customWidth="1"/>
    <col min="15" max="15" width="48.7109375" style="1" customWidth="1"/>
    <col min="16" max="16" width="10.7109375" style="1" customWidth="1"/>
    <col min="17" max="17" width="20.28515625" customWidth="1"/>
    <col min="18" max="24" width="8.85546875" customWidth="1"/>
    <col min="44" max="16384" width="8.7109375" style="1"/>
  </cols>
  <sheetData>
    <row r="2" spans="3:17" ht="16.5" customHeight="1" x14ac:dyDescent="0.2">
      <c r="N2" s="38" t="s">
        <v>39</v>
      </c>
    </row>
    <row r="3" spans="3:17" ht="16.5" customHeight="1" x14ac:dyDescent="0.2">
      <c r="N3" s="28" t="s">
        <v>50</v>
      </c>
    </row>
    <row r="4" spans="3:17" ht="11.25" customHeight="1" x14ac:dyDescent="0.2"/>
    <row r="5" spans="3:17" ht="18" customHeight="1" x14ac:dyDescent="0.2">
      <c r="C5" s="4"/>
      <c r="D5" s="97" t="s">
        <v>27</v>
      </c>
      <c r="E5" s="11"/>
      <c r="F5" s="11"/>
      <c r="G5" s="11"/>
      <c r="H5" s="11"/>
      <c r="I5" s="11"/>
      <c r="J5" s="11"/>
      <c r="K5" s="11"/>
      <c r="L5" s="12"/>
      <c r="N5" s="133" t="s">
        <v>40</v>
      </c>
      <c r="O5" s="134"/>
      <c r="P5" s="134"/>
      <c r="Q5" s="18">
        <v>2020</v>
      </c>
    </row>
    <row r="6" spans="3:17" ht="21" customHeight="1" x14ac:dyDescent="0.2">
      <c r="C6" s="4"/>
      <c r="D6" s="98"/>
      <c r="E6" s="2" t="s">
        <v>8</v>
      </c>
      <c r="F6" s="2" t="s">
        <v>1</v>
      </c>
      <c r="G6" s="2" t="s">
        <v>9</v>
      </c>
      <c r="H6" s="2" t="s">
        <v>10</v>
      </c>
      <c r="I6" s="2" t="s">
        <v>11</v>
      </c>
      <c r="J6" s="2" t="s">
        <v>0</v>
      </c>
      <c r="K6" s="2" t="s">
        <v>12</v>
      </c>
      <c r="L6" s="5"/>
      <c r="N6" s="135"/>
      <c r="O6" s="136"/>
      <c r="P6" s="136"/>
      <c r="Q6" s="37"/>
    </row>
    <row r="7" spans="3:17" ht="18" customHeight="1" x14ac:dyDescent="0.2">
      <c r="C7" s="4"/>
      <c r="D7" s="98"/>
      <c r="E7" s="10">
        <f>IF(DAY(SepDom1)=1,SepDom1-6,SepDom1+1)</f>
        <v>44074</v>
      </c>
      <c r="F7" s="41">
        <f>IF(DAY(SepDom1)=1,SepDom1-5,SepDom1+2)</f>
        <v>44075</v>
      </c>
      <c r="G7" s="41">
        <f>IF(DAY(SepDom1)=1,SepDom1-4,SepDom1+3)</f>
        <v>44076</v>
      </c>
      <c r="H7" s="41">
        <f>IF(DAY(SepDom1)=1,SepDom1-3,SepDom1+4)</f>
        <v>44077</v>
      </c>
      <c r="I7" s="41">
        <f>IF(DAY(SepDom1)=1,SepDom1-2,SepDom1+5)</f>
        <v>44078</v>
      </c>
      <c r="J7" s="41">
        <f>IF(DAY(SepDom1)=1,SepDom1-1,SepDom1+6)</f>
        <v>44079</v>
      </c>
      <c r="K7" s="10">
        <f>IF(DAY(SepDom1)=1,SepDom1,SepDom1+7)</f>
        <v>44080</v>
      </c>
      <c r="L7" s="5"/>
      <c r="N7" s="137" t="s">
        <v>35</v>
      </c>
      <c r="O7" s="137" t="s">
        <v>36</v>
      </c>
      <c r="P7" s="137" t="s">
        <v>37</v>
      </c>
      <c r="Q7" s="137" t="s">
        <v>38</v>
      </c>
    </row>
    <row r="8" spans="3:17" ht="18" customHeight="1" x14ac:dyDescent="0.2">
      <c r="C8" s="4"/>
      <c r="D8" s="98"/>
      <c r="E8" s="10">
        <f>IF(DAY(SepDom1)=1,SepDom1+1,SepDom1+8)</f>
        <v>44081</v>
      </c>
      <c r="F8" s="41">
        <f>IF(DAY(SepDom1)=1,SepDom1+2,SepDom1+9)</f>
        <v>44082</v>
      </c>
      <c r="G8" s="41">
        <f>IF(DAY(SepDom1)=1,SepDom1+3,SepDom1+10)</f>
        <v>44083</v>
      </c>
      <c r="H8" s="41">
        <f>IF(DAY(SepDom1)=1,SepDom1+4,SepDom1+11)</f>
        <v>44084</v>
      </c>
      <c r="I8" s="41">
        <f>IF(DAY(SepDom1)=1,SepDom1+5,SepDom1+12)</f>
        <v>44085</v>
      </c>
      <c r="J8" s="41">
        <f>IF(DAY(SepDom1)=1,SepDom1+6,SepDom1+13)</f>
        <v>44086</v>
      </c>
      <c r="K8" s="10">
        <f>IF(DAY(SepDom1)=1,SepDom1+7,SepDom1+14)</f>
        <v>44087</v>
      </c>
      <c r="L8" s="5"/>
      <c r="N8" s="138"/>
      <c r="O8" s="138"/>
      <c r="P8" s="138"/>
      <c r="Q8" s="138"/>
    </row>
    <row r="9" spans="3:17" ht="18" customHeight="1" x14ac:dyDescent="0.2">
      <c r="C9" s="4"/>
      <c r="D9" s="98"/>
      <c r="E9" s="10">
        <f>IF(DAY(SepDom1)=1,SepDom1+8,SepDom1+15)</f>
        <v>44088</v>
      </c>
      <c r="F9" s="41">
        <f>IF(DAY(SepDom1)=1,SepDom1+9,SepDom1+16)</f>
        <v>44089</v>
      </c>
      <c r="G9" s="41">
        <f>IF(DAY(SepDom1)=1,SepDom1+10,SepDom1+17)</f>
        <v>44090</v>
      </c>
      <c r="H9" s="41">
        <f>IF(DAY(SepDom1)=1,SepDom1+11,SepDom1+18)</f>
        <v>44091</v>
      </c>
      <c r="I9" s="41">
        <f>IF(DAY(SepDom1)=1,SepDom1+12,SepDom1+19)</f>
        <v>44092</v>
      </c>
      <c r="J9" s="41">
        <f>IF(DAY(SepDom1)=1,SepDom1+13,SepDom1+20)</f>
        <v>44093</v>
      </c>
      <c r="K9" s="10">
        <f>IF(DAY(SepDom1)=1,SepDom1+14,SepDom1+21)</f>
        <v>44094</v>
      </c>
      <c r="L9" s="5"/>
      <c r="N9" s="31"/>
      <c r="O9" s="32"/>
      <c r="P9" s="36"/>
      <c r="Q9" s="47"/>
    </row>
    <row r="10" spans="3:17" ht="18" customHeight="1" x14ac:dyDescent="0.2">
      <c r="C10" s="4"/>
      <c r="D10" s="98"/>
      <c r="E10" s="10">
        <f>IF(DAY(SepDom1)=1,SepDom1+15,SepDom1+22)</f>
        <v>44095</v>
      </c>
      <c r="F10" s="41">
        <f>IF(DAY(SepDom1)=1,SepDom1+16,SepDom1+23)</f>
        <v>44096</v>
      </c>
      <c r="G10" s="41">
        <f>IF(DAY(SepDom1)=1,SepDom1+17,SepDom1+24)</f>
        <v>44097</v>
      </c>
      <c r="H10" s="41">
        <f>IF(DAY(SepDom1)=1,SepDom1+18,SepDom1+25)</f>
        <v>44098</v>
      </c>
      <c r="I10" s="41">
        <f>IF(DAY(SepDom1)=1,SepDom1+19,SepDom1+26)</f>
        <v>44099</v>
      </c>
      <c r="J10" s="41">
        <f>IF(DAY(SepDom1)=1,SepDom1+20,SepDom1+27)</f>
        <v>44100</v>
      </c>
      <c r="K10" s="10">
        <f>IF(DAY(SepDom1)=1,SepDom1+21,SepDom1+28)</f>
        <v>44101</v>
      </c>
      <c r="L10" s="5"/>
      <c r="N10" s="33"/>
      <c r="O10" s="34"/>
      <c r="P10" s="35"/>
      <c r="Q10" s="34"/>
    </row>
    <row r="11" spans="3:17" ht="21" customHeight="1" x14ac:dyDescent="0.2">
      <c r="C11" s="4"/>
      <c r="D11" s="98"/>
      <c r="E11" s="10">
        <f>IF(DAY(SepDom1)=1,SepDom1+22,SepDom1+29)</f>
        <v>44102</v>
      </c>
      <c r="F11" s="41">
        <f>IF(DAY(SepDom1)=1,SepDom1+23,SepDom1+30)</f>
        <v>44103</v>
      </c>
      <c r="G11" s="41">
        <f>IF(DAY(SepDom1)=1,SepDom1+24,SepDom1+31)</f>
        <v>44104</v>
      </c>
      <c r="H11" s="41">
        <f>IF(DAY(SepDom1)=1,SepDom1+25,SepDom1+32)</f>
        <v>44105</v>
      </c>
      <c r="I11" s="41">
        <f>IF(DAY(SepDom1)=1,SepDom1+26,SepDom1+33)</f>
        <v>44106</v>
      </c>
      <c r="J11" s="41">
        <f>IF(DAY(SepDom1)=1,SepDom1+27,SepDom1+34)</f>
        <v>44107</v>
      </c>
      <c r="K11" s="10">
        <f>IF(DAY(SepDom1)=1,SepDom1+28,SepDom1+35)</f>
        <v>44108</v>
      </c>
      <c r="L11" s="5"/>
      <c r="N11" s="31"/>
      <c r="O11" s="32"/>
      <c r="P11" s="32"/>
      <c r="Q11" s="32"/>
    </row>
    <row r="12" spans="3:17" ht="28.5" customHeight="1" x14ac:dyDescent="0.2">
      <c r="C12" s="4"/>
      <c r="D12" s="98"/>
      <c r="E12" s="10">
        <f>IF(DAY(SepDom1)=1,SepDom1+29,SepDom1+36)</f>
        <v>44109</v>
      </c>
      <c r="F12" s="10">
        <f>IF(DAY(SepDom1)=1,SepDom1+30,SepDom1+37)</f>
        <v>44110</v>
      </c>
      <c r="G12" s="10">
        <f>IF(DAY(SepDom1)=1,SepDom1+31,SepDom1+38)</f>
        <v>44111</v>
      </c>
      <c r="H12" s="10">
        <f>IF(DAY(SepDom1)=1,SepDom1+32,SepDom1+39)</f>
        <v>44112</v>
      </c>
      <c r="I12" s="10">
        <f>IF(DAY(SepDom1)=1,SepDom1+33,SepDom1+40)</f>
        <v>44113</v>
      </c>
      <c r="J12" s="10">
        <f>IF(DAY(SepDom1)=1,SepDom1+34,SepDom1+41)</f>
        <v>44114</v>
      </c>
      <c r="K12" s="10">
        <f>IF(DAY(SepDom1)=1,SepDom1+35,SepDom1+42)</f>
        <v>44115</v>
      </c>
      <c r="L12" s="5"/>
      <c r="N12" s="33"/>
      <c r="O12" s="34"/>
      <c r="P12" s="34"/>
      <c r="Q12" s="34"/>
    </row>
    <row r="13" spans="3:17" ht="18" customHeight="1" x14ac:dyDescent="0.2">
      <c r="C13" s="4"/>
      <c r="D13" s="99"/>
      <c r="E13" s="13"/>
      <c r="F13" s="13"/>
      <c r="G13" s="13"/>
      <c r="H13" s="13"/>
      <c r="I13" s="13"/>
      <c r="J13" s="13"/>
      <c r="K13" s="13"/>
      <c r="L13" s="14"/>
      <c r="N13" s="31"/>
      <c r="O13" s="32"/>
      <c r="P13" s="32"/>
      <c r="Q13" s="32"/>
    </row>
    <row r="14" spans="3:17" ht="18" customHeight="1" x14ac:dyDescent="0.2">
      <c r="C14" s="4"/>
      <c r="D14" s="15"/>
      <c r="E14" s="39"/>
      <c r="F14" s="39"/>
      <c r="G14" s="39"/>
      <c r="H14" s="39"/>
      <c r="I14" s="39"/>
      <c r="J14" s="39"/>
      <c r="K14" s="39"/>
      <c r="L14" s="5"/>
      <c r="N14" s="33"/>
      <c r="O14" s="34"/>
      <c r="P14" s="34"/>
      <c r="Q14" s="34"/>
    </row>
    <row r="15" spans="3:17" ht="18" customHeight="1" x14ac:dyDescent="0.2">
      <c r="C15" s="4"/>
      <c r="D15" s="15"/>
      <c r="E15" s="39"/>
      <c r="F15" s="39"/>
      <c r="G15" s="39"/>
      <c r="H15" s="39"/>
      <c r="I15" s="39"/>
      <c r="J15" s="39"/>
      <c r="K15" s="39"/>
      <c r="L15" s="5"/>
      <c r="N15" s="31"/>
      <c r="O15" s="32"/>
      <c r="P15" s="32"/>
      <c r="Q15" s="32"/>
    </row>
    <row r="16" spans="3:17" ht="18" customHeight="1" x14ac:dyDescent="0.2">
      <c r="D16" s="15"/>
      <c r="E16" s="39"/>
      <c r="F16" s="39"/>
      <c r="G16" s="39"/>
      <c r="H16" s="39"/>
      <c r="I16" s="39"/>
      <c r="J16" s="39"/>
      <c r="K16" s="39"/>
      <c r="L16" s="5"/>
      <c r="N16" s="33"/>
      <c r="O16" s="34"/>
      <c r="P16" s="35"/>
      <c r="Q16" s="34"/>
    </row>
    <row r="17" spans="4:17" ht="18" customHeight="1" x14ac:dyDescent="0.2">
      <c r="D17" s="15"/>
      <c r="E17" s="39"/>
      <c r="F17" s="39"/>
      <c r="G17" s="39"/>
      <c r="H17" s="39"/>
      <c r="I17" s="39"/>
      <c r="J17" s="39"/>
      <c r="K17" s="39"/>
      <c r="L17" s="5"/>
      <c r="N17" s="31"/>
      <c r="O17" s="32"/>
      <c r="P17" s="32"/>
      <c r="Q17" s="32"/>
    </row>
    <row r="18" spans="4:17" ht="18" customHeight="1" x14ac:dyDescent="0.2">
      <c r="D18" s="15"/>
      <c r="E18" s="39"/>
      <c r="F18" s="39"/>
      <c r="G18" s="39"/>
      <c r="H18" s="39"/>
      <c r="I18" s="39"/>
      <c r="J18" s="39"/>
      <c r="K18" s="39"/>
      <c r="L18" s="5"/>
      <c r="N18" s="33"/>
      <c r="O18" s="34"/>
      <c r="P18" s="34"/>
      <c r="Q18" s="34"/>
    </row>
    <row r="19" spans="4:17" ht="18" customHeight="1" x14ac:dyDescent="0.2">
      <c r="D19" s="15"/>
      <c r="E19" s="39"/>
      <c r="F19" s="39"/>
      <c r="G19" s="39"/>
      <c r="H19" s="39"/>
      <c r="I19" s="39"/>
      <c r="J19" s="39"/>
      <c r="K19" s="39"/>
      <c r="L19" s="5"/>
      <c r="N19" s="31"/>
      <c r="O19" s="32"/>
      <c r="P19" s="36"/>
      <c r="Q19" s="32"/>
    </row>
    <row r="20" spans="4:17" ht="18" customHeight="1" x14ac:dyDescent="0.2">
      <c r="D20" s="15"/>
      <c r="E20" s="39"/>
      <c r="F20" s="39"/>
      <c r="G20" s="39"/>
      <c r="H20" s="39"/>
      <c r="I20" s="39"/>
      <c r="J20" s="39"/>
      <c r="K20" s="39"/>
      <c r="L20" s="5"/>
    </row>
    <row r="21" spans="4:17" ht="18" customHeight="1" x14ac:dyDescent="0.2">
      <c r="D21" s="15"/>
      <c r="E21" s="39"/>
      <c r="F21" s="39"/>
      <c r="G21" s="39"/>
      <c r="H21" s="39"/>
      <c r="I21" s="39"/>
      <c r="J21" s="39"/>
      <c r="K21" s="39"/>
      <c r="L21" s="5"/>
    </row>
    <row r="22" spans="4:17" ht="18" customHeight="1" x14ac:dyDescent="0.2">
      <c r="D22" s="15"/>
      <c r="E22" s="39"/>
      <c r="F22" s="39"/>
      <c r="G22" s="39"/>
      <c r="H22" s="39"/>
      <c r="I22" s="39"/>
      <c r="J22" s="39"/>
      <c r="K22" s="39"/>
      <c r="L22" s="5"/>
    </row>
    <row r="23" spans="4:17" ht="18" customHeight="1" x14ac:dyDescent="0.2">
      <c r="D23" s="15"/>
      <c r="E23" s="39"/>
      <c r="F23" s="39"/>
      <c r="G23" s="39"/>
      <c r="H23" s="39"/>
      <c r="I23" s="39"/>
      <c r="J23" s="39"/>
      <c r="K23" s="39"/>
      <c r="L23" s="5"/>
    </row>
    <row r="24" spans="4:17" ht="18" customHeight="1" x14ac:dyDescent="0.2">
      <c r="D24" s="15"/>
      <c r="E24" s="39"/>
      <c r="F24" s="39"/>
      <c r="G24" s="39"/>
      <c r="H24" s="39"/>
      <c r="I24" s="39"/>
      <c r="J24" s="39"/>
      <c r="K24" s="39"/>
      <c r="L24" s="5"/>
    </row>
    <row r="25" spans="4:17" ht="18" customHeight="1" x14ac:dyDescent="0.2">
      <c r="D25" s="15"/>
      <c r="E25" s="39"/>
      <c r="F25" s="39"/>
      <c r="G25" s="39"/>
      <c r="H25" s="39"/>
      <c r="I25" s="39"/>
      <c r="J25" s="39"/>
      <c r="K25" s="39"/>
      <c r="L25" s="5"/>
    </row>
    <row r="26" spans="4:17" ht="18" customHeight="1" x14ac:dyDescent="0.2">
      <c r="D26" s="15"/>
      <c r="E26" s="39"/>
      <c r="F26" s="39"/>
      <c r="G26" s="39"/>
      <c r="H26" s="39"/>
      <c r="I26" s="39"/>
      <c r="J26" s="39"/>
      <c r="K26" s="39"/>
      <c r="L26" s="5"/>
    </row>
    <row r="27" spans="4:17" ht="18" customHeight="1" x14ac:dyDescent="0.2">
      <c r="D27" s="15"/>
      <c r="E27" s="39"/>
      <c r="F27" s="39"/>
      <c r="G27" s="39"/>
      <c r="H27" s="39"/>
      <c r="I27" s="39"/>
      <c r="J27" s="39"/>
      <c r="K27" s="39"/>
      <c r="L27" s="5"/>
    </row>
    <row r="28" spans="4:17" ht="18" customHeight="1" x14ac:dyDescent="0.2">
      <c r="D28" s="15"/>
      <c r="E28" s="39"/>
      <c r="F28" s="39"/>
      <c r="G28" s="39"/>
      <c r="H28" s="39"/>
      <c r="I28" s="39"/>
      <c r="J28" s="39"/>
      <c r="K28" s="39"/>
      <c r="L28" s="5"/>
    </row>
    <row r="29" spans="4:17" ht="18" customHeight="1" x14ac:dyDescent="0.2">
      <c r="D29" s="15"/>
      <c r="E29" s="39"/>
      <c r="F29" s="39"/>
      <c r="G29" s="39"/>
      <c r="H29" s="39"/>
      <c r="I29" s="39"/>
      <c r="J29" s="39"/>
      <c r="K29" s="39"/>
      <c r="L29" s="5"/>
    </row>
    <row r="30" spans="4:17" ht="18" customHeight="1" x14ac:dyDescent="0.2">
      <c r="D30" s="15"/>
      <c r="E30" s="39"/>
      <c r="F30" s="39"/>
      <c r="G30" s="39"/>
      <c r="H30" s="39"/>
      <c r="I30" s="39"/>
      <c r="J30" s="39"/>
      <c r="K30" s="39"/>
      <c r="L30" s="5"/>
    </row>
    <row r="31" spans="4:17" ht="18" customHeight="1" x14ac:dyDescent="0.2">
      <c r="D31" s="15"/>
      <c r="E31" s="39"/>
      <c r="F31" s="39"/>
      <c r="G31" s="39"/>
      <c r="H31" s="39"/>
      <c r="I31" s="39"/>
      <c r="J31" s="39"/>
      <c r="K31" s="39"/>
      <c r="L31" s="5"/>
    </row>
    <row r="32" spans="4:17" ht="18" customHeight="1" x14ac:dyDescent="0.2">
      <c r="D32" s="15"/>
      <c r="E32" s="39"/>
      <c r="F32" s="39"/>
      <c r="G32" s="39"/>
      <c r="H32" s="39"/>
      <c r="I32" s="39"/>
      <c r="J32" s="39"/>
      <c r="K32" s="39"/>
      <c r="L32" s="5"/>
    </row>
    <row r="33" spans="4:12" ht="18" customHeight="1" x14ac:dyDescent="0.2">
      <c r="D33" s="15"/>
      <c r="E33" s="39"/>
      <c r="F33" s="39"/>
      <c r="G33" s="39"/>
      <c r="H33" s="39"/>
      <c r="I33" s="39"/>
      <c r="J33" s="39"/>
      <c r="K33" s="39"/>
      <c r="L33" s="5"/>
    </row>
    <row r="34" spans="4:12" ht="18" customHeight="1" x14ac:dyDescent="0.2">
      <c r="D34" s="15"/>
      <c r="E34" s="39"/>
      <c r="F34" s="39"/>
      <c r="G34" s="39"/>
      <c r="H34" s="39"/>
      <c r="I34" s="39"/>
      <c r="J34" s="39"/>
      <c r="K34" s="39"/>
      <c r="L34" s="5"/>
    </row>
    <row r="35" spans="4:12" ht="18" customHeight="1" x14ac:dyDescent="0.2">
      <c r="D35" s="15"/>
      <c r="E35" s="39"/>
      <c r="F35" s="39"/>
      <c r="G35" s="39"/>
      <c r="H35" s="39"/>
      <c r="I35" s="39"/>
      <c r="J35" s="39"/>
      <c r="K35" s="39"/>
      <c r="L35" s="5"/>
    </row>
    <row r="36" spans="4:12" ht="18" customHeight="1" x14ac:dyDescent="0.2">
      <c r="D36" s="15"/>
      <c r="E36" s="39"/>
      <c r="F36" s="39"/>
      <c r="G36" s="39"/>
      <c r="H36" s="39"/>
      <c r="I36" s="39"/>
      <c r="J36" s="39"/>
      <c r="K36" s="39"/>
      <c r="L36" s="5"/>
    </row>
    <row r="37" spans="4:12" ht="16.5" customHeight="1" x14ac:dyDescent="0.2">
      <c r="D37" s="15"/>
      <c r="E37" s="39"/>
      <c r="F37" s="39"/>
      <c r="G37" s="39"/>
      <c r="H37" s="39"/>
      <c r="I37" s="39"/>
      <c r="J37" s="39"/>
      <c r="K37" s="39"/>
      <c r="L37" s="5"/>
    </row>
    <row r="38" spans="4:12" ht="16.5" customHeight="1" x14ac:dyDescent="0.2">
      <c r="D38" s="15"/>
      <c r="E38" s="39"/>
      <c r="F38" s="39"/>
      <c r="G38" s="39"/>
      <c r="H38" s="39"/>
      <c r="I38" s="39"/>
      <c r="J38" s="39"/>
      <c r="K38" s="39"/>
      <c r="L38" s="5"/>
    </row>
    <row r="39" spans="4:12" ht="16.5" customHeight="1" x14ac:dyDescent="0.2">
      <c r="D39" s="15"/>
      <c r="E39" s="39"/>
      <c r="F39" s="39"/>
      <c r="G39" s="39"/>
      <c r="H39" s="39"/>
      <c r="I39" s="39"/>
      <c r="J39" s="39"/>
      <c r="K39" s="39"/>
      <c r="L39" s="5"/>
    </row>
    <row r="40" spans="4:12" ht="16.5" customHeight="1" x14ac:dyDescent="0.2">
      <c r="D40" s="15"/>
      <c r="E40" s="39"/>
      <c r="F40" s="39"/>
      <c r="G40" s="39"/>
      <c r="H40" s="39"/>
      <c r="I40" s="39"/>
      <c r="J40" s="39"/>
      <c r="K40" s="39"/>
      <c r="L40" s="5"/>
    </row>
    <row r="41" spans="4:12" ht="16.5" customHeight="1" x14ac:dyDescent="0.2">
      <c r="D41" s="15"/>
      <c r="E41" s="39"/>
      <c r="F41" s="39"/>
      <c r="G41" s="39"/>
      <c r="H41" s="39"/>
      <c r="I41" s="39"/>
      <c r="J41" s="39"/>
      <c r="K41" s="39"/>
      <c r="L41" s="5"/>
    </row>
    <row r="42" spans="4:12" ht="16.5" customHeight="1" x14ac:dyDescent="0.2">
      <c r="D42" s="15"/>
      <c r="E42" s="39"/>
      <c r="F42" s="39"/>
      <c r="G42" s="39"/>
      <c r="H42" s="39"/>
      <c r="I42" s="39"/>
      <c r="J42" s="39"/>
      <c r="K42" s="39"/>
      <c r="L42" s="5"/>
    </row>
    <row r="43" spans="4:12" ht="16.5" customHeight="1" x14ac:dyDescent="0.2">
      <c r="D43" s="15"/>
      <c r="E43" s="39"/>
      <c r="F43" s="39"/>
      <c r="G43" s="39"/>
      <c r="H43" s="39"/>
      <c r="I43" s="39"/>
      <c r="J43" s="39"/>
      <c r="K43" s="39"/>
      <c r="L43" s="5"/>
    </row>
    <row r="44" spans="4:12" ht="16.5" customHeight="1" x14ac:dyDescent="0.2">
      <c r="D44" s="15"/>
      <c r="E44" s="39"/>
      <c r="F44" s="39"/>
      <c r="G44" s="39"/>
      <c r="H44" s="39"/>
      <c r="I44" s="39"/>
      <c r="J44" s="39"/>
      <c r="K44" s="39"/>
      <c r="L44" s="5"/>
    </row>
    <row r="45" spans="4:12" ht="16.5" customHeight="1" x14ac:dyDescent="0.2">
      <c r="D45" s="15"/>
      <c r="E45" s="39"/>
      <c r="F45" s="39"/>
      <c r="G45" s="39"/>
      <c r="H45" s="39"/>
      <c r="I45" s="39"/>
      <c r="J45" s="39"/>
      <c r="K45" s="39"/>
      <c r="L45" s="5"/>
    </row>
    <row r="46" spans="4:12" ht="16.5" customHeight="1" x14ac:dyDescent="0.2">
      <c r="D46" s="15"/>
      <c r="E46" s="39"/>
      <c r="F46" s="39"/>
      <c r="G46" s="39"/>
      <c r="H46" s="39"/>
      <c r="I46" s="39"/>
      <c r="J46" s="39"/>
      <c r="K46" s="39"/>
      <c r="L46" s="5"/>
    </row>
    <row r="47" spans="4:12" ht="16.5" customHeight="1" x14ac:dyDescent="0.2">
      <c r="D47" s="15"/>
      <c r="E47" s="39"/>
      <c r="F47" s="39"/>
      <c r="G47" s="39"/>
      <c r="H47" s="39"/>
      <c r="I47" s="39"/>
      <c r="J47" s="39"/>
      <c r="K47" s="39"/>
      <c r="L47" s="5"/>
    </row>
    <row r="48" spans="4:12" ht="16.5" customHeight="1" x14ac:dyDescent="0.2">
      <c r="D48" s="15"/>
      <c r="E48" s="39"/>
      <c r="F48" s="39"/>
      <c r="G48" s="39"/>
      <c r="H48" s="39"/>
      <c r="I48" s="39"/>
      <c r="J48" s="39"/>
      <c r="K48" s="39"/>
      <c r="L48" s="5"/>
    </row>
    <row r="49" spans="4:12" ht="16.5" customHeight="1" x14ac:dyDescent="0.2">
      <c r="D49" s="15"/>
      <c r="E49" s="39"/>
      <c r="F49" s="39"/>
      <c r="G49" s="39"/>
      <c r="H49" s="39"/>
      <c r="I49" s="39"/>
      <c r="J49" s="39"/>
      <c r="K49" s="39"/>
      <c r="L49" s="5"/>
    </row>
    <row r="50" spans="4:12" ht="16.5" customHeight="1" x14ac:dyDescent="0.2">
      <c r="D50" s="15"/>
      <c r="E50" s="39"/>
      <c r="F50" s="39"/>
      <c r="G50" s="39"/>
      <c r="H50" s="39"/>
      <c r="I50" s="39"/>
      <c r="J50" s="39"/>
      <c r="K50" s="39"/>
      <c r="L50" s="5"/>
    </row>
    <row r="51" spans="4:12" ht="16.5" customHeight="1" x14ac:dyDescent="0.2">
      <c r="D51" s="15"/>
      <c r="E51" s="39"/>
      <c r="F51" s="39"/>
      <c r="G51" s="39"/>
      <c r="H51" s="39"/>
      <c r="I51" s="39"/>
      <c r="J51" s="39"/>
      <c r="K51" s="39"/>
      <c r="L51" s="5"/>
    </row>
    <row r="52" spans="4:12" ht="16.5" customHeight="1" x14ac:dyDescent="0.2">
      <c r="D52" s="15"/>
      <c r="E52" s="39"/>
      <c r="F52" s="39"/>
      <c r="G52" s="39"/>
      <c r="H52" s="39"/>
      <c r="I52" s="39"/>
      <c r="J52" s="39"/>
      <c r="K52" s="39"/>
      <c r="L52" s="5"/>
    </row>
    <row r="53" spans="4:12" ht="16.5" customHeight="1" x14ac:dyDescent="0.2">
      <c r="D53" s="15"/>
      <c r="E53" s="39"/>
      <c r="F53" s="39"/>
      <c r="G53" s="39"/>
      <c r="H53" s="39"/>
      <c r="I53" s="39"/>
      <c r="J53" s="39"/>
      <c r="K53" s="39"/>
      <c r="L53" s="5"/>
    </row>
    <row r="54" spans="4:12" ht="16.5" customHeight="1" x14ac:dyDescent="0.2">
      <c r="D54" s="15"/>
      <c r="E54" s="39"/>
      <c r="F54" s="39"/>
      <c r="G54" s="39"/>
      <c r="H54" s="39"/>
      <c r="I54" s="39"/>
      <c r="J54" s="39"/>
      <c r="K54" s="39"/>
      <c r="L54" s="5"/>
    </row>
    <row r="55" spans="4:12" ht="16.5" customHeight="1" x14ac:dyDescent="0.2">
      <c r="D55" s="168" t="s">
        <v>14</v>
      </c>
      <c r="E55" s="169"/>
      <c r="F55" s="169"/>
      <c r="G55" s="169"/>
      <c r="H55" s="169"/>
      <c r="I55" s="169"/>
      <c r="J55" s="169"/>
      <c r="K55" s="169"/>
      <c r="L55" s="170"/>
    </row>
    <row r="56" spans="4:12" ht="16.5" customHeight="1" x14ac:dyDescent="0.2">
      <c r="D56" s="168"/>
      <c r="E56" s="169"/>
      <c r="F56" s="169"/>
      <c r="G56" s="169"/>
      <c r="H56" s="169"/>
      <c r="I56" s="169"/>
      <c r="J56" s="169"/>
      <c r="K56" s="169"/>
      <c r="L56" s="170"/>
    </row>
    <row r="57" spans="4:12" ht="16.5" customHeight="1" x14ac:dyDescent="0.2">
      <c r="D57" s="3" t="s">
        <v>15</v>
      </c>
      <c r="E57" s="171" t="s">
        <v>16</v>
      </c>
      <c r="F57" s="172"/>
      <c r="G57" s="171" t="s">
        <v>17</v>
      </c>
      <c r="H57" s="172"/>
      <c r="I57" s="171" t="s">
        <v>18</v>
      </c>
      <c r="J57" s="172"/>
      <c r="K57" s="171" t="s">
        <v>19</v>
      </c>
      <c r="L57" s="173"/>
    </row>
    <row r="58" spans="4:12" ht="16.5" customHeight="1" x14ac:dyDescent="0.2">
      <c r="D58" s="8" t="s">
        <v>2</v>
      </c>
      <c r="E58" s="154"/>
      <c r="F58" s="155"/>
      <c r="G58" s="154" t="s">
        <v>2</v>
      </c>
      <c r="H58" s="155"/>
      <c r="I58" s="154"/>
      <c r="J58" s="155"/>
      <c r="K58" s="154" t="s">
        <v>2</v>
      </c>
      <c r="L58" s="160"/>
    </row>
    <row r="59" spans="4:12" ht="16.5" customHeight="1" x14ac:dyDescent="0.2">
      <c r="D59" s="6" t="s">
        <v>20</v>
      </c>
      <c r="E59" s="151"/>
      <c r="F59" s="152"/>
      <c r="G59" s="151" t="s">
        <v>20</v>
      </c>
      <c r="H59" s="152"/>
      <c r="I59" s="151"/>
      <c r="J59" s="152"/>
      <c r="K59" s="158" t="s">
        <v>20</v>
      </c>
      <c r="L59" s="159"/>
    </row>
    <row r="60" spans="4:12" ht="16.5" customHeight="1" x14ac:dyDescent="0.2">
      <c r="D60" s="8"/>
      <c r="E60" s="154" t="s">
        <v>3</v>
      </c>
      <c r="F60" s="155"/>
      <c r="G60" s="154"/>
      <c r="H60" s="155"/>
      <c r="I60" s="154" t="s">
        <v>3</v>
      </c>
      <c r="J60" s="155"/>
      <c r="K60" s="156"/>
      <c r="L60" s="157"/>
    </row>
    <row r="61" spans="4:12" ht="16.5" customHeight="1" x14ac:dyDescent="0.2">
      <c r="D61" s="6"/>
      <c r="E61" s="151" t="s">
        <v>21</v>
      </c>
      <c r="F61" s="152"/>
      <c r="G61" s="151"/>
      <c r="H61" s="152"/>
      <c r="I61" s="151" t="s">
        <v>21</v>
      </c>
      <c r="J61" s="152"/>
      <c r="K61" s="158"/>
      <c r="L61" s="159"/>
    </row>
    <row r="62" spans="4:12" ht="16.5" customHeight="1" x14ac:dyDescent="0.2">
      <c r="D62" s="9" t="s">
        <v>5</v>
      </c>
      <c r="E62" s="165"/>
      <c r="F62" s="166"/>
      <c r="G62" s="165" t="s">
        <v>5</v>
      </c>
      <c r="H62" s="166"/>
      <c r="I62" s="165"/>
      <c r="J62" s="166"/>
      <c r="K62" s="165" t="s">
        <v>5</v>
      </c>
      <c r="L62" s="167"/>
    </row>
    <row r="63" spans="4:12" ht="16.5" customHeight="1" x14ac:dyDescent="0.2">
      <c r="D63" s="6" t="s">
        <v>22</v>
      </c>
      <c r="E63" s="151"/>
      <c r="F63" s="152"/>
      <c r="G63" s="151" t="s">
        <v>22</v>
      </c>
      <c r="H63" s="152"/>
      <c r="I63" s="151"/>
      <c r="J63" s="152"/>
      <c r="K63" s="158" t="s">
        <v>22</v>
      </c>
      <c r="L63" s="159"/>
    </row>
    <row r="64" spans="4:12" ht="16.5" customHeight="1" x14ac:dyDescent="0.2">
      <c r="D64" s="8"/>
      <c r="E64" s="154"/>
      <c r="F64" s="155"/>
      <c r="G64" s="154"/>
      <c r="H64" s="155"/>
      <c r="I64" s="154"/>
      <c r="J64" s="155"/>
      <c r="K64" s="154"/>
      <c r="L64" s="160"/>
    </row>
    <row r="65" spans="4:12" ht="16.5" customHeight="1" x14ac:dyDescent="0.2">
      <c r="D65" s="6"/>
      <c r="E65" s="151"/>
      <c r="F65" s="152"/>
      <c r="G65" s="151"/>
      <c r="H65" s="152"/>
      <c r="I65" s="151"/>
      <c r="J65" s="152"/>
      <c r="K65" s="163"/>
      <c r="L65" s="164"/>
    </row>
    <row r="66" spans="4:12" ht="16.5" customHeight="1" x14ac:dyDescent="0.2">
      <c r="D66" s="8"/>
      <c r="E66" s="154"/>
      <c r="F66" s="155"/>
      <c r="G66" s="154"/>
      <c r="H66" s="155"/>
      <c r="I66" s="154"/>
      <c r="J66" s="155"/>
      <c r="K66" s="154"/>
      <c r="L66" s="160"/>
    </row>
    <row r="67" spans="4:12" ht="16.5" customHeight="1" x14ac:dyDescent="0.2">
      <c r="D67" s="6"/>
      <c r="E67" s="151"/>
      <c r="F67" s="152"/>
      <c r="G67" s="151"/>
      <c r="H67" s="152"/>
      <c r="I67" s="151"/>
      <c r="J67" s="152"/>
      <c r="K67" s="158"/>
      <c r="L67" s="159"/>
    </row>
    <row r="68" spans="4:12" ht="16.5" customHeight="1" x14ac:dyDescent="0.2">
      <c r="D68" s="8"/>
      <c r="E68" s="154"/>
      <c r="F68" s="155"/>
      <c r="G68" s="154"/>
      <c r="H68" s="155"/>
      <c r="I68" s="154"/>
      <c r="J68" s="155"/>
      <c r="K68" s="154"/>
      <c r="L68" s="160"/>
    </row>
    <row r="69" spans="4:12" ht="16.5" customHeight="1" x14ac:dyDescent="0.2">
      <c r="D69" s="6"/>
      <c r="E69" s="151"/>
      <c r="F69" s="152"/>
      <c r="G69" s="151"/>
      <c r="H69" s="152"/>
      <c r="I69" s="151"/>
      <c r="J69" s="152"/>
      <c r="K69" s="158"/>
      <c r="L69" s="159"/>
    </row>
    <row r="70" spans="4:12" ht="16.5" customHeight="1" x14ac:dyDescent="0.2">
      <c r="D70" s="8" t="s">
        <v>4</v>
      </c>
      <c r="E70" s="154"/>
      <c r="F70" s="155"/>
      <c r="G70" s="154" t="s">
        <v>4</v>
      </c>
      <c r="H70" s="155"/>
      <c r="I70" s="154"/>
      <c r="J70" s="155"/>
      <c r="K70" s="154" t="s">
        <v>4</v>
      </c>
      <c r="L70" s="160"/>
    </row>
    <row r="71" spans="4:12" ht="16.5" customHeight="1" x14ac:dyDescent="0.2">
      <c r="D71" s="6" t="s">
        <v>23</v>
      </c>
      <c r="E71" s="151"/>
      <c r="F71" s="152"/>
      <c r="G71" s="151" t="s">
        <v>23</v>
      </c>
      <c r="H71" s="152"/>
      <c r="I71" s="151"/>
      <c r="J71" s="152"/>
      <c r="K71" s="158" t="s">
        <v>23</v>
      </c>
      <c r="L71" s="159"/>
    </row>
    <row r="72" spans="4:12" ht="16.5" customHeight="1" x14ac:dyDescent="0.2">
      <c r="D72" s="8"/>
      <c r="E72" s="154"/>
      <c r="F72" s="155"/>
      <c r="G72" s="154"/>
      <c r="H72" s="155"/>
      <c r="I72" s="154"/>
      <c r="J72" s="155"/>
      <c r="K72" s="154"/>
      <c r="L72" s="160"/>
    </row>
    <row r="73" spans="4:12" ht="16.5" customHeight="1" x14ac:dyDescent="0.2">
      <c r="D73" s="6"/>
      <c r="E73" s="151"/>
      <c r="F73" s="152"/>
      <c r="G73" s="151"/>
      <c r="H73" s="152"/>
      <c r="I73" s="151"/>
      <c r="J73" s="152"/>
      <c r="K73" s="151"/>
      <c r="L73" s="153"/>
    </row>
    <row r="74" spans="4:12" ht="16.5" customHeight="1" x14ac:dyDescent="0.2">
      <c r="D74" s="8"/>
      <c r="E74" s="154" t="s">
        <v>6</v>
      </c>
      <c r="F74" s="155"/>
      <c r="G74" s="154"/>
      <c r="H74" s="155"/>
      <c r="I74" s="154" t="s">
        <v>6</v>
      </c>
      <c r="J74" s="155"/>
      <c r="K74" s="161"/>
      <c r="L74" s="162"/>
    </row>
    <row r="75" spans="4:12" ht="16.5" customHeight="1" x14ac:dyDescent="0.2">
      <c r="D75" s="6"/>
      <c r="E75" s="151" t="s">
        <v>24</v>
      </c>
      <c r="F75" s="152"/>
      <c r="G75" s="151"/>
      <c r="H75" s="152"/>
      <c r="I75" s="151" t="s">
        <v>24</v>
      </c>
      <c r="J75" s="152"/>
      <c r="K75" s="151"/>
      <c r="L75" s="153"/>
    </row>
    <row r="76" spans="4:12" ht="16.5" customHeight="1" x14ac:dyDescent="0.2">
      <c r="D76" s="8"/>
      <c r="E76" s="154"/>
      <c r="F76" s="155"/>
      <c r="G76" s="154"/>
      <c r="H76" s="155"/>
      <c r="I76" s="154"/>
      <c r="J76" s="155"/>
      <c r="K76" s="156"/>
      <c r="L76" s="157"/>
    </row>
    <row r="77" spans="4:12" ht="16.5" customHeight="1" x14ac:dyDescent="0.2">
      <c r="D77" s="7"/>
      <c r="E77" s="147"/>
      <c r="F77" s="148"/>
      <c r="G77" s="147"/>
      <c r="H77" s="148"/>
      <c r="I77" s="147"/>
      <c r="J77" s="148"/>
      <c r="K77" s="149"/>
      <c r="L77" s="150"/>
    </row>
  </sheetData>
  <mergeCells count="91">
    <mergeCell ref="D5:D13"/>
    <mergeCell ref="N5:P6"/>
    <mergeCell ref="N7:N8"/>
    <mergeCell ref="O7:O8"/>
    <mergeCell ref="P7:P8"/>
    <mergeCell ref="D55:L56"/>
    <mergeCell ref="E57:F57"/>
    <mergeCell ref="G57:H57"/>
    <mergeCell ref="I57:J57"/>
    <mergeCell ref="K57:L57"/>
    <mergeCell ref="E58:F58"/>
    <mergeCell ref="G58:H58"/>
    <mergeCell ref="I58:J58"/>
    <mergeCell ref="K58:L58"/>
    <mergeCell ref="E59:F59"/>
    <mergeCell ref="G59:H59"/>
    <mergeCell ref="I59:J59"/>
    <mergeCell ref="K59:L59"/>
    <mergeCell ref="E62:F62"/>
    <mergeCell ref="G62:H62"/>
    <mergeCell ref="I62:J62"/>
    <mergeCell ref="K62:L62"/>
    <mergeCell ref="E60:F60"/>
    <mergeCell ref="G60:H60"/>
    <mergeCell ref="I60:J60"/>
    <mergeCell ref="K60:L60"/>
    <mergeCell ref="E61:F61"/>
    <mergeCell ref="G61:H61"/>
    <mergeCell ref="I61:J61"/>
    <mergeCell ref="K61:L61"/>
    <mergeCell ref="E63:F63"/>
    <mergeCell ref="G63:H63"/>
    <mergeCell ref="I63:J63"/>
    <mergeCell ref="K63:L63"/>
    <mergeCell ref="E64:F64"/>
    <mergeCell ref="G64:H64"/>
    <mergeCell ref="I64:J64"/>
    <mergeCell ref="K64:L64"/>
    <mergeCell ref="E65:F65"/>
    <mergeCell ref="G65:H65"/>
    <mergeCell ref="I65:J65"/>
    <mergeCell ref="K65:L65"/>
    <mergeCell ref="E66:F66"/>
    <mergeCell ref="G66:H66"/>
    <mergeCell ref="I66:J66"/>
    <mergeCell ref="K66:L66"/>
    <mergeCell ref="K69:L69"/>
    <mergeCell ref="E70:F70"/>
    <mergeCell ref="G70:H70"/>
    <mergeCell ref="I70:J70"/>
    <mergeCell ref="K70:L70"/>
    <mergeCell ref="K74:L74"/>
    <mergeCell ref="E72:F72"/>
    <mergeCell ref="G72:H72"/>
    <mergeCell ref="I72:J72"/>
    <mergeCell ref="K72:L72"/>
    <mergeCell ref="E73:F73"/>
    <mergeCell ref="G73:H73"/>
    <mergeCell ref="I73:J73"/>
    <mergeCell ref="K73:L73"/>
    <mergeCell ref="E74:F74"/>
    <mergeCell ref="G74:H74"/>
    <mergeCell ref="I74:J74"/>
    <mergeCell ref="E71:F71"/>
    <mergeCell ref="G71:H71"/>
    <mergeCell ref="I71:J71"/>
    <mergeCell ref="K71:L71"/>
    <mergeCell ref="Q7:Q8"/>
    <mergeCell ref="E67:F67"/>
    <mergeCell ref="G67:H67"/>
    <mergeCell ref="I67:J67"/>
    <mergeCell ref="K67:L67"/>
    <mergeCell ref="E68:F68"/>
    <mergeCell ref="G68:H68"/>
    <mergeCell ref="I68:J68"/>
    <mergeCell ref="K68:L68"/>
    <mergeCell ref="E69:F69"/>
    <mergeCell ref="G69:H69"/>
    <mergeCell ref="I69:J69"/>
    <mergeCell ref="E77:F77"/>
    <mergeCell ref="G77:H77"/>
    <mergeCell ref="I77:J77"/>
    <mergeCell ref="K77:L77"/>
    <mergeCell ref="E75:F75"/>
    <mergeCell ref="G75:H75"/>
    <mergeCell ref="I75:J75"/>
    <mergeCell ref="K75:L75"/>
    <mergeCell ref="E76:F76"/>
    <mergeCell ref="G76:H76"/>
    <mergeCell ref="I76:J76"/>
    <mergeCell ref="K76:L76"/>
  </mergeCells>
  <conditionalFormatting sqref="E7:J7">
    <cfRule type="expression" dxfId="12" priority="3" stopIfTrue="1">
      <formula>DAY(E7)&gt;8</formula>
    </cfRule>
  </conditionalFormatting>
  <conditionalFormatting sqref="E11:K54">
    <cfRule type="expression" dxfId="11" priority="2" stopIfTrue="1">
      <formula>AND(DAY(E11)&gt;=1,DAY(E11)&lt;=15)</formula>
    </cfRule>
  </conditionalFormatting>
  <conditionalFormatting sqref="E7:K12">
    <cfRule type="expression" dxfId="10" priority="4">
      <formula>VLOOKUP(DAY(E7),DíasDeTareas,1,FALSE)=DAY(E7)</formula>
    </cfRule>
  </conditionalFormatting>
  <conditionalFormatting sqref="D58:L77">
    <cfRule type="expression" dxfId="9" priority="1">
      <formula>D58&lt;&gt;""</formula>
    </cfRule>
  </conditionalFormatting>
  <dataValidations count="1">
    <dataValidation allowBlank="1" showInputMessage="1" showErrorMessage="1" errorTitle="Invalid Year" error="Enter a year from 1900 to 9999, or use the scroll bar to find a year." sqref="Q5"/>
  </dataValidations>
  <printOptions horizontalCentered="1"/>
  <pageMargins left="0.5" right="0.5" top="0.5" bottom="0.5" header="0.3" footer="0.3"/>
  <pageSetup scale="6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42A2AB2-C96A-4F1D-A896-B2666E5A28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13</vt:i4>
      </vt:variant>
    </vt:vector>
  </HeadingPairs>
  <TitlesOfParts>
    <vt:vector size="25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Año_Calendario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Septiembre!Área_de_impresión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</dc:creator>
  <cp:lastModifiedBy>CAROLINA</cp:lastModifiedBy>
  <cp:lastPrinted>2010-12-16T21:23:33Z</cp:lastPrinted>
  <dcterms:created xsi:type="dcterms:W3CDTF">2019-01-28T23:04:21Z</dcterms:created>
  <dcterms:modified xsi:type="dcterms:W3CDTF">2020-06-09T17:06:50Z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TC025512749991</vt:lpwstr>
  </property>
</Properties>
</file>